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dani.fuste\Downloads\Quina fatadaaaaa!\"/>
    </mc:Choice>
  </mc:AlternateContent>
  <xr:revisionPtr revIDLastSave="0" documentId="13_ncr:1_{7B070B2E-D38F-463E-9A2C-221B56DDABE5}" xr6:coauthVersionLast="47" xr6:coauthVersionMax="47" xr10:uidLastSave="{00000000-0000-0000-0000-000000000000}"/>
  <workbookProtection workbookAlgorithmName="SHA-512" workbookHashValue="CvQx0IM5wqsgUOe8ACY/MIS6VB1PtkK+xmsI+3cRZnoknz0eGMg1FPYrRm+jLE12dVZ7dJs6E1cWRHpoPvDHLw==" workbookSaltValue="5TVfP8EmWozpPUsqYeKskQ==" workbookSpinCount="100000" lockStructure="1"/>
  <bookViews>
    <workbookView xWindow="-110" yWindow="-110" windowWidth="38620" windowHeight="21100" tabRatio="808" firstSheet="1" activeTab="11" xr2:uid="{00000000-000D-0000-FFFF-FFFF00000000}"/>
  </bookViews>
  <sheets>
    <sheet name="INSTRUCCIONS" sheetId="1" state="hidden" r:id="rId1"/>
    <sheet name="dades expedient" sheetId="19" r:id="rId2"/>
    <sheet name="RESUM_PRESSUPOST" sheetId="14" r:id="rId3"/>
    <sheet name="INGRESSOS" sheetId="20" r:id="rId4"/>
    <sheet name="DESPESES" sheetId="21" r:id="rId5"/>
    <sheet name="INVERSIONS" sheetId="24" r:id="rId6"/>
    <sheet name="PERSONAL" sheetId="16" r:id="rId7"/>
    <sheet name="3 Regla despesa" sheetId="4" r:id="rId8"/>
    <sheet name="4_CF_NF" sheetId="5" r:id="rId9"/>
    <sheet name="5_sostre despesa" sheetId="6" r:id="rId10"/>
    <sheet name="6_Sostenibilitat" sheetId="8" r:id="rId11"/>
    <sheet name="PROGRAMES" sheetId="17" r:id="rId12"/>
    <sheet name="7_PREV LIQ i LIQ_equilibri" sheetId="7" state="hidden" r:id="rId13"/>
    <sheet name="8_LIQ_Regla despesa" sheetId="9" state="hidden" r:id="rId14"/>
    <sheet name="9_LIQ_CF_NF" sheetId="10" state="hidden" r:id="rId15"/>
    <sheet name="10_LIQ_Sostenibilitat" sheetId="13" state="hidden" r:id="rId16"/>
    <sheet name="11_EQUILIBRIS I CONSOLIDACIÓ" sheetId="12" state="hidden" r:id="rId17"/>
    <sheet name="Pla d'Inversions" sheetId="15" state="hidden" r:id="rId18"/>
    <sheet name="Taula Conversió" sheetId="18" state="hidden" r:id="rId19"/>
  </sheets>
  <definedNames>
    <definedName name="_xlnm.Print_Area" localSheetId="7">'3 Regla despesa'!$B$309:$D$344</definedName>
    <definedName name="_xlnm.Print_Area" localSheetId="8">('4_CF_NF'!$A$1:$E$16,'4_CF_NF'!$F$17:$J$117,'4_CF_NF'!$L$118:$P$158)</definedName>
    <definedName name="_xlnm.Print_Area" localSheetId="12">'7_PREV LIQ i LIQ_equilibri'!$A$2:$F$23</definedName>
    <definedName name="_xlnm.Print_Area" localSheetId="13">('8_LIQ_Regla despesa'!$A$1:$G$91,'8_LIQ_Regla despesa'!$A$92:$E$181,'8_LIQ_Regla despesa'!$A$182:$K$212,'8_LIQ_Regla despesa'!$A$213:$G$303)</definedName>
    <definedName name="_xlnm.Print_Area" localSheetId="14">('9_LIQ_CF_NF'!$A$1:$E$16,'9_LIQ_CF_NF'!$F$17:$K$59,'9_LIQ_CF_NF'!$F$60:$J$119,'9_LIQ_CF_NF'!$L$119:$Q$159)</definedName>
    <definedName name="_xlnm.Print_Area" localSheetId="0">INSTRUCCIONS!$A$1:$A$33</definedName>
    <definedName name="_xlnm.Print_Area" localSheetId="11">PROGRAMES!$D$1:$H$101</definedName>
    <definedName name="_xlnm.Print_Area" localSheetId="2">RESUM_PRESSUPOST!$A$1:$G$53</definedName>
    <definedName name="_xlnm.Print_Titles" localSheetId="4">DESPESES!$1:$5</definedName>
    <definedName name="_xlnm.Print_Titles" localSheetId="11">PROGRAMES!$1:$4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19" l="1"/>
  <c r="D16" i="19"/>
  <c r="D139" i="4"/>
  <c r="E249" i="4"/>
  <c r="H13" i="24" l="1"/>
  <c r="I13" i="24" s="1"/>
  <c r="F41" i="20"/>
  <c r="G41" i="20"/>
  <c r="I11" i="24"/>
  <c r="I10" i="24"/>
  <c r="I9" i="24"/>
  <c r="H11" i="24"/>
  <c r="H10" i="24"/>
  <c r="H9" i="24"/>
  <c r="E204" i="4"/>
  <c r="F204" i="4" s="1"/>
  <c r="H12" i="24" l="1"/>
  <c r="I12" i="24" s="1"/>
  <c r="G58" i="20"/>
  <c r="F58" i="20"/>
  <c r="G57" i="20"/>
  <c r="F57" i="20"/>
  <c r="G56" i="20"/>
  <c r="F56" i="20"/>
  <c r="G55" i="20"/>
  <c r="F55" i="20"/>
  <c r="G54" i="20"/>
  <c r="F54" i="20"/>
  <c r="G53" i="20"/>
  <c r="F53" i="20"/>
  <c r="G52" i="20"/>
  <c r="F52" i="20"/>
  <c r="G51" i="20"/>
  <c r="F51" i="20"/>
  <c r="G50" i="20"/>
  <c r="F50" i="20"/>
  <c r="H8" i="24" l="1"/>
  <c r="I8" i="24" s="1"/>
  <c r="I31" i="21" l="1"/>
  <c r="H31" i="21"/>
  <c r="G31" i="21"/>
  <c r="G22" i="20"/>
  <c r="F22" i="20"/>
  <c r="G30" i="20"/>
  <c r="F30" i="20"/>
  <c r="G31" i="20"/>
  <c r="F31" i="20"/>
  <c r="G29" i="20"/>
  <c r="F29" i="20"/>
  <c r="G28" i="20"/>
  <c r="F28" i="20"/>
  <c r="G27" i="20"/>
  <c r="F27" i="20"/>
  <c r="G26" i="20"/>
  <c r="F26" i="20"/>
  <c r="G38" i="20"/>
  <c r="F38" i="20"/>
  <c r="G37" i="20"/>
  <c r="F37" i="20"/>
  <c r="G36" i="20"/>
  <c r="F36" i="20"/>
  <c r="G35" i="20"/>
  <c r="F35" i="20"/>
  <c r="G34" i="20"/>
  <c r="F34" i="20"/>
  <c r="G33" i="20"/>
  <c r="F33" i="20"/>
  <c r="I63" i="21"/>
  <c r="H63" i="21"/>
  <c r="G63" i="21"/>
  <c r="I62" i="21"/>
  <c r="H62" i="21"/>
  <c r="G62" i="21"/>
  <c r="I61" i="21"/>
  <c r="H61" i="21"/>
  <c r="G61" i="21"/>
  <c r="I60" i="21"/>
  <c r="H60" i="21"/>
  <c r="G60" i="21"/>
  <c r="I59" i="21"/>
  <c r="H59" i="21"/>
  <c r="G59" i="21"/>
  <c r="I67" i="21" l="1"/>
  <c r="H67" i="21"/>
  <c r="G67" i="21"/>
  <c r="I66" i="21"/>
  <c r="H66" i="21"/>
  <c r="G66" i="21"/>
  <c r="I65" i="21"/>
  <c r="H65" i="21"/>
  <c r="G65" i="21"/>
  <c r="I64" i="21"/>
  <c r="H64" i="21"/>
  <c r="G64" i="21"/>
  <c r="C26" i="19" l="1"/>
  <c r="I92" i="21" l="1"/>
  <c r="H92" i="21"/>
  <c r="G92" i="21"/>
  <c r="I91" i="21"/>
  <c r="H91" i="21"/>
  <c r="G91" i="21"/>
  <c r="I90" i="21"/>
  <c r="H90" i="21"/>
  <c r="G90" i="21"/>
  <c r="I89" i="21"/>
  <c r="H89" i="21"/>
  <c r="G89" i="21"/>
  <c r="I88" i="21"/>
  <c r="H88" i="21"/>
  <c r="G88" i="21"/>
  <c r="I87" i="21"/>
  <c r="H87" i="21"/>
  <c r="G87" i="21"/>
  <c r="I86" i="21"/>
  <c r="H86" i="21"/>
  <c r="G86" i="21"/>
  <c r="I85" i="21"/>
  <c r="H85" i="21"/>
  <c r="G85" i="21"/>
  <c r="I84" i="21"/>
  <c r="H84" i="21"/>
  <c r="G84" i="21"/>
  <c r="I83" i="21"/>
  <c r="H83" i="21"/>
  <c r="G83" i="21"/>
  <c r="I82" i="21"/>
  <c r="H82" i="21"/>
  <c r="G82" i="21"/>
  <c r="I81" i="21"/>
  <c r="H81" i="21"/>
  <c r="G81" i="21"/>
  <c r="I80" i="21"/>
  <c r="H80" i="21"/>
  <c r="G80" i="21"/>
  <c r="I79" i="21"/>
  <c r="H79" i="21"/>
  <c r="G79" i="21"/>
  <c r="I78" i="21"/>
  <c r="H78" i="21"/>
  <c r="G78" i="21"/>
  <c r="I77" i="21"/>
  <c r="H77" i="21"/>
  <c r="G77" i="21"/>
  <c r="I76" i="21"/>
  <c r="H76" i="21"/>
  <c r="G76" i="21"/>
  <c r="I75" i="21"/>
  <c r="H75" i="21"/>
  <c r="G75" i="21"/>
  <c r="I74" i="21"/>
  <c r="H74" i="21"/>
  <c r="G74" i="21"/>
  <c r="I73" i="21"/>
  <c r="H73" i="21"/>
  <c r="G73" i="21"/>
  <c r="I72" i="21"/>
  <c r="H72" i="21"/>
  <c r="G72" i="21"/>
  <c r="I71" i="21"/>
  <c r="H71" i="21"/>
  <c r="G71" i="21"/>
  <c r="I70" i="21"/>
  <c r="H70" i="21"/>
  <c r="G70" i="21"/>
  <c r="I69" i="21"/>
  <c r="H69" i="21"/>
  <c r="G69" i="21"/>
  <c r="I68" i="21"/>
  <c r="H68" i="21"/>
  <c r="G68" i="21"/>
  <c r="I58" i="21"/>
  <c r="H58" i="21"/>
  <c r="G58" i="21"/>
  <c r="I57" i="21"/>
  <c r="H57" i="21"/>
  <c r="G57" i="21"/>
  <c r="I56" i="21"/>
  <c r="H56" i="21"/>
  <c r="G56" i="21"/>
  <c r="I55" i="21"/>
  <c r="H55" i="21"/>
  <c r="G55" i="21"/>
  <c r="I54" i="21"/>
  <c r="H54" i="21"/>
  <c r="G54" i="21"/>
  <c r="I53" i="21"/>
  <c r="H53" i="21"/>
  <c r="G53" i="21"/>
  <c r="I52" i="21"/>
  <c r="H52" i="21"/>
  <c r="G52" i="21"/>
  <c r="I51" i="21"/>
  <c r="H51" i="21"/>
  <c r="G51" i="21"/>
  <c r="I50" i="21"/>
  <c r="H50" i="21"/>
  <c r="G50" i="21"/>
  <c r="I49" i="21"/>
  <c r="H49" i="21"/>
  <c r="G49" i="21"/>
  <c r="I48" i="21"/>
  <c r="H48" i="21"/>
  <c r="G48" i="21"/>
  <c r="I47" i="21"/>
  <c r="H47" i="21"/>
  <c r="G47" i="21"/>
  <c r="I46" i="21"/>
  <c r="H46" i="21"/>
  <c r="G46" i="21"/>
  <c r="I45" i="21"/>
  <c r="H45" i="21"/>
  <c r="G45" i="21"/>
  <c r="I44" i="21"/>
  <c r="H44" i="21"/>
  <c r="G44" i="21"/>
  <c r="I43" i="21"/>
  <c r="H43" i="21"/>
  <c r="G43" i="21"/>
  <c r="I42" i="21"/>
  <c r="H42" i="21"/>
  <c r="G42" i="21"/>
  <c r="I41" i="21"/>
  <c r="H41" i="21"/>
  <c r="G41" i="21"/>
  <c r="I40" i="21"/>
  <c r="H40" i="21"/>
  <c r="G40" i="21"/>
  <c r="I39" i="21"/>
  <c r="H39" i="21"/>
  <c r="G39" i="21"/>
  <c r="I38" i="21"/>
  <c r="H38" i="21"/>
  <c r="G38" i="21"/>
  <c r="I37" i="21"/>
  <c r="H37" i="21"/>
  <c r="G37" i="21"/>
  <c r="I36" i="21"/>
  <c r="H36" i="21"/>
  <c r="G36" i="21"/>
  <c r="I35" i="21"/>
  <c r="H35" i="21"/>
  <c r="G35" i="21"/>
  <c r="G49" i="20"/>
  <c r="F49" i="20"/>
  <c r="G48" i="20"/>
  <c r="F48" i="20"/>
  <c r="G47" i="20"/>
  <c r="F47" i="20"/>
  <c r="G46" i="20"/>
  <c r="F46" i="20"/>
  <c r="G45" i="20"/>
  <c r="F45" i="20"/>
  <c r="G44" i="20"/>
  <c r="F44" i="20"/>
  <c r="G43" i="20"/>
  <c r="F43" i="20"/>
  <c r="G42" i="20"/>
  <c r="F42" i="20"/>
  <c r="G40" i="20"/>
  <c r="F40" i="20"/>
  <c r="G39" i="20"/>
  <c r="F39" i="20"/>
  <c r="G32" i="20"/>
  <c r="F32" i="20"/>
  <c r="G25" i="20"/>
  <c r="F25" i="20"/>
  <c r="G24" i="20"/>
  <c r="F24" i="20"/>
  <c r="H7" i="24" l="1"/>
  <c r="I7" i="24" s="1"/>
  <c r="I34" i="21" l="1"/>
  <c r="H34" i="21"/>
  <c r="G34" i="21"/>
  <c r="I33" i="21"/>
  <c r="H33" i="21"/>
  <c r="G33" i="21"/>
  <c r="I32" i="21"/>
  <c r="H32" i="21"/>
  <c r="G32" i="21"/>
  <c r="I30" i="21"/>
  <c r="H30" i="21"/>
  <c r="G30" i="21"/>
  <c r="I29" i="21"/>
  <c r="H29" i="21"/>
  <c r="G29" i="21"/>
  <c r="I28" i="21"/>
  <c r="H28" i="21"/>
  <c r="G28" i="21"/>
  <c r="I27" i="21"/>
  <c r="H27" i="21"/>
  <c r="G27" i="21"/>
  <c r="I26" i="21"/>
  <c r="H26" i="21"/>
  <c r="G26" i="21"/>
  <c r="I25" i="21"/>
  <c r="H25" i="21"/>
  <c r="G25" i="21"/>
  <c r="I24" i="21"/>
  <c r="H24" i="21"/>
  <c r="G24" i="21"/>
  <c r="I23" i="21"/>
  <c r="H23" i="21"/>
  <c r="G23" i="21"/>
  <c r="I22" i="21"/>
  <c r="H22" i="21"/>
  <c r="G22" i="21"/>
  <c r="I21" i="21"/>
  <c r="H21" i="21"/>
  <c r="G21" i="21"/>
  <c r="I20" i="21"/>
  <c r="H20" i="21"/>
  <c r="G20" i="21"/>
  <c r="I19" i="21"/>
  <c r="H19" i="21"/>
  <c r="G19" i="21"/>
  <c r="I18" i="21"/>
  <c r="H18" i="21"/>
  <c r="G18" i="21"/>
  <c r="I17" i="21"/>
  <c r="H17" i="21"/>
  <c r="G17" i="21"/>
  <c r="I16" i="21"/>
  <c r="H16" i="21"/>
  <c r="G16" i="21"/>
  <c r="I15" i="21"/>
  <c r="H15" i="21"/>
  <c r="G15" i="21"/>
  <c r="I14" i="21"/>
  <c r="H14" i="21"/>
  <c r="G14" i="21"/>
  <c r="I13" i="21"/>
  <c r="H13" i="21"/>
  <c r="G13" i="21"/>
  <c r="I12" i="21"/>
  <c r="H12" i="21"/>
  <c r="G12" i="21"/>
  <c r="I11" i="21"/>
  <c r="H11" i="21"/>
  <c r="G11" i="21"/>
  <c r="I10" i="21"/>
  <c r="H10" i="21"/>
  <c r="G10" i="21"/>
  <c r="N48" i="8" l="1"/>
  <c r="N42" i="8"/>
  <c r="E203" i="4" l="1"/>
  <c r="F203" i="4" s="1"/>
  <c r="E202" i="4"/>
  <c r="F202" i="4" s="1"/>
  <c r="G17" i="24" l="1"/>
  <c r="F17" i="24"/>
  <c r="E17" i="24"/>
  <c r="D17" i="24"/>
  <c r="H17" i="24" l="1"/>
  <c r="I17" i="24"/>
  <c r="G13" i="20"/>
  <c r="F13" i="20"/>
  <c r="I109" i="21" l="1"/>
  <c r="H109" i="21"/>
  <c r="G109" i="21"/>
  <c r="I108" i="21"/>
  <c r="H108" i="21"/>
  <c r="G108" i="21"/>
  <c r="I107" i="21"/>
  <c r="H107" i="21"/>
  <c r="G107" i="21"/>
  <c r="I106" i="21"/>
  <c r="H106" i="21"/>
  <c r="G106" i="21"/>
  <c r="I105" i="21"/>
  <c r="H105" i="21"/>
  <c r="G105" i="21"/>
  <c r="I104" i="21"/>
  <c r="H104" i="21"/>
  <c r="G104" i="21"/>
  <c r="I103" i="21"/>
  <c r="H103" i="21"/>
  <c r="G103" i="21"/>
  <c r="I102" i="21"/>
  <c r="H102" i="21"/>
  <c r="G102" i="21"/>
  <c r="I101" i="21"/>
  <c r="H101" i="21"/>
  <c r="G101" i="21"/>
  <c r="I100" i="21"/>
  <c r="H100" i="21"/>
  <c r="G100" i="21"/>
  <c r="I99" i="21"/>
  <c r="H99" i="21"/>
  <c r="G99" i="21"/>
  <c r="I98" i="21"/>
  <c r="H98" i="21"/>
  <c r="G98" i="21"/>
  <c r="I97" i="21"/>
  <c r="H97" i="21"/>
  <c r="G97" i="21"/>
  <c r="I96" i="21"/>
  <c r="H96" i="21"/>
  <c r="G96" i="21"/>
  <c r="I95" i="21"/>
  <c r="H95" i="21"/>
  <c r="G95" i="21"/>
  <c r="I94" i="21"/>
  <c r="H94" i="21"/>
  <c r="G94" i="21"/>
  <c r="I93" i="21"/>
  <c r="H93" i="21"/>
  <c r="G93" i="21"/>
  <c r="I6" i="21"/>
  <c r="H6" i="21"/>
  <c r="G6" i="21"/>
  <c r="D7" i="19" l="1"/>
  <c r="D22" i="19" l="1"/>
  <c r="D21" i="19"/>
  <c r="D20" i="19"/>
  <c r="D19" i="19"/>
  <c r="D18" i="19"/>
  <c r="D17" i="19"/>
  <c r="D14" i="19"/>
  <c r="D13" i="19"/>
  <c r="D12" i="19"/>
  <c r="D11" i="19"/>
  <c r="D10" i="19"/>
  <c r="D9" i="19"/>
  <c r="D8" i="19"/>
  <c r="I9" i="21" l="1"/>
  <c r="H9" i="21"/>
  <c r="G9" i="21"/>
  <c r="I8" i="21"/>
  <c r="H8" i="21"/>
  <c r="G8" i="21"/>
  <c r="E201" i="4" l="1"/>
  <c r="F201" i="4" s="1"/>
  <c r="E200" i="4"/>
  <c r="F200" i="4" s="1"/>
  <c r="E199" i="4"/>
  <c r="F199" i="4" s="1"/>
  <c r="E198" i="4"/>
  <c r="F198" i="4" s="1"/>
  <c r="E197" i="4"/>
  <c r="F197" i="4" s="1"/>
  <c r="E196" i="4"/>
  <c r="F196" i="4" s="1"/>
  <c r="E195" i="4"/>
  <c r="F195" i="4" s="1"/>
  <c r="E194" i="4"/>
  <c r="F194" i="4" s="1"/>
  <c r="E193" i="4"/>
  <c r="F193" i="4" s="1"/>
  <c r="E192" i="4"/>
  <c r="F192" i="4" s="1"/>
  <c r="E191" i="4"/>
  <c r="F191" i="4" s="1"/>
  <c r="E190" i="4"/>
  <c r="F190" i="4" s="1"/>
  <c r="E189" i="4"/>
  <c r="F189" i="4" s="1"/>
  <c r="E188" i="4"/>
  <c r="F188" i="4" s="1"/>
  <c r="E187" i="4"/>
  <c r="F187" i="4" s="1"/>
  <c r="E186" i="4"/>
  <c r="F186" i="4" s="1"/>
  <c r="I121" i="21" l="1"/>
  <c r="H121" i="21"/>
  <c r="G121" i="21"/>
  <c r="I120" i="21"/>
  <c r="H120" i="21"/>
  <c r="G120" i="21"/>
  <c r="I119" i="21"/>
  <c r="H119" i="21"/>
  <c r="G119" i="21"/>
  <c r="I118" i="21"/>
  <c r="H118" i="21"/>
  <c r="G118" i="21"/>
  <c r="I117" i="21"/>
  <c r="H117" i="21"/>
  <c r="G117" i="21"/>
  <c r="I116" i="21"/>
  <c r="H116" i="21"/>
  <c r="G116" i="21"/>
  <c r="I115" i="21"/>
  <c r="H115" i="21"/>
  <c r="G115" i="21"/>
  <c r="G65" i="20"/>
  <c r="F65" i="20"/>
  <c r="G64" i="20"/>
  <c r="F64" i="20"/>
  <c r="G63" i="20"/>
  <c r="F63" i="20"/>
  <c r="E2" i="14"/>
  <c r="G85" i="20" l="1"/>
  <c r="F85" i="20"/>
  <c r="G84" i="20"/>
  <c r="F84" i="20"/>
  <c r="G83" i="20"/>
  <c r="F83" i="20"/>
  <c r="G82" i="20"/>
  <c r="F82" i="20"/>
  <c r="G81" i="20"/>
  <c r="F81" i="20"/>
  <c r="G80" i="20"/>
  <c r="F80" i="20"/>
  <c r="G79" i="20"/>
  <c r="F79" i="20"/>
  <c r="G78" i="20"/>
  <c r="F78" i="20"/>
  <c r="G77" i="20"/>
  <c r="F77" i="20"/>
  <c r="G76" i="20"/>
  <c r="F76" i="20"/>
  <c r="G75" i="20"/>
  <c r="F75" i="20"/>
  <c r="G74" i="20"/>
  <c r="F74" i="20"/>
  <c r="G73" i="20"/>
  <c r="F73" i="20"/>
  <c r="G72" i="20"/>
  <c r="F72" i="20"/>
  <c r="G71" i="20"/>
  <c r="F71" i="20"/>
  <c r="G70" i="20"/>
  <c r="F70" i="20"/>
  <c r="G69" i="20"/>
  <c r="F69" i="20"/>
  <c r="G68" i="20"/>
  <c r="F68" i="20"/>
  <c r="G67" i="20"/>
  <c r="F67" i="20"/>
  <c r="G66" i="20"/>
  <c r="F66" i="20"/>
  <c r="G62" i="20"/>
  <c r="F62" i="20"/>
  <c r="G61" i="20"/>
  <c r="F61" i="20"/>
  <c r="F6" i="20" l="1"/>
  <c r="G6" i="20"/>
  <c r="F7" i="20"/>
  <c r="G7" i="20"/>
  <c r="F8" i="20"/>
  <c r="G8" i="20"/>
  <c r="F9" i="20"/>
  <c r="G9" i="20"/>
  <c r="F10" i="20"/>
  <c r="G10" i="20"/>
  <c r="F11" i="20"/>
  <c r="G11" i="20"/>
  <c r="F12" i="20"/>
  <c r="G12" i="20"/>
  <c r="F14" i="20"/>
  <c r="G14" i="20"/>
  <c r="F15" i="20"/>
  <c r="G15" i="20"/>
  <c r="F16" i="20"/>
  <c r="G16" i="20"/>
  <c r="F17" i="20"/>
  <c r="G17" i="20"/>
  <c r="F18" i="20"/>
  <c r="G18" i="20"/>
  <c r="F19" i="20"/>
  <c r="G19" i="20"/>
  <c r="F20" i="20"/>
  <c r="G20" i="20"/>
  <c r="F21" i="20"/>
  <c r="G21" i="20"/>
  <c r="F23" i="20"/>
  <c r="G23" i="20"/>
  <c r="F59" i="20"/>
  <c r="G59" i="20"/>
  <c r="G164" i="21" l="1"/>
  <c r="H164" i="21"/>
  <c r="D101" i="20" l="1"/>
  <c r="E180" i="21"/>
  <c r="G165" i="21"/>
  <c r="H165" i="21"/>
  <c r="I165" i="21"/>
  <c r="I173" i="21"/>
  <c r="H173" i="21"/>
  <c r="G173" i="21"/>
  <c r="I172" i="21"/>
  <c r="H172" i="21"/>
  <c r="G172" i="21"/>
  <c r="I171" i="21"/>
  <c r="H171" i="21"/>
  <c r="G171" i="21"/>
  <c r="I170" i="21"/>
  <c r="H170" i="21"/>
  <c r="G170" i="21"/>
  <c r="I169" i="21"/>
  <c r="H169" i="21"/>
  <c r="G169" i="21"/>
  <c r="I168" i="21"/>
  <c r="H168" i="21"/>
  <c r="G168" i="21"/>
  <c r="I167" i="21"/>
  <c r="H167" i="21"/>
  <c r="G167" i="21"/>
  <c r="I166" i="21"/>
  <c r="H166" i="21"/>
  <c r="G166" i="21"/>
  <c r="I163" i="21"/>
  <c r="H163" i="21"/>
  <c r="G163" i="21"/>
  <c r="I162" i="21"/>
  <c r="H162" i="21"/>
  <c r="G162" i="21"/>
  <c r="I161" i="21"/>
  <c r="H161" i="21"/>
  <c r="G161" i="21"/>
  <c r="I160" i="21"/>
  <c r="H160" i="21"/>
  <c r="G160" i="21"/>
  <c r="I159" i="21"/>
  <c r="H159" i="21"/>
  <c r="G159" i="21"/>
  <c r="I158" i="21"/>
  <c r="H158" i="21"/>
  <c r="G158" i="21"/>
  <c r="I157" i="21"/>
  <c r="H157" i="21"/>
  <c r="G157" i="21"/>
  <c r="I156" i="21"/>
  <c r="H156" i="21"/>
  <c r="G156" i="21"/>
  <c r="I155" i="21"/>
  <c r="H155" i="21"/>
  <c r="G155" i="21"/>
  <c r="I154" i="21"/>
  <c r="H154" i="21"/>
  <c r="G154" i="21"/>
  <c r="I153" i="21"/>
  <c r="H153" i="21"/>
  <c r="G153" i="21"/>
  <c r="I152" i="21"/>
  <c r="H152" i="21"/>
  <c r="G152" i="21"/>
  <c r="I151" i="21"/>
  <c r="H151" i="21"/>
  <c r="G151" i="21"/>
  <c r="I150" i="21"/>
  <c r="H150" i="21"/>
  <c r="G150" i="21"/>
  <c r="I149" i="21"/>
  <c r="H149" i="21"/>
  <c r="G149" i="21"/>
  <c r="I148" i="21"/>
  <c r="H148" i="21"/>
  <c r="G148" i="21"/>
  <c r="I147" i="21"/>
  <c r="H147" i="21"/>
  <c r="G147" i="21"/>
  <c r="I146" i="21"/>
  <c r="H146" i="21"/>
  <c r="G146" i="21"/>
  <c r="I145" i="21"/>
  <c r="H145" i="21"/>
  <c r="G145" i="21"/>
  <c r="I144" i="21"/>
  <c r="H144" i="21"/>
  <c r="G144" i="21"/>
  <c r="I143" i="21"/>
  <c r="H143" i="21"/>
  <c r="G143" i="21"/>
  <c r="I142" i="21"/>
  <c r="H142" i="21"/>
  <c r="G142" i="21"/>
  <c r="I141" i="21"/>
  <c r="H141" i="21"/>
  <c r="G141" i="21"/>
  <c r="I140" i="21"/>
  <c r="H140" i="21"/>
  <c r="G140" i="21"/>
  <c r="I139" i="21"/>
  <c r="H139" i="21"/>
  <c r="G139" i="21"/>
  <c r="I138" i="21"/>
  <c r="H138" i="21"/>
  <c r="G138" i="21"/>
  <c r="I137" i="21"/>
  <c r="H137" i="21"/>
  <c r="G137" i="21"/>
  <c r="I136" i="21"/>
  <c r="H136" i="21"/>
  <c r="G136" i="21"/>
  <c r="I135" i="21"/>
  <c r="H135" i="21"/>
  <c r="G135" i="21"/>
  <c r="I134" i="21"/>
  <c r="H134" i="21"/>
  <c r="G134" i="21"/>
  <c r="I133" i="21"/>
  <c r="H133" i="21"/>
  <c r="G133" i="21"/>
  <c r="I132" i="21"/>
  <c r="H132" i="21"/>
  <c r="G132" i="21"/>
  <c r="I131" i="21"/>
  <c r="H131" i="21"/>
  <c r="G131" i="21"/>
  <c r="I130" i="21"/>
  <c r="H130" i="21"/>
  <c r="G130" i="21"/>
  <c r="I114" i="21" l="1"/>
  <c r="H114" i="21"/>
  <c r="G114" i="21"/>
  <c r="I113" i="21"/>
  <c r="H113" i="21"/>
  <c r="G113" i="21"/>
  <c r="I126" i="21" l="1"/>
  <c r="H126" i="21"/>
  <c r="G126" i="21"/>
  <c r="I125" i="21"/>
  <c r="H125" i="21"/>
  <c r="G125" i="21"/>
  <c r="I124" i="21"/>
  <c r="H124" i="21"/>
  <c r="G124" i="21"/>
  <c r="I123" i="21"/>
  <c r="H123" i="21"/>
  <c r="G123" i="21"/>
  <c r="I122" i="21"/>
  <c r="H122" i="21"/>
  <c r="G122" i="21"/>
  <c r="I112" i="21"/>
  <c r="H112" i="21"/>
  <c r="G112" i="21"/>
  <c r="I111" i="21"/>
  <c r="H111" i="21"/>
  <c r="G111" i="21"/>
  <c r="I110" i="21"/>
  <c r="H110" i="21"/>
  <c r="G110" i="21"/>
  <c r="M62" i="8"/>
  <c r="M63" i="8" s="1"/>
  <c r="M51" i="8" l="1"/>
  <c r="L51" i="8"/>
  <c r="K51" i="8"/>
  <c r="G128" i="21" l="1"/>
  <c r="H128" i="21"/>
  <c r="I128" i="21"/>
  <c r="N41" i="8"/>
  <c r="N51" i="8"/>
  <c r="B9" i="8" s="1"/>
  <c r="G60" i="20"/>
  <c r="F60" i="20"/>
  <c r="I129" i="21"/>
  <c r="H129" i="21"/>
  <c r="G129" i="21"/>
  <c r="I127" i="21"/>
  <c r="H127" i="21"/>
  <c r="G127" i="21"/>
  <c r="D127" i="4"/>
  <c r="H100" i="17"/>
  <c r="H99" i="17"/>
  <c r="H98" i="17"/>
  <c r="H97" i="17"/>
  <c r="H96" i="17"/>
  <c r="H95" i="17"/>
  <c r="H94" i="17"/>
  <c r="H93" i="17"/>
  <c r="H92" i="17"/>
  <c r="H91" i="17"/>
  <c r="H90" i="17"/>
  <c r="H89" i="17"/>
  <c r="H88" i="17"/>
  <c r="H87" i="17"/>
  <c r="H86" i="17"/>
  <c r="H84" i="17"/>
  <c r="H83" i="17"/>
  <c r="H82" i="17"/>
  <c r="H81" i="17"/>
  <c r="H80" i="17"/>
  <c r="H79" i="17"/>
  <c r="H78" i="17"/>
  <c r="H77" i="17"/>
  <c r="H76" i="17"/>
  <c r="H75" i="17"/>
  <c r="H74" i="17"/>
  <c r="H73" i="17"/>
  <c r="H72" i="17"/>
  <c r="H71" i="17"/>
  <c r="H70" i="17"/>
  <c r="H69" i="17"/>
  <c r="H68" i="17"/>
  <c r="H67" i="17"/>
  <c r="H66" i="17"/>
  <c r="H65" i="17"/>
  <c r="H64" i="17"/>
  <c r="H63" i="17"/>
  <c r="H62" i="17"/>
  <c r="H61" i="17"/>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8" i="17"/>
  <c r="H7" i="17"/>
  <c r="H6" i="17"/>
  <c r="H5" i="17"/>
  <c r="G193" i="4"/>
  <c r="H193" i="4" s="1"/>
  <c r="G192" i="4"/>
  <c r="H192" i="4" s="1"/>
  <c r="Y48" i="14"/>
  <c r="Y47" i="14"/>
  <c r="Y46" i="14"/>
  <c r="Y45" i="14"/>
  <c r="W49" i="14"/>
  <c r="Y49" i="14" s="1"/>
  <c r="G202" i="4"/>
  <c r="H202" i="4" s="1"/>
  <c r="G201" i="4"/>
  <c r="H201" i="4" s="1"/>
  <c r="G200" i="4"/>
  <c r="H200" i="4" s="1"/>
  <c r="G199" i="4"/>
  <c r="H199" i="4" s="1"/>
  <c r="G198" i="4"/>
  <c r="H198" i="4" s="1"/>
  <c r="G197" i="4"/>
  <c r="H197" i="4" s="1"/>
  <c r="G196" i="4"/>
  <c r="H196" i="4" s="1"/>
  <c r="G195" i="4"/>
  <c r="G194" i="4"/>
  <c r="H194" i="4" s="1"/>
  <c r="G191" i="4"/>
  <c r="H191" i="4" s="1"/>
  <c r="C10" i="4"/>
  <c r="G188" i="4"/>
  <c r="H188" i="4" s="1"/>
  <c r="O46" i="8"/>
  <c r="O52" i="8" s="1"/>
  <c r="O58" i="8" s="1"/>
  <c r="O51" i="8"/>
  <c r="L46" i="8"/>
  <c r="L52" i="8" s="1"/>
  <c r="L58" i="8" s="1"/>
  <c r="K46" i="8"/>
  <c r="E7" i="14"/>
  <c r="F7" i="14" s="1"/>
  <c r="B10" i="8"/>
  <c r="G7" i="21"/>
  <c r="D211" i="4"/>
  <c r="C4" i="4"/>
  <c r="C5" i="4" s="1"/>
  <c r="E34" i="4"/>
  <c r="D316" i="4"/>
  <c r="H98" i="4"/>
  <c r="H99" i="4"/>
  <c r="H104" i="4" s="1"/>
  <c r="D318" i="4" s="1"/>
  <c r="H102" i="4"/>
  <c r="D319" i="4"/>
  <c r="E60" i="4"/>
  <c r="D321" i="4"/>
  <c r="E76" i="4"/>
  <c r="D323" i="4"/>
  <c r="E92" i="4"/>
  <c r="D324" i="4"/>
  <c r="D125" i="4"/>
  <c r="C125" i="4"/>
  <c r="D134" i="4"/>
  <c r="C134" i="4"/>
  <c r="G217" i="4"/>
  <c r="D334" i="4" s="1"/>
  <c r="G218" i="4"/>
  <c r="D335" i="4" s="1"/>
  <c r="G219" i="4"/>
  <c r="D336" i="4" s="1"/>
  <c r="G221" i="4"/>
  <c r="D338" i="4" s="1"/>
  <c r="I7" i="21"/>
  <c r="Q149" i="14"/>
  <c r="Q133" i="14"/>
  <c r="Q151" i="14" s="1"/>
  <c r="F93" i="14"/>
  <c r="G91" i="14"/>
  <c r="G90" i="14"/>
  <c r="G89" i="14"/>
  <c r="G88" i="14"/>
  <c r="G87" i="14"/>
  <c r="G86" i="14"/>
  <c r="G85" i="14"/>
  <c r="G84" i="14"/>
  <c r="G83" i="14"/>
  <c r="F77" i="14"/>
  <c r="G75" i="14"/>
  <c r="G74" i="14"/>
  <c r="G73" i="14"/>
  <c r="G72" i="14"/>
  <c r="G71" i="14"/>
  <c r="G70" i="14"/>
  <c r="G69" i="14"/>
  <c r="G68" i="14"/>
  <c r="G67" i="14"/>
  <c r="E108" i="14"/>
  <c r="E93" i="14"/>
  <c r="E77" i="14"/>
  <c r="H7" i="21"/>
  <c r="P110" i="14"/>
  <c r="L110" i="14"/>
  <c r="E23" i="15"/>
  <c r="E27" i="15"/>
  <c r="C31" i="15" s="1"/>
  <c r="I27" i="15"/>
  <c r="J44" i="15"/>
  <c r="E23" i="13"/>
  <c r="E27" i="13"/>
  <c r="H33" i="13" s="1"/>
  <c r="B13" i="13"/>
  <c r="H32" i="13" s="1"/>
  <c r="H34" i="13" s="1"/>
  <c r="D216" i="9"/>
  <c r="G66" i="5"/>
  <c r="G65" i="5"/>
  <c r="G65" i="10" s="1"/>
  <c r="G103" i="5"/>
  <c r="G104" i="10" s="1"/>
  <c r="G102" i="5"/>
  <c r="G103" i="10" s="1"/>
  <c r="C28" i="12"/>
  <c r="G28" i="12"/>
  <c r="C45" i="12"/>
  <c r="G45" i="12"/>
  <c r="C86" i="12"/>
  <c r="F86" i="12" s="1"/>
  <c r="C87" i="12"/>
  <c r="F87" i="12" s="1"/>
  <c r="C34" i="4"/>
  <c r="C60" i="4"/>
  <c r="C321" i="4" s="1"/>
  <c r="C76" i="4"/>
  <c r="C92" i="4"/>
  <c r="C324" i="4"/>
  <c r="E98" i="4"/>
  <c r="E99" i="4"/>
  <c r="E104" i="4" s="1"/>
  <c r="C318" i="4" s="1"/>
  <c r="E102" i="4"/>
  <c r="C112" i="4"/>
  <c r="C319" i="4" s="1"/>
  <c r="E112" i="4"/>
  <c r="D171" i="4"/>
  <c r="D172" i="4"/>
  <c r="D173" i="4"/>
  <c r="D174" i="4"/>
  <c r="D179" i="4" s="1"/>
  <c r="D175" i="4"/>
  <c r="G186" i="4"/>
  <c r="H186" i="4" s="1"/>
  <c r="K188" i="4" s="1"/>
  <c r="C335" i="4" s="1"/>
  <c r="G187" i="4"/>
  <c r="H187" i="4" s="1"/>
  <c r="G189" i="4"/>
  <c r="H189" i="4" s="1"/>
  <c r="G190" i="4"/>
  <c r="H190" i="4" s="1"/>
  <c r="K197" i="4"/>
  <c r="K199" i="4"/>
  <c r="K200" i="4"/>
  <c r="G203" i="4"/>
  <c r="H203" i="4" s="1"/>
  <c r="K203" i="4"/>
  <c r="G204" i="4"/>
  <c r="H204" i="4" s="1"/>
  <c r="K204" i="4"/>
  <c r="G205" i="4"/>
  <c r="H205" i="4" s="1"/>
  <c r="K205" i="4"/>
  <c r="G206" i="4"/>
  <c r="H206" i="4" s="1"/>
  <c r="K187" i="4"/>
  <c r="C334" i="4" s="1"/>
  <c r="G207" i="4"/>
  <c r="H207" i="4" s="1"/>
  <c r="G208" i="4"/>
  <c r="H208" i="4" s="1"/>
  <c r="G209" i="4"/>
  <c r="H209" i="4" s="1"/>
  <c r="G210" i="4"/>
  <c r="H210" i="4" s="1"/>
  <c r="E211" i="4"/>
  <c r="F211" i="4"/>
  <c r="G227" i="4"/>
  <c r="G229" i="4"/>
  <c r="G230" i="4"/>
  <c r="G231" i="4"/>
  <c r="G233" i="4"/>
  <c r="G234" i="4"/>
  <c r="G235" i="4"/>
  <c r="C261" i="4"/>
  <c r="C271" i="4"/>
  <c r="C281" i="4"/>
  <c r="C316" i="4"/>
  <c r="J25" i="5"/>
  <c r="J26" i="5"/>
  <c r="J27" i="5"/>
  <c r="J30" i="5"/>
  <c r="J25" i="10" s="1"/>
  <c r="J31" i="5"/>
  <c r="J26" i="10" s="1"/>
  <c r="J32" i="5"/>
  <c r="J27" i="10" s="1"/>
  <c r="J36" i="5"/>
  <c r="J30" i="10" s="1"/>
  <c r="J37" i="5"/>
  <c r="J31" i="10" s="1"/>
  <c r="J38" i="5"/>
  <c r="J32" i="10" s="1"/>
  <c r="G53" i="5"/>
  <c r="G111" i="5" s="1"/>
  <c r="I58" i="5"/>
  <c r="G112" i="5" s="1"/>
  <c r="P140" i="5" s="1"/>
  <c r="I71" i="5"/>
  <c r="J111" i="5" s="1"/>
  <c r="G76" i="5"/>
  <c r="G77" i="5"/>
  <c r="G77" i="10" s="1"/>
  <c r="G83" i="5"/>
  <c r="G84" i="10" s="1"/>
  <c r="H83" i="5"/>
  <c r="H84" i="5"/>
  <c r="I84" i="5" s="1"/>
  <c r="H87" i="5"/>
  <c r="I87" i="5" s="1"/>
  <c r="G92" i="5"/>
  <c r="G93" i="5" s="1"/>
  <c r="J114" i="5" s="1"/>
  <c r="P149" i="5" s="1"/>
  <c r="P137" i="5"/>
  <c r="P138" i="5"/>
  <c r="P139" i="5"/>
  <c r="C12" i="9"/>
  <c r="C19" i="9"/>
  <c r="C310" i="9" s="1"/>
  <c r="C22" i="9"/>
  <c r="C179" i="9" s="1"/>
  <c r="E179" i="9" s="1"/>
  <c r="D171" i="9"/>
  <c r="E171" i="9" s="1"/>
  <c r="D172" i="9"/>
  <c r="D173" i="9"/>
  <c r="D174" i="9"/>
  <c r="D175" i="9"/>
  <c r="D176" i="9"/>
  <c r="C31" i="9"/>
  <c r="C40" i="9" s="1"/>
  <c r="C50" i="9" s="1"/>
  <c r="C65" i="9" s="1"/>
  <c r="C71" i="9" s="1"/>
  <c r="C81" i="9" s="1"/>
  <c r="C87" i="9" s="1"/>
  <c r="E31" i="9"/>
  <c r="E40" i="9"/>
  <c r="E50" i="9" s="1"/>
  <c r="E65" i="9" s="1"/>
  <c r="E71" i="9" s="1"/>
  <c r="E81" i="9" s="1"/>
  <c r="E32" i="9"/>
  <c r="E34" i="9" s="1"/>
  <c r="D314" i="9" s="1"/>
  <c r="C34" i="9"/>
  <c r="C314" i="9" s="1"/>
  <c r="B38" i="9"/>
  <c r="E41" i="9"/>
  <c r="E42" i="9"/>
  <c r="E43" i="9"/>
  <c r="E44" i="9"/>
  <c r="E45" i="9"/>
  <c r="E46" i="9"/>
  <c r="E47" i="9"/>
  <c r="B48" i="9"/>
  <c r="E51" i="9"/>
  <c r="E52" i="9"/>
  <c r="E53" i="9"/>
  <c r="E54" i="9"/>
  <c r="E55" i="9"/>
  <c r="E56" i="9"/>
  <c r="E57" i="9"/>
  <c r="C59" i="9"/>
  <c r="C319" i="9" s="1"/>
  <c r="E66" i="9"/>
  <c r="E67" i="9"/>
  <c r="E72" i="9"/>
  <c r="E73" i="9"/>
  <c r="C75" i="9"/>
  <c r="C321" i="9" s="1"/>
  <c r="E82" i="9"/>
  <c r="E83" i="9"/>
  <c r="E88" i="9"/>
  <c r="E89" i="9"/>
  <c r="C91" i="9"/>
  <c r="E98" i="9"/>
  <c r="E99" i="9"/>
  <c r="E104" i="9" s="1"/>
  <c r="C316" i="9" s="1"/>
  <c r="E102" i="9"/>
  <c r="F98" i="9"/>
  <c r="G98" i="9"/>
  <c r="G99" i="9"/>
  <c r="H99" i="9" s="1"/>
  <c r="G102" i="9"/>
  <c r="H102" i="9" s="1"/>
  <c r="B107" i="9"/>
  <c r="B110" i="9"/>
  <c r="E110" i="9"/>
  <c r="E112" i="9" s="1"/>
  <c r="D317" i="9" s="1"/>
  <c r="C112" i="9"/>
  <c r="C317" i="9"/>
  <c r="C119" i="9"/>
  <c r="D119" i="9"/>
  <c r="C120" i="9"/>
  <c r="D120" i="9"/>
  <c r="C121" i="9"/>
  <c r="D121" i="9"/>
  <c r="C122" i="9"/>
  <c r="D122" i="9"/>
  <c r="C123" i="9"/>
  <c r="D123" i="9"/>
  <c r="C124" i="9"/>
  <c r="D124" i="9"/>
  <c r="C128" i="9"/>
  <c r="D128" i="9"/>
  <c r="C129" i="9"/>
  <c r="D129" i="9"/>
  <c r="C130" i="9"/>
  <c r="D130" i="9"/>
  <c r="C131" i="9"/>
  <c r="D131" i="9"/>
  <c r="C132" i="9"/>
  <c r="D132" i="9"/>
  <c r="C133" i="9"/>
  <c r="D133" i="9"/>
  <c r="B136" i="9"/>
  <c r="B127" i="9"/>
  <c r="B118" i="9" s="1"/>
  <c r="D143" i="9"/>
  <c r="C157" i="9"/>
  <c r="C171" i="9"/>
  <c r="C172" i="9"/>
  <c r="E172" i="9"/>
  <c r="C173" i="9"/>
  <c r="C174" i="9"/>
  <c r="E174" i="9" s="1"/>
  <c r="C175" i="9"/>
  <c r="E175" i="9" s="1"/>
  <c r="C176" i="9"/>
  <c r="C177" i="9"/>
  <c r="E177" i="9"/>
  <c r="C178" i="9"/>
  <c r="E178" i="9"/>
  <c r="G186" i="9"/>
  <c r="H186" i="9"/>
  <c r="G187" i="9"/>
  <c r="H187" i="9"/>
  <c r="K187" i="9"/>
  <c r="G188" i="9"/>
  <c r="H188" i="9" s="1"/>
  <c r="K188" i="9"/>
  <c r="C333" i="9" s="1"/>
  <c r="C331" i="9" s="1"/>
  <c r="K189" i="9"/>
  <c r="C334" i="9" s="1"/>
  <c r="K190" i="9"/>
  <c r="C335" i="9" s="1"/>
  <c r="K191" i="9"/>
  <c r="C336" i="9" s="1"/>
  <c r="G189" i="9"/>
  <c r="H189" i="9" s="1"/>
  <c r="G190" i="9"/>
  <c r="H190" i="9" s="1"/>
  <c r="G191" i="9"/>
  <c r="H191" i="9" s="1"/>
  <c r="G192" i="9"/>
  <c r="H192" i="9" s="1"/>
  <c r="G193" i="9"/>
  <c r="H193" i="9" s="1"/>
  <c r="G194" i="9"/>
  <c r="H194" i="9" s="1"/>
  <c r="G195" i="9"/>
  <c r="H195" i="9" s="1"/>
  <c r="G196" i="9"/>
  <c r="H196" i="9" s="1"/>
  <c r="G197" i="9"/>
  <c r="H197" i="9" s="1"/>
  <c r="K197" i="9"/>
  <c r="K206" i="9" s="1"/>
  <c r="K198" i="9"/>
  <c r="K199" i="9"/>
  <c r="K200" i="9"/>
  <c r="K201" i="9"/>
  <c r="K202" i="9"/>
  <c r="K203" i="9"/>
  <c r="K204" i="9"/>
  <c r="K205" i="9"/>
  <c r="G198" i="9"/>
  <c r="H198" i="9"/>
  <c r="G199" i="9"/>
  <c r="H199" i="9"/>
  <c r="G200" i="9"/>
  <c r="H200" i="9"/>
  <c r="G201" i="9"/>
  <c r="H201" i="9"/>
  <c r="G202" i="9"/>
  <c r="H202" i="9"/>
  <c r="G203" i="9"/>
  <c r="H203" i="9"/>
  <c r="G204" i="9"/>
  <c r="H204" i="9"/>
  <c r="G205" i="9"/>
  <c r="H205" i="9"/>
  <c r="G206" i="9"/>
  <c r="H206" i="9"/>
  <c r="G207" i="9"/>
  <c r="H207" i="9"/>
  <c r="G208" i="9"/>
  <c r="H208" i="9"/>
  <c r="G209" i="9"/>
  <c r="H209" i="9"/>
  <c r="G210" i="9"/>
  <c r="H210" i="9"/>
  <c r="D211" i="9"/>
  <c r="E211" i="9"/>
  <c r="F211" i="9"/>
  <c r="B216" i="9"/>
  <c r="C216" i="9"/>
  <c r="E216" i="9"/>
  <c r="B217" i="9"/>
  <c r="C217" i="9"/>
  <c r="D217" i="9"/>
  <c r="E217" i="9"/>
  <c r="B218" i="9"/>
  <c r="C218" i="9"/>
  <c r="D218" i="9"/>
  <c r="E218" i="9"/>
  <c r="B219" i="9"/>
  <c r="C219" i="9"/>
  <c r="D219" i="9"/>
  <c r="E219" i="9"/>
  <c r="B220" i="9"/>
  <c r="C220" i="9"/>
  <c r="D220" i="9"/>
  <c r="E220" i="9"/>
  <c r="B221" i="9"/>
  <c r="C221" i="9"/>
  <c r="D221" i="9"/>
  <c r="E221" i="9"/>
  <c r="B222" i="9"/>
  <c r="C222" i="9"/>
  <c r="D222" i="9"/>
  <c r="E222" i="9"/>
  <c r="B223" i="9"/>
  <c r="C223" i="9"/>
  <c r="D223" i="9"/>
  <c r="E223" i="9"/>
  <c r="B224" i="9"/>
  <c r="C224" i="9"/>
  <c r="D224" i="9"/>
  <c r="E224" i="9"/>
  <c r="B225" i="9"/>
  <c r="C225" i="9"/>
  <c r="D225" i="9"/>
  <c r="E225" i="9"/>
  <c r="B226" i="9"/>
  <c r="C226" i="9"/>
  <c r="D226" i="9"/>
  <c r="E226" i="9"/>
  <c r="B227" i="9"/>
  <c r="C227" i="9"/>
  <c r="D227" i="9"/>
  <c r="E227" i="9"/>
  <c r="B228" i="9"/>
  <c r="C228" i="9"/>
  <c r="D228" i="9"/>
  <c r="E228" i="9"/>
  <c r="B229" i="9"/>
  <c r="C229" i="9"/>
  <c r="E229" i="9"/>
  <c r="B230" i="9"/>
  <c r="C230" i="9"/>
  <c r="E230" i="9"/>
  <c r="B231" i="9"/>
  <c r="C231" i="9"/>
  <c r="D231" i="9"/>
  <c r="E231" i="9"/>
  <c r="B232" i="9"/>
  <c r="C232" i="9"/>
  <c r="D232" i="9"/>
  <c r="E232" i="9"/>
  <c r="B233" i="9"/>
  <c r="C233" i="9"/>
  <c r="D233" i="9"/>
  <c r="E233" i="9"/>
  <c r="B234" i="9"/>
  <c r="C234" i="9"/>
  <c r="D234" i="9"/>
  <c r="E234" i="9"/>
  <c r="B235" i="9"/>
  <c r="C235" i="9"/>
  <c r="D235" i="9"/>
  <c r="E235" i="9"/>
  <c r="B236" i="9"/>
  <c r="C236" i="9"/>
  <c r="D236" i="9"/>
  <c r="E236" i="9"/>
  <c r="B237" i="9"/>
  <c r="C237" i="9"/>
  <c r="D237" i="9"/>
  <c r="E237" i="9"/>
  <c r="B238" i="9"/>
  <c r="C238" i="9"/>
  <c r="D238" i="9"/>
  <c r="E238" i="9"/>
  <c r="B239" i="9"/>
  <c r="C239" i="9"/>
  <c r="D239" i="9"/>
  <c r="E239" i="9"/>
  <c r="B240" i="9"/>
  <c r="C240" i="9"/>
  <c r="D240" i="9"/>
  <c r="E240" i="9"/>
  <c r="B246" i="9"/>
  <c r="C246" i="9"/>
  <c r="E246" i="9"/>
  <c r="B247" i="9"/>
  <c r="C247" i="9"/>
  <c r="B248" i="9"/>
  <c r="C248" i="9"/>
  <c r="E248" i="9"/>
  <c r="B249" i="9"/>
  <c r="C249" i="9"/>
  <c r="E249" i="9"/>
  <c r="B250" i="9"/>
  <c r="C250" i="9"/>
  <c r="E250" i="9"/>
  <c r="D251" i="9"/>
  <c r="E252" i="9"/>
  <c r="C258" i="9"/>
  <c r="C259" i="9" s="1"/>
  <c r="C269" i="9"/>
  <c r="C279" i="9" s="1"/>
  <c r="C285" i="9"/>
  <c r="C322" i="9"/>
  <c r="G25" i="10"/>
  <c r="H25" i="10"/>
  <c r="I25" i="10"/>
  <c r="G26" i="10"/>
  <c r="H26" i="10"/>
  <c r="I26" i="10"/>
  <c r="G27" i="10"/>
  <c r="H27" i="10"/>
  <c r="I27" i="10"/>
  <c r="G30" i="10"/>
  <c r="H30" i="10"/>
  <c r="I30" i="10"/>
  <c r="G31" i="10"/>
  <c r="H31" i="10"/>
  <c r="I31" i="10"/>
  <c r="G32" i="10"/>
  <c r="H32" i="10"/>
  <c r="I32" i="10"/>
  <c r="J36" i="10"/>
  <c r="J37" i="10"/>
  <c r="J38" i="10"/>
  <c r="G50" i="10"/>
  <c r="P138" i="10" s="1"/>
  <c r="G51" i="10"/>
  <c r="P139" i="10" s="1"/>
  <c r="G52" i="10"/>
  <c r="P140" i="10" s="1"/>
  <c r="G58" i="10"/>
  <c r="H58" i="10"/>
  <c r="H71" i="10"/>
  <c r="G71" i="10"/>
  <c r="P112" i="14"/>
  <c r="E9" i="10"/>
  <c r="E11" i="10"/>
  <c r="E7" i="10"/>
  <c r="E8" i="10"/>
  <c r="C159" i="9"/>
  <c r="C155" i="9"/>
  <c r="B5" i="10"/>
  <c r="H43" i="10"/>
  <c r="C156" i="9"/>
  <c r="B10" i="10"/>
  <c r="B6" i="10"/>
  <c r="H44" i="10"/>
  <c r="B9" i="10"/>
  <c r="B11" i="10"/>
  <c r="E5" i="10"/>
  <c r="E12" i="10"/>
  <c r="M125" i="10" s="1"/>
  <c r="E10" i="10"/>
  <c r="C158" i="9"/>
  <c r="C154" i="9"/>
  <c r="E6" i="10"/>
  <c r="C153" i="9"/>
  <c r="C161" i="9" s="1"/>
  <c r="B7" i="10"/>
  <c r="H45" i="10" s="1"/>
  <c r="B8" i="10"/>
  <c r="I44" i="15"/>
  <c r="B4" i="7"/>
  <c r="F4" i="7" s="1"/>
  <c r="B12" i="10"/>
  <c r="B15" i="10"/>
  <c r="A15" i="10" s="1"/>
  <c r="E63" i="14"/>
  <c r="E79" i="14" s="1"/>
  <c r="E119" i="14" s="1"/>
  <c r="E173" i="9"/>
  <c r="E29" i="15"/>
  <c r="E176" i="9"/>
  <c r="B47" i="15"/>
  <c r="I47" i="15"/>
  <c r="E95" i="14"/>
  <c r="G93" i="14"/>
  <c r="G77" i="14"/>
  <c r="F95" i="14"/>
  <c r="C340" i="9"/>
  <c r="C342" i="4"/>
  <c r="D176" i="4"/>
  <c r="B48" i="15"/>
  <c r="I48" i="15"/>
  <c r="D179" i="9"/>
  <c r="M122" i="10"/>
  <c r="C332" i="9"/>
  <c r="C279" i="4"/>
  <c r="C330" i="4"/>
  <c r="G95" i="14"/>
  <c r="E23" i="8"/>
  <c r="E27" i="8" s="1"/>
  <c r="H34" i="8" s="1"/>
  <c r="E50" i="14" l="1"/>
  <c r="E162" i="14" s="1"/>
  <c r="E48" i="14"/>
  <c r="E160" i="14" s="1"/>
  <c r="E46" i="14"/>
  <c r="E158" i="14" s="1"/>
  <c r="E47" i="14"/>
  <c r="E159" i="14" s="1"/>
  <c r="E49" i="14"/>
  <c r="E161" i="14" s="1"/>
  <c r="E45" i="14"/>
  <c r="E157" i="14" s="1"/>
  <c r="F27" i="14"/>
  <c r="F33" i="14"/>
  <c r="F32" i="14"/>
  <c r="F29" i="14"/>
  <c r="F35" i="14"/>
  <c r="F34" i="14"/>
  <c r="F28" i="14"/>
  <c r="F31" i="14"/>
  <c r="F30" i="14"/>
  <c r="E33" i="14"/>
  <c r="E11" i="5" s="1"/>
  <c r="E30" i="14"/>
  <c r="C291" i="4" s="1"/>
  <c r="E34" i="14"/>
  <c r="E28" i="14"/>
  <c r="C154" i="4" s="1"/>
  <c r="E31" i="14"/>
  <c r="L31" i="14" s="1"/>
  <c r="E29" i="14"/>
  <c r="L32" i="14" s="1"/>
  <c r="E32" i="14"/>
  <c r="E35" i="14"/>
  <c r="E27" i="14"/>
  <c r="H66" i="5"/>
  <c r="J110" i="5" s="1"/>
  <c r="P151" i="5" s="1"/>
  <c r="G66" i="10"/>
  <c r="G78" i="5"/>
  <c r="J112" i="5" s="1"/>
  <c r="P153" i="5" s="1"/>
  <c r="H88" i="10"/>
  <c r="I88" i="10" s="1"/>
  <c r="E31" i="4"/>
  <c r="E40" i="4" s="1"/>
  <c r="E51" i="4" s="1"/>
  <c r="E66" i="4" s="1"/>
  <c r="E72" i="4" s="1"/>
  <c r="E82" i="4" s="1"/>
  <c r="H211" i="9"/>
  <c r="B214" i="9"/>
  <c r="E87" i="9"/>
  <c r="M128" i="10"/>
  <c r="L128" i="10" s="1"/>
  <c r="C96" i="9"/>
  <c r="B184" i="9"/>
  <c r="C166" i="9"/>
  <c r="C170" i="9" s="1"/>
  <c r="C315" i="4"/>
  <c r="C167" i="4"/>
  <c r="C167" i="9"/>
  <c r="C276" i="9" s="1"/>
  <c r="K192" i="9"/>
  <c r="I58" i="10"/>
  <c r="G113" i="10" s="1"/>
  <c r="P141" i="10" s="1"/>
  <c r="I83" i="5"/>
  <c r="B14" i="12"/>
  <c r="G104" i="5"/>
  <c r="J116" i="5" s="1"/>
  <c r="P152" i="5" s="1"/>
  <c r="B4" i="10"/>
  <c r="F24" i="10" s="1"/>
  <c r="F29" i="10" s="1"/>
  <c r="F35" i="10" s="1"/>
  <c r="B7" i="8"/>
  <c r="E17" i="8" s="1"/>
  <c r="B4" i="5"/>
  <c r="E4" i="5" s="1"/>
  <c r="G49" i="5" s="1"/>
  <c r="F58" i="5" s="1"/>
  <c r="G64" i="5" s="1"/>
  <c r="G75" i="5" s="1"/>
  <c r="F82" i="5" s="1"/>
  <c r="G91" i="5" s="1"/>
  <c r="B7" i="13"/>
  <c r="I71" i="10"/>
  <c r="J112" i="10" s="1"/>
  <c r="K191" i="4"/>
  <c r="C338" i="4" s="1"/>
  <c r="H195" i="4"/>
  <c r="K190" i="4" s="1"/>
  <c r="C337" i="4" s="1"/>
  <c r="H84" i="10"/>
  <c r="I84" i="10" s="1"/>
  <c r="H85" i="10"/>
  <c r="I85" i="10" s="1"/>
  <c r="C328" i="9"/>
  <c r="C313" i="9" s="1"/>
  <c r="C277" i="9"/>
  <c r="H66" i="10"/>
  <c r="J111" i="10" s="1"/>
  <c r="P152" i="10" s="1"/>
  <c r="E91" i="9"/>
  <c r="D322" i="9" s="1"/>
  <c r="E75" i="9"/>
  <c r="D321" i="9" s="1"/>
  <c r="G76" i="10"/>
  <c r="G105" i="10"/>
  <c r="J117" i="10" s="1"/>
  <c r="P153" i="10" s="1"/>
  <c r="G93" i="10"/>
  <c r="G94" i="10" s="1"/>
  <c r="J115" i="10" s="1"/>
  <c r="P150" i="10" s="1"/>
  <c r="J113" i="5"/>
  <c r="P148" i="5" s="1"/>
  <c r="G78" i="10"/>
  <c r="J113" i="10" s="1"/>
  <c r="P154" i="10" s="1"/>
  <c r="C311" i="9"/>
  <c r="C312" i="9" s="1"/>
  <c r="H98" i="9"/>
  <c r="H104" i="9" s="1"/>
  <c r="D316" i="9" s="1"/>
  <c r="E59" i="9"/>
  <c r="D319" i="9" s="1"/>
  <c r="F24" i="5"/>
  <c r="F29" i="5" s="1"/>
  <c r="F35" i="5" s="1"/>
  <c r="D5" i="20"/>
  <c r="E5" i="21" s="1"/>
  <c r="F5" i="21" s="1"/>
  <c r="H32" i="8"/>
  <c r="D125" i="9"/>
  <c r="G217" i="9"/>
  <c r="D332" i="9" s="1"/>
  <c r="D134" i="9"/>
  <c r="E125" i="4"/>
  <c r="G231" i="9"/>
  <c r="C290" i="9" s="1"/>
  <c r="G234" i="9"/>
  <c r="G235" i="9"/>
  <c r="K52" i="8"/>
  <c r="K58" i="8" s="1"/>
  <c r="K61" i="8"/>
  <c r="G44" i="10"/>
  <c r="I44" i="10" s="1"/>
  <c r="J44" i="10" s="1"/>
  <c r="P136" i="10" s="1"/>
  <c r="G43" i="5"/>
  <c r="C125" i="9"/>
  <c r="G53" i="10"/>
  <c r="G112" i="10" s="1"/>
  <c r="G45" i="5"/>
  <c r="G45" i="10"/>
  <c r="I45" i="10" s="1"/>
  <c r="J45" i="10" s="1"/>
  <c r="P137" i="10" s="1"/>
  <c r="G43" i="10"/>
  <c r="I43" i="10" s="1"/>
  <c r="J43" i="10" s="1"/>
  <c r="P135" i="10" s="1"/>
  <c r="P159" i="10" s="1"/>
  <c r="G44" i="5"/>
  <c r="G218" i="9"/>
  <c r="D333" i="9" s="1"/>
  <c r="G221" i="9"/>
  <c r="D336" i="9" s="1"/>
  <c r="G219" i="9"/>
  <c r="D334" i="9" s="1"/>
  <c r="G229" i="9"/>
  <c r="G227" i="9"/>
  <c r="C286" i="9" s="1"/>
  <c r="C293" i="9" s="1"/>
  <c r="G230" i="9"/>
  <c r="C289" i="9" s="1"/>
  <c r="G233" i="9"/>
  <c r="C292" i="9" s="1"/>
  <c r="C134" i="9"/>
  <c r="E134" i="4"/>
  <c r="H85" i="17"/>
  <c r="H101" i="17" s="1"/>
  <c r="M46" i="8"/>
  <c r="M52" i="8" s="1"/>
  <c r="M58" i="8" s="1"/>
  <c r="N46" i="8"/>
  <c r="B8" i="8" s="1"/>
  <c r="F119" i="14"/>
  <c r="E135" i="14"/>
  <c r="P119" i="14"/>
  <c r="B136" i="4"/>
  <c r="B127" i="4" s="1"/>
  <c r="B118" i="4" s="1"/>
  <c r="C31" i="4"/>
  <c r="C40" i="4" s="1"/>
  <c r="C51" i="4" s="1"/>
  <c r="C66" i="4" s="1"/>
  <c r="C72" i="4" s="1"/>
  <c r="C82" i="4" s="1"/>
  <c r="C88" i="4" s="1"/>
  <c r="C12" i="4"/>
  <c r="E88" i="4"/>
  <c r="B214" i="4"/>
  <c r="G7" i="14"/>
  <c r="G23" i="14" s="1"/>
  <c r="F23" i="14"/>
  <c r="E23" i="14"/>
  <c r="F63" i="14"/>
  <c r="F11" i="14"/>
  <c r="E12" i="14"/>
  <c r="L9" i="14" s="1"/>
  <c r="P131" i="14"/>
  <c r="P130" i="14"/>
  <c r="F13" i="14"/>
  <c r="P128" i="14"/>
  <c r="F17" i="14"/>
  <c r="E15" i="14"/>
  <c r="L12" i="14" s="1"/>
  <c r="E14" i="14"/>
  <c r="B8" i="5" s="1"/>
  <c r="E19" i="14"/>
  <c r="E18" i="14"/>
  <c r="B15" i="7" s="1"/>
  <c r="E11" i="14"/>
  <c r="F12" i="14"/>
  <c r="E16" i="14"/>
  <c r="F15" i="14"/>
  <c r="F14" i="14"/>
  <c r="F19" i="14"/>
  <c r="F16" i="14"/>
  <c r="E13" i="14"/>
  <c r="L10" i="14" s="1"/>
  <c r="F18" i="14"/>
  <c r="E17" i="14"/>
  <c r="L14" i="14" s="1"/>
  <c r="P146" i="14"/>
  <c r="P145" i="14"/>
  <c r="C158" i="4" l="1"/>
  <c r="L37" i="14"/>
  <c r="E139" i="14"/>
  <c r="P156" i="14" s="1"/>
  <c r="L30" i="14"/>
  <c r="K189" i="4"/>
  <c r="C336" i="4" s="1"/>
  <c r="C333" i="4" s="1"/>
  <c r="C20" i="4"/>
  <c r="C177" i="4" s="1"/>
  <c r="E177" i="4" s="1"/>
  <c r="C139" i="9"/>
  <c r="C138" i="9"/>
  <c r="F125" i="14"/>
  <c r="G125" i="14" s="1"/>
  <c r="F131" i="14"/>
  <c r="G131" i="14" s="1"/>
  <c r="K198" i="4"/>
  <c r="H211" i="4"/>
  <c r="K202" i="4"/>
  <c r="J114" i="10"/>
  <c r="P149" i="10" s="1"/>
  <c r="E4" i="10"/>
  <c r="G49" i="10" s="1"/>
  <c r="F58" i="10" s="1"/>
  <c r="G64" i="10" s="1"/>
  <c r="G75" i="10" s="1"/>
  <c r="F87" i="10" s="1"/>
  <c r="C278" i="9"/>
  <c r="C280" i="9" s="1"/>
  <c r="C300" i="9" s="1"/>
  <c r="F86" i="5"/>
  <c r="K186" i="9"/>
  <c r="D245" i="9" s="1"/>
  <c r="C257" i="9" s="1"/>
  <c r="K196" i="9"/>
  <c r="E166" i="9"/>
  <c r="C151" i="9" s="1"/>
  <c r="G216" i="9"/>
  <c r="G226" i="9" s="1"/>
  <c r="E245" i="9" s="1"/>
  <c r="F96" i="9"/>
  <c r="C338" i="9"/>
  <c r="C339" i="9" s="1"/>
  <c r="C341" i="9" s="1"/>
  <c r="C329" i="9"/>
  <c r="E5" i="20"/>
  <c r="E134" i="9"/>
  <c r="E125" i="9"/>
  <c r="C18" i="4"/>
  <c r="C176" i="4" s="1"/>
  <c r="E176" i="4" s="1"/>
  <c r="F147" i="14"/>
  <c r="G147" i="14" s="1"/>
  <c r="C21" i="4"/>
  <c r="C178" i="4" s="1"/>
  <c r="E178" i="4" s="1"/>
  <c r="G111" i="10"/>
  <c r="G116" i="10" s="1"/>
  <c r="M123" i="10" s="1"/>
  <c r="M124" i="10" s="1"/>
  <c r="E247" i="9"/>
  <c r="E251" i="9" s="1"/>
  <c r="F144" i="14"/>
  <c r="G144" i="14" s="1"/>
  <c r="F129" i="14"/>
  <c r="G129" i="14" s="1"/>
  <c r="F143" i="14"/>
  <c r="G143" i="14" s="1"/>
  <c r="N52" i="8"/>
  <c r="H33" i="8" s="1"/>
  <c r="H35" i="8" s="1"/>
  <c r="G58" i="12"/>
  <c r="G74" i="12" s="1"/>
  <c r="E7" i="5"/>
  <c r="P10" i="14"/>
  <c r="E141" i="14"/>
  <c r="P158" i="14" s="1"/>
  <c r="C12" i="6"/>
  <c r="F7" i="7"/>
  <c r="E164" i="14"/>
  <c r="E52" i="14"/>
  <c r="G62" i="12"/>
  <c r="G78" i="12" s="1"/>
  <c r="F145" i="14"/>
  <c r="G145" i="14" s="1"/>
  <c r="C142" i="4"/>
  <c r="C142" i="9" s="1"/>
  <c r="C15" i="6"/>
  <c r="E166" i="4"/>
  <c r="C151" i="4" s="1"/>
  <c r="G216" i="4"/>
  <c r="G226" i="4" s="1"/>
  <c r="E247" i="4" s="1"/>
  <c r="F96" i="4"/>
  <c r="E109" i="4"/>
  <c r="E109" i="9" s="1"/>
  <c r="C166" i="4"/>
  <c r="C170" i="4" s="1"/>
  <c r="C109" i="4"/>
  <c r="C109" i="9" s="1"/>
  <c r="B184" i="4"/>
  <c r="C96" i="4"/>
  <c r="Q119" i="14"/>
  <c r="Q135" i="14" s="1"/>
  <c r="P135" i="14"/>
  <c r="F79" i="14"/>
  <c r="G63" i="14"/>
  <c r="G79" i="14" s="1"/>
  <c r="J109" i="5"/>
  <c r="M120" i="5" s="1"/>
  <c r="G109" i="5"/>
  <c r="G96" i="5" s="1"/>
  <c r="G101" i="5" s="1"/>
  <c r="G119" i="14"/>
  <c r="G135" i="14" s="1"/>
  <c r="F135" i="14"/>
  <c r="P133" i="14"/>
  <c r="E128" i="14"/>
  <c r="L161" i="14" s="1"/>
  <c r="B6" i="7"/>
  <c r="B6" i="5"/>
  <c r="H44" i="5" s="1"/>
  <c r="I44" i="5" s="1"/>
  <c r="J44" i="5" s="1"/>
  <c r="P135" i="5" s="1"/>
  <c r="C57" i="12"/>
  <c r="C73" i="12" s="1"/>
  <c r="F124" i="14"/>
  <c r="G124" i="14" s="1"/>
  <c r="F123" i="14"/>
  <c r="G123" i="14" s="1"/>
  <c r="E124" i="14"/>
  <c r="L157" i="14" s="1"/>
  <c r="E129" i="14"/>
  <c r="L162" i="14" s="1"/>
  <c r="F126" i="14"/>
  <c r="G126" i="14" s="1"/>
  <c r="L11" i="14"/>
  <c r="C59" i="12"/>
  <c r="C75" i="12" s="1"/>
  <c r="L36" i="14"/>
  <c r="E130" i="14"/>
  <c r="L163" i="14" s="1"/>
  <c r="L15" i="14"/>
  <c r="B7" i="7"/>
  <c r="E125" i="14"/>
  <c r="L158" i="14" s="1"/>
  <c r="C63" i="12"/>
  <c r="C79" i="12" s="1"/>
  <c r="F127" i="14"/>
  <c r="G127" i="14" s="1"/>
  <c r="L29" i="14"/>
  <c r="F128" i="14"/>
  <c r="G128" i="14" s="1"/>
  <c r="L13" i="14"/>
  <c r="B10" i="5"/>
  <c r="C61" i="12"/>
  <c r="C77" i="12" s="1"/>
  <c r="B12" i="7"/>
  <c r="B9" i="5"/>
  <c r="B13" i="7"/>
  <c r="B11" i="5"/>
  <c r="C62" i="12"/>
  <c r="C78" i="12" s="1"/>
  <c r="F130" i="14"/>
  <c r="G130" i="14" s="1"/>
  <c r="B5" i="5"/>
  <c r="H43" i="5" s="1"/>
  <c r="I43" i="5" s="1"/>
  <c r="J43" i="5" s="1"/>
  <c r="P134" i="5" s="1"/>
  <c r="B5" i="7"/>
  <c r="L8" i="14"/>
  <c r="C56" i="12"/>
  <c r="C72" i="12" s="1"/>
  <c r="E123" i="14"/>
  <c r="L156" i="14" s="1"/>
  <c r="C60" i="12"/>
  <c r="C76" i="12" s="1"/>
  <c r="F21" i="14"/>
  <c r="E127" i="14"/>
  <c r="L160" i="14" s="1"/>
  <c r="B7" i="5"/>
  <c r="H45" i="5" s="1"/>
  <c r="I45" i="5" s="1"/>
  <c r="J45" i="5" s="1"/>
  <c r="P136" i="5" s="1"/>
  <c r="C58" i="12"/>
  <c r="C74" i="12" s="1"/>
  <c r="C64" i="12"/>
  <c r="C80" i="12" s="1"/>
  <c r="B16" i="7"/>
  <c r="B17" i="7" s="1"/>
  <c r="L16" i="14"/>
  <c r="B8" i="7"/>
  <c r="E126" i="14"/>
  <c r="L159" i="14" s="1"/>
  <c r="E21" i="14"/>
  <c r="B9" i="7"/>
  <c r="E131" i="14"/>
  <c r="L164" i="14" s="1"/>
  <c r="P13" i="14"/>
  <c r="E10" i="5"/>
  <c r="F141" i="14"/>
  <c r="G141" i="14" s="1"/>
  <c r="F13" i="7"/>
  <c r="E144" i="14"/>
  <c r="P161" i="14" s="1"/>
  <c r="G61" i="12"/>
  <c r="G77" i="12" s="1"/>
  <c r="P14" i="14"/>
  <c r="F12" i="7"/>
  <c r="D253" i="4"/>
  <c r="C313" i="4" s="1"/>
  <c r="E145" i="14"/>
  <c r="P162" i="14" s="1"/>
  <c r="C159" i="4"/>
  <c r="P149" i="14"/>
  <c r="C294" i="4"/>
  <c r="C16" i="6"/>
  <c r="C13" i="6"/>
  <c r="F146" i="14"/>
  <c r="G146" i="14" s="1"/>
  <c r="P9" i="14"/>
  <c r="E140" i="14"/>
  <c r="P157" i="14" s="1"/>
  <c r="E6" i="5"/>
  <c r="C11" i="6"/>
  <c r="G57" i="12"/>
  <c r="G73" i="12" s="1"/>
  <c r="E146" i="14"/>
  <c r="P163" i="14" s="1"/>
  <c r="P15" i="14"/>
  <c r="F15" i="7"/>
  <c r="F142" i="14"/>
  <c r="G142" i="14" s="1"/>
  <c r="C140" i="9"/>
  <c r="G63" i="12"/>
  <c r="G79" i="12" s="1"/>
  <c r="E37" i="14"/>
  <c r="C10" i="6"/>
  <c r="C288" i="4"/>
  <c r="F8" i="7"/>
  <c r="C156" i="4"/>
  <c r="F6" i="7"/>
  <c r="P8" i="14"/>
  <c r="D312" i="4"/>
  <c r="E8" i="5"/>
  <c r="E5" i="5"/>
  <c r="F5" i="7"/>
  <c r="C153" i="4"/>
  <c r="G56" i="12"/>
  <c r="G72" i="12" s="1"/>
  <c r="E147" i="14"/>
  <c r="P164" i="14" s="1"/>
  <c r="P16" i="14"/>
  <c r="F16" i="7"/>
  <c r="G64" i="12"/>
  <c r="G80" i="12" s="1"/>
  <c r="E142" i="14"/>
  <c r="P159" i="14" s="1"/>
  <c r="G59" i="12"/>
  <c r="G75" i="12" s="1"/>
  <c r="P11" i="14"/>
  <c r="E9" i="5"/>
  <c r="E143" i="14"/>
  <c r="P160" i="14" s="1"/>
  <c r="C14" i="6"/>
  <c r="F10" i="7" s="1"/>
  <c r="F11" i="7" s="1"/>
  <c r="C157" i="4"/>
  <c r="P12" i="14"/>
  <c r="C292" i="4"/>
  <c r="G60" i="12"/>
  <c r="G76" i="12" s="1"/>
  <c r="F140" i="14"/>
  <c r="G140" i="14" s="1"/>
  <c r="F37" i="14"/>
  <c r="F139" i="14"/>
  <c r="G139" i="14" s="1"/>
  <c r="L39" i="14" l="1"/>
  <c r="L34" i="14"/>
  <c r="K192" i="4"/>
  <c r="C15" i="4"/>
  <c r="C173" i="4" s="1"/>
  <c r="E173" i="4" s="1"/>
  <c r="K206" i="4"/>
  <c r="F83" i="10"/>
  <c r="G92" i="10" s="1"/>
  <c r="G110" i="10" s="1"/>
  <c r="G97" i="10" s="1"/>
  <c r="G102" i="10" s="1"/>
  <c r="D142" i="4"/>
  <c r="C288" i="9"/>
  <c r="D311" i="9"/>
  <c r="E253" i="4"/>
  <c r="C143" i="4"/>
  <c r="C17" i="4"/>
  <c r="C175" i="4" s="1"/>
  <c r="E175" i="4" s="1"/>
  <c r="F14" i="7"/>
  <c r="N58" i="8"/>
  <c r="B13" i="8"/>
  <c r="E12" i="5"/>
  <c r="M124" i="5" s="1"/>
  <c r="P151" i="14"/>
  <c r="K196" i="4"/>
  <c r="K186" i="4"/>
  <c r="D247" i="4" s="1"/>
  <c r="E39" i="14"/>
  <c r="F39" i="14"/>
  <c r="B11" i="7"/>
  <c r="L18" i="14"/>
  <c r="C81" i="12"/>
  <c r="B12" i="5"/>
  <c r="M121" i="5" s="1"/>
  <c r="G133" i="14"/>
  <c r="G21" i="14"/>
  <c r="B14" i="7"/>
  <c r="F133" i="14"/>
  <c r="E133" i="14"/>
  <c r="G110" i="5"/>
  <c r="G115" i="5" s="1"/>
  <c r="M122" i="5" s="1"/>
  <c r="C65" i="12"/>
  <c r="G149" i="14"/>
  <c r="C161" i="4"/>
  <c r="G81" i="12"/>
  <c r="D310" i="9"/>
  <c r="F17" i="7"/>
  <c r="C17" i="6"/>
  <c r="P20" i="14"/>
  <c r="F9" i="7"/>
  <c r="P166" i="14"/>
  <c r="G65" i="12"/>
  <c r="C88" i="12"/>
  <c r="F88" i="12" s="1"/>
  <c r="H103" i="17"/>
  <c r="P18" i="14"/>
  <c r="F149" i="14"/>
  <c r="C14" i="4"/>
  <c r="C172" i="4" s="1"/>
  <c r="E172" i="4" s="1"/>
  <c r="C137" i="9"/>
  <c r="E149" i="14"/>
  <c r="C13" i="4"/>
  <c r="G37" i="14"/>
  <c r="C85" i="12"/>
  <c r="F85" i="12" s="1"/>
  <c r="C16" i="4"/>
  <c r="C174" i="4" s="1"/>
  <c r="E174" i="4" s="1"/>
  <c r="P168" i="14"/>
  <c r="L166" i="14"/>
  <c r="J110" i="10" l="1"/>
  <c r="M121" i="10" s="1"/>
  <c r="D312" i="9"/>
  <c r="D313" i="4"/>
  <c r="D314" i="4" s="1"/>
  <c r="C290" i="4"/>
  <c r="D143" i="4"/>
  <c r="E143" i="4" s="1"/>
  <c r="C145" i="4" s="1"/>
  <c r="C141" i="9"/>
  <c r="C143" i="9" s="1"/>
  <c r="E143" i="9" s="1"/>
  <c r="C145" i="9" s="1"/>
  <c r="D148" i="9" s="1"/>
  <c r="D161" i="9" s="1"/>
  <c r="G98" i="10" s="1"/>
  <c r="J116" i="10" s="1"/>
  <c r="M127" i="5"/>
  <c r="L127" i="5" s="1"/>
  <c r="L41" i="14"/>
  <c r="B15" i="5"/>
  <c r="A15" i="5" s="1"/>
  <c r="C259" i="4"/>
  <c r="C265" i="4" s="1"/>
  <c r="C277" i="4"/>
  <c r="G39" i="14"/>
  <c r="B23" i="7"/>
  <c r="B18" i="7"/>
  <c r="E151" i="14"/>
  <c r="M123" i="5"/>
  <c r="G151" i="14"/>
  <c r="F151" i="14"/>
  <c r="B20" i="7"/>
  <c r="F20" i="7"/>
  <c r="F18" i="7"/>
  <c r="C171" i="4"/>
  <c r="E171" i="4" s="1"/>
  <c r="C19" i="4"/>
  <c r="D148" i="4" l="1"/>
  <c r="D161" i="4" s="1"/>
  <c r="E161" i="4" s="1"/>
  <c r="D328" i="4" s="1"/>
  <c r="D315" i="4" s="1"/>
  <c r="E161" i="9"/>
  <c r="E167" i="9" s="1"/>
  <c r="C294" i="9" s="1"/>
  <c r="C295" i="9" s="1"/>
  <c r="C301" i="9" s="1"/>
  <c r="C287" i="4"/>
  <c r="D311" i="4" s="1"/>
  <c r="C311" i="4"/>
  <c r="C309" i="9" s="1"/>
  <c r="D309" i="9" s="1"/>
  <c r="B22" i="7"/>
  <c r="C22" i="4"/>
  <c r="C179" i="4" s="1"/>
  <c r="E179" i="4" s="1"/>
  <c r="C312" i="4"/>
  <c r="C314" i="4" s="1"/>
  <c r="C278" i="4"/>
  <c r="C280" i="4" s="1"/>
  <c r="C282" i="4" s="1"/>
  <c r="C302" i="4" s="1"/>
  <c r="C21" i="6" s="1"/>
  <c r="P143" i="10"/>
  <c r="J118" i="10"/>
  <c r="M126" i="10" s="1"/>
  <c r="G97" i="5" l="1"/>
  <c r="J115" i="5" s="1"/>
  <c r="J117" i="5" s="1"/>
  <c r="M125" i="5" s="1"/>
  <c r="M128" i="5" s="1"/>
  <c r="E167" i="4"/>
  <c r="C296" i="4" s="1"/>
  <c r="G228" i="4"/>
  <c r="D241" i="4"/>
  <c r="G220" i="4"/>
  <c r="D229" i="9"/>
  <c r="D230" i="9"/>
  <c r="G232" i="9" s="1"/>
  <c r="C291" i="9" s="1"/>
  <c r="G232" i="4"/>
  <c r="C293" i="4" s="1"/>
  <c r="D326" i="9"/>
  <c r="D313" i="9" s="1"/>
  <c r="D329" i="9" s="1"/>
  <c r="D331" i="4"/>
  <c r="M129" i="10"/>
  <c r="M130" i="10" s="1"/>
  <c r="L130" i="10" s="1"/>
  <c r="M127" i="10"/>
  <c r="C331" i="4"/>
  <c r="C340" i="4"/>
  <c r="C341" i="4" s="1"/>
  <c r="C343" i="4" s="1"/>
  <c r="C303" i="9"/>
  <c r="D304" i="9"/>
  <c r="C304" i="9" s="1"/>
  <c r="P142" i="5" l="1"/>
  <c r="P158" i="5" s="1"/>
  <c r="G236" i="4"/>
  <c r="C289" i="4"/>
  <c r="C295" i="4" s="1"/>
  <c r="C297" i="4" s="1"/>
  <c r="C303" i="4" s="1"/>
  <c r="G220" i="9"/>
  <c r="G228" i="9"/>
  <c r="D241" i="9"/>
  <c r="D337" i="4"/>
  <c r="D333" i="4" s="1"/>
  <c r="D340" i="4" s="1"/>
  <c r="D344" i="4" s="1"/>
  <c r="G222" i="4"/>
  <c r="M126" i="5"/>
  <c r="M129" i="5"/>
  <c r="D306" i="4" l="1"/>
  <c r="C306" i="4" s="1"/>
  <c r="C305" i="4"/>
  <c r="C22" i="6"/>
  <c r="C23" i="6" s="1"/>
  <c r="C287" i="9"/>
  <c r="G236" i="9"/>
  <c r="D335" i="9"/>
  <c r="D331" i="9" s="1"/>
  <c r="D338" i="9" s="1"/>
  <c r="D342" i="9" s="1"/>
  <c r="B342" i="9" s="1"/>
  <c r="G222" i="9"/>
  <c r="B344" i="4"/>
  <c r="B348" i="4"/>
  <c r="C348" i="4"/>
  <c r="M132" i="5"/>
  <c r="L132" i="5"/>
  <c r="C24" i="6"/>
  <c r="L129" i="5"/>
  <c r="C26" i="6" l="1"/>
  <c r="C2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R60" authorId="0" shapeId="0" xr:uid="{00000000-0006-0000-0200-000001000000}">
      <text>
        <r>
          <rPr>
            <sz val="10"/>
            <color indexed="81"/>
            <rFont val="Tahoma"/>
            <family val="2"/>
          </rPr>
          <t>NOTA:
Segons l'article 18.4 del RD 8/2013, de 28 de juny, els ajuntaments que tinguin pla d'ajust han de dotar, com a mínim, un import del 0,5% de les despeses no financeres (capítols 1 a 7 de despeses) en concepte de fons de contingència.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09" authorId="0" shapeId="0" xr:uid="{00000000-0006-0000-0700-000001000000}">
      <text>
        <r>
          <rPr>
            <b/>
            <sz val="10"/>
            <color indexed="8"/>
            <rFont val="Tahoma"/>
            <family val="2"/>
          </rPr>
          <t>No es considera l'ajust en ens que consoliden atès que aquest queda anul·lat un cop s'ha fet la consolidació.</t>
        </r>
      </text>
    </comment>
    <comment ref="B110" authorId="0" shapeId="0" xr:uid="{00000000-0006-0000-0700-000002000000}">
      <text>
        <r>
          <rPr>
            <b/>
            <sz val="10"/>
            <color indexed="8"/>
            <rFont val="Tahoma"/>
            <family val="2"/>
          </rPr>
          <t xml:space="preserve">no es realitza aquest ajust si l'administració pública espera obtenir un benefici de l'aportació via dividends o via increment de valor dels seus actius financers
</t>
        </r>
      </text>
    </comment>
    <comment ref="I185" authorId="0" shapeId="0" xr:uid="{00000000-0006-0000-0700-000003000000}">
      <text>
        <r>
          <rPr>
            <b/>
            <sz val="10"/>
            <color rgb="FF000000"/>
            <rFont val="Tahoma"/>
            <family val="2"/>
          </rPr>
          <t>Utilitzar</t>
        </r>
        <r>
          <rPr>
            <sz val="10"/>
            <color rgb="FF000000"/>
            <rFont val="Tahoma"/>
            <family val="2"/>
          </rPr>
          <t xml:space="preserve"> la següent nomenclatura:
</t>
        </r>
        <r>
          <rPr>
            <sz val="10"/>
            <color rgb="FF000000"/>
            <rFont val="Tahoma"/>
            <family val="2"/>
          </rPr>
          <t xml:space="preserve">UE
</t>
        </r>
        <r>
          <rPr>
            <sz val="10"/>
            <color rgb="FF000000"/>
            <rFont val="Tahoma"/>
            <family val="2"/>
          </rPr>
          <t xml:space="preserve">Estat
</t>
        </r>
        <r>
          <rPr>
            <sz val="10"/>
            <color rgb="FF000000"/>
            <rFont val="Tahoma"/>
            <family val="2"/>
          </rPr>
          <t xml:space="preserve">CA
</t>
        </r>
        <r>
          <rPr>
            <sz val="10"/>
            <color rgb="FF000000"/>
            <rFont val="Tahoma"/>
            <family val="2"/>
          </rPr>
          <t xml:space="preserve">Diputacions
</t>
        </r>
        <r>
          <rPr>
            <sz val="10"/>
            <color rgb="FF000000"/>
            <rFont val="Tahoma"/>
            <family val="2"/>
          </rPr>
          <t>Altres AAPP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F91" authorId="0" shapeId="0" xr:uid="{00000000-0006-0000-0800-000001000000}">
      <text>
        <r>
          <rPr>
            <b/>
            <sz val="10"/>
            <color indexed="8"/>
            <rFont val="Tahoma"/>
            <family val="2"/>
          </rPr>
          <t>No es considera l'ajust en ens que consoliden atès que aquest queda anul·lat un cop s'ha fet la consolidació.</t>
        </r>
      </text>
    </comment>
    <comment ref="F92" authorId="0" shapeId="0" xr:uid="{00000000-0006-0000-0800-000002000000}">
      <text>
        <r>
          <rPr>
            <b/>
            <sz val="10"/>
            <color indexed="8"/>
            <rFont val="Tahoma"/>
            <family val="2"/>
          </rPr>
          <t xml:space="preserve">no es realitza aquest ajust si l'administració pública espera obtenir un benefici de l'aportació via dividends o via increment de valor dels seus actius financers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85" authorId="0" shapeId="0" xr:uid="{00000000-0006-0000-0D00-000001000000}">
      <text>
        <r>
          <rPr>
            <sz val="10"/>
            <color indexed="8"/>
            <rFont val="Tahoma"/>
            <family val="2"/>
          </rPr>
          <t xml:space="preserve">Cal </t>
        </r>
        <r>
          <rPr>
            <b/>
            <sz val="10"/>
            <color indexed="8"/>
            <rFont val="Tahoma"/>
            <family val="2"/>
          </rPr>
          <t>diferenciar</t>
        </r>
        <r>
          <rPr>
            <sz val="10"/>
            <color indexed="8"/>
            <rFont val="Tahoma"/>
            <family val="2"/>
          </rPr>
          <t xml:space="preserve"> per agent finançador.
Una despesa amb dos agents finançadors tindrà una línia per cada agent.</t>
        </r>
      </text>
    </comment>
    <comment ref="I185" authorId="0" shapeId="0" xr:uid="{00000000-0006-0000-0D00-000002000000}">
      <text>
        <r>
          <rPr>
            <b/>
            <sz val="10"/>
            <color indexed="8"/>
            <rFont val="Tahoma"/>
            <family val="2"/>
          </rPr>
          <t>Utilitzar</t>
        </r>
        <r>
          <rPr>
            <sz val="10"/>
            <color indexed="8"/>
            <rFont val="Tahoma"/>
            <family val="2"/>
          </rPr>
          <t xml:space="preserve"> la següent nomenclatura:
UE
Estat
CA
Diputacions
Altres AAPP</t>
        </r>
      </text>
    </comment>
    <comment ref="B215" authorId="0" shapeId="0" xr:uid="{00000000-0006-0000-0D00-000003000000}">
      <text>
        <r>
          <rPr>
            <sz val="10"/>
            <color indexed="8"/>
            <rFont val="Tahoma"/>
            <family val="2"/>
          </rPr>
          <t xml:space="preserve">Cal </t>
        </r>
        <r>
          <rPr>
            <b/>
            <sz val="10"/>
            <color indexed="8"/>
            <rFont val="Tahoma"/>
            <family val="2"/>
          </rPr>
          <t>diferenciar</t>
        </r>
        <r>
          <rPr>
            <sz val="10"/>
            <color indexed="8"/>
            <rFont val="Tahoma"/>
            <family val="2"/>
          </rPr>
          <t xml:space="preserve"> per agent finançador.
Una despesa amb dos agents finançadors tindrà una línia per cada agent.</t>
        </r>
      </text>
    </comment>
    <comment ref="D215" authorId="0" shapeId="0" xr:uid="{00000000-0006-0000-0D00-000004000000}">
      <text>
        <r>
          <rPr>
            <sz val="10"/>
            <color indexed="8"/>
            <rFont val="Tahoma"/>
            <family val="2"/>
          </rPr>
          <t>Restem la subvenció sota el supòsit que s'executarà tota la despesa prevista al pressupost finançada amb la subvenció.</t>
        </r>
      </text>
    </comment>
    <comment ref="E215" authorId="0" shapeId="0" xr:uid="{00000000-0006-0000-0D00-000005000000}">
      <text>
        <r>
          <rPr>
            <b/>
            <sz val="10"/>
            <color indexed="8"/>
            <rFont val="Tahoma"/>
            <family val="2"/>
          </rPr>
          <t>Utilitzar</t>
        </r>
        <r>
          <rPr>
            <sz val="10"/>
            <color indexed="8"/>
            <rFont val="Tahoma"/>
            <family val="2"/>
          </rPr>
          <t xml:space="preserve"> la següent nomenclatura:
UE
Estat
CA
Diputacions
Altres AAPP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F92" authorId="0" shapeId="0" xr:uid="{00000000-0006-0000-0E00-000001000000}">
      <text>
        <r>
          <rPr>
            <b/>
            <sz val="10"/>
            <color indexed="8"/>
            <rFont val="Tahoma"/>
            <family val="2"/>
          </rPr>
          <t>No es considera l'ajust en ens que consoliden atès que aquest queda anul·lat un cop s'ha fet la consolidació.</t>
        </r>
      </text>
    </comment>
    <comment ref="F93" authorId="0" shapeId="0" xr:uid="{00000000-0006-0000-0E00-000002000000}">
      <text>
        <r>
          <rPr>
            <b/>
            <sz val="10"/>
            <color indexed="8"/>
            <rFont val="Tahoma"/>
            <family val="2"/>
          </rPr>
          <t xml:space="preserve">no es realitza aquest ajust si l'administració pública espera obtenir un benefici de l'aportació via dividends o via increment de valor dels seus actius financers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17" authorId="0" shapeId="0" xr:uid="{00000000-0006-0000-0F00-000001000000}">
      <text>
        <r>
          <rPr>
            <b/>
            <sz val="10"/>
            <color indexed="81"/>
            <rFont val="Tahoma"/>
            <family val="2"/>
          </rPr>
          <t>Per al càlcul del deute viu, cal introduir les dades dels ingressos corrents ajustats consolidats de l'últim exercici liquidat. 
Com que ja s'haurà liquidat l'exercici 2014, recalculem el deute viu amb les dades del 2014.</t>
        </r>
        <r>
          <rPr>
            <sz val="10"/>
            <color indexed="81"/>
            <rFont val="Tahoma"/>
            <family val="2"/>
          </rPr>
          <t xml:space="preserve">
</t>
        </r>
      </text>
    </comment>
  </commentList>
</comments>
</file>

<file path=xl/sharedStrings.xml><?xml version="1.0" encoding="utf-8"?>
<sst xmlns="http://schemas.openxmlformats.org/spreadsheetml/2006/main" count="1904" uniqueCount="867">
  <si>
    <t>AJUST 5</t>
  </si>
  <si>
    <t>Import de l'aportació a ens que no consoliden</t>
  </si>
  <si>
    <t>Saldo inicial (01/01/201X) del compte 413</t>
  </si>
  <si>
    <t>Saldo final (31/12/201X) del compte 413</t>
  </si>
  <si>
    <t xml:space="preserve">Suma de capítols 1 a 7 de despeses </t>
  </si>
  <si>
    <t>      AJUSTOS Càlcul despeses no financeres segons el SEC</t>
  </si>
  <si>
    <t>         (-) Venda de terrenys i altres inversions reals</t>
  </si>
  <si>
    <t>         (+/-) Inversions realitzades per compte de la Corporació Local (6)</t>
  </si>
  <si>
    <t>         (+/-) Execució d'Avals</t>
  </si>
  <si>
    <t>         (+) Aportacions de capital</t>
  </si>
  <si>
    <t>         (+/-) Assumpció i cancel·lació de deutes</t>
  </si>
  <si>
    <t>         (+/-) Despeses realitzades a l'exercici pendents d'aplicar al pressupost</t>
  </si>
  <si>
    <t>         (+/-) Pagaments a socis privats realizats en el marc de les Associacions público privades</t>
  </si>
  <si>
    <t>         (+/-) Adquisicions amb pagament aplaçat</t>
  </si>
  <si>
    <t>         (+/-) Arrendament financer</t>
  </si>
  <si>
    <t>         (+) Préstecs</t>
  </si>
  <si>
    <t>         (-) Mecanisme extraordinari de pagament proveïdors 2012</t>
  </si>
  <si>
    <t>         (-) Inversions realitzades per la Corporació local per compte d'una altra Administració Pública (7)</t>
  </si>
  <si>
    <t>         (-) Grau d'execució</t>
  </si>
  <si>
    <t>         (+/-) Altres (Especificar) (5)</t>
  </si>
  <si>
    <t>Despeses no financeres termes SEC excepte interessos del deute</t>
  </si>
  <si>
    <t>   (-) Pagaments per transferències (i altres operacions internes) a altres entitats que integren la Corporació Local (3)</t>
  </si>
  <si>
    <t>   (-) Despeses finançades amb fons finalistes procedents de la Unió Europea o d'altres Administracions públiques</t>
  </si>
  <si>
    <t>      Unió Europea</t>
  </si>
  <si>
    <t>      Estat</t>
  </si>
  <si>
    <t>      Comunitat Autònoma</t>
  </si>
  <si>
    <t>      Diputacions</t>
  </si>
  <si>
    <t>      Altres Administracions Públiques</t>
  </si>
  <si>
    <t>   (-) Transferèncias per fons dels sistemes de finançament (4)</t>
  </si>
  <si>
    <t>Total de Despesa computable de l'exercici</t>
  </si>
  <si>
    <t>AJUST 1. Venda de terrenys i altres inversions reals</t>
  </si>
  <si>
    <t>AJUST 2. Despeses realitzades a l'exercici pendents d'aplicar a pressupost</t>
  </si>
  <si>
    <t>AJUST 3. Adquisicions amb pagament aplaçat (únicament en adquisicions de patrimoni)</t>
  </si>
  <si>
    <t>AJUST 4. Arrendament financer</t>
  </si>
  <si>
    <t>AJUST 6. Aportacions de capital</t>
  </si>
  <si>
    <t>AJUST 7. Grau d'execució del pressupost (AJUST NOMÉS PEL NOU PRESSUPOST)</t>
  </si>
  <si>
    <t>AJUST 5. Execució d'avals</t>
  </si>
  <si>
    <t>CLASSIFICACIÓ ECONÒMICA DE DESPESA</t>
  </si>
  <si>
    <t>Grup de Programa</t>
  </si>
  <si>
    <t>-</t>
  </si>
  <si>
    <t>aportació per despeses corrents</t>
  </si>
  <si>
    <t>aportació per despeses de capital</t>
  </si>
  <si>
    <t>ajuntament</t>
  </si>
  <si>
    <t>OOAA 1</t>
  </si>
  <si>
    <t>OOAA 2</t>
  </si>
  <si>
    <t>consolidat</t>
  </si>
  <si>
    <t>QQUU, CCEE…</t>
  </si>
  <si>
    <t>anivellament</t>
  </si>
  <si>
    <t>previsió import disposat</t>
  </si>
  <si>
    <t>Cap. 5</t>
  </si>
  <si>
    <t>Operació de tresoreria</t>
  </si>
  <si>
    <t>4. DETALL DELS INTERESSOS DE L'ENDEUTAMENT</t>
  </si>
  <si>
    <t>6. MODIFICACIONS NORMATIVES</t>
  </si>
  <si>
    <t>Capítol 5 (exclosa la part subvencionada)</t>
  </si>
  <si>
    <t>pres 2015</t>
  </si>
  <si>
    <t>prev ing 2015</t>
  </si>
  <si>
    <t>ajust 2015</t>
  </si>
  <si>
    <t>Fons contingència</t>
  </si>
  <si>
    <t>Total ingressos - Total despeses</t>
  </si>
  <si>
    <t>Previsió Deute viu a 31/12/2015</t>
  </si>
  <si>
    <t>CÀLCUL PRESSUPOST 2014 D'ACORD AMB LA LLEI ORGÀNICA D'ESTABILITAT PRESSUPOSTÀRIA I SUFICIENCIA  FINANCERA</t>
  </si>
  <si>
    <t>Capítol 3 (exclosos interessos deute)</t>
  </si>
  <si>
    <t>Gastos capítulos 1 a 7</t>
  </si>
  <si>
    <t>3. Als fulls "8_LIQ_regla despesa" i "9_LIQ_CF_NF" trobareu comentaris relatius a les obligacions que li sorgeixen a l'entitat local en cas que hi hagi diferències de resultat amb els càlculs realitzats en la FASE 1.</t>
  </si>
  <si>
    <t>1. Un cop s'hagi liquidat l'exercici anterior caldrà recalcular la regla de la despesa, la capacitat o necessitat de finançament. Per això, es començarà emplenant el full "8_LIQ_Regla despesa" amb les dades de la LIQUIDACIÓ.</t>
  </si>
  <si>
    <t>Despesa finançada amb superàvit</t>
  </si>
  <si>
    <t xml:space="preserve">         (-) Despeses finançades amb superàvit</t>
  </si>
  <si>
    <t>TOTAL PRESSUPOST DE DESPESES</t>
  </si>
  <si>
    <t>PRESSUPOST DE L'EXERCICI</t>
  </si>
  <si>
    <t>PREVISIÓ DE LA LIQUIDACIÓ DE L'EXERCICI</t>
  </si>
  <si>
    <t xml:space="preserve">1. PREVISIÓ DE LA LIQUIDACIÓ </t>
  </si>
  <si>
    <t>Taxa de creixement del PIB</t>
  </si>
  <si>
    <t>Capítols DESPESA</t>
  </si>
  <si>
    <t>Despesa no financera</t>
  </si>
  <si>
    <t>Total</t>
  </si>
  <si>
    <t xml:space="preserve">2. AJUSTOS A REALITZAR A LA PREVISIÓ DE LA LIQUIDACIÓ I A L'APROVACIÓ DEL PRESSUPOST </t>
  </si>
  <si>
    <t>Obligacions reconegudes finançades amb venda de terrenys i altres inversions reals</t>
  </si>
  <si>
    <t>cap 6</t>
  </si>
  <si>
    <t>AJUST 1</t>
  </si>
  <si>
    <t>AJUST 2</t>
  </si>
  <si>
    <t>Si durant l'exercici s'ha fet alguna adquisició amb import aplaçat indicar l'import total del bé:</t>
  </si>
  <si>
    <t>Si s'ha reconegut alguna obligació en relació a l'adquisició amb import aplaçat indicar l'import</t>
  </si>
  <si>
    <t>AJUST 3</t>
  </si>
  <si>
    <t>Si durant l'exercici s'ha fet alguna adquisició mitjançant arrendament financer indicar l'import total del bé:</t>
  </si>
  <si>
    <t>Si s'ha reconegut alguna obligació en relació a l'arrendament financer indicar l'import</t>
  </si>
  <si>
    <t>AJUST 4</t>
  </si>
  <si>
    <t>Crèdits inicials</t>
  </si>
  <si>
    <t>Obligacions reconegudes</t>
  </si>
  <si>
    <t xml:space="preserve">Grau d'execució </t>
  </si>
  <si>
    <t>Cap. 1</t>
  </si>
  <si>
    <t>Cap. 2</t>
  </si>
  <si>
    <t>Cap. 3-interessos endeutament</t>
  </si>
  <si>
    <t>Cap. 4</t>
  </si>
  <si>
    <t>Cap. 6</t>
  </si>
  <si>
    <t>Cap. 7</t>
  </si>
  <si>
    <t>Previsió Obligacions reconegudes</t>
  </si>
  <si>
    <t>Mitja aritmètica execució</t>
  </si>
  <si>
    <t xml:space="preserve">import proposat </t>
  </si>
  <si>
    <t>import segons normativa IGAE</t>
  </si>
  <si>
    <t>Previsió d'execució nou pressupost</t>
  </si>
  <si>
    <t>Capítols</t>
  </si>
  <si>
    <t>Cap. 3-interessos</t>
  </si>
  <si>
    <t>Total ajust global</t>
  </si>
  <si>
    <t>IMPORT TOTAL A AJUSTAR</t>
  </si>
  <si>
    <t xml:space="preserve">IMPORT A AJUSTAR </t>
  </si>
  <si>
    <t>OBLIGACIONS RECONEGUDES</t>
  </si>
  <si>
    <t>AJUSTOS</t>
  </si>
  <si>
    <t>PREV. LIQUIDACIÓ AJUSTADA</t>
  </si>
  <si>
    <t>TOTAL AJUSTAT</t>
  </si>
  <si>
    <t>3. DETALL DE LES OBLIGACIONS SUBVENCIONADES</t>
  </si>
  <si>
    <t>Concepte subvenció</t>
  </si>
  <si>
    <t>Capítol despesa que finança</t>
  </si>
  <si>
    <t>Import total finançament per agent</t>
  </si>
  <si>
    <t>Cost total</t>
  </si>
  <si>
    <t>ORN de l'exercici</t>
  </si>
  <si>
    <t>K</t>
  </si>
  <si>
    <t>Import a restar</t>
  </si>
  <si>
    <t xml:space="preserve">Agent finançador </t>
  </si>
  <si>
    <t>Ens finançador</t>
  </si>
  <si>
    <t>UE</t>
  </si>
  <si>
    <t>Estat</t>
  </si>
  <si>
    <t>CA</t>
  </si>
  <si>
    <t>Diputacions</t>
  </si>
  <si>
    <t>Altres AAPP</t>
  </si>
  <si>
    <t>TOTAL</t>
  </si>
  <si>
    <t>Capítols finançats</t>
  </si>
  <si>
    <t>Capítol 3 despeses</t>
  </si>
  <si>
    <t>Capítol</t>
  </si>
  <si>
    <t>Préstec 1</t>
  </si>
  <si>
    <t>Préstec 2</t>
  </si>
  <si>
    <t>Préstec 3</t>
  </si>
  <si>
    <t>Préstec 4</t>
  </si>
  <si>
    <t>Interessos subvencionats</t>
  </si>
  <si>
    <t>5. DESPESES FINANÇADES AMB EL SUPERÀVIT DE LA LIQUIDACIÓ</t>
  </si>
  <si>
    <t xml:space="preserve">Capítol </t>
  </si>
  <si>
    <t>6 MODIFICACIONS NORMATIVES</t>
  </si>
  <si>
    <t>Variacions normatives</t>
  </si>
  <si>
    <t xml:space="preserve">7. APLICACIÓ REGLA DE LA DESPESA </t>
  </si>
  <si>
    <t>a) Calculo l'import màxim de regla de la despesa pel nou pressupost a partir de la previsió de la liquidació</t>
  </si>
  <si>
    <t>Import sense la variació del PIB</t>
  </si>
  <si>
    <t>Despesa no financera sense despesa finançada amb subvencions ni interessos</t>
  </si>
  <si>
    <t>Despesa finançada amb RTDG</t>
  </si>
  <si>
    <t>Import amb la variació del PIB</t>
  </si>
  <si>
    <t>Modificacions normatives</t>
  </si>
  <si>
    <t>Import segons regla:</t>
  </si>
  <si>
    <t xml:space="preserve"> </t>
  </si>
  <si>
    <t>b) Calculo l'import de regla de despesa que sorgeix de la despesa del nou pressupost</t>
  </si>
  <si>
    <t>Despeses pressupost no subvencionades</t>
  </si>
  <si>
    <t>Capítol 1  (exclosa la part subvencionada)</t>
  </si>
  <si>
    <t>Capítol 2  (exclosa la part subvencionada)</t>
  </si>
  <si>
    <t>Capítol 4 (exclosa la part subvencionada)</t>
  </si>
  <si>
    <t>Capítol 6 (exclosa la part subvencionada)</t>
  </si>
  <si>
    <t>Capítol 7 (exclosa la part subvencionada)</t>
  </si>
  <si>
    <t>Total despesa no financera pressupostada no subvencionada</t>
  </si>
  <si>
    <t>REGLA DESPESA NOU PRESSUPOST</t>
  </si>
  <si>
    <t>8. RESULTAT</t>
  </si>
  <si>
    <t>Regla de la despesa previsió segons liquidació</t>
  </si>
  <si>
    <t>Regla de la despesa segons pressupost</t>
  </si>
  <si>
    <t>Resultat</t>
  </si>
  <si>
    <t>FORMULARI F1.1.B2 - INFORMACIÓN PARA LA APLICACIÓN DE LA REGLA DEL GASTO</t>
  </si>
  <si>
    <t>Liquidació 1 a 7</t>
  </si>
  <si>
    <t>Interessos (sense comissions)</t>
  </si>
  <si>
    <t>3 = 1-2</t>
  </si>
  <si>
    <t>Variació PIB</t>
  </si>
  <si>
    <t>Total despesa computable REGLA DE LA DESPESA</t>
  </si>
  <si>
    <t>A) Càlcul del superàvit o dèficit no financer</t>
  </si>
  <si>
    <t>Ingressos</t>
  </si>
  <si>
    <t>Despeses</t>
  </si>
  <si>
    <t xml:space="preserve"> Capítol 1</t>
  </si>
  <si>
    <t xml:space="preserve"> Capítol 2</t>
  </si>
  <si>
    <t xml:space="preserve"> Capítol 3</t>
  </si>
  <si>
    <t xml:space="preserve"> Capítol 4</t>
  </si>
  <si>
    <t xml:space="preserve"> Capítol 5</t>
  </si>
  <si>
    <t xml:space="preserve"> Capítol 6</t>
  </si>
  <si>
    <t xml:space="preserve"> Capítol 7</t>
  </si>
  <si>
    <t>QQUU</t>
  </si>
  <si>
    <t>CCEE</t>
  </si>
  <si>
    <t>B) Càlcul dels ajustos SEC'95 per determinar la capacitat o necessitat de finançament</t>
  </si>
  <si>
    <t>B1) Ajustos d'ingressos</t>
  </si>
  <si>
    <t>1. Ajust de recaptació</t>
  </si>
  <si>
    <t>RD</t>
  </si>
  <si>
    <t>I corrent</t>
  </si>
  <si>
    <t>I tancats</t>
  </si>
  <si>
    <t>% cobrament</t>
  </si>
  <si>
    <t>3 (sense CCEE ni QQUU)</t>
  </si>
  <si>
    <t>capítols</t>
  </si>
  <si>
    <t>mitja percentatges cobrament</t>
  </si>
  <si>
    <t>2. Ajust PTE</t>
  </si>
  <si>
    <t>Import a compensar PTE 2008</t>
  </si>
  <si>
    <t>Import a compensar PTE 2009</t>
  </si>
  <si>
    <t>Import a compensar PTE 2011</t>
  </si>
  <si>
    <t>TOTAL AJUST</t>
  </si>
  <si>
    <t>3. Meritament d'interessos</t>
  </si>
  <si>
    <t>Cap 5 Ingressos</t>
  </si>
  <si>
    <t>interessos vençuts</t>
  </si>
  <si>
    <t>interessos meritats</t>
  </si>
  <si>
    <t>ajust</t>
  </si>
  <si>
    <t>B2) Ajustos de despeses</t>
  </si>
  <si>
    <t>1. Ajust despeses pendents d'aplicar a pressupost</t>
  </si>
  <si>
    <t>compte 413</t>
  </si>
  <si>
    <t>Saldo a 1 de gener</t>
  </si>
  <si>
    <t>Previsió saldo a 31 de desembre</t>
  </si>
  <si>
    <t>2. Meritament d'interessos</t>
  </si>
  <si>
    <t>Cap 3 Despeses</t>
  </si>
  <si>
    <t>3. Arrendament financer (lísing)</t>
  </si>
  <si>
    <t>nova adquisició</t>
  </si>
  <si>
    <t>ORN</t>
  </si>
  <si>
    <t>Ajust</t>
  </si>
  <si>
    <t>4. Execució d'avals</t>
  </si>
  <si>
    <t>Import ORN</t>
  </si>
  <si>
    <t>Import pagaments</t>
  </si>
  <si>
    <t>comptabilitzat cap. 1 a 7</t>
  </si>
  <si>
    <t>no comptabilitzat cap. 1 a 7</t>
  </si>
  <si>
    <t>total deute avalat</t>
  </si>
  <si>
    <t>si hi ha tres execucions consecutives, al tercer any indicar l'import total del deute avalat que queda després de l'execució de la segona anualitat</t>
  </si>
  <si>
    <t>5. Aportacions de capital</t>
  </si>
  <si>
    <t>aportacions de capital en ens que no consoliden</t>
  </si>
  <si>
    <t>6. Ajust del grau d'execució</t>
  </si>
  <si>
    <t>el detall està a PREV LIQ-Regla despesa</t>
  </si>
  <si>
    <t>7. Pagament aplaçat</t>
  </si>
  <si>
    <t>import total (si és l'any que es fa el contracte)</t>
  </si>
  <si>
    <t>C) Resum dels ajustos</t>
  </si>
  <si>
    <t>Ajustos d'ingressos</t>
  </si>
  <si>
    <t>Ajustos de despeses</t>
  </si>
  <si>
    <t xml:space="preserve">Recaptació </t>
  </si>
  <si>
    <t>Compte 413</t>
  </si>
  <si>
    <t>PTE</t>
  </si>
  <si>
    <t xml:space="preserve">Interessos </t>
  </si>
  <si>
    <t>Interessos</t>
  </si>
  <si>
    <t>Lísings</t>
  </si>
  <si>
    <t>Execució d'avals</t>
  </si>
  <si>
    <t>Aportacions de capital</t>
  </si>
  <si>
    <t>Grau d'execució</t>
  </si>
  <si>
    <t>Pagament aplaçat</t>
  </si>
  <si>
    <t>C) Càlcul de la capacitat o necessitat de finançament</t>
  </si>
  <si>
    <t>Ingressos no financers</t>
  </si>
  <si>
    <t xml:space="preserve">Ajust d'ingressos </t>
  </si>
  <si>
    <t>Ingressos ajustats</t>
  </si>
  <si>
    <t>Despeses no financeres</t>
  </si>
  <si>
    <t>Ajust de despeses</t>
  </si>
  <si>
    <t>Despeses ajustades</t>
  </si>
  <si>
    <t>Ajustos</t>
  </si>
  <si>
    <t>F1.1.B1-Ajustes contemplados en Informe de Evaluacion, que se han aplicado para relacionar el saldo resultante de Ingresos y Gastos del Presupuesto con la capacidad o necesidad de financiacion calculada conforme a las normas del Sistema Europeo de Cuentas</t>
  </si>
  <si>
    <t>Ajuste por recaudacion ingresos Capitulo 1</t>
  </si>
  <si>
    <t>Ajuste por recaudacion ingresos Capitulo 2</t>
  </si>
  <si>
    <t>Ajuste por recaudacion ingresos Capitulo 3</t>
  </si>
  <si>
    <t>(+)Ajuste por liquidacion PTE - 2008</t>
  </si>
  <si>
    <t>(+)Ajuste por liquidacion PTE - 2009</t>
  </si>
  <si>
    <t>(+)Ajuste por liquidacion PTE - 2011</t>
  </si>
  <si>
    <t>Intereses</t>
  </si>
  <si>
    <t>Diferencias de cambio</t>
  </si>
  <si>
    <t>Grado de ejecución del gasto</t>
  </si>
  <si>
    <t>Inversiones realizadas por Cuenta de la Corporación Local (2)</t>
  </si>
  <si>
    <t>Ingresos por Ventas de Acciones (privatizaciones)</t>
  </si>
  <si>
    <t>Dividendos y Participacion en beneficios</t>
  </si>
  <si>
    <t>Ingresos obtenidos del presupuesto de la Union Europea</t>
  </si>
  <si>
    <t>Operaciones de permuta financiera (SWAPS)</t>
  </si>
  <si>
    <t>Operaciones de reintegro y ejecucion de avales</t>
  </si>
  <si>
    <t>Aportaciones de Capital</t>
  </si>
  <si>
    <t>Asunción y cancelacion de deudas</t>
  </si>
  <si>
    <t>Gastos realizados en el ejercicio pendientes de aplicar a presupuesto</t>
  </si>
  <si>
    <t>Adquisiciones con pago aplazado</t>
  </si>
  <si>
    <t>Arrendamiento financiero</t>
  </si>
  <si>
    <t>Contratos de asociacion publico privada (APPs)</t>
  </si>
  <si>
    <t>Inversiones realizadas por la corporación local por cuenta de otra Administracion Publica (3)</t>
  </si>
  <si>
    <t>Prestamos</t>
  </si>
  <si>
    <t>Otros (1)</t>
  </si>
  <si>
    <t>Total de ajustes a Presupuesto de la Entidad</t>
  </si>
  <si>
    <t>1. SOSTRE DE DESPESA DEL PRESSUPOST</t>
  </si>
  <si>
    <t>A. CALCUL DEL SOSTRE DE DESPESA DEL PRESSUPOT</t>
  </si>
  <si>
    <t>Càlcul a partir de les dades de la previsió de la despesa del nou pressupost</t>
  </si>
  <si>
    <t xml:space="preserve">Capítol 1 </t>
  </si>
  <si>
    <t xml:space="preserve">Capítol 2  </t>
  </si>
  <si>
    <t xml:space="preserve">Capítol 3 </t>
  </si>
  <si>
    <t>Capítol 4</t>
  </si>
  <si>
    <t xml:space="preserve">Capítol 6 </t>
  </si>
  <si>
    <t>Capítol 7</t>
  </si>
  <si>
    <t>EQUILIBRI I ESTALVI NET DESPRÉS D'AMORTITZACIONS</t>
  </si>
  <si>
    <t>Capítols INGRESSOS</t>
  </si>
  <si>
    <t>Despesa corrent</t>
  </si>
  <si>
    <t>Ingressos corrents</t>
  </si>
  <si>
    <t>Despesa de capital</t>
  </si>
  <si>
    <t>Ingressos de capital</t>
  </si>
  <si>
    <t>Despesa financera</t>
  </si>
  <si>
    <t>Ingressos financers</t>
  </si>
  <si>
    <t>Ingressos no financers (Capitols 1 a 7)</t>
  </si>
  <si>
    <t>1. Compliment de no dèficit pressupostari (equilibri)</t>
  </si>
  <si>
    <t>2. Compliment de l'estalvi corrent després amortitzacions</t>
  </si>
  <si>
    <t>A. DETERMINACIÓ DEL DEUTE VIU A FINAL D'EXERCICI</t>
  </si>
  <si>
    <t>Nota: En els càlculs no computar l'import pendent de retornar de la participació ens els tributs de l'estat dels exercicis 2008 i 2009.</t>
  </si>
  <si>
    <t>El càlcul s'aplica a:</t>
  </si>
  <si>
    <t>Dades dels ens dependents:</t>
  </si>
  <si>
    <t>ENS 
DEPENDENT 1</t>
  </si>
  <si>
    <t>Capítol 6</t>
  </si>
  <si>
    <t>Capítol 8</t>
  </si>
  <si>
    <t>Capítol 9</t>
  </si>
  <si>
    <t>APORTACIÓ  DE L'AJUNTAMENT</t>
  </si>
  <si>
    <t>ENS 
DEPENDENT 2</t>
  </si>
  <si>
    <t>Dades de l'ajuntament:</t>
  </si>
  <si>
    <t>AJUNTAMENT</t>
  </si>
  <si>
    <t>CONSOLIDAT</t>
  </si>
  <si>
    <r>
      <t xml:space="preserve">AJUNTAMENTS </t>
    </r>
    <r>
      <rPr>
        <b/>
        <sz val="9"/>
        <color indexed="10"/>
        <rFont val="Arial"/>
        <family val="2"/>
      </rPr>
      <t>AMB</t>
    </r>
    <r>
      <rPr>
        <b/>
        <sz val="9"/>
        <color indexed="12"/>
        <rFont val="Arial"/>
        <family val="2"/>
      </rPr>
      <t xml:space="preserve"> ORGANISMES AUTÒNOMS I/O ENS I SOCIETATS MERCANTILS DEPENDENTS, QUE PRESTIN SERVEIS O PRODUEIXIN BÉNS, QUE NO ES FINANCIEN MAJORITÀRIAMENT AMB INGRESSOS DE MERCAT.</t>
    </r>
  </si>
  <si>
    <t>AJUST 6</t>
  </si>
  <si>
    <t>Suma de capítols 1 a 7 de despeses</t>
  </si>
  <si>
    <t>PRESSUPOST D'INGRESSOS I DESPESES EN TERMES CONSOLIDATS</t>
  </si>
  <si>
    <t>Cal introduir les dades del pressupost d'ingressos i despeses de l'exercici, referents a l'ajuntament i a cadascun dels seus ens dependents.</t>
  </si>
  <si>
    <t>Pressupost</t>
  </si>
  <si>
    <t>PRESSUPOST D'INGRESSOS</t>
  </si>
  <si>
    <t>PRESSUPOST DE DESPESES</t>
  </si>
  <si>
    <t>Pressupost amb dades consolidades:</t>
  </si>
  <si>
    <t xml:space="preserve"> Deute viu a llarg termini </t>
  </si>
  <si>
    <t xml:space="preserve"> Deute viu a curt termini </t>
  </si>
  <si>
    <t xml:space="preserve"> Previsió operació de tresoreria</t>
  </si>
  <si>
    <t xml:space="preserve"> Deute viu avalat a llarg termini</t>
  </si>
  <si>
    <t xml:space="preserve"> Deute viu avalat a curt termini</t>
  </si>
  <si>
    <t>TOTAL DEUTE VIU</t>
  </si>
  <si>
    <t>B. CÀLCUL DELS INGRESSOS CORRENTS AJUSTATS CONSOLIDATS</t>
  </si>
  <si>
    <t>dades consolidades</t>
  </si>
  <si>
    <t>Capítol 1</t>
  </si>
  <si>
    <t>Capítol 2</t>
  </si>
  <si>
    <t>Capítol 3</t>
  </si>
  <si>
    <t>Capítol 5</t>
  </si>
  <si>
    <t xml:space="preserve">Ingressos per operacions corrents </t>
  </si>
  <si>
    <t>Altres ingressos urbanístics</t>
  </si>
  <si>
    <t>Ingressos corrents ajustats</t>
  </si>
  <si>
    <t>C. DETERMINACIÓ DEL RATI DE DEUTE VIU</t>
  </si>
  <si>
    <t>Deute viu</t>
  </si>
  <si>
    <t>Rati de deute viu</t>
  </si>
  <si>
    <t>LIQUIDACIÓ DE L'EXERCICI</t>
  </si>
  <si>
    <t xml:space="preserve">1.  LIQUIDACIÓ </t>
  </si>
  <si>
    <t xml:space="preserve">2. AJUSTOS A REALITZAR A LA LIQUIDACIÓ I A L'APROVACIÓ DEL PRESSUPOST </t>
  </si>
  <si>
    <t xml:space="preserve"> Obligacions reconegudes</t>
  </si>
  <si>
    <t>LIQUIDACIÓ AJUSTADA</t>
  </si>
  <si>
    <t>OOFF</t>
  </si>
  <si>
    <t>AJUSTOS SEC'95</t>
  </si>
  <si>
    <t>Inejecucion</t>
  </si>
  <si>
    <t>INSTRUCCIONS PER EMPLENAR EL FULL DE CÀLCUL RELATIU A LA CONFECCIÓ DEL PRESSUPOST</t>
  </si>
  <si>
    <t>Darrera Modificació:</t>
  </si>
  <si>
    <t>FASE 1 - APROVACIÓ DEL PRESSUPOST</t>
  </si>
  <si>
    <t xml:space="preserve">1. Cal començar per la pestanya "1_desglòs INGRESSOS". </t>
  </si>
  <si>
    <t>2. Un cop determinats els ingressos de l'entitat local, s'emplenarà la pestanya "2_desglòs DESPESES".</t>
  </si>
  <si>
    <t>3. A continuació, caldrà emplenar el full "3_PREV LIQ_Regla despesa" a fi de calcular la regla de la despesa</t>
  </si>
  <si>
    <t>4. Després calcularem la capacitat o necessitat de finançament de l'entitat en el full "4_PREV_LIQ_CF_NF"</t>
  </si>
  <si>
    <t>5. Automàticament s'empleneran les dades relatives al càlcul del sostre de la despesa "5_PREV_LIQ_sostre despesa"</t>
  </si>
  <si>
    <t>FASE 2 - VERIFICACIÓ DE LA REGLA DE LA DESPESA, DE LA CAPACITAT O NECESSITAT DE FINANÇAMENT I DEL SOSTRE DE LA DESPESA UN COP APROVADA LA LIQUIDACIÓ DE L'EXERCICI ANTERIOR</t>
  </si>
  <si>
    <t>2. A continuació emplenarem també les dades relatives a la liquidació al full "9_LIQ_CF_NF" a fi d'obtenir la capacitat o necessitat de finançament real.</t>
  </si>
  <si>
    <t>Dades a emplenar en cel.les de color groc</t>
  </si>
  <si>
    <t>En color taronja, cel.les que contenen fòrmules: No modificar si no és per circumstàncies especials del propi Ajuntament. Si cal modificar alguna cel·la que està bloquejada la contrasenya és SEM.</t>
  </si>
  <si>
    <t>CLASSIFICACIÓ ECONÒMICA D'INGRESSOS</t>
  </si>
  <si>
    <t>CAPÍTOL</t>
  </si>
  <si>
    <t>CONCEPTE</t>
  </si>
  <si>
    <t>SUBCONCEPTE</t>
  </si>
  <si>
    <t>DENOMINACIÓ</t>
  </si>
  <si>
    <t>IMPORT</t>
  </si>
  <si>
    <t>Ingressos cap. 1 a 5 - CCEE - QQUU - Despeses cap. 1 a 5 - cap. 9</t>
  </si>
  <si>
    <t>marge compliment regla de la despesa</t>
  </si>
  <si>
    <t>marge compliment estabilitat</t>
  </si>
  <si>
    <t>import màxim que pot augmentar el sostre de la despesa, sempre que hi hagi finançament</t>
  </si>
  <si>
    <t>SOSTRE DE DESPESA DEL PRESSUPOST</t>
  </si>
  <si>
    <t>Import previst subvenció 2015</t>
  </si>
  <si>
    <t>CÀLCUL PRESSUPOST 2015 D'ACORD AMB LA LLEI ORGÀNICA D'ESTABILITAT PRESSUPOSTÀRIA I SUFICIENCIA  FINANCERA</t>
  </si>
  <si>
    <t>Al full "11_EQUILIBRIS I CONSOLIDACIÓ" hi trobareu la plantilla per a fer els càlculs consolidats, així com per calcular els equilibris pressupostaris a efectes d'emplenar l'informe d'intervenció.</t>
  </si>
  <si>
    <t>4. I, per últim, al full "10_LIQ_Sostenibilitat" es recalcula el rati de deute viu a 31/12/2015 amb les dades de la liquidació de l'exercici 2014.</t>
  </si>
  <si>
    <t>6. Al full "6_PREV_LIQ_Sostenibilitat" es calcula la previsió del rati de deute viu a 31/12/2015, amb les dades de l'últim exercici liquidat (2013)</t>
  </si>
  <si>
    <t>7. Finalment, al full "7_PREV LIQ i LIQ_equilibri,  hi ha el càlcul relatiu a l'equilibri del pressupost i l'estalvi corrent després d'amortitzacions</t>
  </si>
  <si>
    <t>011</t>
  </si>
  <si>
    <t>INGRESSOS</t>
  </si>
  <si>
    <t>Superàvit (+) / Dèficit (-) no financer</t>
  </si>
  <si>
    <t>TOTAL DESPESES</t>
  </si>
  <si>
    <t>Passius financers</t>
  </si>
  <si>
    <t>Deute públic</t>
  </si>
  <si>
    <t>Actius financers</t>
  </si>
  <si>
    <t>Actuacions de caràcter general</t>
  </si>
  <si>
    <t>Transferències de capital</t>
  </si>
  <si>
    <t>Inversions reals</t>
  </si>
  <si>
    <t>Transferències corrents</t>
  </si>
  <si>
    <t>Despeses financeres</t>
  </si>
  <si>
    <t>Ajuntament</t>
  </si>
  <si>
    <t>Bens corrents i serveis</t>
  </si>
  <si>
    <t>Despeses de personal</t>
  </si>
  <si>
    <t>CAP</t>
  </si>
  <si>
    <t>CERTIFICAT ACORD DEL PLE definitiu</t>
  </si>
  <si>
    <t>Total endeutament</t>
  </si>
  <si>
    <t>ACORD DEL PLE DEFINITIU</t>
  </si>
  <si>
    <t>TOTAL INGRESSOS</t>
  </si>
  <si>
    <t>CERTIFICAT D’EXPOSICIÓ PÚBLICA</t>
  </si>
  <si>
    <t>Subvenció</t>
  </si>
  <si>
    <t>Import</t>
  </si>
  <si>
    <t>CERTIFICAT ACORD DEL PLE INICIAL</t>
  </si>
  <si>
    <t>Total endeutament computable</t>
  </si>
  <si>
    <t>ACORD DEL PLE INICIAL</t>
  </si>
  <si>
    <t>Subtotal</t>
  </si>
  <si>
    <t>INFORMES DE LA INTERVENCIÓ</t>
  </si>
  <si>
    <t>Alienació d'inversions</t>
  </si>
  <si>
    <t>DECRET DE L’ALCALDIA PEL PLE</t>
  </si>
  <si>
    <t>Ingressos patrimonials</t>
  </si>
  <si>
    <t>ESTAT DEL DEUTE</t>
  </si>
  <si>
    <t xml:space="preserve">ESTAT DE LA CONSOLIDACIÓ </t>
  </si>
  <si>
    <t>Taxes i altres ingressos</t>
  </si>
  <si>
    <t>ANNEX DE LES INVERSIONS QUATRIENAL</t>
  </si>
  <si>
    <t>Impostos indirectes</t>
  </si>
  <si>
    <t>INFORME ECONÒMIC I FINANCER</t>
  </si>
  <si>
    <t>Impostos directes</t>
  </si>
  <si>
    <t>ANNEX DE LES INVERSIONS</t>
  </si>
  <si>
    <t>Tipus</t>
  </si>
  <si>
    <t>Descripció</t>
  </si>
  <si>
    <t>ANNEX DE PERSONAL</t>
  </si>
  <si>
    <t>MEMÒRIA</t>
  </si>
  <si>
    <t>Amortitzacions</t>
  </si>
  <si>
    <t>Altes</t>
  </si>
  <si>
    <t>a 1/1/</t>
  </si>
  <si>
    <t>Descripió</t>
  </si>
  <si>
    <t>DECRET DE L’ALCALDIA</t>
  </si>
  <si>
    <t>Pendent</t>
  </si>
  <si>
    <t>DATA</t>
  </si>
  <si>
    <t>EQUILIBRI</t>
  </si>
  <si>
    <t>Fons de contingència</t>
  </si>
  <si>
    <t>Dèficit inversions</t>
  </si>
  <si>
    <t>Compres de bens corrents i serveis</t>
  </si>
  <si>
    <t>Transferències capital</t>
  </si>
  <si>
    <t>liq.</t>
  </si>
  <si>
    <t>Prev</t>
  </si>
  <si>
    <t>DESPESES</t>
  </si>
  <si>
    <t>Total càrrega financera</t>
  </si>
  <si>
    <t>Total despeses corrents</t>
  </si>
  <si>
    <t>Total ingressos corrents</t>
  </si>
  <si>
    <t>RESUM PRESSUPOST</t>
  </si>
  <si>
    <t>Exercici</t>
  </si>
  <si>
    <t>AVISOS</t>
  </si>
  <si>
    <t>TOTAL FINANÇAMENT</t>
  </si>
  <si>
    <t>estalvi per a inversions</t>
  </si>
  <si>
    <t>operacions de crèdit</t>
  </si>
  <si>
    <t>actius financers</t>
  </si>
  <si>
    <t>transferències de capital</t>
  </si>
  <si>
    <t>alienació de patrimoni</t>
  </si>
  <si>
    <t>contribucions especials i quotes urbanístiques</t>
  </si>
  <si>
    <t>CÀCUL INVERSIONS</t>
  </si>
  <si>
    <t>Coeficient de Finançament (exceptuant recursos propis)</t>
  </si>
  <si>
    <t>Recursos Propis</t>
  </si>
  <si>
    <t>Total Financiació Recursos Aliens</t>
  </si>
  <si>
    <t>Despesa C</t>
  </si>
  <si>
    <t>Financiació C</t>
  </si>
  <si>
    <t>Despesa B</t>
  </si>
  <si>
    <t>Financiació B</t>
  </si>
  <si>
    <t>Despesa A</t>
  </si>
  <si>
    <t>Financiació A</t>
  </si>
  <si>
    <t>Denominació</t>
  </si>
  <si>
    <t>Partida</t>
  </si>
  <si>
    <t>Projecte 1</t>
  </si>
  <si>
    <t>PLA D'INVERSIONS</t>
  </si>
  <si>
    <t>Altres</t>
  </si>
  <si>
    <t>Lloc</t>
  </si>
  <si>
    <t>Publicació BOP</t>
  </si>
  <si>
    <t>CLASSIFICACIÓ PER PROGRAMES</t>
  </si>
  <si>
    <t>Grup de Programes</t>
  </si>
  <si>
    <t>Administració General</t>
  </si>
  <si>
    <t>Seguretat i Ordre Públic</t>
  </si>
  <si>
    <t>Ordenació del Tràfic i de l'estacionament</t>
  </si>
  <si>
    <t>Movilitat Urbana</t>
  </si>
  <si>
    <t>Protecció Civil</t>
  </si>
  <si>
    <t>Servei de prevenció i 'extinció d'incendis</t>
  </si>
  <si>
    <t>Administració  General de la habitatge i urbanisme</t>
  </si>
  <si>
    <t>Urbanisme</t>
  </si>
  <si>
    <t>Promoció i Gestió de Vivenda de protecció pública</t>
  </si>
  <si>
    <t>Conservació i rehabilitació de l'edificació</t>
  </si>
  <si>
    <t>Accès als nuclis de població</t>
  </si>
  <si>
    <t>Pavimentació de vies Públiques</t>
  </si>
  <si>
    <t>Clavegueram</t>
  </si>
  <si>
    <t>Abastament domiciliari d'aigua potable</t>
  </si>
  <si>
    <t>Recollida de Residus</t>
  </si>
  <si>
    <t>Gestió de Residus sòlids urbans</t>
  </si>
  <si>
    <t>Tractament de residus</t>
  </si>
  <si>
    <t>Neteja viària</t>
  </si>
  <si>
    <t>Cementiris i serveis funeraris</t>
  </si>
  <si>
    <t>Enllumenat públic</t>
  </si>
  <si>
    <t>Administració General del Medi Ambient</t>
  </si>
  <si>
    <t>Parcs i jardins</t>
  </si>
  <si>
    <t>Protecció contra la contaminació acústica, lumínica i atmosfèrica a les zones urbanes</t>
  </si>
  <si>
    <t>Pensions</t>
  </si>
  <si>
    <t xml:space="preserve">Pensions </t>
  </si>
  <si>
    <t>Altres prestacions econòmiques a favor dels empleats</t>
  </si>
  <si>
    <t>Acció Social</t>
  </si>
  <si>
    <t>Foment d'Ocupació</t>
  </si>
  <si>
    <t>Protecció de la salubritat pública</t>
  </si>
  <si>
    <t>Hospitals, serveis assistencials i centres de salut</t>
  </si>
  <si>
    <t>Administració General d'Educació</t>
  </si>
  <si>
    <t>Creació de centres docents d'ensenyament infantil i primari</t>
  </si>
  <si>
    <t>Creació de centres docents d'ensenyament secundari</t>
  </si>
  <si>
    <t>Funcionament de centres docents d'ensenyament infantil, primari i d'educació especial</t>
  </si>
  <si>
    <t>Funcionament de centres docents d'ensenyament secundari</t>
  </si>
  <si>
    <t>Vigilància i compliment de l'escolarització obligatòtria</t>
  </si>
  <si>
    <t>Serveis complementairs d'educació</t>
  </si>
  <si>
    <t>Foment de la convivència ciutadana</t>
  </si>
  <si>
    <t>Administració General de Cultura</t>
  </si>
  <si>
    <t>Biblioteques publiques</t>
  </si>
  <si>
    <t>Arxius</t>
  </si>
  <si>
    <t>Equipaments culturals i museus</t>
  </si>
  <si>
    <t>Promoció cultural</t>
  </si>
  <si>
    <t>Protecció i gestió del patrimoni històric artístic</t>
  </si>
  <si>
    <t>Instal·lació d'ocupació del temps lliure</t>
  </si>
  <si>
    <t>Festes populars i festejos</t>
  </si>
  <si>
    <t>Administració General d'Esports</t>
  </si>
  <si>
    <t>Promoció i foment d'esports</t>
  </si>
  <si>
    <t>Instal·lacions esportives</t>
  </si>
  <si>
    <t>Administració General d'Agricultura, ramaderia i pesca</t>
  </si>
  <si>
    <t xml:space="preserve">Millora de les estructures agropecuària </t>
  </si>
  <si>
    <t>Desenvolupament rural</t>
  </si>
  <si>
    <t>Protecció i desenvolupament dels recursos pequers</t>
  </si>
  <si>
    <t>Altres actuacions en agricultura, ramaderia i pesca</t>
  </si>
  <si>
    <t>Administració General d'Industria i Energia</t>
  </si>
  <si>
    <t>Indústria</t>
  </si>
  <si>
    <t>Mineria</t>
  </si>
  <si>
    <t>Energia</t>
  </si>
  <si>
    <t>Administració General de comerç, turisme i petites i mitjanes empreses</t>
  </si>
  <si>
    <t>Fires</t>
  </si>
  <si>
    <t>Mercats, queviures i llotges</t>
  </si>
  <si>
    <t>Comerç ambulant</t>
  </si>
  <si>
    <t>Informació i pormoció turística</t>
  </si>
  <si>
    <t>Desenvolupament empresarial</t>
  </si>
  <si>
    <t>Altres actuacions sectorials</t>
  </si>
  <si>
    <t>Administració general del Transport</t>
  </si>
  <si>
    <t>Transport Col·lectiu urbà de viatgers</t>
  </si>
  <si>
    <t>Altre transport de viatger</t>
  </si>
  <si>
    <t>Infrastructures del transport</t>
  </si>
  <si>
    <t>Transport de mercaderies</t>
  </si>
  <si>
    <t>Administració General d'Infrastructures</t>
  </si>
  <si>
    <t>Recursos hidràulics</t>
  </si>
  <si>
    <t>Carreteres</t>
  </si>
  <si>
    <t>Camins veïnals</t>
  </si>
  <si>
    <t>Altres infrastructures</t>
  </si>
  <si>
    <t xml:space="preserve">Investigació i estudis relacionats amb els sectors </t>
  </si>
  <si>
    <t>Investigació científica</t>
  </si>
  <si>
    <t>Societat de la informació</t>
  </si>
  <si>
    <t>Gestió del coneixement</t>
  </si>
  <si>
    <t>Oficines de defensa al consumidor</t>
  </si>
  <si>
    <t>Òrgans de govern</t>
  </si>
  <si>
    <t>Òrgans de Govern</t>
  </si>
  <si>
    <t>Coordinació i organització de les entitats locals</t>
  </si>
  <si>
    <t>Informació bàsica i estadística</t>
  </si>
  <si>
    <t>Gestió del padró municipal d'habitants</t>
  </si>
  <si>
    <t>Participació ciutadana</t>
  </si>
  <si>
    <t>Atenció als ciutadans</t>
  </si>
  <si>
    <t>Comunicacions internes</t>
  </si>
  <si>
    <t>Imprevistos i funcions no classificats</t>
  </si>
  <si>
    <t>Política econòmica i fiscal</t>
  </si>
  <si>
    <t>Gestió del sistema tributari</t>
  </si>
  <si>
    <t>Gestió del Patrimoni</t>
  </si>
  <si>
    <t>Gestió del deute i de la tresoreria</t>
  </si>
  <si>
    <t>Transferències a Comunitats Autonòmiques</t>
  </si>
  <si>
    <t>Transferències a Entitats Locals Territorials</t>
  </si>
  <si>
    <t>Transferències a altres Entitats Locals</t>
  </si>
  <si>
    <t>Transferències a l'Administració General de l'Estat</t>
  </si>
  <si>
    <t>Deute Públic</t>
  </si>
  <si>
    <t>LLEGENDA</t>
  </si>
  <si>
    <t>sense modificació</t>
  </si>
  <si>
    <t>transformacions directes</t>
  </si>
  <si>
    <t>desglòs o agrupació</t>
  </si>
  <si>
    <t>s'ha creat o anul·lat el programa</t>
  </si>
  <si>
    <t>Ordre EHA/3565/2008</t>
  </si>
  <si>
    <t>Ordre 3565/2008 consolidada amb les modificacions introduïdes per l'Ordre HAP/419/2014</t>
  </si>
  <si>
    <t>Administració general de la seguretat i protecció civil</t>
  </si>
  <si>
    <t>Seguretat i ordre públic</t>
  </si>
  <si>
    <t>Ordenació del trànsit i de l'estacionament</t>
  </si>
  <si>
    <t>Movilitat urbana</t>
  </si>
  <si>
    <t>Protecció civil</t>
  </si>
  <si>
    <t>Servei d'extinció d'incendis</t>
  </si>
  <si>
    <t>Servei de prevenció i extinció d'incendis</t>
  </si>
  <si>
    <t>Administració general d'habitatge i urbanisme</t>
  </si>
  <si>
    <t>Urbanisme: planejament, gestió, execució i disciplina urbanística</t>
  </si>
  <si>
    <t>Habitatge</t>
  </si>
  <si>
    <t>Promoció i gestió de vivenda de protecció pública</t>
  </si>
  <si>
    <t>Accès a l'habitatge</t>
  </si>
  <si>
    <t>Foment de l'edificació protegida</t>
  </si>
  <si>
    <t>Vies públiques</t>
  </si>
  <si>
    <t>Accés als nuclis de població</t>
  </si>
  <si>
    <t>Pavimentació de vies públiques</t>
  </si>
  <si>
    <t xml:space="preserve">Sanejament, proveïment i distribució d'aigües </t>
  </si>
  <si>
    <t>Recollida, eliminació i tractament de residus</t>
  </si>
  <si>
    <t>Recollida de residus</t>
  </si>
  <si>
    <t>Gestió de residus sòlids urbans</t>
  </si>
  <si>
    <t>Cementiri i serveis funeraris</t>
  </si>
  <si>
    <t>Altres serveis de benestar comunitari</t>
  </si>
  <si>
    <t>Administració general del medi ambient</t>
  </si>
  <si>
    <t>Protecció i millora del medi ambient</t>
  </si>
  <si>
    <t>Altres actuacions relacionades amb el medi ambient</t>
  </si>
  <si>
    <t>Altres prestacions econòmiques a favor d'empleats</t>
  </si>
  <si>
    <t>Administració general de serveis socials</t>
  </si>
  <si>
    <t>Assistència social primària</t>
  </si>
  <si>
    <t>Acció social</t>
  </si>
  <si>
    <t>Promoció social</t>
  </si>
  <si>
    <t>Assistència a persones dependents</t>
  </si>
  <si>
    <t>Foment de l'ocupació</t>
  </si>
  <si>
    <t xml:space="preserve">Hospitals, serveis assistencials i centres de salut </t>
  </si>
  <si>
    <t xml:space="preserve">Accions públiques relatives a la salut </t>
  </si>
  <si>
    <t>Administració general d'educació</t>
  </si>
  <si>
    <t>Ensenyament preescolar i primària</t>
  </si>
  <si>
    <t>Creació de centres docents d'ensenyament infantil i primària</t>
  </si>
  <si>
    <t>Ensenyament secundari</t>
  </si>
  <si>
    <t>Promoció educativa</t>
  </si>
  <si>
    <t>Vigilància del compliment de l'escolaritat obligatòria</t>
  </si>
  <si>
    <t xml:space="preserve">Serveis complementaris d'educació </t>
  </si>
  <si>
    <t>Administració general de cultura</t>
  </si>
  <si>
    <t>Biblioteques i arxius</t>
  </si>
  <si>
    <t>Biblioteques públiques</t>
  </si>
  <si>
    <t>Museus i arts plàstiques</t>
  </si>
  <si>
    <t>Arts escèniques</t>
  </si>
  <si>
    <t>Arqueologia i protecció del patrimoni històrico artístic</t>
  </si>
  <si>
    <t>Protecció i gestió del patrimoni històrico artístic</t>
  </si>
  <si>
    <t>Oci i temps lliure</t>
  </si>
  <si>
    <t>Instal·lacions d'ocupació del temps lliure</t>
  </si>
  <si>
    <t>Festes populars i celebracions</t>
  </si>
  <si>
    <t>Administració general d'esports</t>
  </si>
  <si>
    <t>Promoció i foment de l'esport</t>
  </si>
  <si>
    <t>Administració general d'agricultura, ramaderia i pesca</t>
  </si>
  <si>
    <t>Millora de les estructures agropecuàries i dels sistemes productius</t>
  </si>
  <si>
    <t>Protecció i desenvolupament dels recursos pesquers</t>
  </si>
  <si>
    <t>Administració general d'indústria i energia</t>
  </si>
  <si>
    <t>Administració general de comerç, turisme i petites i mitjanes empreses</t>
  </si>
  <si>
    <t>Comerç</t>
  </si>
  <si>
    <t>Mercats,  queviures i llotges</t>
  </si>
  <si>
    <t>Ordenació i promoció turística</t>
  </si>
  <si>
    <t>Informació i promoció turística</t>
  </si>
  <si>
    <t>Administració general del transport</t>
  </si>
  <si>
    <t>Protecció,mantenimenti desenvolupament del transport</t>
  </si>
  <si>
    <t>Transport col·lectiu urbà de viatgers</t>
  </si>
  <si>
    <t>Altre transport de viatgers</t>
  </si>
  <si>
    <t>Infraestructures del transport</t>
  </si>
  <si>
    <t>Administració general d'infraestructures</t>
  </si>
  <si>
    <t>Altres infraestructures</t>
  </si>
  <si>
    <t>Recerca i estudis relacionats amb els serveis públics</t>
  </si>
  <si>
    <t>Recerca científica, tècnica i aplicada</t>
  </si>
  <si>
    <t>Protecció de consumidors i usuaris</t>
  </si>
  <si>
    <t>Administració general</t>
  </si>
  <si>
    <t>Coordinació i organització institucional de les entitats locals</t>
  </si>
  <si>
    <t>Imprevistos i funcions no classificades</t>
  </si>
  <si>
    <t>Gestió del patrimoni</t>
  </si>
  <si>
    <t>Transferències a CCAA</t>
  </si>
  <si>
    <t>Transferències a entitats locals territorials</t>
  </si>
  <si>
    <t>Transfeències a altres entitats locals</t>
  </si>
  <si>
    <t>Transferències a altres entitats locals</t>
  </si>
  <si>
    <t>Transferència a l'administració general de l'estat</t>
  </si>
  <si>
    <t>Serveis públics</t>
  </si>
  <si>
    <t>Actuacions de protecció i promoció social</t>
  </si>
  <si>
    <t>Producció de béns públics de caràcter preferent</t>
  </si>
  <si>
    <t>Actualitzacions de caràcter econòmic</t>
  </si>
  <si>
    <t>Deute</t>
  </si>
  <si>
    <t>Àrea de despesa</t>
  </si>
  <si>
    <t>AVANT PROJECTE PRESSUPOST</t>
  </si>
  <si>
    <t>Fons contingencia</t>
  </si>
  <si>
    <t>Superàvit estructural</t>
  </si>
  <si>
    <t>Fons</t>
  </si>
  <si>
    <t>propis</t>
  </si>
  <si>
    <t>finanç.</t>
  </si>
  <si>
    <t>31/12</t>
  </si>
  <si>
    <t>meritats</t>
  </si>
  <si>
    <t xml:space="preserve">Capítols 1-7 d’ingressos - Capítols 1-7 de despeses </t>
  </si>
  <si>
    <t>Secretaria interventora</t>
  </si>
  <si>
    <t>PATRONAT</t>
  </si>
  <si>
    <t>ART</t>
  </si>
  <si>
    <t>AREA</t>
  </si>
  <si>
    <t>Subconcepte</t>
  </si>
  <si>
    <t>Previsió Deute viu a 31/12/</t>
  </si>
  <si>
    <t>AVANT PROJECTE PRESSUPOST CONSOLIDAT</t>
  </si>
  <si>
    <t>AJUSTAMENTS INGRESSOS</t>
  </si>
  <si>
    <t>AJUSTAMENTS DESPESES</t>
  </si>
  <si>
    <t>AJUSTAMENTS CONSOLIDACIÓ</t>
  </si>
  <si>
    <t>Import previst subvenció</t>
  </si>
  <si>
    <t>B. CÀLCUL DELS INGRESSOS CORRENTS AJUSTATS CONSOLIDATS (amb DR última liquidació)</t>
  </si>
  <si>
    <t>Taxa referencia regla de despesa</t>
  </si>
  <si>
    <t>Regla despesa liquidació prevista ecercici anterior</t>
  </si>
  <si>
    <t xml:space="preserve">Regla despesa pressupost </t>
  </si>
  <si>
    <t>31/12/</t>
  </si>
  <si>
    <t>Llocs</t>
  </si>
  <si>
    <t>Altres Import a compensar PTE</t>
  </si>
  <si>
    <t>Altres inversions</t>
  </si>
  <si>
    <t>Lloc de treball</t>
  </si>
  <si>
    <t>Places</t>
  </si>
  <si>
    <t>Categoria</t>
  </si>
  <si>
    <t>Administrativa</t>
  </si>
  <si>
    <t>Laboral temporal</t>
  </si>
  <si>
    <t>Personal neteja</t>
  </si>
  <si>
    <t>Reforma i millora equipaments locals</t>
  </si>
  <si>
    <t>Xarxa calor escoles</t>
  </si>
  <si>
    <t>Campanar</t>
  </si>
  <si>
    <t>Escultura</t>
  </si>
  <si>
    <t>Finançament</t>
  </si>
  <si>
    <t>subvencions</t>
  </si>
  <si>
    <t>F. propis</t>
  </si>
  <si>
    <t>Socorristes</t>
  </si>
  <si>
    <t>Laboral fix</t>
  </si>
  <si>
    <t>Vacant</t>
  </si>
  <si>
    <t>pres</t>
  </si>
  <si>
    <t>prev ing</t>
  </si>
  <si>
    <t>total</t>
  </si>
  <si>
    <t>Generalitat</t>
  </si>
  <si>
    <t>Inversions i T capital</t>
  </si>
  <si>
    <t>Inversions</t>
  </si>
  <si>
    <t>Diputació</t>
  </si>
  <si>
    <t>El pressupost general compleix amb l’objectiu d’estabilitat pressupostaria per un import de</t>
  </si>
  <si>
    <t>El pressupost general no compleix amb l’objectiu d’estabilitat pressupostaria per un import de</t>
  </si>
  <si>
    <t xml:space="preserve">El pressupost, en termes consolidats, de l’ajuntament acompliria la regla de la despesa, amb un marge de </t>
  </si>
  <si>
    <t xml:space="preserve">El pressupost, en termes consolidats, de l’ajuntament no acompliria la regla de la despesa, per un excés de  </t>
  </si>
  <si>
    <t>INVERSIONS PRESSUPOST</t>
  </si>
  <si>
    <t>AJUSTOS Càlcul despeses no financeres segons el SEC</t>
  </si>
  <si>
    <t>PLACES</t>
  </si>
  <si>
    <t>ESCALA</t>
  </si>
  <si>
    <t>General</t>
  </si>
  <si>
    <t>Despeses no financeres termes SEC excepte interessos del deute (1-2)</t>
  </si>
  <si>
    <t>La Secretaria interventora</t>
  </si>
  <si>
    <t>Escombreries</t>
  </si>
  <si>
    <t>C1</t>
  </si>
  <si>
    <t>Administratiu</t>
  </si>
  <si>
    <t>Neteja</t>
  </si>
  <si>
    <t>+</t>
  </si>
  <si>
    <t>SUB-ESCALA</t>
  </si>
  <si>
    <t>CLASSE</t>
  </si>
  <si>
    <t>DESTÍ</t>
  </si>
  <si>
    <t>GRUP</t>
  </si>
  <si>
    <t>NÚM.</t>
  </si>
  <si>
    <t>VACANTS I</t>
  </si>
  <si>
    <t>INTERNES</t>
  </si>
  <si>
    <t>COBERTES</t>
  </si>
  <si>
    <t>Secretaria intervenció</t>
  </si>
  <si>
    <t>Hab. Nacional</t>
  </si>
  <si>
    <t>F. Habilit.</t>
  </si>
  <si>
    <t>A1</t>
  </si>
  <si>
    <t>Especial</t>
  </si>
  <si>
    <t>CAIXABANK 128.530,32</t>
  </si>
  <si>
    <t>Caixa Enginyers</t>
  </si>
  <si>
    <t>Guimerà</t>
  </si>
  <si>
    <t>Salvador Balcells Busquets</t>
  </si>
  <si>
    <t>Marina Prenafeta Bourquin</t>
  </si>
  <si>
    <t>de Guimerà</t>
  </si>
  <si>
    <t>IBI RÚSTICA</t>
  </si>
  <si>
    <t>IBI URBANA</t>
  </si>
  <si>
    <t>IMPOST DE VEHICLES</t>
  </si>
  <si>
    <t>IMPOST INCREMENT VALOR TERRENYS</t>
  </si>
  <si>
    <t>IAE</t>
  </si>
  <si>
    <t>IMPOST CONSTRUCCIONS, INSTAL.LACIONS I OBRES</t>
  </si>
  <si>
    <t>TAXA SUBMINISTRAMENT AIGUA</t>
  </si>
  <si>
    <t>TAXA CLAVEGUERAM</t>
  </si>
  <si>
    <t>TAXA RECOLLIDA ESCOMBRARIES</t>
  </si>
  <si>
    <t>TAXA CEMENTIRI i DRETS FUNERARIS</t>
  </si>
  <si>
    <t>EXPEDIENTS ACTIVITATS CLASSIFICADES</t>
  </si>
  <si>
    <t xml:space="preserve">TAXA EXPEDICIÓ DOCUMENTS </t>
  </si>
  <si>
    <t xml:space="preserve">TAXA APROFITAMENT DOMINI PÚBLIC </t>
  </si>
  <si>
    <t xml:space="preserve">TAXA OCUPACIÓ VIA PÚBLICA </t>
  </si>
  <si>
    <t>COMPENSACIÓ TELEFONICA</t>
  </si>
  <si>
    <t>TAXA PISCINES MUNICIPALS</t>
  </si>
  <si>
    <t>RECÀRRECS D'APRESSAMENT</t>
  </si>
  <si>
    <t>INTERESSOS DE DEMORA</t>
  </si>
  <si>
    <t>ALTRES INGRESSOS DIVERSOS</t>
  </si>
  <si>
    <t>MERCAT MEDIEVAL</t>
  </si>
  <si>
    <t>INGRESSOS BAR PISCINES</t>
  </si>
  <si>
    <t>PARTICIPACIÓ MUNICIPAL TRIBUTS ESTAT</t>
  </si>
  <si>
    <t>FONS COOPERACIÓ LOCAL CATALUNYA</t>
  </si>
  <si>
    <t>SUBVENCIÓ JUTJAT DE PAU</t>
  </si>
  <si>
    <t xml:space="preserve">SUBVENCIÓ CÀRRECS ELECTES </t>
  </si>
  <si>
    <t>CONSULTORI</t>
  </si>
  <si>
    <t>RETORN CANON</t>
  </si>
  <si>
    <t>PLA COOPERACIÓ MUNICIPAL</t>
  </si>
  <si>
    <t>PLA ÀMBIT SALUT</t>
  </si>
  <si>
    <t>IEI CATÀLEG OFERTA CULTURAL</t>
  </si>
  <si>
    <t>SUBVENCIÓ CONSELL COMARCAL MERCAT MEDIEVAL</t>
  </si>
  <si>
    <t>ARRENDAMENT VIVENDA</t>
  </si>
  <si>
    <t>ARRENDAMENT FINCA RÚSTICA REPEDIDOR MOVISTAR</t>
  </si>
  <si>
    <t>ARRENDAMENT DRETS EXPLOTACIÓ CINEGÈTICA VEDAT</t>
  </si>
  <si>
    <t>COncessió piscines</t>
  </si>
  <si>
    <t>Pla salut 2023-2025</t>
  </si>
  <si>
    <t>Repte demogràfic</t>
  </si>
  <si>
    <t>Pla inversions diputació 2025</t>
  </si>
  <si>
    <t>Front de roques Fase 1</t>
  </si>
  <si>
    <t>Front de roques Fase 2</t>
  </si>
  <si>
    <t>Pla de camins 23-24</t>
  </si>
  <si>
    <t>Millora infraestructures viaries</t>
  </si>
  <si>
    <t>RETRIBUCIONS ALCALDIA</t>
  </si>
  <si>
    <t>Retribucions bàsiques funcionaris</t>
  </si>
  <si>
    <t>COMPLEMENT DE DESTÍ</t>
  </si>
  <si>
    <t>COMPLEMENT ESPECÍFIC</t>
  </si>
  <si>
    <t xml:space="preserve">PERSONAL LABORAL FIX </t>
  </si>
  <si>
    <t>SEGURETAT SOCIAL</t>
  </si>
  <si>
    <t>ARRENDAMENT TERRENYS</t>
  </si>
  <si>
    <t>ARRENDAMENTS MAQUINARIA I UTILLATGE</t>
  </si>
  <si>
    <t>ARRENDAMENTS EQUIPS PROCES INFORMACIÓ</t>
  </si>
  <si>
    <t>REPARACIÓ i MANTENIMENT INSTAL.LACIONS AIGUA</t>
  </si>
  <si>
    <t>MANTENIMENT ENLLUMENAT PUBLIC</t>
  </si>
  <si>
    <t>MANTENIMENT PARCS i JARDINS</t>
  </si>
  <si>
    <t>REPARACIÓ i MANTENIMENT INFRAESTRUCTURES</t>
  </si>
  <si>
    <t>ARRANJAMENT CAMINS</t>
  </si>
  <si>
    <t>MANTENIMENT CEMENTIRI</t>
  </si>
  <si>
    <t>MANTENIMENT ESCOLES</t>
  </si>
  <si>
    <t>MANTENIMENT EQUIPAMENTS MUNICIPALS i MUSEU</t>
  </si>
  <si>
    <t>MANTENIMENT EDIFICI AJUNTAMENT</t>
  </si>
  <si>
    <t xml:space="preserve">MANTENIMENT MAQUINARIA </t>
  </si>
  <si>
    <t>MANTENIMENT BOBCAT i VEHICLE MUNICIPAL</t>
  </si>
  <si>
    <t>MANTENIMENT EQUIPS OFICINA</t>
  </si>
  <si>
    <t>MANTENIMENT PROGRAMES INFORMÀTICS</t>
  </si>
  <si>
    <t>MATERIAL OFICINA</t>
  </si>
  <si>
    <t>PREMSA i PUBLICACIONS</t>
  </si>
  <si>
    <t xml:space="preserve">ENERGIA ELÈCTRICA POUS </t>
  </si>
  <si>
    <t>ENERGIA ELÈCTRICA ENLLUMENAT PÚBLIC</t>
  </si>
  <si>
    <t>ELECTRICITAT ESCOLES</t>
  </si>
  <si>
    <t>ELECTRICITAT EQUIPAMENTS MUNICIPALS i MUSEU</t>
  </si>
  <si>
    <t>ELECTRICITAT PISCINES i INSTAL.LACIONS ESPORTIVES</t>
  </si>
  <si>
    <t>ELECTRICITAT EDIFICI AJUNTAMENT</t>
  </si>
  <si>
    <t>AIGUA CANAL D'URGELL</t>
  </si>
  <si>
    <t>COMBUSTIBLE VEHICLES MUNICIPALS</t>
  </si>
  <si>
    <t>COMBUSTIBLE ESCOLES</t>
  </si>
  <si>
    <t xml:space="preserve">COMBUSTIBLE EQUIPAMENTS MUNICIPALS </t>
  </si>
  <si>
    <t>COMBUSTIBLE EDIFICI AJUNTAMENT</t>
  </si>
  <si>
    <t>QUALITAT SERVEI AIGUA</t>
  </si>
  <si>
    <t>SUBMINISTRAMENTS BAR PISCINES</t>
  </si>
  <si>
    <t>TELEFONIA</t>
  </si>
  <si>
    <t>CANAL + CENTRE SOCIOCULTURAL</t>
  </si>
  <si>
    <t>DESPESES CORREUS</t>
  </si>
  <si>
    <t>ASSEGURANCES</t>
  </si>
  <si>
    <t>CÀNONS ACA i CHE</t>
  </si>
  <si>
    <t>TRIBUTS DE LES COMUNITATS AUTÒNOMES</t>
  </si>
  <si>
    <t>DESPESES DIVERSES ESCOLA</t>
  </si>
  <si>
    <t>PUBLICACIONS EN DIARIS OFICIALS</t>
  </si>
  <si>
    <t xml:space="preserve">FESTES </t>
  </si>
  <si>
    <t>ALTRES DESPESES DIVERSES</t>
  </si>
  <si>
    <t xml:space="preserve">MERCAT MEDIEVAL </t>
  </si>
  <si>
    <t>RECOLLIDA ESCOMBRARIES, SELECTIVA i TRACTAMENT RESIDUS</t>
  </si>
  <si>
    <t>TRACTAMENT DE RESIDUS</t>
  </si>
  <si>
    <t>SERVEI SOCORRISTA PISCINES</t>
  </si>
  <si>
    <t>PROCESSOS ELECTORALS</t>
  </si>
  <si>
    <t>SERVEI RECAPTACIÓ DIPUTACIÓ</t>
  </si>
  <si>
    <t>ASSESSORIA URBANISME I ARQUITECTURA</t>
  </si>
  <si>
    <t>ASSESSORIA FISCAL, LABORAL, COMPTABLE I ECONOMICA</t>
  </si>
  <si>
    <t>ALTRES TREBALLS REALITZATS PER EMPRESES</t>
  </si>
  <si>
    <t>SERVEIS SOCIALS</t>
  </si>
  <si>
    <t>SAT URBANISME i INFORMÀTICA</t>
  </si>
  <si>
    <t>INTERESSOS PRÉSTEC PISCINES</t>
  </si>
  <si>
    <t>COMISSIONS BANCÀRIES</t>
  </si>
  <si>
    <t>ASSOCIACIÓ DEFENSA VEGETAL</t>
  </si>
  <si>
    <t>APORTACIONS ACTIVITATS CULTURALS i LLEURE</t>
  </si>
  <si>
    <t>TRANSFERÈNCIES ASSOCIACIONS BENÈFIQUES</t>
  </si>
  <si>
    <t>DOTACIÓ AL FONS DE CONTINGÈNCIA</t>
  </si>
  <si>
    <t>Instal.lacio generacio electrica</t>
  </si>
  <si>
    <t>Millora clavegueram nucli històric</t>
  </si>
  <si>
    <t>Millora Aigua clavegueram nucli històric</t>
  </si>
  <si>
    <t>Direccions obra clavegueram i aigua</t>
  </si>
  <si>
    <t>Direccions obra instal.lacio electrica</t>
  </si>
  <si>
    <t>Obres guarderia</t>
  </si>
  <si>
    <t>AMORTITZACIONS PRÉSTEC PISCINES 1</t>
  </si>
  <si>
    <t>AMORTITZACIONS PRÉSTEC PISCINES 2</t>
  </si>
  <si>
    <t>Material consultori</t>
  </si>
  <si>
    <t>Guarderia</t>
  </si>
  <si>
    <t>Brigada</t>
  </si>
  <si>
    <t>E</t>
  </si>
  <si>
    <t>JUTJAT DE PAU</t>
  </si>
  <si>
    <t>CARRECS ELECTES</t>
  </si>
  <si>
    <t>SUBVENCIONS CULTURA</t>
  </si>
  <si>
    <t>AGENCIA CATALANA DE L'AIGUA</t>
  </si>
  <si>
    <t>SALUT CORRENT</t>
  </si>
  <si>
    <t>Reforma piscines</t>
  </si>
  <si>
    <t>DIPUTACIÓ PISCINES</t>
  </si>
  <si>
    <t>DIPUTACIO INVERSIONS 2024</t>
  </si>
  <si>
    <t>GUISSONA PISCINES 2023</t>
  </si>
  <si>
    <t>GUISSONA PISCINES 2024</t>
  </si>
  <si>
    <t>21 de maig de 2025</t>
  </si>
  <si>
    <t>16 de juny de 2025</t>
  </si>
  <si>
    <t>23 de juny de 2024</t>
  </si>
  <si>
    <t>21 de juliol de 2024</t>
  </si>
  <si>
    <t>L'Alcalde</t>
  </si>
  <si>
    <t>Alcalde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</si>
</sst>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_-* #,##0.00\ _€_-;\-* #,##0.00\ _€_-;_-* \-??\ _€_-;_-@_-"/>
    <numFmt numFmtId="166" formatCode="#,##0.00_ ;\-#,##0.00\ "/>
    <numFmt numFmtId="167" formatCode="0.0000"/>
    <numFmt numFmtId="168" formatCode="#,##0.000000"/>
    <numFmt numFmtId="169" formatCode="#,##0.00000000"/>
    <numFmt numFmtId="170" formatCode="#,##0.00_ ;[Red]\-#,##0.00\ "/>
  </numFmts>
  <fonts count="9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5"/>
      <color indexed="56"/>
      <name val="Calibri"/>
      <family val="2"/>
    </font>
    <font>
      <b/>
      <sz val="13"/>
      <color indexed="56"/>
      <name val="Calibri"/>
      <family val="2"/>
    </font>
    <font>
      <b/>
      <u/>
      <sz val="11"/>
      <name val="Arial"/>
      <family val="2"/>
    </font>
    <font>
      <b/>
      <sz val="10"/>
      <name val="Arial"/>
      <family val="2"/>
    </font>
    <font>
      <u/>
      <sz val="10"/>
      <color indexed="12"/>
      <name val="Arial"/>
      <family val="2"/>
    </font>
    <font>
      <i/>
      <sz val="10"/>
      <name val="Arial"/>
      <family val="2"/>
    </font>
    <font>
      <sz val="12"/>
      <name val="Arial"/>
      <family val="2"/>
    </font>
    <font>
      <b/>
      <u/>
      <sz val="12"/>
      <name val="Arial"/>
      <family val="2"/>
    </font>
    <font>
      <b/>
      <sz val="12"/>
      <name val="Arial"/>
      <family val="2"/>
    </font>
    <font>
      <b/>
      <sz val="14"/>
      <name val="Arial"/>
      <family val="2"/>
    </font>
    <font>
      <sz val="10"/>
      <color indexed="8"/>
      <name val="Arial"/>
      <family val="2"/>
    </font>
    <font>
      <sz val="20"/>
      <name val="Arial"/>
      <family val="2"/>
    </font>
    <font>
      <b/>
      <sz val="11"/>
      <name val="Arial"/>
      <family val="2"/>
    </font>
    <font>
      <sz val="11"/>
      <name val="Arial"/>
      <family val="2"/>
    </font>
    <font>
      <sz val="11"/>
      <name val="Verdana"/>
      <family val="2"/>
    </font>
    <font>
      <b/>
      <sz val="10"/>
      <name val="Verdana"/>
      <family val="2"/>
    </font>
    <font>
      <b/>
      <sz val="10"/>
      <color indexed="10"/>
      <name val="Arial"/>
      <family val="2"/>
    </font>
    <font>
      <sz val="10"/>
      <color indexed="10"/>
      <name val="Arial"/>
      <family val="2"/>
    </font>
    <font>
      <b/>
      <sz val="10"/>
      <color indexed="8"/>
      <name val="Arial"/>
      <family val="2"/>
    </font>
    <font>
      <sz val="9"/>
      <name val="Arial"/>
      <family val="2"/>
    </font>
    <font>
      <b/>
      <sz val="10"/>
      <color indexed="59"/>
      <name val="Arial"/>
      <family val="2"/>
    </font>
    <font>
      <sz val="10"/>
      <color indexed="8"/>
      <name val="Tahoma"/>
      <family val="2"/>
    </font>
    <font>
      <b/>
      <sz val="10"/>
      <color indexed="8"/>
      <name val="Tahoma"/>
      <family val="2"/>
    </font>
    <font>
      <b/>
      <sz val="9"/>
      <name val="Arial"/>
      <family val="2"/>
    </font>
    <font>
      <sz val="10"/>
      <color indexed="12"/>
      <name val="Arial"/>
      <family val="2"/>
    </font>
    <font>
      <b/>
      <sz val="10"/>
      <color indexed="12"/>
      <name val="Arial"/>
      <family val="2"/>
    </font>
    <font>
      <i/>
      <sz val="10"/>
      <color indexed="10"/>
      <name val="Arial"/>
      <family val="2"/>
    </font>
    <font>
      <sz val="10"/>
      <name val="Arial"/>
      <family val="2"/>
    </font>
    <font>
      <sz val="10"/>
      <color indexed="81"/>
      <name val="Tahoma"/>
      <family val="2"/>
    </font>
    <font>
      <b/>
      <sz val="9"/>
      <color indexed="10"/>
      <name val="Arial"/>
      <family val="2"/>
    </font>
    <font>
      <b/>
      <sz val="9"/>
      <color indexed="12"/>
      <name val="Arial"/>
      <family val="2"/>
    </font>
    <font>
      <sz val="8"/>
      <name val="Arial"/>
      <family val="2"/>
    </font>
    <font>
      <b/>
      <sz val="8"/>
      <name val="Arial"/>
      <family val="2"/>
    </font>
    <font>
      <b/>
      <sz val="8"/>
      <color indexed="10"/>
      <name val="Arial"/>
      <family val="2"/>
    </font>
    <font>
      <b/>
      <sz val="10"/>
      <color indexed="81"/>
      <name val="Tahoma"/>
      <family val="2"/>
    </font>
    <font>
      <sz val="10"/>
      <color rgb="FF000000"/>
      <name val="Arial"/>
      <family val="2"/>
    </font>
    <font>
      <sz val="6"/>
      <name val="Arial"/>
      <family val="2"/>
    </font>
    <font>
      <sz val="11"/>
      <color indexed="8"/>
      <name val="Arial"/>
      <family val="2"/>
    </font>
    <font>
      <b/>
      <sz val="10"/>
      <color rgb="FF000000"/>
      <name val="Arial"/>
      <family val="2"/>
    </font>
    <font>
      <b/>
      <sz val="11"/>
      <color rgb="FF000000"/>
      <name val="Arial"/>
      <family val="2"/>
    </font>
    <font>
      <sz val="11"/>
      <color rgb="FF000000"/>
      <name val="Arial"/>
      <family val="2"/>
    </font>
    <font>
      <b/>
      <i/>
      <sz val="10"/>
      <color indexed="8"/>
      <name val="Arial"/>
      <family val="2"/>
    </font>
    <font>
      <b/>
      <u/>
      <sz val="10"/>
      <name val="Arial"/>
      <family val="2"/>
    </font>
    <font>
      <b/>
      <sz val="11"/>
      <color indexed="8"/>
      <name val="Calibri"/>
      <family val="2"/>
      <charset val="1"/>
    </font>
    <font>
      <sz val="11"/>
      <color indexed="8"/>
      <name val="Calibri"/>
      <family val="2"/>
      <charset val="1"/>
    </font>
    <font>
      <sz val="11"/>
      <color indexed="10"/>
      <name val="Calibri"/>
      <family val="2"/>
      <charset val="1"/>
    </font>
    <font>
      <sz val="11"/>
      <name val="Calibri"/>
      <family val="2"/>
      <charset val="1"/>
    </font>
    <font>
      <b/>
      <sz val="11"/>
      <name val="Calibri"/>
      <family val="2"/>
    </font>
    <font>
      <sz val="11"/>
      <color indexed="60"/>
      <name val="Calibri"/>
      <family val="2"/>
      <charset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8F8F8F"/>
      <name val="Verdana"/>
      <family val="2"/>
    </font>
    <font>
      <sz val="11"/>
      <color rgb="FFE36C0A"/>
      <name val="Arial"/>
      <family val="2"/>
    </font>
    <font>
      <sz val="10"/>
      <color rgb="FFFF0000"/>
      <name val="Arial"/>
      <family val="2"/>
    </font>
    <font>
      <u/>
      <sz val="10"/>
      <color theme="11"/>
      <name val="Arial"/>
      <family val="2"/>
    </font>
    <font>
      <b/>
      <sz val="12"/>
      <color rgb="FFFF0000"/>
      <name val="Arial"/>
      <family val="2"/>
    </font>
    <font>
      <sz val="10"/>
      <color rgb="FF000000"/>
      <name val="Tahoma"/>
      <family val="2"/>
    </font>
    <font>
      <b/>
      <sz val="10"/>
      <color rgb="FF000000"/>
      <name val="Tahoma"/>
      <family val="2"/>
    </font>
    <font>
      <i/>
      <sz val="11"/>
      <name val="Arial"/>
      <family val="2"/>
    </font>
    <font>
      <sz val="11"/>
      <color indexed="10"/>
      <name val="Arial"/>
      <family val="2"/>
    </font>
    <font>
      <sz val="10"/>
      <color theme="1"/>
      <name val="Arial"/>
      <family val="2"/>
    </font>
    <font>
      <b/>
      <sz val="10"/>
      <color theme="1"/>
      <name val="Arial"/>
      <family val="2"/>
    </font>
    <font>
      <sz val="5"/>
      <color rgb="FF666666"/>
      <name val="Arial"/>
      <family val="2"/>
    </font>
    <font>
      <b/>
      <sz val="9"/>
      <name val="Arial Narrow"/>
      <family val="2"/>
    </font>
    <font>
      <sz val="9"/>
      <name val="Arial Narrow"/>
      <family val="2"/>
    </font>
  </fonts>
  <fills count="8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22"/>
      </patternFill>
    </fill>
    <fill>
      <patternFill patternType="solid">
        <fgColor indexed="43"/>
        <bgColor indexed="64"/>
      </patternFill>
    </fill>
    <fill>
      <patternFill patternType="solid">
        <fgColor indexed="47"/>
        <bgColor indexed="64"/>
      </patternFill>
    </fill>
    <fill>
      <patternFill patternType="solid">
        <fgColor indexed="22"/>
        <bgColor indexed="22"/>
      </patternFill>
    </fill>
    <fill>
      <patternFill patternType="solid">
        <fgColor indexed="47"/>
        <bgColor indexed="26"/>
      </patternFill>
    </fill>
    <fill>
      <patternFill patternType="solid">
        <fgColor indexed="51"/>
        <bgColor indexed="64"/>
      </patternFill>
    </fill>
    <fill>
      <patternFill patternType="solid">
        <fgColor indexed="43"/>
        <bgColor indexed="13"/>
      </patternFill>
    </fill>
    <fill>
      <patternFill patternType="solid">
        <fgColor theme="9" tint="0.59999389629810485"/>
        <bgColor indexed="26"/>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indexed="44"/>
        <bgColor indexed="46"/>
      </patternFill>
    </fill>
    <fill>
      <patternFill patternType="solid">
        <fgColor indexed="51"/>
        <bgColor indexed="34"/>
      </patternFill>
    </fill>
    <fill>
      <patternFill patternType="solid">
        <fgColor indexed="22"/>
        <bgColor indexed="4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00"/>
        <bgColor indexed="22"/>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indexed="65"/>
        <bgColor indexed="64"/>
      </patternFill>
    </fill>
    <fill>
      <patternFill patternType="solid">
        <fgColor indexed="65"/>
        <bgColor theme="0"/>
      </patternFill>
    </fill>
    <fill>
      <patternFill patternType="solid">
        <fgColor indexed="22"/>
        <bgColor theme="0"/>
      </patternFill>
    </fill>
    <fill>
      <patternFill patternType="solid">
        <fgColor theme="9" tint="0.39997558519241921"/>
        <bgColor indexed="26"/>
      </patternFill>
    </fill>
    <fill>
      <patternFill patternType="solid">
        <fgColor theme="0"/>
        <bgColor theme="0"/>
      </patternFill>
    </fill>
    <fill>
      <patternFill patternType="solid">
        <fgColor indexed="44"/>
        <bgColor theme="0"/>
      </patternFill>
    </fill>
    <fill>
      <patternFill patternType="solid">
        <fgColor rgb="FFFFFF00"/>
        <bgColor theme="0"/>
      </patternFill>
    </fill>
    <fill>
      <patternFill patternType="solid">
        <fgColor indexed="9"/>
        <bgColor theme="0"/>
      </patternFill>
    </fill>
    <fill>
      <patternFill patternType="solid">
        <fgColor indexed="43"/>
        <bgColor theme="0"/>
      </patternFill>
    </fill>
    <fill>
      <patternFill patternType="solid">
        <fgColor indexed="47"/>
        <bgColor theme="0"/>
      </patternFill>
    </fill>
    <fill>
      <patternFill patternType="solid">
        <fgColor theme="9" tint="0.59999389629810485"/>
        <bgColor theme="0"/>
      </patternFill>
    </fill>
    <fill>
      <patternFill patternType="solid">
        <fgColor theme="9" tint="0.39997558519241921"/>
        <bgColor theme="0"/>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style="medium">
        <color indexed="8"/>
      </top>
      <bottom/>
      <diagonal/>
    </border>
    <border>
      <left style="medium">
        <color indexed="8"/>
      </left>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top/>
      <bottom/>
      <diagonal/>
    </border>
    <border>
      <left/>
      <right style="medium">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diagonal/>
    </border>
    <border>
      <left/>
      <right style="thin">
        <color indexed="8"/>
      </right>
      <top/>
      <bottom style="thin">
        <color indexed="8"/>
      </bottom>
      <diagonal/>
    </border>
    <border>
      <left style="medium">
        <color indexed="8"/>
      </left>
      <right/>
      <top style="thin">
        <color indexed="8"/>
      </top>
      <bottom/>
      <diagonal/>
    </border>
    <border>
      <left style="thin">
        <color indexed="8"/>
      </left>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bottom style="thin">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top/>
      <bottom style="medium">
        <color indexed="8"/>
      </bottom>
      <diagonal/>
    </border>
    <border>
      <left style="thin">
        <color indexed="8"/>
      </left>
      <right style="medium">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medium">
        <color indexed="8"/>
      </left>
      <right style="thin">
        <color indexed="8"/>
      </right>
      <top style="medium">
        <color indexed="8"/>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8"/>
      </left>
      <right style="thin">
        <color auto="1"/>
      </right>
      <top style="thin">
        <color indexed="8"/>
      </top>
      <bottom style="thin">
        <color indexed="8"/>
      </bottom>
      <diagonal/>
    </border>
    <border>
      <left style="medium">
        <color auto="1"/>
      </left>
      <right style="medium">
        <color auto="1"/>
      </right>
      <top style="medium">
        <color auto="1"/>
      </top>
      <bottom style="medium">
        <color auto="1"/>
      </bottom>
      <diagonal/>
    </border>
    <border>
      <left style="medium">
        <color indexed="8"/>
      </left>
      <right/>
      <top/>
      <bottom style="medium">
        <color auto="1"/>
      </bottom>
      <diagonal/>
    </border>
    <border>
      <left/>
      <right style="medium">
        <color auto="1"/>
      </right>
      <top/>
      <bottom style="medium">
        <color auto="1"/>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indexed="8"/>
      </bottom>
      <diagonal/>
    </border>
    <border>
      <left style="medium">
        <color auto="1"/>
      </left>
      <right style="medium">
        <color auto="1"/>
      </right>
      <top style="thin">
        <color indexed="8"/>
      </top>
      <bottom style="thin">
        <color indexed="8"/>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indexed="8"/>
      </top>
      <bottom/>
      <diagonal/>
    </border>
    <border>
      <left/>
      <right/>
      <top style="medium">
        <color indexed="8"/>
      </top>
      <bottom/>
      <diagonal/>
    </border>
    <border>
      <left/>
      <right style="medium">
        <color auto="1"/>
      </right>
      <top style="medium">
        <color indexed="8"/>
      </top>
      <bottom/>
      <diagonal/>
    </border>
    <border>
      <left/>
      <right style="medium">
        <color auto="1"/>
      </right>
      <top/>
      <bottom/>
      <diagonal/>
    </border>
    <border>
      <left style="medium">
        <color auto="1"/>
      </left>
      <right/>
      <top/>
      <bottom/>
      <diagonal/>
    </border>
    <border>
      <left/>
      <right/>
      <top style="medium">
        <color auto="1"/>
      </top>
      <bottom style="double">
        <color auto="1"/>
      </bottom>
      <diagonal/>
    </border>
    <border>
      <left/>
      <right/>
      <top style="thin">
        <color auto="1"/>
      </top>
      <bottom style="double">
        <color auto="1"/>
      </bottom>
      <diagonal/>
    </border>
    <border>
      <left/>
      <right/>
      <top/>
      <bottom style="thin">
        <color auto="1"/>
      </bottom>
      <diagonal/>
    </border>
    <border>
      <left/>
      <right/>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EEEEEE"/>
      </left>
      <right style="thin">
        <color rgb="FFEEEEEE"/>
      </right>
      <top style="thin">
        <color rgb="FFEEEEEE"/>
      </top>
      <bottom style="thin">
        <color rgb="FFEEEEEE"/>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1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10"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1" applyNumberFormat="0" applyAlignment="0" applyProtection="0"/>
    <xf numFmtId="0" fontId="24" fillId="0" borderId="0" applyNumberFormat="0" applyFill="0" applyBorder="0" applyAlignment="0" applyProtection="0"/>
    <xf numFmtId="0" fontId="13" fillId="3" borderId="0" applyNumberFormat="0" applyBorder="0" applyAlignment="0" applyProtection="0"/>
    <xf numFmtId="165" fontId="47" fillId="0" borderId="0" applyFill="0" applyBorder="0" applyAlignment="0" applyProtection="0"/>
    <xf numFmtId="0" fontId="14" fillId="22" borderId="0" applyNumberFormat="0" applyBorder="0" applyAlignment="0" applyProtection="0"/>
    <xf numFmtId="0" fontId="4" fillId="0" borderId="0"/>
    <xf numFmtId="0" fontId="47" fillId="23" borderId="4" applyNumberFormat="0" applyAlignment="0" applyProtection="0"/>
    <xf numFmtId="9" fontId="47" fillId="0" borderId="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11" fillId="0" borderId="8" applyNumberFormat="0" applyFill="0" applyAlignment="0" applyProtection="0"/>
    <xf numFmtId="0" fontId="18" fillId="0" borderId="9" applyNumberFormat="0" applyFill="0" applyAlignment="0" applyProtection="0"/>
    <xf numFmtId="0" fontId="3" fillId="0" borderId="0"/>
    <xf numFmtId="0" fontId="4" fillId="0" borderId="0"/>
    <xf numFmtId="0" fontId="4" fillId="0" borderId="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3" fontId="4" fillId="0" borderId="0" applyFont="0" applyFill="0" applyBorder="0" applyAlignment="0" applyProtection="0"/>
    <xf numFmtId="44" fontId="5" fillId="0" borderId="0" applyFont="0" applyFill="0" applyBorder="0" applyAlignment="0" applyProtection="0"/>
    <xf numFmtId="0" fontId="2" fillId="0" borderId="0"/>
    <xf numFmtId="0" fontId="69" fillId="0" borderId="0" applyNumberFormat="0" applyFill="0" applyBorder="0" applyAlignment="0" applyProtection="0"/>
    <xf numFmtId="0" fontId="70" fillId="0" borderId="115" applyNumberFormat="0" applyFill="0" applyAlignment="0" applyProtection="0"/>
    <xf numFmtId="0" fontId="71" fillId="0" borderId="116" applyNumberFormat="0" applyFill="0" applyAlignment="0" applyProtection="0"/>
    <xf numFmtId="0" fontId="72" fillId="0" borderId="117" applyNumberFormat="0" applyFill="0" applyAlignment="0" applyProtection="0"/>
    <xf numFmtId="0" fontId="72" fillId="0" borderId="0" applyNumberFormat="0" applyFill="0" applyBorder="0" applyAlignment="0" applyProtection="0"/>
    <xf numFmtId="0" fontId="73" fillId="39" borderId="0" applyNumberFormat="0" applyBorder="0" applyAlignment="0" applyProtection="0"/>
    <xf numFmtId="0" fontId="74" fillId="40" borderId="0" applyNumberFormat="0" applyBorder="0" applyAlignment="0" applyProtection="0"/>
    <xf numFmtId="0" fontId="75" fillId="41" borderId="0" applyNumberFormat="0" applyBorder="0" applyAlignment="0" applyProtection="0"/>
    <xf numFmtId="0" fontId="76" fillId="42" borderId="118" applyNumberFormat="0" applyAlignment="0" applyProtection="0"/>
    <xf numFmtId="0" fontId="77" fillId="43" borderId="119" applyNumberFormat="0" applyAlignment="0" applyProtection="0"/>
    <xf numFmtId="0" fontId="78" fillId="43" borderId="118" applyNumberFormat="0" applyAlignment="0" applyProtection="0"/>
    <xf numFmtId="0" fontId="79" fillId="0" borderId="120" applyNumberFormat="0" applyFill="0" applyAlignment="0" applyProtection="0"/>
    <xf numFmtId="0" fontId="80" fillId="44" borderId="121" applyNumberFormat="0" applyAlignment="0" applyProtection="0"/>
    <xf numFmtId="0" fontId="81" fillId="0" borderId="0" applyNumberFormat="0" applyFill="0" applyBorder="0" applyAlignment="0" applyProtection="0"/>
    <xf numFmtId="0" fontId="2" fillId="45" borderId="122" applyNumberFormat="0" applyFont="0" applyAlignment="0" applyProtection="0"/>
    <xf numFmtId="0" fontId="82" fillId="0" borderId="0" applyNumberFormat="0" applyFill="0" applyBorder="0" applyAlignment="0" applyProtection="0"/>
    <xf numFmtId="0" fontId="83" fillId="0" borderId="123" applyNumberFormat="0" applyFill="0" applyAlignment="0" applyProtection="0"/>
    <xf numFmtId="0" fontId="84"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84" fillId="49" borderId="0" applyNumberFormat="0" applyBorder="0" applyAlignment="0" applyProtection="0"/>
    <xf numFmtId="0" fontId="84"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84" fillId="65" borderId="0" applyNumberFormat="0" applyBorder="0" applyAlignment="0" applyProtection="0"/>
    <xf numFmtId="0" fontId="84" fillId="66"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84" fillId="69" borderId="0" applyNumberFormat="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9" fontId="4" fillId="0" borderId="0" applyFont="0" applyFill="0" applyBorder="0" applyAlignment="0" applyProtection="0"/>
    <xf numFmtId="9" fontId="4" fillId="0" borderId="0" applyFill="0" applyBorder="0" applyAlignment="0" applyProtection="0"/>
    <xf numFmtId="0" fontId="1" fillId="0" borderId="0"/>
  </cellStyleXfs>
  <cellXfs count="1172">
    <xf numFmtId="0" fontId="0" fillId="0" borderId="0" xfId="0"/>
    <xf numFmtId="0" fontId="22" fillId="0" borderId="0" xfId="0" applyFont="1"/>
    <xf numFmtId="14" fontId="0" fillId="0" borderId="0" xfId="0" applyNumberFormat="1"/>
    <xf numFmtId="0" fontId="23" fillId="0" borderId="0" xfId="0" applyFont="1"/>
    <xf numFmtId="0" fontId="24" fillId="0" borderId="0" xfId="31" applyNumberFormat="1" applyFill="1" applyBorder="1" applyAlignment="1" applyProtection="1"/>
    <xf numFmtId="0" fontId="24" fillId="0" borderId="0" xfId="31" applyNumberFormat="1" applyFill="1" applyBorder="1" applyAlignment="1" applyProtection="1">
      <alignment wrapText="1"/>
    </xf>
    <xf numFmtId="0" fontId="23" fillId="0" borderId="0" xfId="0" applyFont="1" applyAlignment="1">
      <alignment wrapText="1"/>
    </xf>
    <xf numFmtId="0" fontId="0" fillId="0" borderId="0" xfId="0" applyAlignment="1">
      <alignment wrapText="1"/>
    </xf>
    <xf numFmtId="0" fontId="25" fillId="22" borderId="0" xfId="0" applyFont="1" applyFill="1"/>
    <xf numFmtId="0" fontId="25" fillId="7" borderId="0" xfId="0" applyFont="1" applyFill="1" applyAlignment="1">
      <alignment wrapText="1"/>
    </xf>
    <xf numFmtId="0" fontId="0" fillId="0" borderId="0" xfId="0" applyProtection="1">
      <protection locked="0"/>
    </xf>
    <xf numFmtId="0" fontId="23" fillId="0" borderId="10" xfId="0" applyFont="1" applyBorder="1" applyProtection="1">
      <protection locked="0"/>
    </xf>
    <xf numFmtId="0" fontId="0" fillId="0" borderId="10" xfId="0" applyBorder="1" applyProtection="1">
      <protection locked="0"/>
    </xf>
    <xf numFmtId="0" fontId="0" fillId="0" borderId="10" xfId="0" applyBorder="1" applyAlignment="1" applyProtection="1">
      <alignment wrapText="1"/>
      <protection locked="0"/>
    </xf>
    <xf numFmtId="1" fontId="23" fillId="0" borderId="10" xfId="0" applyNumberFormat="1" applyFont="1" applyBorder="1" applyAlignment="1" applyProtection="1">
      <alignment horizontal="center"/>
      <protection locked="0"/>
    </xf>
    <xf numFmtId="4" fontId="0" fillId="0" borderId="0" xfId="0" applyNumberFormat="1" applyProtection="1">
      <protection locked="0"/>
    </xf>
    <xf numFmtId="0" fontId="0" fillId="24" borderId="0" xfId="0" applyFill="1" applyProtection="1">
      <protection locked="0"/>
    </xf>
    <xf numFmtId="0" fontId="23" fillId="24" borderId="0" xfId="0" applyFont="1" applyFill="1" applyProtection="1">
      <protection locked="0"/>
    </xf>
    <xf numFmtId="0" fontId="0" fillId="24" borderId="16" xfId="0" applyFill="1" applyBorder="1" applyAlignment="1" applyProtection="1">
      <alignment horizontal="right"/>
      <protection locked="0"/>
    </xf>
    <xf numFmtId="0" fontId="0" fillId="22" borderId="17" xfId="0" applyFill="1" applyBorder="1" applyProtection="1">
      <protection locked="0"/>
    </xf>
    <xf numFmtId="0" fontId="0" fillId="24" borderId="18" xfId="0" applyFill="1" applyBorder="1" applyAlignment="1" applyProtection="1">
      <alignment horizontal="right"/>
      <protection locked="0"/>
    </xf>
    <xf numFmtId="0" fontId="0" fillId="22" borderId="19" xfId="0" applyFill="1" applyBorder="1" applyProtection="1">
      <protection locked="0"/>
    </xf>
    <xf numFmtId="0" fontId="23" fillId="16" borderId="0" xfId="0" applyFont="1" applyFill="1" applyProtection="1">
      <protection locked="0"/>
    </xf>
    <xf numFmtId="0" fontId="23" fillId="0" borderId="0" xfId="0" applyFont="1" applyAlignment="1" applyProtection="1">
      <alignment horizontal="center"/>
      <protection locked="0"/>
    </xf>
    <xf numFmtId="0" fontId="23" fillId="0" borderId="0" xfId="0" applyFont="1" applyProtection="1">
      <protection locked="0"/>
    </xf>
    <xf numFmtId="0" fontId="23" fillId="0" borderId="20" xfId="0" applyFont="1" applyBorder="1" applyProtection="1">
      <protection locked="0"/>
    </xf>
    <xf numFmtId="0" fontId="23" fillId="22" borderId="21" xfId="0" applyFont="1" applyFill="1" applyBorder="1" applyProtection="1">
      <protection locked="0"/>
    </xf>
    <xf numFmtId="0" fontId="23" fillId="0" borderId="21" xfId="0" applyFont="1" applyBorder="1" applyAlignment="1" applyProtection="1">
      <alignment horizontal="center" wrapText="1"/>
      <protection locked="0"/>
    </xf>
    <xf numFmtId="0" fontId="23" fillId="0" borderId="16" xfId="0" applyFont="1" applyBorder="1" applyAlignment="1" applyProtection="1">
      <alignment horizontal="center" wrapText="1"/>
      <protection locked="0"/>
    </xf>
    <xf numFmtId="4" fontId="0" fillId="22" borderId="22" xfId="0" applyNumberFormat="1" applyFill="1" applyBorder="1" applyAlignment="1" applyProtection="1">
      <alignment horizontal="right"/>
      <protection locked="0"/>
    </xf>
    <xf numFmtId="0" fontId="23" fillId="0" borderId="23" xfId="0" applyFont="1" applyBorder="1" applyAlignment="1" applyProtection="1">
      <alignment horizontal="center" wrapText="1"/>
      <protection locked="0"/>
    </xf>
    <xf numFmtId="4" fontId="0" fillId="22" borderId="24" xfId="0" applyNumberFormat="1" applyFill="1" applyBorder="1" applyAlignment="1" applyProtection="1">
      <alignment horizontal="right"/>
      <protection locked="0"/>
    </xf>
    <xf numFmtId="0" fontId="23" fillId="0" borderId="25" xfId="0" applyFont="1" applyBorder="1" applyAlignment="1" applyProtection="1">
      <alignment horizontal="center" wrapText="1"/>
      <protection locked="0"/>
    </xf>
    <xf numFmtId="0" fontId="0" fillId="0" borderId="0" xfId="0" applyAlignment="1" applyProtection="1">
      <alignment horizontal="right"/>
      <protection locked="0"/>
    </xf>
    <xf numFmtId="0" fontId="23" fillId="24" borderId="20" xfId="0" applyFont="1" applyFill="1" applyBorder="1" applyAlignment="1" applyProtection="1">
      <alignment horizontal="right" wrapText="1"/>
      <protection locked="0"/>
    </xf>
    <xf numFmtId="4" fontId="23" fillId="7" borderId="26" xfId="0" applyNumberFormat="1" applyFont="1" applyFill="1" applyBorder="1" applyAlignment="1">
      <alignment horizontal="right"/>
    </xf>
    <xf numFmtId="4" fontId="23" fillId="24" borderId="0" xfId="0" applyNumberFormat="1" applyFont="1" applyFill="1" applyAlignment="1" applyProtection="1">
      <alignment horizontal="right"/>
      <protection locked="0"/>
    </xf>
    <xf numFmtId="0" fontId="0" fillId="24" borderId="0" xfId="0" applyFill="1" applyAlignment="1" applyProtection="1">
      <alignment horizontal="right"/>
      <protection locked="0"/>
    </xf>
    <xf numFmtId="4" fontId="23" fillId="24" borderId="0" xfId="0" applyNumberFormat="1" applyFont="1" applyFill="1" applyProtection="1">
      <protection locked="0"/>
    </xf>
    <xf numFmtId="0" fontId="23" fillId="0" borderId="18" xfId="0" applyFont="1" applyBorder="1" applyAlignment="1" applyProtection="1">
      <alignment horizontal="center" wrapText="1"/>
      <protection locked="0"/>
    </xf>
    <xf numFmtId="4" fontId="23" fillId="7" borderId="27" xfId="0" applyNumberFormat="1" applyFont="1" applyFill="1" applyBorder="1" applyAlignment="1">
      <alignment horizontal="right"/>
    </xf>
    <xf numFmtId="4" fontId="0" fillId="24" borderId="0" xfId="0" applyNumberFormat="1" applyFill="1" applyProtection="1">
      <protection locked="0"/>
    </xf>
    <xf numFmtId="0" fontId="0" fillId="16" borderId="0" xfId="0" applyFill="1" applyProtection="1">
      <protection locked="0"/>
    </xf>
    <xf numFmtId="0" fontId="23" fillId="24" borderId="10" xfId="0" applyFont="1" applyFill="1" applyBorder="1" applyAlignment="1" applyProtection="1">
      <alignment horizontal="center" wrapText="1"/>
      <protection locked="0"/>
    </xf>
    <xf numFmtId="4" fontId="0" fillId="22" borderId="10" xfId="0" applyNumberFormat="1" applyFill="1" applyBorder="1" applyProtection="1">
      <protection locked="0"/>
    </xf>
    <xf numFmtId="0" fontId="0" fillId="22" borderId="10" xfId="0" applyFill="1" applyBorder="1" applyProtection="1">
      <protection locked="0"/>
    </xf>
    <xf numFmtId="0" fontId="0" fillId="24" borderId="20" xfId="0" applyFill="1" applyBorder="1" applyAlignment="1" applyProtection="1">
      <alignment horizontal="right"/>
      <protection locked="0"/>
    </xf>
    <xf numFmtId="4" fontId="0" fillId="7" borderId="26" xfId="0" applyNumberFormat="1" applyFill="1" applyBorder="1"/>
    <xf numFmtId="4" fontId="0" fillId="0" borderId="26" xfId="0" applyNumberFormat="1" applyBorder="1" applyProtection="1">
      <protection locked="0"/>
    </xf>
    <xf numFmtId="0" fontId="23" fillId="24" borderId="0" xfId="0" applyFont="1" applyFill="1" applyAlignment="1" applyProtection="1">
      <alignment horizontal="right"/>
      <protection locked="0"/>
    </xf>
    <xf numFmtId="0" fontId="34" fillId="0" borderId="0" xfId="0" applyFont="1" applyAlignment="1" applyProtection="1">
      <alignment wrapText="1"/>
      <protection locked="0"/>
    </xf>
    <xf numFmtId="0" fontId="34" fillId="0" borderId="0" xfId="0" applyFont="1" applyProtection="1">
      <protection locked="0"/>
    </xf>
    <xf numFmtId="0" fontId="23" fillId="0" borderId="21" xfId="0" applyFont="1" applyBorder="1" applyAlignment="1" applyProtection="1">
      <alignment horizontal="justify" vertical="top" wrapText="1"/>
      <protection locked="0"/>
    </xf>
    <xf numFmtId="0" fontId="23" fillId="0" borderId="26" xfId="0" applyFont="1" applyBorder="1" applyAlignment="1" applyProtection="1">
      <alignment horizontal="center" vertical="top" wrapText="1"/>
      <protection locked="0"/>
    </xf>
    <xf numFmtId="0" fontId="23" fillId="0" borderId="26" xfId="0" applyFont="1" applyBorder="1" applyAlignment="1" applyProtection="1">
      <alignment horizontal="center" vertical="center" wrapText="1"/>
      <protection locked="0"/>
    </xf>
    <xf numFmtId="0" fontId="0" fillId="0" borderId="28" xfId="0" applyBorder="1" applyAlignment="1" applyProtection="1">
      <alignment horizontal="center" vertical="top" wrapText="1"/>
      <protection locked="0"/>
    </xf>
    <xf numFmtId="165" fontId="0" fillId="22" borderId="19" xfId="33" applyFont="1" applyFill="1" applyBorder="1" applyAlignment="1" applyProtection="1">
      <alignment horizontal="justify" vertical="top" wrapText="1"/>
      <protection locked="0"/>
    </xf>
    <xf numFmtId="0" fontId="0" fillId="0" borderId="29" xfId="0" applyBorder="1" applyAlignment="1" applyProtection="1">
      <alignment horizontal="center" vertical="top" wrapText="1"/>
      <protection locked="0"/>
    </xf>
    <xf numFmtId="165" fontId="0" fillId="22" borderId="30" xfId="33" applyFont="1" applyFill="1" applyBorder="1" applyAlignment="1" applyProtection="1">
      <alignment horizontal="justify" vertical="top" wrapText="1"/>
      <protection locked="0"/>
    </xf>
    <xf numFmtId="0" fontId="23" fillId="0" borderId="31" xfId="0" applyFont="1" applyBorder="1" applyAlignment="1" applyProtection="1">
      <alignment wrapText="1"/>
      <protection locked="0"/>
    </xf>
    <xf numFmtId="165" fontId="23" fillId="7" borderId="32" xfId="0" applyNumberFormat="1" applyFont="1" applyFill="1" applyBorder="1"/>
    <xf numFmtId="165" fontId="23" fillId="7" borderId="33" xfId="0" applyNumberFormat="1" applyFont="1" applyFill="1" applyBorder="1"/>
    <xf numFmtId="0" fontId="0" fillId="0" borderId="0" xfId="0" applyAlignment="1" applyProtection="1">
      <alignment wrapText="1"/>
      <protection locked="0"/>
    </xf>
    <xf numFmtId="165" fontId="23" fillId="7" borderId="33" xfId="0" applyNumberFormat="1" applyFont="1" applyFill="1" applyBorder="1" applyAlignment="1">
      <alignment horizontal="center"/>
    </xf>
    <xf numFmtId="0" fontId="34" fillId="0" borderId="0" xfId="0" applyFont="1" applyAlignment="1" applyProtection="1">
      <alignment horizontal="justify" vertical="top" wrapText="1"/>
      <protection locked="0"/>
    </xf>
    <xf numFmtId="0" fontId="35" fillId="7" borderId="33" xfId="0" applyFont="1" applyFill="1" applyBorder="1" applyAlignment="1">
      <alignment horizontal="justify" vertical="top" wrapText="1"/>
    </xf>
    <xf numFmtId="0" fontId="23" fillId="0" borderId="0" xfId="0" applyFont="1" applyAlignment="1" applyProtection="1">
      <alignment wrapText="1"/>
      <protection locked="0"/>
    </xf>
    <xf numFmtId="0" fontId="35" fillId="0" borderId="0" xfId="0" applyFont="1" applyAlignment="1" applyProtection="1">
      <alignment horizontal="justify" vertical="top" wrapText="1"/>
      <protection locked="0"/>
    </xf>
    <xf numFmtId="0" fontId="23" fillId="0" borderId="16" xfId="0" applyFont="1" applyBorder="1" applyAlignment="1" applyProtection="1">
      <alignment horizontal="justify" vertical="top" wrapText="1"/>
      <protection locked="0"/>
    </xf>
    <xf numFmtId="0" fontId="23" fillId="0" borderId="17" xfId="0" applyFont="1" applyBorder="1" applyAlignment="1" applyProtection="1">
      <alignment horizontal="justify" vertical="top" wrapText="1"/>
      <protection locked="0"/>
    </xf>
    <xf numFmtId="0" fontId="23" fillId="0" borderId="20" xfId="0" applyFont="1" applyBorder="1" applyAlignment="1" applyProtection="1">
      <alignment horizontal="justify" vertical="top" wrapText="1"/>
      <protection locked="0"/>
    </xf>
    <xf numFmtId="0" fontId="34" fillId="22" borderId="20" xfId="0" applyFont="1" applyFill="1" applyBorder="1" applyAlignment="1" applyProtection="1">
      <alignment horizontal="justify" vertical="top" wrapText="1"/>
      <protection locked="0"/>
    </xf>
    <xf numFmtId="0" fontId="34" fillId="7" borderId="26" xfId="0" applyFont="1" applyFill="1" applyBorder="1" applyAlignment="1">
      <alignment horizontal="justify" vertical="top" wrapText="1"/>
    </xf>
    <xf numFmtId="0" fontId="23" fillId="0" borderId="20" xfId="0" applyFont="1"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166" fontId="0" fillId="7" borderId="28" xfId="33" applyNumberFormat="1" applyFont="1" applyFill="1" applyBorder="1" applyAlignment="1" applyProtection="1">
      <alignment horizontal="right" vertical="top" wrapText="1"/>
    </xf>
    <xf numFmtId="10" fontId="0" fillId="0" borderId="0" xfId="0" applyNumberFormat="1" applyAlignment="1" applyProtection="1">
      <alignment horizontal="right" vertical="top" wrapText="1"/>
      <protection locked="0"/>
    </xf>
    <xf numFmtId="166" fontId="0" fillId="0" borderId="0" xfId="33" applyNumberFormat="1" applyFont="1" applyFill="1" applyBorder="1" applyAlignment="1" applyProtection="1">
      <alignment horizontal="right" vertical="top" wrapText="1"/>
      <protection locked="0"/>
    </xf>
    <xf numFmtId="0" fontId="23" fillId="0" borderId="0" xfId="0" applyFont="1" applyAlignment="1" applyProtection="1">
      <alignment horizontal="center" vertical="top" wrapText="1"/>
      <protection locked="0"/>
    </xf>
    <xf numFmtId="0" fontId="23" fillId="0" borderId="0" xfId="0" applyFont="1" applyAlignment="1" applyProtection="1">
      <alignment horizontal="right" vertical="top" wrapText="1"/>
      <protection locked="0"/>
    </xf>
    <xf numFmtId="166" fontId="23" fillId="0" borderId="0" xfId="33" applyNumberFormat="1" applyFont="1" applyFill="1" applyBorder="1" applyAlignment="1" applyProtection="1">
      <alignment horizontal="right" vertical="top" wrapText="1"/>
      <protection locked="0"/>
    </xf>
    <xf numFmtId="166" fontId="23" fillId="7" borderId="34" xfId="0" applyNumberFormat="1" applyFont="1" applyFill="1" applyBorder="1" applyAlignment="1">
      <alignment horizontal="right" vertical="top" wrapText="1"/>
    </xf>
    <xf numFmtId="10" fontId="23" fillId="0" borderId="34" xfId="0" applyNumberFormat="1" applyFont="1" applyBorder="1" applyAlignment="1" applyProtection="1">
      <alignment horizontal="right" vertical="top" wrapText="1"/>
      <protection locked="0"/>
    </xf>
    <xf numFmtId="166" fontId="23" fillId="7" borderId="26" xfId="33" applyNumberFormat="1" applyFont="1" applyFill="1" applyBorder="1" applyAlignment="1" applyProtection="1">
      <alignment horizontal="right" vertical="top" wrapText="1"/>
    </xf>
    <xf numFmtId="166" fontId="23" fillId="0" borderId="0" xfId="0" applyNumberFormat="1" applyFont="1" applyAlignment="1" applyProtection="1">
      <alignment horizontal="right" vertical="top" wrapText="1"/>
      <protection locked="0"/>
    </xf>
    <xf numFmtId="10" fontId="23" fillId="0" borderId="0" xfId="0" applyNumberFormat="1" applyFont="1" applyAlignment="1" applyProtection="1">
      <alignment horizontal="right" vertical="top" wrapText="1"/>
      <protection locked="0"/>
    </xf>
    <xf numFmtId="0" fontId="23" fillId="0" borderId="0" xfId="0" applyFont="1" applyAlignment="1" applyProtection="1">
      <alignment horizontal="left" vertical="top" wrapText="1"/>
      <protection locked="0"/>
    </xf>
    <xf numFmtId="0" fontId="23" fillId="24" borderId="21" xfId="0" applyFont="1" applyFill="1" applyBorder="1" applyAlignment="1" applyProtection="1">
      <alignment horizontal="center" wrapText="1"/>
      <protection locked="0"/>
    </xf>
    <xf numFmtId="0" fontId="23" fillId="0" borderId="20" xfId="0" applyFont="1" applyBorder="1" applyAlignment="1" applyProtection="1">
      <alignment wrapText="1"/>
      <protection locked="0"/>
    </xf>
    <xf numFmtId="4" fontId="0" fillId="7" borderId="21" xfId="0" applyNumberFormat="1" applyFill="1" applyBorder="1"/>
    <xf numFmtId="0" fontId="23" fillId="0" borderId="16" xfId="0" applyFont="1" applyBorder="1" applyAlignment="1" applyProtection="1">
      <alignment horizontal="center"/>
      <protection locked="0"/>
    </xf>
    <xf numFmtId="4" fontId="0" fillId="7" borderId="35" xfId="0" applyNumberFormat="1" applyFill="1" applyBorder="1" applyAlignment="1">
      <alignment horizontal="right"/>
    </xf>
    <xf numFmtId="4" fontId="0" fillId="7" borderId="36" xfId="0" applyNumberFormat="1" applyFill="1" applyBorder="1"/>
    <xf numFmtId="0" fontId="23" fillId="0" borderId="23" xfId="0" applyFont="1" applyBorder="1" applyAlignment="1" applyProtection="1">
      <alignment horizontal="center"/>
      <protection locked="0"/>
    </xf>
    <xf numFmtId="4" fontId="0" fillId="7" borderId="11" xfId="0" applyNumberFormat="1" applyFill="1" applyBorder="1" applyAlignment="1">
      <alignment horizontal="right"/>
    </xf>
    <xf numFmtId="4" fontId="0" fillId="7" borderId="37" xfId="0" applyNumberFormat="1" applyFill="1" applyBorder="1"/>
    <xf numFmtId="0" fontId="23" fillId="0" borderId="25" xfId="0" applyFont="1" applyBorder="1" applyAlignment="1" applyProtection="1">
      <alignment horizontal="center"/>
      <protection locked="0"/>
    </xf>
    <xf numFmtId="4" fontId="23" fillId="7" borderId="10" xfId="0" applyNumberFormat="1" applyFont="1" applyFill="1" applyBorder="1" applyAlignment="1">
      <alignment horizontal="right"/>
    </xf>
    <xf numFmtId="4" fontId="23" fillId="7" borderId="37" xfId="0" applyNumberFormat="1" applyFont="1" applyFill="1" applyBorder="1"/>
    <xf numFmtId="0" fontId="23" fillId="24" borderId="38" xfId="0" applyFont="1" applyFill="1" applyBorder="1" applyProtection="1">
      <protection locked="0"/>
    </xf>
    <xf numFmtId="0" fontId="23" fillId="0" borderId="0" xfId="0" applyFont="1" applyAlignment="1" applyProtection="1">
      <alignment horizontal="center" wrapText="1"/>
      <protection locked="0"/>
    </xf>
    <xf numFmtId="0" fontId="23" fillId="0" borderId="38" xfId="0" applyFont="1" applyBorder="1" applyAlignment="1" applyProtection="1">
      <alignment horizontal="center"/>
      <protection locked="0"/>
    </xf>
    <xf numFmtId="0" fontId="23" fillId="0" borderId="10" xfId="0" applyFont="1" applyBorder="1" applyAlignment="1" applyProtection="1">
      <alignment horizontal="center" wrapText="1"/>
      <protection locked="0"/>
    </xf>
    <xf numFmtId="0" fontId="23" fillId="22" borderId="10" xfId="0" applyFont="1" applyFill="1" applyBorder="1" applyAlignment="1" applyProtection="1">
      <alignment horizontal="center"/>
      <protection locked="0"/>
    </xf>
    <xf numFmtId="4" fontId="0" fillId="7" borderId="10" xfId="0" applyNumberFormat="1" applyFill="1" applyBorder="1" applyAlignment="1">
      <alignment horizontal="center"/>
    </xf>
    <xf numFmtId="0" fontId="23" fillId="0" borderId="21" xfId="0" applyFont="1" applyBorder="1" applyProtection="1">
      <protection locked="0"/>
    </xf>
    <xf numFmtId="0" fontId="23" fillId="0" borderId="21" xfId="0" applyFont="1" applyBorder="1" applyAlignment="1" applyProtection="1">
      <alignment horizontal="center"/>
      <protection locked="0"/>
    </xf>
    <xf numFmtId="4" fontId="23" fillId="0" borderId="0" xfId="0" applyNumberFormat="1" applyFont="1" applyAlignment="1" applyProtection="1">
      <alignment horizontal="center"/>
      <protection locked="0"/>
    </xf>
    <xf numFmtId="0" fontId="23" fillId="0" borderId="29" xfId="0" applyFont="1" applyBorder="1" applyProtection="1">
      <protection locked="0"/>
    </xf>
    <xf numFmtId="4" fontId="23" fillId="7" borderId="21" xfId="0" applyNumberFormat="1" applyFont="1" applyFill="1" applyBorder="1"/>
    <xf numFmtId="4" fontId="23" fillId="0" borderId="0" xfId="0" applyNumberFormat="1" applyFont="1" applyProtection="1">
      <protection locked="0"/>
    </xf>
    <xf numFmtId="4" fontId="36" fillId="0" borderId="0" xfId="0" applyNumberFormat="1" applyFont="1" applyProtection="1">
      <protection locked="0"/>
    </xf>
    <xf numFmtId="2" fontId="0" fillId="22" borderId="10" xfId="0" applyNumberFormat="1" applyFill="1" applyBorder="1" applyProtection="1">
      <protection locked="0"/>
    </xf>
    <xf numFmtId="0" fontId="0" fillId="22" borderId="38" xfId="0" applyFill="1" applyBorder="1" applyProtection="1">
      <protection locked="0"/>
    </xf>
    <xf numFmtId="0" fontId="23" fillId="0" borderId="39" xfId="0" applyFont="1" applyBorder="1" applyAlignment="1" applyProtection="1">
      <alignment horizontal="center"/>
      <protection locked="0"/>
    </xf>
    <xf numFmtId="0" fontId="0" fillId="24" borderId="39" xfId="0" applyFill="1" applyBorder="1" applyProtection="1">
      <protection locked="0"/>
    </xf>
    <xf numFmtId="4" fontId="0" fillId="7" borderId="39" xfId="0" applyNumberFormat="1" applyFill="1" applyBorder="1"/>
    <xf numFmtId="0" fontId="0" fillId="24" borderId="29" xfId="0" applyFill="1" applyBorder="1" applyProtection="1">
      <protection locked="0"/>
    </xf>
    <xf numFmtId="4" fontId="0" fillId="7" borderId="29" xfId="0" applyNumberFormat="1" applyFill="1" applyBorder="1"/>
    <xf numFmtId="0" fontId="0" fillId="24" borderId="28" xfId="0" applyFill="1" applyBorder="1" applyProtection="1">
      <protection locked="0"/>
    </xf>
    <xf numFmtId="4" fontId="0" fillId="7" borderId="28" xfId="0" applyNumberFormat="1" applyFill="1" applyBorder="1"/>
    <xf numFmtId="4" fontId="0" fillId="22" borderId="10" xfId="0" applyNumberFormat="1" applyFill="1" applyBorder="1" applyAlignment="1" applyProtection="1">
      <alignment horizontal="left"/>
      <protection locked="0"/>
    </xf>
    <xf numFmtId="0" fontId="23" fillId="7" borderId="10" xfId="0" applyFont="1" applyFill="1" applyBorder="1"/>
    <xf numFmtId="0" fontId="0" fillId="7" borderId="10" xfId="0" applyFill="1" applyBorder="1"/>
    <xf numFmtId="4" fontId="23" fillId="7" borderId="10" xfId="0" applyNumberFormat="1" applyFont="1" applyFill="1" applyBorder="1" applyAlignment="1">
      <alignment horizontal="center"/>
    </xf>
    <xf numFmtId="0" fontId="0" fillId="24" borderId="12" xfId="0" applyFill="1" applyBorder="1" applyProtection="1">
      <protection locked="0"/>
    </xf>
    <xf numFmtId="0" fontId="0" fillId="24" borderId="16" xfId="0" applyFill="1" applyBorder="1" applyProtection="1">
      <protection locked="0"/>
    </xf>
    <xf numFmtId="0" fontId="0" fillId="24" borderId="25" xfId="0" applyFill="1" applyBorder="1" applyProtection="1">
      <protection locked="0"/>
    </xf>
    <xf numFmtId="0" fontId="0" fillId="24" borderId="18" xfId="0" applyFill="1" applyBorder="1" applyProtection="1">
      <protection locked="0"/>
    </xf>
    <xf numFmtId="4" fontId="23" fillId="7" borderId="28" xfId="0" applyNumberFormat="1" applyFont="1" applyFill="1" applyBorder="1"/>
    <xf numFmtId="0" fontId="23" fillId="0" borderId="35" xfId="0" applyFont="1" applyBorder="1" applyAlignment="1" applyProtection="1">
      <alignment horizontal="center"/>
      <protection locked="0"/>
    </xf>
    <xf numFmtId="0" fontId="23" fillId="0" borderId="35" xfId="0" applyFont="1" applyBorder="1" applyAlignment="1" applyProtection="1">
      <alignment horizontal="center" wrapText="1"/>
      <protection locked="0"/>
    </xf>
    <xf numFmtId="0" fontId="23" fillId="0" borderId="22" xfId="0" applyFont="1" applyBorder="1" applyAlignment="1" applyProtection="1">
      <alignment horizontal="center"/>
      <protection locked="0"/>
    </xf>
    <xf numFmtId="4" fontId="37" fillId="0" borderId="0" xfId="0" applyNumberFormat="1" applyFont="1" applyProtection="1">
      <protection locked="0"/>
    </xf>
    <xf numFmtId="0" fontId="23" fillId="7" borderId="13" xfId="0" applyFont="1" applyFill="1" applyBorder="1"/>
    <xf numFmtId="4" fontId="23" fillId="7" borderId="13" xfId="0" applyNumberFormat="1" applyFont="1" applyFill="1" applyBorder="1" applyAlignment="1">
      <alignment horizontal="right"/>
    </xf>
    <xf numFmtId="165" fontId="0" fillId="0" borderId="0" xfId="33" applyFont="1" applyFill="1" applyBorder="1" applyAlignment="1" applyProtection="1">
      <protection locked="0"/>
    </xf>
    <xf numFmtId="0" fontId="0" fillId="7" borderId="40" xfId="0" applyFill="1" applyBorder="1"/>
    <xf numFmtId="4" fontId="0" fillId="24" borderId="0" xfId="0" applyNumberFormat="1" applyFill="1" applyAlignment="1" applyProtection="1">
      <alignment horizontal="center"/>
      <protection locked="0"/>
    </xf>
    <xf numFmtId="4" fontId="0" fillId="16" borderId="0" xfId="0" applyNumberFormat="1" applyFill="1" applyAlignment="1" applyProtection="1">
      <alignment horizontal="center"/>
      <protection locked="0"/>
    </xf>
    <xf numFmtId="0" fontId="0" fillId="22" borderId="37" xfId="0" applyFill="1" applyBorder="1" applyProtection="1">
      <protection locked="0"/>
    </xf>
    <xf numFmtId="0" fontId="0" fillId="22" borderId="23" xfId="0" applyFill="1" applyBorder="1" applyProtection="1">
      <protection locked="0"/>
    </xf>
    <xf numFmtId="4" fontId="0" fillId="22" borderId="37" xfId="0" applyNumberFormat="1" applyFill="1" applyBorder="1" applyProtection="1">
      <protection locked="0"/>
    </xf>
    <xf numFmtId="0" fontId="0" fillId="22" borderId="41" xfId="0" applyFill="1" applyBorder="1" applyProtection="1">
      <protection locked="0"/>
    </xf>
    <xf numFmtId="4" fontId="0" fillId="22" borderId="24" xfId="0" applyNumberFormat="1" applyFill="1" applyBorder="1" applyProtection="1">
      <protection locked="0"/>
    </xf>
    <xf numFmtId="4" fontId="23" fillId="7" borderId="33" xfId="0" applyNumberFormat="1" applyFont="1" applyFill="1" applyBorder="1"/>
    <xf numFmtId="0" fontId="36" fillId="24" borderId="0" xfId="0" applyFont="1" applyFill="1" applyProtection="1">
      <protection locked="0"/>
    </xf>
    <xf numFmtId="0" fontId="23" fillId="24" borderId="42" xfId="0" applyFont="1" applyFill="1" applyBorder="1" applyProtection="1">
      <protection locked="0"/>
    </xf>
    <xf numFmtId="0" fontId="23" fillId="24" borderId="0" xfId="0" applyFont="1" applyFill="1" applyAlignment="1" applyProtection="1">
      <alignment horizontal="center"/>
      <protection locked="0"/>
    </xf>
    <xf numFmtId="0" fontId="0" fillId="0" borderId="0" xfId="0" applyAlignment="1" applyProtection="1">
      <alignment horizontal="center"/>
      <protection locked="0"/>
    </xf>
    <xf numFmtId="4" fontId="23" fillId="7" borderId="43" xfId="0" applyNumberFormat="1" applyFont="1" applyFill="1" applyBorder="1" applyAlignment="1">
      <alignment horizontal="right"/>
    </xf>
    <xf numFmtId="4" fontId="23" fillId="7" borderId="44" xfId="0" applyNumberFormat="1" applyFont="1" applyFill="1" applyBorder="1" applyAlignment="1">
      <alignment horizontal="right"/>
    </xf>
    <xf numFmtId="4" fontId="23" fillId="7" borderId="45" xfId="0" applyNumberFormat="1" applyFont="1" applyFill="1" applyBorder="1" applyAlignment="1">
      <alignment horizontal="right"/>
    </xf>
    <xf numFmtId="4" fontId="23" fillId="7" borderId="46" xfId="0" applyNumberFormat="1" applyFont="1" applyFill="1" applyBorder="1" applyAlignment="1">
      <alignment horizontal="right"/>
    </xf>
    <xf numFmtId="0" fontId="23" fillId="0" borderId="21" xfId="0" applyFont="1" applyBorder="1" applyAlignment="1" applyProtection="1">
      <alignment horizontal="right"/>
      <protection locked="0"/>
    </xf>
    <xf numFmtId="4" fontId="23" fillId="7" borderId="21" xfId="0" applyNumberFormat="1" applyFont="1" applyFill="1" applyBorder="1" applyAlignment="1">
      <alignment horizontal="right"/>
    </xf>
    <xf numFmtId="4" fontId="23" fillId="0" borderId="0" xfId="0" applyNumberFormat="1" applyFont="1" applyAlignment="1" applyProtection="1">
      <alignment horizontal="right"/>
      <protection locked="0"/>
    </xf>
    <xf numFmtId="0" fontId="23" fillId="24" borderId="20" xfId="0" applyFont="1" applyFill="1" applyBorder="1" applyProtection="1">
      <protection locked="0"/>
    </xf>
    <xf numFmtId="0" fontId="0" fillId="0" borderId="47" xfId="0" applyBorder="1" applyProtection="1">
      <protection locked="0"/>
    </xf>
    <xf numFmtId="4" fontId="0" fillId="7" borderId="43" xfId="0" applyNumberFormat="1" applyFill="1" applyBorder="1"/>
    <xf numFmtId="4" fontId="0" fillId="7" borderId="45" xfId="0" applyNumberFormat="1" applyFill="1" applyBorder="1"/>
    <xf numFmtId="4" fontId="0" fillId="7" borderId="45" xfId="0" applyNumberFormat="1" applyFill="1" applyBorder="1" applyAlignment="1">
      <alignment vertical="center"/>
    </xf>
    <xf numFmtId="4" fontId="40" fillId="7" borderId="45" xfId="0" applyNumberFormat="1" applyFont="1" applyFill="1" applyBorder="1"/>
    <xf numFmtId="0" fontId="0" fillId="24" borderId="10" xfId="0" applyFill="1" applyBorder="1" applyProtection="1">
      <protection locked="0"/>
    </xf>
    <xf numFmtId="4" fontId="23" fillId="7" borderId="10" xfId="0" applyNumberFormat="1" applyFont="1" applyFill="1" applyBorder="1"/>
    <xf numFmtId="0" fontId="23" fillId="0" borderId="31" xfId="0" applyFont="1" applyBorder="1" applyAlignment="1" applyProtection="1">
      <alignment horizontal="center"/>
      <protection locked="0"/>
    </xf>
    <xf numFmtId="0" fontId="23" fillId="0" borderId="33" xfId="0" applyFont="1" applyBorder="1" applyAlignment="1" applyProtection="1">
      <alignment horizontal="center"/>
      <protection locked="0"/>
    </xf>
    <xf numFmtId="0" fontId="0" fillId="0" borderId="43" xfId="0" applyBorder="1" applyProtection="1">
      <protection locked="0"/>
    </xf>
    <xf numFmtId="4" fontId="0" fillId="7" borderId="48" xfId="0" applyNumberFormat="1" applyFill="1" applyBorder="1"/>
    <xf numFmtId="0" fontId="0" fillId="0" borderId="45" xfId="0" applyBorder="1" applyProtection="1">
      <protection locked="0"/>
    </xf>
    <xf numFmtId="4" fontId="0" fillId="7" borderId="49" xfId="0" applyNumberFormat="1" applyFill="1" applyBorder="1"/>
    <xf numFmtId="4" fontId="23" fillId="7" borderId="49" xfId="0" applyNumberFormat="1" applyFont="1" applyFill="1" applyBorder="1"/>
    <xf numFmtId="0" fontId="0" fillId="7" borderId="37" xfId="0" applyFill="1" applyBorder="1"/>
    <xf numFmtId="166" fontId="0" fillId="7" borderId="30" xfId="0" applyNumberFormat="1" applyFill="1" applyBorder="1"/>
    <xf numFmtId="0" fontId="0" fillId="16" borderId="37" xfId="0" applyFill="1" applyBorder="1"/>
    <xf numFmtId="4" fontId="0" fillId="22" borderId="49" xfId="0" applyNumberFormat="1" applyFill="1" applyBorder="1" applyProtection="1">
      <protection locked="0"/>
    </xf>
    <xf numFmtId="4" fontId="0" fillId="16" borderId="49" xfId="0" applyNumberFormat="1" applyFill="1" applyBorder="1"/>
    <xf numFmtId="4" fontId="0" fillId="16" borderId="37" xfId="0" applyNumberFormat="1" applyFill="1" applyBorder="1"/>
    <xf numFmtId="4" fontId="23" fillId="7" borderId="50" xfId="0" applyNumberFormat="1" applyFont="1" applyFill="1" applyBorder="1"/>
    <xf numFmtId="4" fontId="23" fillId="7" borderId="51" xfId="0" applyNumberFormat="1" applyFont="1" applyFill="1" applyBorder="1"/>
    <xf numFmtId="0" fontId="23" fillId="0" borderId="31" xfId="0" applyFont="1" applyBorder="1" applyProtection="1">
      <protection locked="0"/>
    </xf>
    <xf numFmtId="0" fontId="23" fillId="0" borderId="33" xfId="0" applyFont="1" applyBorder="1" applyProtection="1">
      <protection locked="0"/>
    </xf>
    <xf numFmtId="0" fontId="0" fillId="0" borderId="48" xfId="0" applyBorder="1"/>
    <xf numFmtId="0" fontId="0" fillId="0" borderId="49" xfId="0" applyBorder="1"/>
    <xf numFmtId="0" fontId="37" fillId="0" borderId="0" xfId="0" applyFont="1" applyProtection="1">
      <protection locked="0"/>
    </xf>
    <xf numFmtId="0" fontId="0" fillId="0" borderId="50" xfId="0" applyBorder="1"/>
    <xf numFmtId="4" fontId="0" fillId="7" borderId="27" xfId="0" applyNumberFormat="1" applyFill="1" applyBorder="1"/>
    <xf numFmtId="0" fontId="23" fillId="0" borderId="31" xfId="0" applyFont="1" applyBorder="1"/>
    <xf numFmtId="0" fontId="23" fillId="0" borderId="17" xfId="0" applyFont="1" applyBorder="1" applyAlignment="1" applyProtection="1">
      <alignment horizontal="center"/>
      <protection locked="0"/>
    </xf>
    <xf numFmtId="0" fontId="23" fillId="0" borderId="31" xfId="0" applyFont="1" applyBorder="1" applyAlignment="1">
      <alignment wrapText="1"/>
    </xf>
    <xf numFmtId="0" fontId="0" fillId="22" borderId="31" xfId="0" applyFill="1" applyBorder="1" applyProtection="1">
      <protection locked="0"/>
    </xf>
    <xf numFmtId="0" fontId="0" fillId="22" borderId="33" xfId="0" applyFill="1" applyBorder="1" applyProtection="1">
      <protection locked="0"/>
    </xf>
    <xf numFmtId="4" fontId="23" fillId="0" borderId="32" xfId="0" applyNumberFormat="1" applyFont="1" applyBorder="1" applyAlignment="1" applyProtection="1">
      <alignment horizontal="center"/>
      <protection locked="0"/>
    </xf>
    <xf numFmtId="4" fontId="23" fillId="0" borderId="52" xfId="0" applyNumberFormat="1" applyFont="1" applyBorder="1" applyAlignment="1" applyProtection="1">
      <alignment horizontal="center"/>
      <protection locked="0"/>
    </xf>
    <xf numFmtId="4" fontId="23" fillId="0" borderId="21" xfId="0" applyNumberFormat="1" applyFont="1" applyBorder="1" applyAlignment="1" applyProtection="1">
      <alignment horizontal="center"/>
      <protection locked="0"/>
    </xf>
    <xf numFmtId="0" fontId="0" fillId="0" borderId="53" xfId="0" applyBorder="1" applyProtection="1">
      <protection locked="0"/>
    </xf>
    <xf numFmtId="4" fontId="0" fillId="22" borderId="14" xfId="0" applyNumberFormat="1" applyFill="1" applyBorder="1" applyProtection="1">
      <protection locked="0"/>
    </xf>
    <xf numFmtId="4" fontId="0" fillId="22" borderId="54" xfId="0" applyNumberFormat="1" applyFill="1" applyBorder="1" applyProtection="1">
      <protection locked="0"/>
    </xf>
    <xf numFmtId="167" fontId="0" fillId="7" borderId="44" xfId="0" applyNumberFormat="1" applyFill="1" applyBorder="1"/>
    <xf numFmtId="0" fontId="0" fillId="0" borderId="49" xfId="0" applyBorder="1" applyProtection="1">
      <protection locked="0"/>
    </xf>
    <xf numFmtId="4" fontId="0" fillId="22" borderId="38" xfId="0" applyNumberFormat="1" applyFill="1" applyBorder="1" applyProtection="1">
      <protection locked="0"/>
    </xf>
    <xf numFmtId="0" fontId="0" fillId="0" borderId="50" xfId="0" applyBorder="1" applyAlignment="1" applyProtection="1">
      <alignment horizontal="right"/>
      <protection locked="0"/>
    </xf>
    <xf numFmtId="4" fontId="0" fillId="22" borderId="55" xfId="0" applyNumberFormat="1" applyFill="1" applyBorder="1" applyProtection="1">
      <protection locked="0"/>
    </xf>
    <xf numFmtId="4" fontId="0" fillId="22" borderId="56" xfId="0" applyNumberFormat="1" applyFill="1" applyBorder="1" applyProtection="1">
      <protection locked="0"/>
    </xf>
    <xf numFmtId="0" fontId="0" fillId="0" borderId="21" xfId="0" applyBorder="1" applyAlignment="1" applyProtection="1">
      <alignment horizontal="center"/>
      <protection locked="0"/>
    </xf>
    <xf numFmtId="0" fontId="23" fillId="0" borderId="57" xfId="0" applyFont="1" applyBorder="1" applyAlignment="1" applyProtection="1">
      <alignment horizontal="center" wrapText="1"/>
      <protection locked="0"/>
    </xf>
    <xf numFmtId="0" fontId="23" fillId="0" borderId="32" xfId="0" applyFont="1" applyBorder="1" applyAlignment="1" applyProtection="1">
      <alignment horizontal="center"/>
      <protection locked="0"/>
    </xf>
    <xf numFmtId="0" fontId="0" fillId="0" borderId="29" xfId="0" applyBorder="1" applyProtection="1">
      <protection locked="0"/>
    </xf>
    <xf numFmtId="168" fontId="0" fillId="7" borderId="48" xfId="0" applyNumberFormat="1" applyFill="1" applyBorder="1"/>
    <xf numFmtId="4" fontId="0" fillId="7" borderId="58" xfId="0" applyNumberFormat="1" applyFill="1" applyBorder="1"/>
    <xf numFmtId="4" fontId="0" fillId="7" borderId="59" xfId="0" applyNumberFormat="1" applyFill="1" applyBorder="1"/>
    <xf numFmtId="168" fontId="0" fillId="7" borderId="53" xfId="0" applyNumberFormat="1" applyFill="1" applyBorder="1"/>
    <xf numFmtId="4" fontId="0" fillId="7" borderId="14" xfId="0" applyNumberFormat="1" applyFill="1" applyBorder="1"/>
    <xf numFmtId="0" fontId="0" fillId="0" borderId="28" xfId="0" applyBorder="1" applyProtection="1">
      <protection locked="0"/>
    </xf>
    <xf numFmtId="168" fontId="0" fillId="7" borderId="60" xfId="0" applyNumberFormat="1" applyFill="1" applyBorder="1"/>
    <xf numFmtId="4" fontId="0" fillId="7" borderId="61" xfId="0" applyNumberFormat="1" applyFill="1" applyBorder="1"/>
    <xf numFmtId="4" fontId="0" fillId="7" borderId="62" xfId="0" applyNumberFormat="1" applyFill="1" applyBorder="1"/>
    <xf numFmtId="0" fontId="23" fillId="0" borderId="39" xfId="0" applyFont="1" applyBorder="1" applyProtection="1">
      <protection locked="0"/>
    </xf>
    <xf numFmtId="0" fontId="38" fillId="0" borderId="43" xfId="0" applyFont="1" applyBorder="1" applyAlignment="1" applyProtection="1">
      <alignment wrapText="1"/>
      <protection locked="0"/>
    </xf>
    <xf numFmtId="0" fontId="38" fillId="0" borderId="51" xfId="0" applyFont="1" applyBorder="1" applyAlignment="1" applyProtection="1">
      <alignment wrapText="1"/>
      <protection locked="0"/>
    </xf>
    <xf numFmtId="0" fontId="38" fillId="0" borderId="18" xfId="0" applyFont="1" applyBorder="1" applyProtection="1">
      <protection locked="0"/>
    </xf>
    <xf numFmtId="4" fontId="38" fillId="7" borderId="28" xfId="0" applyNumberFormat="1" applyFont="1" applyFill="1" applyBorder="1" applyAlignment="1">
      <alignment horizontal="right"/>
    </xf>
    <xf numFmtId="4" fontId="23" fillId="0" borderId="31" xfId="0" applyNumberFormat="1" applyFont="1" applyBorder="1" applyAlignment="1" applyProtection="1">
      <alignment horizontal="right"/>
      <protection locked="0"/>
    </xf>
    <xf numFmtId="0" fontId="23" fillId="0" borderId="32" xfId="0" applyFont="1" applyBorder="1" applyAlignment="1" applyProtection="1">
      <alignment horizontal="center" wrapText="1"/>
      <protection locked="0"/>
    </xf>
    <xf numFmtId="0" fontId="23" fillId="0" borderId="32" xfId="0" applyFont="1" applyBorder="1" applyAlignment="1" applyProtection="1">
      <alignment wrapText="1"/>
      <protection locked="0"/>
    </xf>
    <xf numFmtId="1" fontId="23" fillId="0" borderId="50" xfId="0" applyNumberFormat="1" applyFont="1" applyBorder="1" applyAlignment="1" applyProtection="1">
      <alignment horizontal="center" wrapText="1"/>
      <protection locked="0"/>
    </xf>
    <xf numFmtId="0" fontId="0" fillId="22" borderId="55" xfId="0" applyFill="1" applyBorder="1" applyProtection="1">
      <protection locked="0"/>
    </xf>
    <xf numFmtId="1" fontId="23" fillId="0" borderId="26" xfId="0" applyNumberFormat="1" applyFont="1" applyBorder="1" applyAlignment="1" applyProtection="1">
      <alignment horizontal="center"/>
      <protection locked="0"/>
    </xf>
    <xf numFmtId="4" fontId="23" fillId="0" borderId="53" xfId="0" applyNumberFormat="1" applyFont="1" applyBorder="1" applyAlignment="1" applyProtection="1">
      <alignment horizontal="left" wrapText="1"/>
      <protection locked="0"/>
    </xf>
    <xf numFmtId="4" fontId="0" fillId="22" borderId="59" xfId="0" applyNumberFormat="1" applyFill="1" applyBorder="1" applyProtection="1">
      <protection locked="0"/>
    </xf>
    <xf numFmtId="4" fontId="0" fillId="16" borderId="63" xfId="0" applyNumberFormat="1" applyFill="1" applyBorder="1" applyProtection="1">
      <protection locked="0"/>
    </xf>
    <xf numFmtId="4" fontId="23" fillId="0" borderId="50" xfId="0" applyNumberFormat="1" applyFont="1" applyBorder="1" applyAlignment="1" applyProtection="1">
      <alignment horizontal="left" wrapText="1"/>
      <protection locked="0"/>
    </xf>
    <xf numFmtId="4" fontId="0" fillId="7" borderId="64" xfId="0" applyNumberFormat="1" applyFill="1" applyBorder="1"/>
    <xf numFmtId="0" fontId="23" fillId="0" borderId="52" xfId="0" applyFont="1" applyBorder="1" applyAlignment="1" applyProtection="1">
      <alignment wrapText="1"/>
      <protection locked="0"/>
    </xf>
    <xf numFmtId="1" fontId="23" fillId="0" borderId="22" xfId="0" applyNumberFormat="1" applyFont="1" applyBorder="1" applyAlignment="1" applyProtection="1">
      <alignment horizontal="center"/>
      <protection locked="0"/>
    </xf>
    <xf numFmtId="4" fontId="23" fillId="24" borderId="47" xfId="0" applyNumberFormat="1" applyFont="1" applyFill="1" applyBorder="1" applyAlignment="1" applyProtection="1">
      <alignment horizontal="right"/>
      <protection locked="0"/>
    </xf>
    <xf numFmtId="0" fontId="23" fillId="0" borderId="25" xfId="0" applyFont="1" applyBorder="1" applyAlignment="1" applyProtection="1">
      <alignment horizontal="right"/>
      <protection locked="0"/>
    </xf>
    <xf numFmtId="4" fontId="23" fillId="24" borderId="20" xfId="0" applyNumberFormat="1" applyFont="1" applyFill="1" applyBorder="1" applyAlignment="1" applyProtection="1">
      <alignment horizontal="center"/>
      <protection locked="0"/>
    </xf>
    <xf numFmtId="1" fontId="23" fillId="0" borderId="31" xfId="0" applyNumberFormat="1" applyFont="1" applyBorder="1" applyProtection="1">
      <protection locked="0"/>
    </xf>
    <xf numFmtId="0" fontId="23" fillId="0" borderId="52" xfId="0" applyFont="1" applyBorder="1" applyAlignment="1" applyProtection="1">
      <alignment horizontal="center" wrapText="1"/>
      <protection locked="0"/>
    </xf>
    <xf numFmtId="0" fontId="23" fillId="24" borderId="21" xfId="0" applyFont="1" applyFill="1" applyBorder="1" applyAlignment="1" applyProtection="1">
      <alignment horizontal="center"/>
      <protection locked="0"/>
    </xf>
    <xf numFmtId="0" fontId="0" fillId="0" borderId="53" xfId="0" applyBorder="1" applyAlignment="1" applyProtection="1">
      <alignment wrapText="1"/>
      <protection locked="0"/>
    </xf>
    <xf numFmtId="0" fontId="23" fillId="7" borderId="44" xfId="0" applyFont="1" applyFill="1" applyBorder="1"/>
    <xf numFmtId="0" fontId="0" fillId="0" borderId="49" xfId="0" applyBorder="1" applyAlignment="1" applyProtection="1">
      <alignment wrapText="1"/>
      <protection locked="0"/>
    </xf>
    <xf numFmtId="0" fontId="0" fillId="16" borderId="10" xfId="0" applyFill="1" applyBorder="1" applyProtection="1">
      <protection locked="0"/>
    </xf>
    <xf numFmtId="0" fontId="23" fillId="7" borderId="45" xfId="0" applyFont="1" applyFill="1" applyBorder="1"/>
    <xf numFmtId="0" fontId="0" fillId="0" borderId="25" xfId="0" applyBorder="1" applyProtection="1">
      <protection locked="0"/>
    </xf>
    <xf numFmtId="0" fontId="0" fillId="0" borderId="32" xfId="0" applyBorder="1" applyProtection="1">
      <protection locked="0"/>
    </xf>
    <xf numFmtId="0" fontId="23" fillId="7" borderId="28" xfId="0" applyFont="1" applyFill="1" applyBorder="1"/>
    <xf numFmtId="0" fontId="0" fillId="7" borderId="26" xfId="0" applyFill="1" applyBorder="1"/>
    <xf numFmtId="1" fontId="23" fillId="0" borderId="43" xfId="0" applyNumberFormat="1" applyFont="1" applyBorder="1" applyProtection="1">
      <protection locked="0"/>
    </xf>
    <xf numFmtId="0" fontId="0" fillId="0" borderId="21" xfId="0" applyBorder="1" applyAlignment="1" applyProtection="1">
      <alignment horizontal="right"/>
      <protection locked="0"/>
    </xf>
    <xf numFmtId="4" fontId="0" fillId="7" borderId="51" xfId="0" applyNumberFormat="1" applyFill="1" applyBorder="1"/>
    <xf numFmtId="0" fontId="25" fillId="0" borderId="0" xfId="0" applyFont="1" applyProtection="1">
      <protection locked="0"/>
    </xf>
    <xf numFmtId="1" fontId="23" fillId="0" borderId="21" xfId="0" applyNumberFormat="1" applyFont="1" applyBorder="1" applyAlignment="1" applyProtection="1">
      <alignment horizontal="center"/>
      <protection locked="0"/>
    </xf>
    <xf numFmtId="0" fontId="0" fillId="0" borderId="48" xfId="0" applyBorder="1" applyAlignment="1" applyProtection="1">
      <alignment wrapText="1"/>
      <protection locked="0"/>
    </xf>
    <xf numFmtId="0" fontId="0" fillId="0" borderId="18" xfId="0" applyBorder="1" applyAlignment="1" applyProtection="1">
      <alignment horizontal="right" wrapText="1"/>
      <protection locked="0"/>
    </xf>
    <xf numFmtId="0" fontId="23" fillId="0" borderId="10" xfId="0" applyFont="1" applyBorder="1" applyAlignment="1" applyProtection="1">
      <alignment horizontal="center"/>
      <protection locked="0"/>
    </xf>
    <xf numFmtId="4" fontId="0" fillId="7" borderId="10" xfId="0" applyNumberFormat="1" applyFill="1" applyBorder="1"/>
    <xf numFmtId="4" fontId="0" fillId="16" borderId="10" xfId="0" applyNumberFormat="1" applyFill="1" applyBorder="1"/>
    <xf numFmtId="4" fontId="0" fillId="7" borderId="44" xfId="0" applyNumberFormat="1" applyFill="1" applyBorder="1"/>
    <xf numFmtId="0" fontId="0" fillId="0" borderId="65" xfId="0" applyBorder="1" applyProtection="1">
      <protection locked="0"/>
    </xf>
    <xf numFmtId="4" fontId="0" fillId="7" borderId="46" xfId="0" applyNumberFormat="1" applyFill="1" applyBorder="1"/>
    <xf numFmtId="0" fontId="0" fillId="0" borderId="47" xfId="0" applyBorder="1" applyAlignment="1" applyProtection="1">
      <alignment wrapText="1"/>
      <protection locked="0"/>
    </xf>
    <xf numFmtId="0" fontId="0" fillId="0" borderId="41" xfId="0" applyBorder="1" applyAlignment="1" applyProtection="1">
      <alignment wrapText="1"/>
      <protection locked="0"/>
    </xf>
    <xf numFmtId="166" fontId="0" fillId="7" borderId="10" xfId="0" applyNumberFormat="1" applyFill="1" applyBorder="1"/>
    <xf numFmtId="4" fontId="0" fillId="7" borderId="14" xfId="0" applyNumberFormat="1" applyFill="1" applyBorder="1" applyAlignment="1">
      <alignment horizontal="right"/>
    </xf>
    <xf numFmtId="4" fontId="0" fillId="7" borderId="10" xfId="0" applyNumberFormat="1" applyFill="1" applyBorder="1" applyAlignment="1">
      <alignment horizontal="right"/>
    </xf>
    <xf numFmtId="4" fontId="45" fillId="7" borderId="13" xfId="0" applyNumberFormat="1" applyFont="1" applyFill="1" applyBorder="1"/>
    <xf numFmtId="4" fontId="0" fillId="0" borderId="10" xfId="0" applyNumberFormat="1" applyBorder="1"/>
    <xf numFmtId="0" fontId="38" fillId="0" borderId="20" xfId="0" applyFont="1" applyBorder="1"/>
    <xf numFmtId="0" fontId="38" fillId="16" borderId="58" xfId="0" applyFont="1" applyFill="1" applyBorder="1" applyAlignment="1">
      <alignment horizontal="center"/>
    </xf>
    <xf numFmtId="0" fontId="30" fillId="0" borderId="66" xfId="0" applyFont="1" applyBorder="1"/>
    <xf numFmtId="3" fontId="30" fillId="22" borderId="10" xfId="0" applyNumberFormat="1" applyFont="1" applyFill="1" applyBorder="1" applyAlignment="1" applyProtection="1">
      <alignment horizontal="center"/>
      <protection locked="0"/>
    </xf>
    <xf numFmtId="0" fontId="30" fillId="0" borderId="23" xfId="0" applyFont="1" applyBorder="1"/>
    <xf numFmtId="0" fontId="30" fillId="0" borderId="65" xfId="0" applyFont="1" applyBorder="1"/>
    <xf numFmtId="0" fontId="38" fillId="0" borderId="18" xfId="0" applyFont="1" applyBorder="1"/>
    <xf numFmtId="3" fontId="23" fillId="7" borderId="55" xfId="0" applyNumberFormat="1" applyFont="1" applyFill="1" applyBorder="1" applyAlignment="1">
      <alignment horizontal="center"/>
    </xf>
    <xf numFmtId="2" fontId="0" fillId="0" borderId="0" xfId="0" applyNumberFormat="1" applyAlignment="1">
      <alignment wrapText="1"/>
    </xf>
    <xf numFmtId="0" fontId="36" fillId="0" borderId="20" xfId="0" applyFont="1" applyBorder="1"/>
    <xf numFmtId="0" fontId="38" fillId="16" borderId="32" xfId="0" applyFont="1" applyFill="1" applyBorder="1" applyAlignment="1">
      <alignment horizontal="center"/>
    </xf>
    <xf numFmtId="0" fontId="30" fillId="0" borderId="47" xfId="0" applyFont="1" applyBorder="1"/>
    <xf numFmtId="4" fontId="30" fillId="22" borderId="14" xfId="0" applyNumberFormat="1" applyFont="1" applyFill="1" applyBorder="1" applyAlignment="1" applyProtection="1">
      <alignment horizontal="center"/>
      <protection locked="0"/>
    </xf>
    <xf numFmtId="0" fontId="38" fillId="0" borderId="0" xfId="0" applyFont="1" applyAlignment="1" applyProtection="1">
      <alignment horizontal="center"/>
      <protection locked="0"/>
    </xf>
    <xf numFmtId="0" fontId="38" fillId="0" borderId="20" xfId="0" applyFont="1" applyBorder="1" applyAlignment="1">
      <alignment wrapText="1"/>
    </xf>
    <xf numFmtId="4" fontId="38" fillId="7" borderId="35" xfId="0" applyNumberFormat="1" applyFont="1" applyFill="1" applyBorder="1" applyAlignment="1">
      <alignment horizontal="center"/>
    </xf>
    <xf numFmtId="0" fontId="0" fillId="0" borderId="47" xfId="0" applyBorder="1"/>
    <xf numFmtId="4" fontId="0" fillId="22" borderId="58" xfId="0" applyNumberFormat="1" applyFill="1" applyBorder="1" applyAlignment="1" applyProtection="1">
      <alignment horizontal="center"/>
      <protection locked="0"/>
    </xf>
    <xf numFmtId="0" fontId="0" fillId="0" borderId="23" xfId="0" applyBorder="1"/>
    <xf numFmtId="4" fontId="0" fillId="22" borderId="10" xfId="0" applyNumberFormat="1" applyFill="1" applyBorder="1" applyAlignment="1" applyProtection="1">
      <alignment horizontal="center"/>
      <protection locked="0"/>
    </xf>
    <xf numFmtId="0" fontId="0" fillId="0" borderId="65" xfId="0" applyBorder="1"/>
    <xf numFmtId="4" fontId="0" fillId="22" borderId="11" xfId="0" applyNumberFormat="1" applyFill="1" applyBorder="1" applyAlignment="1" applyProtection="1">
      <alignment horizontal="center"/>
      <protection locked="0"/>
    </xf>
    <xf numFmtId="4" fontId="23" fillId="7" borderId="32" xfId="0" applyNumberFormat="1" applyFont="1" applyFill="1" applyBorder="1" applyAlignment="1">
      <alignment horizontal="center"/>
    </xf>
    <xf numFmtId="14" fontId="38" fillId="16" borderId="35" xfId="0" applyNumberFormat="1" applyFont="1" applyFill="1" applyBorder="1" applyAlignment="1">
      <alignment horizontal="center"/>
    </xf>
    <xf numFmtId="3" fontId="0" fillId="7" borderId="58" xfId="0" applyNumberFormat="1" applyFill="1" applyBorder="1" applyAlignment="1">
      <alignment horizontal="center"/>
    </xf>
    <xf numFmtId="0" fontId="0" fillId="0" borderId="41" xfId="0" applyBorder="1" applyAlignment="1">
      <alignment wrapText="1"/>
    </xf>
    <xf numFmtId="3" fontId="0" fillId="7" borderId="11" xfId="0" applyNumberFormat="1" applyFill="1" applyBorder="1" applyAlignment="1">
      <alignment horizontal="center"/>
    </xf>
    <xf numFmtId="0" fontId="23" fillId="0" borderId="20" xfId="0" applyFont="1" applyBorder="1" applyAlignment="1">
      <alignment wrapText="1"/>
    </xf>
    <xf numFmtId="10" fontId="23" fillId="7" borderId="32" xfId="37" applyNumberFormat="1" applyFont="1" applyFill="1" applyBorder="1" applyAlignment="1" applyProtection="1">
      <alignment horizontal="center"/>
    </xf>
    <xf numFmtId="165" fontId="0" fillId="7" borderId="19" xfId="33" applyFont="1" applyFill="1" applyBorder="1" applyAlignment="1" applyProtection="1">
      <alignment horizontal="justify" vertical="top" wrapText="1"/>
    </xf>
    <xf numFmtId="9" fontId="0" fillId="16" borderId="19" xfId="37" applyFont="1" applyFill="1" applyBorder="1" applyAlignment="1" applyProtection="1">
      <alignment horizontal="right" vertical="top" wrapText="1"/>
    </xf>
    <xf numFmtId="9" fontId="0" fillId="16" borderId="30" xfId="37" applyFont="1" applyFill="1" applyBorder="1" applyAlignment="1" applyProtection="1">
      <alignment horizontal="right" vertical="top" wrapText="1"/>
    </xf>
    <xf numFmtId="166" fontId="0" fillId="0" borderId="0" xfId="0" applyNumberFormat="1" applyProtection="1">
      <protection locked="0"/>
    </xf>
    <xf numFmtId="0" fontId="23" fillId="0" borderId="41" xfId="0" applyFont="1" applyBorder="1" applyAlignment="1" applyProtection="1">
      <alignment horizontal="center"/>
      <protection locked="0"/>
    </xf>
    <xf numFmtId="4" fontId="0" fillId="7" borderId="24" xfId="0" applyNumberFormat="1" applyFill="1" applyBorder="1"/>
    <xf numFmtId="4" fontId="23" fillId="7" borderId="32" xfId="0" applyNumberFormat="1" applyFont="1" applyFill="1" applyBorder="1" applyAlignment="1">
      <alignment horizontal="right"/>
    </xf>
    <xf numFmtId="0" fontId="23" fillId="24" borderId="10" xfId="0" applyFont="1" applyFill="1" applyBorder="1" applyProtection="1">
      <protection locked="0"/>
    </xf>
    <xf numFmtId="0" fontId="23" fillId="7" borderId="10" xfId="0" applyFont="1" applyFill="1" applyBorder="1" applyAlignment="1">
      <alignment horizontal="center"/>
    </xf>
    <xf numFmtId="0" fontId="0" fillId="0" borderId="10" xfId="0" applyBorder="1"/>
    <xf numFmtId="0" fontId="0" fillId="22" borderId="66" xfId="0" applyFill="1" applyBorder="1" applyProtection="1">
      <protection locked="0"/>
    </xf>
    <xf numFmtId="0" fontId="0" fillId="0" borderId="43" xfId="0" applyBorder="1" applyAlignment="1" applyProtection="1">
      <alignment horizontal="right"/>
      <protection locked="0"/>
    </xf>
    <xf numFmtId="0" fontId="0" fillId="0" borderId="44" xfId="0" applyBorder="1" applyAlignment="1" applyProtection="1">
      <alignment horizontal="right"/>
      <protection locked="0"/>
    </xf>
    <xf numFmtId="10" fontId="0" fillId="0" borderId="45" xfId="0" applyNumberFormat="1" applyBorder="1" applyAlignment="1" applyProtection="1">
      <alignment horizontal="right"/>
      <protection locked="0"/>
    </xf>
    <xf numFmtId="10" fontId="0" fillId="0" borderId="46" xfId="0" applyNumberFormat="1" applyBorder="1" applyAlignment="1" applyProtection="1">
      <alignment horizontal="right"/>
      <protection locked="0"/>
    </xf>
    <xf numFmtId="0" fontId="0" fillId="0" borderId="45" xfId="0" applyBorder="1" applyAlignment="1" applyProtection="1">
      <alignment wrapText="1"/>
      <protection locked="0"/>
    </xf>
    <xf numFmtId="0" fontId="0" fillId="0" borderId="46" xfId="0" applyBorder="1" applyProtection="1">
      <protection locked="0"/>
    </xf>
    <xf numFmtId="0" fontId="40" fillId="0" borderId="45" xfId="0" applyFont="1" applyBorder="1" applyAlignment="1" applyProtection="1">
      <alignment wrapText="1"/>
      <protection locked="0"/>
    </xf>
    <xf numFmtId="0" fontId="23" fillId="0" borderId="51" xfId="0" applyFont="1" applyBorder="1" applyProtection="1">
      <protection locked="0"/>
    </xf>
    <xf numFmtId="0" fontId="23" fillId="0" borderId="33" xfId="0" applyFont="1" applyBorder="1"/>
    <xf numFmtId="4" fontId="23" fillId="0" borderId="32" xfId="0" applyNumberFormat="1" applyFont="1" applyBorder="1" applyAlignment="1">
      <alignment horizontal="center"/>
    </xf>
    <xf numFmtId="4" fontId="23" fillId="0" borderId="52" xfId="0" applyNumberFormat="1" applyFont="1" applyBorder="1" applyAlignment="1">
      <alignment horizontal="center"/>
    </xf>
    <xf numFmtId="4" fontId="23" fillId="0" borderId="21" xfId="0" applyNumberFormat="1" applyFont="1" applyBorder="1" applyAlignment="1">
      <alignment horizontal="center"/>
    </xf>
    <xf numFmtId="0" fontId="0" fillId="0" borderId="53" xfId="0" applyBorder="1"/>
    <xf numFmtId="4" fontId="0" fillId="7" borderId="54" xfId="0" applyNumberFormat="1" applyFill="1" applyBorder="1"/>
    <xf numFmtId="0" fontId="0" fillId="0" borderId="50" xfId="0" applyBorder="1" applyAlignment="1">
      <alignment horizontal="right"/>
    </xf>
    <xf numFmtId="0" fontId="0" fillId="7" borderId="67" xfId="0" applyFill="1" applyBorder="1"/>
    <xf numFmtId="0" fontId="0" fillId="7" borderId="68" xfId="0" applyFill="1" applyBorder="1"/>
    <xf numFmtId="0" fontId="0" fillId="7" borderId="64" xfId="0" applyFill="1" applyBorder="1"/>
    <xf numFmtId="0" fontId="0" fillId="7" borderId="55" xfId="0" applyFill="1" applyBorder="1"/>
    <xf numFmtId="4" fontId="0" fillId="16" borderId="63" xfId="0" applyNumberFormat="1" applyFill="1" applyBorder="1"/>
    <xf numFmtId="0" fontId="0" fillId="7" borderId="36" xfId="0" applyFill="1" applyBorder="1"/>
    <xf numFmtId="0" fontId="0" fillId="7" borderId="14" xfId="0" applyFill="1" applyBorder="1"/>
    <xf numFmtId="0" fontId="0" fillId="7" borderId="54" xfId="0" applyFill="1" applyBorder="1"/>
    <xf numFmtId="0" fontId="0" fillId="16" borderId="10" xfId="0" applyFill="1" applyBorder="1"/>
    <xf numFmtId="0" fontId="0" fillId="7" borderId="69" xfId="0" applyFill="1" applyBorder="1"/>
    <xf numFmtId="0" fontId="0" fillId="7" borderId="70" xfId="0" applyFill="1" applyBorder="1"/>
    <xf numFmtId="0" fontId="46" fillId="0" borderId="0" xfId="0" applyFont="1" applyProtection="1">
      <protection locked="0"/>
    </xf>
    <xf numFmtId="0" fontId="0" fillId="7" borderId="36" xfId="0" applyFill="1" applyBorder="1" applyProtection="1">
      <protection locked="0"/>
    </xf>
    <xf numFmtId="0" fontId="0" fillId="22" borderId="72" xfId="0" applyFill="1" applyBorder="1" applyProtection="1">
      <protection locked="0"/>
    </xf>
    <xf numFmtId="4" fontId="23" fillId="25" borderId="0" xfId="0" applyNumberFormat="1" applyFont="1" applyFill="1"/>
    <xf numFmtId="4" fontId="23" fillId="7" borderId="72" xfId="0" applyNumberFormat="1" applyFont="1" applyFill="1" applyBorder="1"/>
    <xf numFmtId="4" fontId="0" fillId="7" borderId="72" xfId="0" applyNumberFormat="1" applyFill="1" applyBorder="1" applyAlignment="1">
      <alignment horizontal="right"/>
    </xf>
    <xf numFmtId="4" fontId="23" fillId="7" borderId="72" xfId="0" applyNumberFormat="1" applyFont="1" applyFill="1" applyBorder="1" applyAlignment="1">
      <alignment horizontal="right"/>
    </xf>
    <xf numFmtId="0" fontId="36" fillId="0" borderId="0" xfId="0" applyFont="1" applyProtection="1">
      <protection locked="0"/>
    </xf>
    <xf numFmtId="0" fontId="23" fillId="7" borderId="10" xfId="0" applyFont="1" applyFill="1" applyBorder="1" applyAlignment="1">
      <alignment horizontal="right"/>
    </xf>
    <xf numFmtId="0" fontId="0" fillId="24" borderId="0" xfId="0" applyFill="1" applyAlignment="1" applyProtection="1">
      <alignment wrapText="1"/>
      <protection locked="0"/>
    </xf>
    <xf numFmtId="0" fontId="23" fillId="0" borderId="73" xfId="0" applyFont="1" applyBorder="1" applyProtection="1">
      <protection locked="0"/>
    </xf>
    <xf numFmtId="1" fontId="23" fillId="0" borderId="17" xfId="0" applyNumberFormat="1" applyFont="1" applyBorder="1" applyAlignment="1" applyProtection="1">
      <alignment horizontal="center"/>
      <protection locked="0"/>
    </xf>
    <xf numFmtId="0" fontId="0" fillId="0" borderId="74" xfId="0" applyBorder="1" applyAlignment="1" applyProtection="1">
      <alignment wrapText="1"/>
      <protection locked="0"/>
    </xf>
    <xf numFmtId="0" fontId="0" fillId="7" borderId="75" xfId="0" applyFill="1" applyBorder="1"/>
    <xf numFmtId="0" fontId="0" fillId="0" borderId="76" xfId="0" applyBorder="1" applyAlignment="1" applyProtection="1">
      <alignment wrapText="1"/>
      <protection locked="0"/>
    </xf>
    <xf numFmtId="0" fontId="0" fillId="7" borderId="77" xfId="0" applyFill="1" applyBorder="1"/>
    <xf numFmtId="0" fontId="23" fillId="0" borderId="72" xfId="0" applyFont="1" applyBorder="1" applyAlignment="1" applyProtection="1">
      <alignment horizontal="center"/>
      <protection locked="0"/>
    </xf>
    <xf numFmtId="0" fontId="0" fillId="26" borderId="72" xfId="0" applyFill="1" applyBorder="1" applyProtection="1">
      <protection locked="0"/>
    </xf>
    <xf numFmtId="0" fontId="0" fillId="24" borderId="0" xfId="0" applyFill="1" applyAlignment="1" applyProtection="1">
      <alignment vertical="center"/>
      <protection locked="0"/>
    </xf>
    <xf numFmtId="0" fontId="23" fillId="24" borderId="0" xfId="0" applyFont="1" applyFill="1" applyAlignment="1" applyProtection="1">
      <alignment vertical="center"/>
      <protection locked="0"/>
    </xf>
    <xf numFmtId="0" fontId="0" fillId="24" borderId="20" xfId="0" applyFill="1" applyBorder="1" applyAlignment="1" applyProtection="1">
      <alignment horizontal="right" vertical="center"/>
      <protection locked="0"/>
    </xf>
    <xf numFmtId="4" fontId="0" fillId="0" borderId="26" xfId="0" applyNumberFormat="1" applyBorder="1" applyAlignment="1" applyProtection="1">
      <alignment vertical="center"/>
      <protection locked="0"/>
    </xf>
    <xf numFmtId="0" fontId="0" fillId="0" borderId="0" xfId="0" applyAlignment="1" applyProtection="1">
      <alignment horizontal="center" vertical="center"/>
      <protection locked="0"/>
    </xf>
    <xf numFmtId="0" fontId="23" fillId="0" borderId="45" xfId="0" applyFont="1"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0" fillId="16" borderId="45" xfId="0" applyFill="1" applyBorder="1" applyAlignment="1" applyProtection="1">
      <alignment horizontal="left" vertical="center" wrapText="1"/>
      <protection locked="0"/>
    </xf>
    <xf numFmtId="0" fontId="0" fillId="16" borderId="78" xfId="0" applyFill="1" applyBorder="1"/>
    <xf numFmtId="1" fontId="23" fillId="0" borderId="0" xfId="0" applyNumberFormat="1" applyFont="1" applyProtection="1">
      <protection locked="0"/>
    </xf>
    <xf numFmtId="0" fontId="23" fillId="0" borderId="72" xfId="0" applyFont="1" applyBorder="1" applyAlignment="1" applyProtection="1">
      <alignment horizontal="center" wrapText="1"/>
      <protection locked="0"/>
    </xf>
    <xf numFmtId="0" fontId="23" fillId="24" borderId="72" xfId="0" applyFont="1" applyFill="1" applyBorder="1" applyAlignment="1" applyProtection="1">
      <alignment horizontal="center"/>
      <protection locked="0"/>
    </xf>
    <xf numFmtId="0" fontId="23" fillId="7" borderId="72" xfId="0" applyFont="1" applyFill="1" applyBorder="1"/>
    <xf numFmtId="0" fontId="0" fillId="16" borderId="72" xfId="0" applyFill="1" applyBorder="1" applyProtection="1">
      <protection locked="0"/>
    </xf>
    <xf numFmtId="0" fontId="0" fillId="0" borderId="72" xfId="0" applyBorder="1" applyProtection="1">
      <protection locked="0"/>
    </xf>
    <xf numFmtId="0" fontId="23" fillId="0" borderId="72" xfId="0" applyFont="1" applyBorder="1" applyProtection="1">
      <protection locked="0"/>
    </xf>
    <xf numFmtId="0" fontId="23" fillId="24" borderId="72" xfId="0" applyFont="1" applyFill="1" applyBorder="1" applyAlignment="1" applyProtection="1">
      <alignment horizontal="center" vertical="center"/>
      <protection locked="0"/>
    </xf>
    <xf numFmtId="0" fontId="43" fillId="0" borderId="72" xfId="35" applyFont="1" applyBorder="1" applyAlignment="1">
      <alignment horizontal="center" vertical="center" wrapText="1"/>
    </xf>
    <xf numFmtId="4" fontId="51" fillId="0" borderId="72" xfId="35" applyNumberFormat="1" applyFont="1" applyBorder="1" applyAlignment="1">
      <alignment vertical="center"/>
    </xf>
    <xf numFmtId="4" fontId="51" fillId="27" borderId="72" xfId="35" applyNumberFormat="1" applyFont="1" applyFill="1" applyBorder="1" applyAlignment="1">
      <alignment vertical="center"/>
    </xf>
    <xf numFmtId="4" fontId="47" fillId="28" borderId="26" xfId="0" applyNumberFormat="1" applyFont="1" applyFill="1" applyBorder="1" applyAlignment="1">
      <alignment vertical="center"/>
    </xf>
    <xf numFmtId="4" fontId="23" fillId="7" borderId="26" xfId="0" applyNumberFormat="1" applyFont="1" applyFill="1" applyBorder="1" applyAlignment="1">
      <alignment vertical="center"/>
    </xf>
    <xf numFmtId="4" fontId="23" fillId="7" borderId="79" xfId="0" applyNumberFormat="1" applyFont="1" applyFill="1" applyBorder="1" applyAlignment="1">
      <alignment vertical="center"/>
    </xf>
    <xf numFmtId="0" fontId="0" fillId="24" borderId="80" xfId="0" applyFill="1" applyBorder="1" applyAlignment="1" applyProtection="1">
      <alignment vertical="center"/>
      <protection locked="0"/>
    </xf>
    <xf numFmtId="0" fontId="0" fillId="24" borderId="81" xfId="0" applyFill="1" applyBorder="1" applyAlignment="1" applyProtection="1">
      <alignment vertical="center"/>
      <protection locked="0"/>
    </xf>
    <xf numFmtId="0" fontId="0" fillId="24" borderId="82" xfId="0" applyFill="1" applyBorder="1" applyAlignment="1" applyProtection="1">
      <alignment vertical="center"/>
      <protection locked="0"/>
    </xf>
    <xf numFmtId="0" fontId="0" fillId="29" borderId="14" xfId="0" applyFill="1" applyBorder="1"/>
    <xf numFmtId="0" fontId="0" fillId="29" borderId="54" xfId="0" applyFill="1" applyBorder="1"/>
    <xf numFmtId="0" fontId="0" fillId="29" borderId="38" xfId="0" applyFill="1" applyBorder="1"/>
    <xf numFmtId="0" fontId="0" fillId="29" borderId="69" xfId="0" applyFill="1" applyBorder="1"/>
    <xf numFmtId="0" fontId="0" fillId="29" borderId="72" xfId="0" applyFill="1" applyBorder="1"/>
    <xf numFmtId="4" fontId="23" fillId="0" borderId="72" xfId="35" applyNumberFormat="1" applyFont="1" applyBorder="1" applyAlignment="1">
      <alignment horizontal="center" vertical="center" wrapText="1"/>
    </xf>
    <xf numFmtId="0" fontId="23" fillId="0" borderId="0" xfId="35" applyFont="1" applyAlignment="1">
      <alignment vertical="center"/>
    </xf>
    <xf numFmtId="0" fontId="4" fillId="0" borderId="0" xfId="35" applyAlignment="1">
      <alignment vertical="center"/>
    </xf>
    <xf numFmtId="0" fontId="23" fillId="27" borderId="0" xfId="35" applyFont="1" applyFill="1" applyAlignment="1" applyProtection="1">
      <alignment horizontal="right" vertical="center"/>
      <protection locked="0"/>
    </xf>
    <xf numFmtId="0" fontId="51" fillId="0" borderId="0" xfId="35" applyFont="1" applyAlignment="1">
      <alignment vertical="center"/>
    </xf>
    <xf numFmtId="0" fontId="43" fillId="0" borderId="0" xfId="35" applyFont="1" applyAlignment="1">
      <alignment vertical="center"/>
    </xf>
    <xf numFmtId="0" fontId="4" fillId="0" borderId="72" xfId="35" applyBorder="1" applyAlignment="1">
      <alignment vertical="center"/>
    </xf>
    <xf numFmtId="2" fontId="47" fillId="26" borderId="72" xfId="35" applyNumberFormat="1" applyFont="1" applyFill="1" applyBorder="1" applyAlignment="1" applyProtection="1">
      <alignment horizontal="center" vertical="center"/>
      <protection locked="0"/>
    </xf>
    <xf numFmtId="4" fontId="47" fillId="26" borderId="72" xfId="35" applyNumberFormat="1" applyFont="1" applyFill="1" applyBorder="1" applyAlignment="1" applyProtection="1">
      <alignment horizontal="center" vertical="center"/>
      <protection locked="0"/>
    </xf>
    <xf numFmtId="4" fontId="4" fillId="26" borderId="72" xfId="35" applyNumberFormat="1" applyFill="1" applyBorder="1" applyAlignment="1" applyProtection="1">
      <alignment horizontal="center" vertical="center"/>
      <protection locked="0"/>
    </xf>
    <xf numFmtId="0" fontId="43" fillId="0" borderId="72" xfId="35" applyFont="1" applyBorder="1" applyAlignment="1">
      <alignment horizontal="right" vertical="center"/>
    </xf>
    <xf numFmtId="4" fontId="23" fillId="27" borderId="72" xfId="35" applyNumberFormat="1" applyFont="1" applyFill="1" applyBorder="1" applyAlignment="1">
      <alignment horizontal="center" vertical="center"/>
    </xf>
    <xf numFmtId="4" fontId="51" fillId="0" borderId="0" xfId="35" applyNumberFormat="1" applyFont="1" applyAlignment="1">
      <alignment vertical="center"/>
    </xf>
    <xf numFmtId="4" fontId="51" fillId="27" borderId="0" xfId="35" applyNumberFormat="1" applyFont="1" applyFill="1" applyAlignment="1">
      <alignment vertical="center"/>
    </xf>
    <xf numFmtId="4" fontId="23" fillId="26" borderId="72" xfId="35" applyNumberFormat="1" applyFont="1" applyFill="1" applyBorder="1" applyAlignment="1" applyProtection="1">
      <alignment vertical="center"/>
      <protection locked="0"/>
    </xf>
    <xf numFmtId="0" fontId="52" fillId="0" borderId="0" xfId="35" applyFont="1" applyAlignment="1">
      <alignment vertical="center"/>
    </xf>
    <xf numFmtId="0" fontId="4" fillId="0" borderId="83" xfId="35" applyBorder="1" applyAlignment="1">
      <alignment vertical="center"/>
    </xf>
    <xf numFmtId="4" fontId="4" fillId="0" borderId="83" xfId="35" applyNumberFormat="1" applyBorder="1" applyAlignment="1">
      <alignment vertical="center"/>
    </xf>
    <xf numFmtId="4" fontId="51" fillId="0" borderId="83" xfId="35" applyNumberFormat="1" applyFont="1" applyBorder="1" applyAlignment="1">
      <alignment vertical="center"/>
    </xf>
    <xf numFmtId="4" fontId="51" fillId="27" borderId="83" xfId="35" applyNumberFormat="1" applyFont="1" applyFill="1" applyBorder="1" applyAlignment="1">
      <alignment vertical="center"/>
    </xf>
    <xf numFmtId="0" fontId="23" fillId="0" borderId="72" xfId="35" applyFont="1" applyBorder="1" applyAlignment="1">
      <alignment vertical="center"/>
    </xf>
    <xf numFmtId="4" fontId="4" fillId="0" borderId="72" xfId="35" applyNumberFormat="1" applyBorder="1" applyAlignment="1">
      <alignment horizontal="center" vertical="center"/>
    </xf>
    <xf numFmtId="4" fontId="4" fillId="0" borderId="0" xfId="35" applyNumberFormat="1" applyAlignment="1">
      <alignment vertical="center"/>
    </xf>
    <xf numFmtId="4" fontId="51" fillId="0" borderId="0" xfId="35" applyNumberFormat="1" applyFont="1" applyAlignment="1">
      <alignment horizontal="center" vertical="center"/>
    </xf>
    <xf numFmtId="4" fontId="4" fillId="27" borderId="72" xfId="35" applyNumberFormat="1" applyFill="1" applyBorder="1" applyAlignment="1">
      <alignment horizontal="center" vertical="center"/>
    </xf>
    <xf numFmtId="4" fontId="4" fillId="0" borderId="84" xfId="35" applyNumberFormat="1" applyBorder="1" applyAlignment="1">
      <alignment horizontal="center" vertical="center"/>
    </xf>
    <xf numFmtId="4" fontId="4" fillId="27" borderId="84" xfId="35" applyNumberFormat="1" applyFill="1" applyBorder="1" applyAlignment="1">
      <alignment horizontal="center" vertical="center"/>
    </xf>
    <xf numFmtId="0" fontId="43" fillId="0" borderId="79" xfId="35" applyFont="1" applyBorder="1" applyAlignment="1">
      <alignment horizontal="right" vertical="center"/>
    </xf>
    <xf numFmtId="4" fontId="23" fillId="27" borderId="85" xfId="35" applyNumberFormat="1" applyFont="1" applyFill="1" applyBorder="1" applyAlignment="1">
      <alignment horizontal="center" vertical="center"/>
    </xf>
    <xf numFmtId="0" fontId="4" fillId="0" borderId="86" xfId="35" applyBorder="1" applyAlignment="1">
      <alignment vertical="center"/>
    </xf>
    <xf numFmtId="0" fontId="4" fillId="0" borderId="87" xfId="35" applyBorder="1" applyAlignment="1">
      <alignment vertical="center"/>
    </xf>
    <xf numFmtId="4" fontId="53" fillId="0" borderId="0" xfId="35" applyNumberFormat="1" applyFont="1" applyAlignment="1">
      <alignment vertical="center"/>
    </xf>
    <xf numFmtId="0" fontId="23" fillId="24" borderId="47" xfId="0" applyFont="1" applyFill="1" applyBorder="1" applyAlignment="1" applyProtection="1">
      <alignment horizontal="right"/>
      <protection locked="0"/>
    </xf>
    <xf numFmtId="0" fontId="0" fillId="24" borderId="23" xfId="0" applyFill="1" applyBorder="1" applyProtection="1">
      <protection locked="0"/>
    </xf>
    <xf numFmtId="0" fontId="23" fillId="24" borderId="20" xfId="0" applyFont="1" applyFill="1" applyBorder="1" applyAlignment="1" applyProtection="1">
      <alignment horizontal="right"/>
      <protection locked="0"/>
    </xf>
    <xf numFmtId="0" fontId="23" fillId="24" borderId="88" xfId="0" applyFont="1" applyFill="1" applyBorder="1" applyAlignment="1" applyProtection="1">
      <alignment horizontal="center"/>
      <protection locked="0"/>
    </xf>
    <xf numFmtId="0" fontId="23" fillId="7" borderId="79" xfId="0" applyFont="1" applyFill="1" applyBorder="1"/>
    <xf numFmtId="0" fontId="0" fillId="7" borderId="89" xfId="0" applyFill="1" applyBorder="1"/>
    <xf numFmtId="4" fontId="23" fillId="0" borderId="0" xfId="35" applyNumberFormat="1" applyFont="1" applyAlignment="1" applyProtection="1">
      <alignment vertical="center"/>
      <protection locked="0"/>
    </xf>
    <xf numFmtId="4" fontId="23" fillId="0" borderId="79" xfId="35" applyNumberFormat="1" applyFont="1" applyBorder="1" applyAlignment="1">
      <alignment horizontal="center" vertical="center"/>
    </xf>
    <xf numFmtId="0" fontId="0" fillId="0" borderId="90" xfId="35" applyFont="1" applyBorder="1" applyAlignment="1">
      <alignment vertical="center"/>
    </xf>
    <xf numFmtId="0" fontId="0" fillId="0" borderId="91" xfId="35" applyFont="1" applyBorder="1" applyAlignment="1">
      <alignment vertical="center"/>
    </xf>
    <xf numFmtId="0" fontId="0" fillId="0" borderId="92" xfId="35" applyFont="1" applyBorder="1" applyAlignment="1">
      <alignment vertical="center"/>
    </xf>
    <xf numFmtId="0" fontId="0" fillId="0" borderId="93" xfId="0" applyBorder="1" applyAlignment="1" applyProtection="1">
      <alignment vertical="center"/>
      <protection locked="0"/>
    </xf>
    <xf numFmtId="0" fontId="0" fillId="0" borderId="94" xfId="0" applyBorder="1" applyAlignment="1" applyProtection="1">
      <alignment vertical="center"/>
      <protection locked="0"/>
    </xf>
    <xf numFmtId="4" fontId="0" fillId="30" borderId="85" xfId="0" applyNumberFormat="1" applyFill="1" applyBorder="1" applyAlignment="1" applyProtection="1">
      <alignment vertical="center"/>
      <protection locked="0"/>
    </xf>
    <xf numFmtId="0" fontId="0" fillId="29" borderId="36" xfId="0" applyFill="1" applyBorder="1" applyProtection="1">
      <protection locked="0"/>
    </xf>
    <xf numFmtId="0" fontId="0" fillId="29" borderId="24" xfId="0" applyFill="1" applyBorder="1" applyProtection="1">
      <protection locked="0"/>
    </xf>
    <xf numFmtId="4" fontId="4" fillId="27" borderId="95" xfId="35" applyNumberFormat="1" applyFill="1" applyBorder="1" applyAlignment="1">
      <alignment vertical="center"/>
    </xf>
    <xf numFmtId="2" fontId="4" fillId="27" borderId="96" xfId="35" applyNumberFormat="1" applyFill="1" applyBorder="1" applyAlignment="1">
      <alignment vertical="center"/>
    </xf>
    <xf numFmtId="4" fontId="4" fillId="27" borderId="97" xfId="35" applyNumberFormat="1" applyFill="1" applyBorder="1" applyAlignment="1">
      <alignment vertical="center"/>
    </xf>
    <xf numFmtId="0" fontId="0" fillId="32" borderId="36" xfId="0" applyFill="1" applyBorder="1" applyProtection="1">
      <protection locked="0"/>
    </xf>
    <xf numFmtId="0" fontId="0" fillId="32" borderId="27" xfId="0" applyFill="1" applyBorder="1" applyProtection="1">
      <protection locked="0"/>
    </xf>
    <xf numFmtId="4" fontId="0" fillId="32" borderId="59" xfId="0" applyNumberFormat="1" applyFill="1" applyBorder="1" applyProtection="1">
      <protection locked="0"/>
    </xf>
    <xf numFmtId="4" fontId="0" fillId="32" borderId="27" xfId="0" applyNumberFormat="1" applyFill="1" applyBorder="1" applyProtection="1">
      <protection locked="0"/>
    </xf>
    <xf numFmtId="0" fontId="0" fillId="33" borderId="72" xfId="0" applyFill="1" applyBorder="1" applyProtection="1">
      <protection locked="0"/>
    </xf>
    <xf numFmtId="0" fontId="23" fillId="24" borderId="0" xfId="0" applyFont="1" applyFill="1" applyAlignment="1">
      <alignment horizontal="center"/>
    </xf>
    <xf numFmtId="0" fontId="23" fillId="24" borderId="0" xfId="0" applyFont="1" applyFill="1" applyAlignment="1">
      <alignment horizontal="center" wrapText="1"/>
    </xf>
    <xf numFmtId="0" fontId="0" fillId="24" borderId="0" xfId="0" applyFill="1"/>
    <xf numFmtId="0" fontId="23" fillId="24" borderId="0" xfId="0" applyFont="1" applyFill="1"/>
    <xf numFmtId="4" fontId="0" fillId="24" borderId="0" xfId="0" applyNumberFormat="1" applyFill="1" applyAlignment="1">
      <alignment horizontal="center"/>
    </xf>
    <xf numFmtId="0" fontId="23" fillId="0" borderId="10" xfId="0" applyFont="1" applyBorder="1" applyAlignment="1">
      <alignment horizontal="center"/>
    </xf>
    <xf numFmtId="0" fontId="23" fillId="0" borderId="10" xfId="0" applyFont="1" applyBorder="1" applyAlignment="1">
      <alignment horizontal="center" wrapText="1"/>
    </xf>
    <xf numFmtId="0" fontId="23" fillId="0" borderId="14" xfId="0" applyFont="1" applyBorder="1"/>
    <xf numFmtId="0" fontId="23" fillId="0" borderId="10" xfId="0" applyFont="1" applyBorder="1"/>
    <xf numFmtId="0" fontId="0" fillId="0" borderId="10" xfId="0" applyBorder="1" applyAlignment="1">
      <alignment horizontal="center"/>
    </xf>
    <xf numFmtId="0" fontId="23" fillId="0" borderId="11" xfId="0" applyFont="1" applyBorder="1"/>
    <xf numFmtId="0" fontId="44" fillId="0" borderId="0" xfId="0" applyFont="1"/>
    <xf numFmtId="0" fontId="23" fillId="0" borderId="72" xfId="0" applyFont="1" applyBorder="1" applyAlignment="1">
      <alignment horizontal="right"/>
    </xf>
    <xf numFmtId="0" fontId="23" fillId="0" borderId="10" xfId="0" applyFont="1" applyBorder="1" applyAlignment="1">
      <alignment horizontal="right"/>
    </xf>
    <xf numFmtId="4" fontId="0" fillId="24" borderId="0" xfId="0" applyNumberFormat="1" applyFill="1"/>
    <xf numFmtId="0" fontId="23" fillId="0" borderId="38" xfId="0" applyFont="1" applyBorder="1" applyAlignment="1">
      <alignment horizontal="right"/>
    </xf>
    <xf numFmtId="0" fontId="23" fillId="24" borderId="38" xfId="0" applyFont="1" applyFill="1" applyBorder="1" applyAlignment="1">
      <alignment horizontal="right"/>
    </xf>
    <xf numFmtId="0" fontId="37" fillId="24" borderId="0" xfId="0" applyFont="1" applyFill="1"/>
    <xf numFmtId="0" fontId="23" fillId="24" borderId="72" xfId="0" applyFont="1" applyFill="1" applyBorder="1" applyAlignment="1">
      <alignment horizontal="right"/>
    </xf>
    <xf numFmtId="169" fontId="0" fillId="24" borderId="0" xfId="0" applyNumberFormat="1" applyFill="1"/>
    <xf numFmtId="0" fontId="45" fillId="7" borderId="38" xfId="0" applyFont="1" applyFill="1" applyBorder="1" applyAlignment="1">
      <alignment horizontal="right"/>
    </xf>
    <xf numFmtId="0" fontId="44" fillId="24" borderId="0" xfId="0" applyFont="1" applyFill="1"/>
    <xf numFmtId="4" fontId="45" fillId="7" borderId="38" xfId="0" applyNumberFormat="1" applyFont="1" applyFill="1" applyBorder="1"/>
    <xf numFmtId="4" fontId="44" fillId="0" borderId="0" xfId="0" applyNumberFormat="1" applyFont="1"/>
    <xf numFmtId="0" fontId="36" fillId="24" borderId="0" xfId="0" applyFont="1" applyFill="1"/>
    <xf numFmtId="0" fontId="23" fillId="0" borderId="79" xfId="0" applyFont="1" applyBorder="1" applyAlignment="1">
      <alignment vertical="center"/>
    </xf>
    <xf numFmtId="0" fontId="0" fillId="33" borderId="102" xfId="0" applyFill="1" applyBorder="1" applyAlignment="1">
      <alignment vertical="center" wrapText="1"/>
    </xf>
    <xf numFmtId="4" fontId="0" fillId="33" borderId="82" xfId="0" applyNumberFormat="1" applyFill="1" applyBorder="1" applyAlignment="1">
      <alignment vertical="center" wrapText="1"/>
    </xf>
    <xf numFmtId="0" fontId="0" fillId="33" borderId="81" xfId="0" applyFill="1" applyBorder="1" applyAlignment="1">
      <alignment wrapText="1"/>
    </xf>
    <xf numFmtId="0" fontId="30" fillId="0" borderId="0" xfId="46" applyFont="1"/>
    <xf numFmtId="0" fontId="56" fillId="0" borderId="0" xfId="0" applyFont="1"/>
    <xf numFmtId="4" fontId="56" fillId="0" borderId="0" xfId="0" applyNumberFormat="1" applyFont="1"/>
    <xf numFmtId="4" fontId="30" fillId="0" borderId="0" xfId="46" applyNumberFormat="1" applyFont="1"/>
    <xf numFmtId="0" fontId="57" fillId="34" borderId="0" xfId="46" applyFont="1" applyFill="1"/>
    <xf numFmtId="0" fontId="57" fillId="0" borderId="0" xfId="46" applyFont="1"/>
    <xf numFmtId="14" fontId="33" fillId="34" borderId="0" xfId="46" applyNumberFormat="1" applyFont="1" applyFill="1"/>
    <xf numFmtId="0" fontId="59" fillId="0" borderId="0" xfId="0" applyFont="1"/>
    <xf numFmtId="0" fontId="38" fillId="0" borderId="0" xfId="46" applyFont="1"/>
    <xf numFmtId="0" fontId="32" fillId="0" borderId="0" xfId="0" applyFont="1"/>
    <xf numFmtId="0" fontId="59" fillId="0" borderId="0" xfId="0" applyFont="1" applyAlignment="1">
      <alignment horizontal="justify"/>
    </xf>
    <xf numFmtId="4" fontId="38" fillId="0" borderId="113" xfId="46" applyNumberFormat="1" applyFont="1" applyBorder="1" applyAlignment="1">
      <alignment horizontal="center"/>
    </xf>
    <xf numFmtId="0" fontId="38" fillId="0" borderId="0" xfId="46" applyFont="1" applyAlignment="1">
      <alignment horizontal="right"/>
    </xf>
    <xf numFmtId="0" fontId="23" fillId="0" borderId="71" xfId="0" applyFont="1" applyBorder="1"/>
    <xf numFmtId="0" fontId="26" fillId="0" borderId="0" xfId="0" applyFont="1" applyAlignment="1">
      <alignment horizontal="center"/>
    </xf>
    <xf numFmtId="0" fontId="27" fillId="0" borderId="0" xfId="0" applyFont="1"/>
    <xf numFmtId="0" fontId="0" fillId="0" borderId="19" xfId="0" applyBorder="1"/>
    <xf numFmtId="0" fontId="0" fillId="0" borderId="114" xfId="0" applyBorder="1"/>
    <xf numFmtId="0" fontId="0" fillId="0" borderId="18" xfId="0" applyBorder="1"/>
    <xf numFmtId="0" fontId="0" fillId="0" borderId="30" xfId="0" applyBorder="1"/>
    <xf numFmtId="0" fontId="0" fillId="0" borderId="25" xfId="0" applyBorder="1"/>
    <xf numFmtId="10" fontId="23" fillId="0" borderId="0" xfId="0" applyNumberFormat="1" applyFont="1" applyAlignment="1">
      <alignment horizontal="center"/>
    </xf>
    <xf numFmtId="4" fontId="23" fillId="0" borderId="10" xfId="0" applyNumberFormat="1" applyFont="1" applyBorder="1" applyAlignment="1">
      <alignment horizontal="right"/>
    </xf>
    <xf numFmtId="4" fontId="0" fillId="0" borderId="10" xfId="0" applyNumberFormat="1" applyBorder="1" applyAlignment="1">
      <alignment horizontal="right"/>
    </xf>
    <xf numFmtId="4" fontId="0" fillId="0" borderId="10" xfId="0" applyNumberFormat="1" applyBorder="1" applyAlignment="1" applyProtection="1">
      <alignment horizontal="right"/>
      <protection locked="0"/>
    </xf>
    <xf numFmtId="0" fontId="0" fillId="0" borderId="17" xfId="0" applyBorder="1"/>
    <xf numFmtId="0" fontId="0" fillId="0" borderId="107" xfId="0" applyBorder="1"/>
    <xf numFmtId="0" fontId="0" fillId="0" borderId="16" xfId="0" applyBorder="1"/>
    <xf numFmtId="0" fontId="23" fillId="36" borderId="10" xfId="0" applyFont="1" applyFill="1" applyBorder="1" applyAlignment="1">
      <alignment horizontal="center" vertical="center"/>
    </xf>
    <xf numFmtId="0" fontId="23" fillId="36" borderId="10" xfId="0" applyFont="1" applyFill="1" applyBorder="1" applyAlignment="1">
      <alignment horizontal="center" vertical="center" wrapText="1"/>
    </xf>
    <xf numFmtId="0" fontId="0" fillId="0" borderId="0" xfId="0" applyAlignment="1">
      <alignment horizontal="center"/>
    </xf>
    <xf numFmtId="4" fontId="0" fillId="0" borderId="0" xfId="0" applyNumberFormat="1" applyAlignment="1">
      <alignment horizontal="center"/>
    </xf>
    <xf numFmtId="0" fontId="33" fillId="34" borderId="0" xfId="0" applyFont="1" applyFill="1"/>
    <xf numFmtId="0" fontId="27" fillId="0" borderId="0" xfId="0" applyFont="1" applyAlignment="1">
      <alignment horizontal="left"/>
    </xf>
    <xf numFmtId="0" fontId="23" fillId="0" borderId="10" xfId="0" applyFont="1" applyBorder="1" applyAlignment="1">
      <alignment horizontal="center" vertical="center"/>
    </xf>
    <xf numFmtId="0" fontId="23" fillId="0" borderId="10" xfId="0" applyFont="1" applyBorder="1" applyAlignment="1">
      <alignment horizontal="left" vertical="center"/>
    </xf>
    <xf numFmtId="4" fontId="23" fillId="0" borderId="10" xfId="0" applyNumberFormat="1" applyFont="1" applyBorder="1" applyAlignment="1">
      <alignment horizontal="right" vertical="center"/>
    </xf>
    <xf numFmtId="0" fontId="29" fillId="31" borderId="15" xfId="0" applyFont="1" applyFill="1" applyBorder="1" applyAlignment="1">
      <alignment horizontal="center" vertical="center"/>
    </xf>
    <xf numFmtId="0" fontId="23" fillId="0" borderId="11" xfId="0" applyFont="1" applyBorder="1" applyAlignment="1">
      <alignment horizontal="center" vertical="center"/>
    </xf>
    <xf numFmtId="0" fontId="23" fillId="0" borderId="11" xfId="0" applyFont="1" applyBorder="1" applyAlignment="1">
      <alignment horizontal="left" vertical="center"/>
    </xf>
    <xf numFmtId="4" fontId="26" fillId="0" borderId="0" xfId="0" applyNumberFormat="1" applyFont="1" applyAlignment="1">
      <alignment horizontal="center" vertical="center" shrinkToFit="1"/>
    </xf>
    <xf numFmtId="4" fontId="26" fillId="24" borderId="0" xfId="0" applyNumberFormat="1" applyFont="1" applyFill="1" applyAlignment="1">
      <alignment horizontal="center" vertical="center" shrinkToFit="1"/>
    </xf>
    <xf numFmtId="49" fontId="23" fillId="24" borderId="10" xfId="0" applyNumberFormat="1" applyFont="1" applyFill="1" applyBorder="1" applyAlignment="1">
      <alignment horizontal="center" vertical="center"/>
    </xf>
    <xf numFmtId="0" fontId="23" fillId="24" borderId="10" xfId="0" applyFont="1" applyFill="1" applyBorder="1" applyAlignment="1">
      <alignment horizontal="center" vertical="center"/>
    </xf>
    <xf numFmtId="0" fontId="62" fillId="0" borderId="0" xfId="0" applyFont="1" applyAlignment="1">
      <alignment horizontal="center"/>
    </xf>
    <xf numFmtId="4" fontId="23" fillId="0" borderId="0" xfId="0" applyNumberFormat="1" applyFont="1" applyAlignment="1">
      <alignment horizontal="left"/>
    </xf>
    <xf numFmtId="4" fontId="0" fillId="0" borderId="0" xfId="0" applyNumberFormat="1" applyAlignment="1">
      <alignment horizontal="left"/>
    </xf>
    <xf numFmtId="0" fontId="63" fillId="0" borderId="0" xfId="0" applyFont="1"/>
    <xf numFmtId="0" fontId="0" fillId="23" borderId="0" xfId="0" applyFill="1"/>
    <xf numFmtId="0" fontId="0" fillId="37" borderId="0" xfId="0" applyFill="1"/>
    <xf numFmtId="0" fontId="0" fillId="36" borderId="0" xfId="0" applyFill="1"/>
    <xf numFmtId="0" fontId="0" fillId="38" borderId="0" xfId="0" applyFill="1"/>
    <xf numFmtId="0" fontId="63" fillId="0" borderId="20" xfId="0" applyFont="1" applyBorder="1"/>
    <xf numFmtId="0" fontId="63" fillId="0" borderId="26" xfId="0" applyFont="1" applyBorder="1"/>
    <xf numFmtId="0" fontId="0" fillId="0" borderId="20" xfId="0" applyBorder="1"/>
    <xf numFmtId="0" fontId="0" fillId="23" borderId="25" xfId="0" applyFill="1" applyBorder="1"/>
    <xf numFmtId="0" fontId="64" fillId="23" borderId="0" xfId="0" applyFont="1" applyFill="1"/>
    <xf numFmtId="0" fontId="64" fillId="23" borderId="30" xfId="0" applyFont="1" applyFill="1" applyBorder="1"/>
    <xf numFmtId="0" fontId="0" fillId="36" borderId="25" xfId="0" applyFill="1" applyBorder="1"/>
    <xf numFmtId="0" fontId="64" fillId="36" borderId="0" xfId="0" applyFont="1" applyFill="1"/>
    <xf numFmtId="0" fontId="64" fillId="36" borderId="30" xfId="0" applyFont="1" applyFill="1" applyBorder="1"/>
    <xf numFmtId="0" fontId="0" fillId="37" borderId="25" xfId="0" applyFill="1" applyBorder="1"/>
    <xf numFmtId="0" fontId="64" fillId="37" borderId="0" xfId="0" applyFont="1" applyFill="1"/>
    <xf numFmtId="0" fontId="64" fillId="37" borderId="30" xfId="0" applyFont="1" applyFill="1" applyBorder="1"/>
    <xf numFmtId="0" fontId="18" fillId="36" borderId="0" xfId="0" applyFont="1" applyFill="1"/>
    <xf numFmtId="0" fontId="18" fillId="36" borderId="30" xfId="0" applyFont="1" applyFill="1" applyBorder="1"/>
    <xf numFmtId="0" fontId="18" fillId="36" borderId="25" xfId="0" applyFont="1" applyFill="1" applyBorder="1"/>
    <xf numFmtId="0" fontId="65" fillId="24" borderId="0" xfId="0" applyFont="1" applyFill="1"/>
    <xf numFmtId="0" fontId="18" fillId="23" borderId="0" xfId="0" applyFont="1" applyFill="1"/>
    <xf numFmtId="0" fontId="18" fillId="23" borderId="30" xfId="0" applyFont="1" applyFill="1" applyBorder="1"/>
    <xf numFmtId="0" fontId="66" fillId="23" borderId="25" xfId="0" applyFont="1" applyFill="1" applyBorder="1"/>
    <xf numFmtId="0" fontId="67" fillId="23" borderId="0" xfId="0" applyFont="1" applyFill="1"/>
    <xf numFmtId="0" fontId="67" fillId="23" borderId="30" xfId="0" applyFont="1" applyFill="1" applyBorder="1"/>
    <xf numFmtId="0" fontId="0" fillId="38" borderId="25" xfId="0" applyFill="1" applyBorder="1"/>
    <xf numFmtId="0" fontId="0" fillId="38" borderId="30" xfId="0" applyFill="1" applyBorder="1"/>
    <xf numFmtId="0" fontId="68" fillId="0" borderId="0" xfId="0" applyFont="1"/>
    <xf numFmtId="0" fontId="0" fillId="24" borderId="25" xfId="0" applyFill="1" applyBorder="1"/>
    <xf numFmtId="0" fontId="64" fillId="0" borderId="30" xfId="0" applyFont="1" applyBorder="1"/>
    <xf numFmtId="49" fontId="64" fillId="23" borderId="18" xfId="0" applyNumberFormat="1" applyFont="1" applyFill="1" applyBorder="1" applyAlignment="1">
      <alignment horizontal="right"/>
    </xf>
    <xf numFmtId="0" fontId="64" fillId="23" borderId="114" xfId="0" applyFont="1" applyFill="1" applyBorder="1"/>
    <xf numFmtId="0" fontId="64" fillId="23" borderId="19" xfId="0" applyFont="1" applyFill="1" applyBorder="1"/>
    <xf numFmtId="4" fontId="0" fillId="0" borderId="0" xfId="0" applyNumberFormat="1" applyAlignment="1" applyProtection="1">
      <alignment horizontal="right" vertical="center"/>
      <protection locked="0"/>
    </xf>
    <xf numFmtId="4" fontId="0" fillId="71" borderId="10" xfId="0" applyNumberFormat="1" applyFill="1" applyBorder="1"/>
    <xf numFmtId="0" fontId="86" fillId="0" borderId="0" xfId="0" applyFont="1"/>
    <xf numFmtId="4" fontId="0" fillId="72" borderId="0" xfId="0" applyNumberFormat="1" applyFill="1" applyAlignment="1" applyProtection="1">
      <alignment horizontal="right" vertical="center"/>
      <protection locked="0"/>
    </xf>
    <xf numFmtId="4" fontId="0" fillId="22" borderId="36" xfId="0" applyNumberFormat="1" applyFill="1" applyBorder="1" applyProtection="1">
      <protection locked="0"/>
    </xf>
    <xf numFmtId="4" fontId="0" fillId="22" borderId="27" xfId="0" applyNumberFormat="1" applyFill="1" applyBorder="1" applyProtection="1">
      <protection locked="0"/>
    </xf>
    <xf numFmtId="4" fontId="0" fillId="22" borderId="19" xfId="0" applyNumberFormat="1" applyFill="1" applyBorder="1" applyProtection="1">
      <protection locked="0"/>
    </xf>
    <xf numFmtId="0" fontId="38" fillId="35" borderId="0" xfId="46" applyFont="1" applyFill="1"/>
    <xf numFmtId="0" fontId="30" fillId="73" borderId="0" xfId="46" applyFont="1" applyFill="1"/>
    <xf numFmtId="0" fontId="30" fillId="73" borderId="0" xfId="46" applyFont="1" applyFill="1" applyAlignment="1">
      <alignment horizontal="center"/>
    </xf>
    <xf numFmtId="0" fontId="38" fillId="73" borderId="0" xfId="46" applyFont="1" applyFill="1"/>
    <xf numFmtId="4" fontId="23" fillId="73" borderId="0" xfId="0" applyNumberFormat="1" applyFont="1" applyFill="1" applyAlignment="1">
      <alignment horizontal="right" vertical="center"/>
    </xf>
    <xf numFmtId="0" fontId="30" fillId="74" borderId="0" xfId="46" applyFont="1" applyFill="1"/>
    <xf numFmtId="0" fontId="30" fillId="74" borderId="0" xfId="46" applyFont="1" applyFill="1" applyAlignment="1">
      <alignment horizontal="center"/>
    </xf>
    <xf numFmtId="0" fontId="38" fillId="74" borderId="0" xfId="46" applyFont="1" applyFill="1"/>
    <xf numFmtId="0" fontId="30" fillId="75" borderId="0" xfId="46" applyFont="1" applyFill="1"/>
    <xf numFmtId="0" fontId="30" fillId="75" borderId="0" xfId="46" applyFont="1" applyFill="1" applyAlignment="1">
      <alignment horizontal="center"/>
    </xf>
    <xf numFmtId="0" fontId="38" fillId="75" borderId="0" xfId="46" applyFont="1" applyFill="1"/>
    <xf numFmtId="0" fontId="30" fillId="76" borderId="0" xfId="46" applyFont="1" applyFill="1"/>
    <xf numFmtId="0" fontId="30" fillId="76" borderId="0" xfId="46" applyFont="1" applyFill="1" applyAlignment="1">
      <alignment horizontal="center"/>
    </xf>
    <xf numFmtId="0" fontId="38" fillId="76" borderId="0" xfId="46" applyFont="1" applyFill="1"/>
    <xf numFmtId="0" fontId="38" fillId="76" borderId="0" xfId="46" applyFont="1" applyFill="1" applyAlignment="1">
      <alignment horizontal="right"/>
    </xf>
    <xf numFmtId="0" fontId="30" fillId="76" borderId="103" xfId="46" applyFont="1" applyFill="1" applyBorder="1"/>
    <xf numFmtId="0" fontId="30" fillId="76" borderId="104" xfId="46" applyFont="1" applyFill="1" applyBorder="1" applyAlignment="1">
      <alignment horizontal="center"/>
    </xf>
    <xf numFmtId="0" fontId="38" fillId="76" borderId="104" xfId="46" applyFont="1" applyFill="1" applyBorder="1"/>
    <xf numFmtId="0" fontId="30" fillId="76" borderId="104" xfId="46" applyFont="1" applyFill="1" applyBorder="1"/>
    <xf numFmtId="0" fontId="30" fillId="76" borderId="105" xfId="46" applyFont="1" applyFill="1" applyBorder="1"/>
    <xf numFmtId="0" fontId="38" fillId="76" borderId="82" xfId="48" applyFont="1" applyFill="1" applyBorder="1" applyAlignment="1">
      <alignment horizontal="center"/>
    </xf>
    <xf numFmtId="4" fontId="38" fillId="76" borderId="82" xfId="48" applyNumberFormat="1" applyFont="1" applyFill="1" applyBorder="1" applyAlignment="1">
      <alignment horizontal="center"/>
    </xf>
    <xf numFmtId="0" fontId="30" fillId="76" borderId="110" xfId="46" applyFont="1" applyFill="1" applyBorder="1"/>
    <xf numFmtId="0" fontId="38" fillId="76" borderId="0" xfId="46" applyFont="1" applyFill="1" applyAlignment="1">
      <alignment horizontal="center"/>
    </xf>
    <xf numFmtId="0" fontId="30" fillId="76" borderId="109" xfId="46" applyFont="1" applyFill="1" applyBorder="1"/>
    <xf numFmtId="0" fontId="38" fillId="76" borderId="0" xfId="48" applyFont="1" applyFill="1" applyAlignment="1">
      <alignment horizontal="center"/>
    </xf>
    <xf numFmtId="4" fontId="38" fillId="76" borderId="0" xfId="48" applyNumberFormat="1" applyFont="1" applyFill="1" applyAlignment="1">
      <alignment horizontal="center"/>
    </xf>
    <xf numFmtId="0" fontId="30" fillId="76" borderId="0" xfId="48" applyFont="1" applyFill="1" applyAlignment="1">
      <alignment horizontal="center"/>
    </xf>
    <xf numFmtId="0" fontId="30" fillId="76" borderId="0" xfId="48" applyFont="1" applyFill="1" applyAlignment="1">
      <alignment horizontal="left"/>
    </xf>
    <xf numFmtId="4" fontId="30" fillId="76" borderId="0" xfId="48" applyNumberFormat="1" applyFont="1" applyFill="1" applyAlignment="1">
      <alignment horizontal="right"/>
    </xf>
    <xf numFmtId="0" fontId="38" fillId="76" borderId="113" xfId="46" applyFont="1" applyFill="1" applyBorder="1" applyAlignment="1">
      <alignment horizontal="center"/>
    </xf>
    <xf numFmtId="0" fontId="38" fillId="76" borderId="113" xfId="46" applyFont="1" applyFill="1" applyBorder="1" applyAlignment="1">
      <alignment horizontal="left"/>
    </xf>
    <xf numFmtId="4" fontId="30" fillId="76" borderId="0" xfId="46" applyNumberFormat="1" applyFont="1" applyFill="1"/>
    <xf numFmtId="0" fontId="30" fillId="76" borderId="0" xfId="46" applyFont="1" applyFill="1" applyAlignment="1">
      <alignment horizontal="left"/>
    </xf>
    <xf numFmtId="0" fontId="38" fillId="76" borderId="111" xfId="48" applyFont="1" applyFill="1" applyBorder="1" applyAlignment="1">
      <alignment horizontal="left"/>
    </xf>
    <xf numFmtId="4" fontId="38" fillId="76" borderId="111" xfId="48" applyNumberFormat="1" applyFont="1" applyFill="1" applyBorder="1" applyAlignment="1">
      <alignment horizontal="right"/>
    </xf>
    <xf numFmtId="0" fontId="4" fillId="76" borderId="0" xfId="48" applyFill="1" applyAlignment="1">
      <alignment horizontal="justify"/>
    </xf>
    <xf numFmtId="0" fontId="4" fillId="76" borderId="0" xfId="48" applyFill="1"/>
    <xf numFmtId="4" fontId="4" fillId="76" borderId="0" xfId="48" applyNumberFormat="1" applyFill="1"/>
    <xf numFmtId="4" fontId="25" fillId="76" borderId="17" xfId="48" applyNumberFormat="1" applyFont="1" applyFill="1" applyBorder="1" applyAlignment="1">
      <alignment vertical="top"/>
    </xf>
    <xf numFmtId="0" fontId="38" fillId="76" borderId="112" xfId="46" applyFont="1" applyFill="1" applyBorder="1"/>
    <xf numFmtId="4" fontId="38" fillId="76" borderId="112" xfId="46" applyNumberFormat="1" applyFont="1" applyFill="1" applyBorder="1"/>
    <xf numFmtId="0" fontId="4" fillId="76" borderId="102" xfId="48" applyFill="1" applyBorder="1" applyAlignment="1">
      <alignment horizontal="left" vertical="top"/>
    </xf>
    <xf numFmtId="4" fontId="25" fillId="76" borderId="19" xfId="48" applyNumberFormat="1" applyFont="1" applyFill="1" applyBorder="1" applyAlignment="1">
      <alignment vertical="top"/>
    </xf>
    <xf numFmtId="0" fontId="38" fillId="76" borderId="93" xfId="46" applyFont="1" applyFill="1" applyBorder="1"/>
    <xf numFmtId="4" fontId="38" fillId="76" borderId="85" xfId="46" applyNumberFormat="1" applyFont="1" applyFill="1" applyBorder="1"/>
    <xf numFmtId="0" fontId="30" fillId="76" borderId="102" xfId="46" applyFont="1" applyFill="1" applyBorder="1"/>
    <xf numFmtId="0" fontId="30" fillId="76" borderId="82" xfId="46" applyFont="1" applyFill="1" applyBorder="1" applyAlignment="1">
      <alignment horizontal="center"/>
    </xf>
    <xf numFmtId="0" fontId="30" fillId="76" borderId="82" xfId="46" applyFont="1" applyFill="1" applyBorder="1"/>
    <xf numFmtId="0" fontId="30" fillId="76" borderId="81" xfId="46" applyFont="1" applyFill="1" applyBorder="1"/>
    <xf numFmtId="0" fontId="55" fillId="76" borderId="0" xfId="0" applyFont="1" applyFill="1"/>
    <xf numFmtId="4" fontId="30" fillId="76" borderId="109" xfId="46" applyNumberFormat="1" applyFont="1" applyFill="1" applyBorder="1"/>
    <xf numFmtId="4" fontId="30" fillId="76" borderId="82" xfId="46" applyNumberFormat="1" applyFont="1" applyFill="1" applyBorder="1"/>
    <xf numFmtId="4" fontId="30" fillId="76" borderId="81" xfId="46" applyNumberFormat="1" applyFont="1" applyFill="1" applyBorder="1"/>
    <xf numFmtId="0" fontId="38" fillId="76" borderId="82" xfId="46" applyFont="1" applyFill="1" applyBorder="1"/>
    <xf numFmtId="4" fontId="38" fillId="76" borderId="82" xfId="46" applyNumberFormat="1" applyFont="1" applyFill="1" applyBorder="1"/>
    <xf numFmtId="4" fontId="4" fillId="76" borderId="0" xfId="50" applyNumberFormat="1" applyFill="1"/>
    <xf numFmtId="4" fontId="4" fillId="76" borderId="0" xfId="0" applyNumberFormat="1" applyFont="1" applyFill="1"/>
    <xf numFmtId="0" fontId="4" fillId="76" borderId="0" xfId="50" applyFill="1"/>
    <xf numFmtId="0" fontId="4" fillId="76" borderId="0" xfId="0" applyFont="1" applyFill="1"/>
    <xf numFmtId="0" fontId="23" fillId="76" borderId="0" xfId="0" applyFont="1" applyFill="1"/>
    <xf numFmtId="4" fontId="23" fillId="76" borderId="0" xfId="0" applyNumberFormat="1" applyFont="1" applyFill="1"/>
    <xf numFmtId="0" fontId="61" fillId="76" borderId="0" xfId="46" applyFont="1" applyFill="1"/>
    <xf numFmtId="4" fontId="61" fillId="76" borderId="0" xfId="46" applyNumberFormat="1" applyFont="1" applyFill="1"/>
    <xf numFmtId="4" fontId="38" fillId="76" borderId="0" xfId="46" applyNumberFormat="1" applyFont="1" applyFill="1"/>
    <xf numFmtId="4" fontId="38" fillId="76" borderId="94" xfId="46" applyNumberFormat="1" applyFont="1" applyFill="1" applyBorder="1"/>
    <xf numFmtId="4" fontId="23" fillId="76" borderId="0" xfId="0" applyNumberFormat="1" applyFont="1" applyFill="1" applyAlignment="1">
      <alignment horizontal="right" vertical="center"/>
    </xf>
    <xf numFmtId="0" fontId="23" fillId="76" borderId="0" xfId="0" applyFont="1" applyFill="1" applyAlignment="1">
      <alignment horizontal="center"/>
    </xf>
    <xf numFmtId="0" fontId="29" fillId="31" borderId="10" xfId="0" applyFont="1" applyFill="1" applyBorder="1" applyAlignment="1">
      <alignment horizontal="center" vertical="center"/>
    </xf>
    <xf numFmtId="0" fontId="29" fillId="4" borderId="38" xfId="0" applyFont="1" applyFill="1" applyBorder="1" applyAlignment="1">
      <alignment horizontal="center" vertical="center"/>
    </xf>
    <xf numFmtId="0" fontId="29" fillId="31" borderId="14" xfId="0" applyFont="1" applyFill="1" applyBorder="1" applyAlignment="1">
      <alignment horizontal="center" vertical="center"/>
    </xf>
    <xf numFmtId="49" fontId="29" fillId="31" borderId="14" xfId="0" applyNumberFormat="1" applyFont="1" applyFill="1" applyBorder="1" applyAlignment="1">
      <alignment horizontal="center" vertical="center"/>
    </xf>
    <xf numFmtId="0" fontId="60" fillId="0" borderId="0" xfId="0" applyFont="1" applyAlignment="1">
      <alignment horizontal="justify" vertical="center"/>
    </xf>
    <xf numFmtId="4" fontId="0" fillId="0" borderId="0" xfId="0" applyNumberFormat="1"/>
    <xf numFmtId="4" fontId="33" fillId="0" borderId="0" xfId="0" applyNumberFormat="1" applyFont="1"/>
    <xf numFmtId="0" fontId="33" fillId="0" borderId="0" xfId="0" applyFont="1"/>
    <xf numFmtId="10" fontId="57" fillId="34" borderId="0" xfId="46" applyNumberFormat="1" applyFont="1" applyFill="1"/>
    <xf numFmtId="4" fontId="0" fillId="0" borderId="44" xfId="0" applyNumberFormat="1" applyBorder="1"/>
    <xf numFmtId="4" fontId="0" fillId="0" borderId="46" xfId="0" applyNumberFormat="1" applyBorder="1"/>
    <xf numFmtId="4" fontId="23" fillId="0" borderId="21" xfId="0" applyNumberFormat="1" applyFont="1" applyBorder="1"/>
    <xf numFmtId="4" fontId="0" fillId="0" borderId="45" xfId="0" applyNumberFormat="1" applyBorder="1"/>
    <xf numFmtId="4" fontId="0" fillId="0" borderId="43" xfId="0" applyNumberFormat="1" applyBorder="1"/>
    <xf numFmtId="0" fontId="0" fillId="77" borderId="0" xfId="0" applyFill="1" applyProtection="1">
      <protection locked="0"/>
    </xf>
    <xf numFmtId="0" fontId="23" fillId="77" borderId="10" xfId="0" applyFont="1" applyFill="1" applyBorder="1" applyProtection="1">
      <protection locked="0"/>
    </xf>
    <xf numFmtId="1" fontId="23" fillId="77" borderId="10" xfId="0" applyNumberFormat="1" applyFont="1" applyFill="1" applyBorder="1" applyAlignment="1" applyProtection="1">
      <alignment horizontal="center"/>
      <protection locked="0"/>
    </xf>
    <xf numFmtId="0" fontId="23" fillId="77" borderId="10" xfId="0" applyFont="1" applyFill="1" applyBorder="1" applyAlignment="1" applyProtection="1">
      <alignment horizontal="center"/>
      <protection locked="0"/>
    </xf>
    <xf numFmtId="0" fontId="0" fillId="77" borderId="10" xfId="0" applyFill="1" applyBorder="1" applyProtection="1">
      <protection locked="0"/>
    </xf>
    <xf numFmtId="4" fontId="0" fillId="77" borderId="10" xfId="0" applyNumberFormat="1" applyFill="1" applyBorder="1"/>
    <xf numFmtId="0" fontId="0" fillId="77" borderId="11" xfId="0" applyFill="1" applyBorder="1" applyProtection="1">
      <protection locked="0"/>
    </xf>
    <xf numFmtId="4" fontId="23" fillId="77" borderId="10" xfId="0" applyNumberFormat="1" applyFont="1" applyFill="1" applyBorder="1"/>
    <xf numFmtId="0" fontId="0" fillId="77" borderId="72" xfId="0" applyFill="1" applyBorder="1" applyProtection="1">
      <protection locked="0"/>
    </xf>
    <xf numFmtId="4" fontId="0" fillId="77" borderId="13" xfId="0" applyNumberFormat="1" applyFill="1" applyBorder="1"/>
    <xf numFmtId="0" fontId="23" fillId="77" borderId="0" xfId="0" applyFont="1" applyFill="1" applyProtection="1">
      <protection locked="0"/>
    </xf>
    <xf numFmtId="4" fontId="23" fillId="77" borderId="0" xfId="0" applyNumberFormat="1" applyFont="1" applyFill="1"/>
    <xf numFmtId="0" fontId="0" fillId="77" borderId="15" xfId="0" applyFill="1" applyBorder="1" applyProtection="1">
      <protection locked="0"/>
    </xf>
    <xf numFmtId="0" fontId="0" fillId="77" borderId="0" xfId="0" applyFill="1" applyAlignment="1" applyProtection="1">
      <alignment vertical="center"/>
      <protection locked="0"/>
    </xf>
    <xf numFmtId="4" fontId="4" fillId="76" borderId="0" xfId="0" applyNumberFormat="1" applyFont="1" applyFill="1" applyAlignment="1">
      <alignment horizontal="right" vertical="center"/>
    </xf>
    <xf numFmtId="0" fontId="4" fillId="76" borderId="103" xfId="48" applyFill="1" applyBorder="1" applyAlignment="1">
      <alignment horizontal="left" vertical="top"/>
    </xf>
    <xf numFmtId="0" fontId="4" fillId="76" borderId="104" xfId="0" applyFont="1" applyFill="1" applyBorder="1" applyAlignment="1">
      <alignment horizontal="right"/>
    </xf>
    <xf numFmtId="0" fontId="4" fillId="76" borderId="105" xfId="0" applyFont="1" applyFill="1" applyBorder="1" applyAlignment="1">
      <alignment horizontal="right"/>
    </xf>
    <xf numFmtId="0" fontId="4" fillId="76" borderId="82" xfId="0" applyFont="1" applyFill="1" applyBorder="1" applyAlignment="1">
      <alignment horizontal="center"/>
    </xf>
    <xf numFmtId="0" fontId="4" fillId="76" borderId="81" xfId="0" applyFont="1" applyFill="1" applyBorder="1" applyAlignment="1">
      <alignment horizontal="center"/>
    </xf>
    <xf numFmtId="0" fontId="4" fillId="76" borderId="0" xfId="0" applyFont="1" applyFill="1" applyAlignment="1" applyProtection="1">
      <alignment vertical="center"/>
      <protection locked="0"/>
    </xf>
    <xf numFmtId="4" fontId="4" fillId="76" borderId="0" xfId="0" applyNumberFormat="1" applyFont="1" applyFill="1" applyAlignment="1" applyProtection="1">
      <alignment horizontal="right" vertical="center"/>
      <protection locked="0"/>
    </xf>
    <xf numFmtId="0" fontId="4" fillId="74" borderId="0" xfId="0" applyFont="1" applyFill="1" applyAlignment="1" applyProtection="1">
      <alignment vertical="center"/>
      <protection locked="0"/>
    </xf>
    <xf numFmtId="4" fontId="4" fillId="74" borderId="0" xfId="0" applyNumberFormat="1" applyFont="1" applyFill="1" applyAlignment="1" applyProtection="1">
      <alignment horizontal="right" vertical="center"/>
      <protection locked="0"/>
    </xf>
    <xf numFmtId="0" fontId="55" fillId="70" borderId="0" xfId="56" applyFont="1" applyFill="1" applyAlignment="1">
      <alignment horizontal="right" vertical="top"/>
    </xf>
    <xf numFmtId="0" fontId="55" fillId="73" borderId="0" xfId="56" applyFont="1" applyFill="1" applyAlignment="1">
      <alignment horizontal="right" vertical="top"/>
    </xf>
    <xf numFmtId="0" fontId="58" fillId="76" borderId="113" xfId="0" applyFont="1" applyFill="1" applyBorder="1"/>
    <xf numFmtId="0" fontId="55" fillId="76" borderId="0" xfId="0" applyFont="1" applyFill="1" applyAlignment="1">
      <alignment horizontal="center"/>
    </xf>
    <xf numFmtId="0" fontId="4" fillId="0" borderId="0" xfId="0" applyFont="1"/>
    <xf numFmtId="3" fontId="30" fillId="76" borderId="0" xfId="46" applyNumberFormat="1" applyFont="1" applyFill="1" applyAlignment="1">
      <alignment horizontal="center"/>
    </xf>
    <xf numFmtId="0" fontId="62" fillId="0" borderId="0" xfId="0" applyFont="1" applyAlignment="1">
      <alignment horizontal="left"/>
    </xf>
    <xf numFmtId="0" fontId="23" fillId="36" borderId="11" xfId="0" applyFont="1" applyFill="1" applyBorder="1" applyAlignment="1">
      <alignment horizontal="center" vertical="center" wrapText="1"/>
    </xf>
    <xf numFmtId="4" fontId="23" fillId="36" borderId="11" xfId="0" applyNumberFormat="1" applyFont="1" applyFill="1" applyBorder="1" applyAlignment="1">
      <alignment horizontal="center" vertical="center" wrapText="1"/>
    </xf>
    <xf numFmtId="4" fontId="26" fillId="0" borderId="0" xfId="0" applyNumberFormat="1" applyFont="1" applyAlignment="1">
      <alignment horizontal="center" vertical="center" wrapText="1"/>
    </xf>
    <xf numFmtId="0" fontId="38" fillId="76" borderId="125" xfId="46" applyFont="1" applyFill="1" applyBorder="1"/>
    <xf numFmtId="4" fontId="38" fillId="76" borderId="125" xfId="46" applyNumberFormat="1" applyFont="1" applyFill="1" applyBorder="1" applyAlignment="1">
      <alignment horizontal="center"/>
    </xf>
    <xf numFmtId="4" fontId="38" fillId="76" borderId="125" xfId="46" applyNumberFormat="1" applyFont="1" applyFill="1" applyBorder="1"/>
    <xf numFmtId="4" fontId="60" fillId="77" borderId="0" xfId="46" applyNumberFormat="1" applyFont="1" applyFill="1" applyAlignment="1">
      <alignment horizontal="right"/>
    </xf>
    <xf numFmtId="0" fontId="0" fillId="72" borderId="0" xfId="0" applyFill="1" applyAlignment="1" applyProtection="1">
      <alignment horizontal="center"/>
      <protection locked="0"/>
    </xf>
    <xf numFmtId="0" fontId="0" fillId="72" borderId="0" xfId="0" applyFill="1" applyAlignment="1" applyProtection="1">
      <alignment vertical="center"/>
      <protection locked="0"/>
    </xf>
    <xf numFmtId="0" fontId="58" fillId="76" borderId="0" xfId="0" applyFont="1" applyFill="1" applyAlignment="1">
      <alignment horizontal="center"/>
    </xf>
    <xf numFmtId="0" fontId="55" fillId="76" borderId="0" xfId="0" applyFont="1" applyFill="1" applyAlignment="1">
      <alignment horizontal="justify" vertical="top"/>
    </xf>
    <xf numFmtId="4" fontId="4" fillId="76" borderId="0" xfId="0" applyNumberFormat="1" applyFont="1" applyFill="1" applyAlignment="1">
      <alignment horizontal="right"/>
    </xf>
    <xf numFmtId="0" fontId="38" fillId="76" borderId="125" xfId="46" applyFont="1" applyFill="1" applyBorder="1" applyAlignment="1">
      <alignment horizontal="center"/>
    </xf>
    <xf numFmtId="0" fontId="32" fillId="0" borderId="0" xfId="0" applyFont="1" applyProtection="1">
      <protection locked="0"/>
    </xf>
    <xf numFmtId="0" fontId="33" fillId="0" borderId="0" xfId="0" applyFont="1" applyProtection="1">
      <protection locked="0"/>
    </xf>
    <xf numFmtId="0" fontId="33" fillId="24" borderId="0" xfId="0" applyFont="1" applyFill="1" applyProtection="1">
      <protection locked="0"/>
    </xf>
    <xf numFmtId="0" fontId="32" fillId="24" borderId="0" xfId="0" applyFont="1" applyFill="1" applyProtection="1">
      <protection locked="0"/>
    </xf>
    <xf numFmtId="10" fontId="32" fillId="24" borderId="0" xfId="37" applyNumberFormat="1" applyFont="1" applyFill="1" applyBorder="1" applyAlignment="1" applyProtection="1">
      <protection locked="0"/>
    </xf>
    <xf numFmtId="4" fontId="33" fillId="24" borderId="0" xfId="0" applyNumberFormat="1" applyFont="1" applyFill="1" applyProtection="1">
      <protection locked="0"/>
    </xf>
    <xf numFmtId="0" fontId="92" fillId="24" borderId="0" xfId="0" applyFont="1" applyFill="1" applyProtection="1">
      <protection locked="0"/>
    </xf>
    <xf numFmtId="0" fontId="32" fillId="0" borderId="0" xfId="0" applyFont="1" applyAlignment="1" applyProtection="1">
      <alignment horizontal="center" wrapText="1"/>
      <protection locked="0"/>
    </xf>
    <xf numFmtId="0" fontId="32" fillId="0" borderId="20" xfId="0" applyFont="1" applyBorder="1" applyAlignment="1" applyProtection="1">
      <alignment horizontal="center" wrapText="1"/>
      <protection locked="0"/>
    </xf>
    <xf numFmtId="0" fontId="32" fillId="0" borderId="21" xfId="0" applyFont="1" applyBorder="1" applyAlignment="1" applyProtection="1">
      <alignment horizontal="center" wrapText="1"/>
      <protection locked="0"/>
    </xf>
    <xf numFmtId="0" fontId="33" fillId="0" borderId="25" xfId="0" applyFont="1" applyBorder="1" applyAlignment="1">
      <alignment horizontal="center"/>
    </xf>
    <xf numFmtId="4" fontId="33" fillId="0" borderId="39" xfId="0" applyNumberFormat="1" applyFont="1" applyBorder="1"/>
    <xf numFmtId="0" fontId="33" fillId="79" borderId="0" xfId="0" applyFont="1" applyFill="1" applyProtection="1">
      <protection locked="0"/>
    </xf>
    <xf numFmtId="0" fontId="33" fillId="0" borderId="23" xfId="0" applyFont="1" applyBorder="1" applyAlignment="1">
      <alignment horizontal="center"/>
    </xf>
    <xf numFmtId="4" fontId="33" fillId="0" borderId="46" xfId="0" applyNumberFormat="1" applyFont="1" applyBorder="1"/>
    <xf numFmtId="0" fontId="33" fillId="0" borderId="25" xfId="0" applyFont="1" applyBorder="1" applyAlignment="1">
      <alignment horizontal="center" wrapText="1"/>
    </xf>
    <xf numFmtId="4" fontId="33" fillId="0" borderId="0" xfId="0" applyNumberFormat="1" applyFont="1" applyProtection="1">
      <protection locked="0"/>
    </xf>
    <xf numFmtId="0" fontId="33" fillId="0" borderId="65" xfId="0" applyFont="1" applyBorder="1" applyAlignment="1">
      <alignment horizontal="center"/>
    </xf>
    <xf numFmtId="4" fontId="33" fillId="0" borderId="51" xfId="0" applyNumberFormat="1" applyFont="1" applyBorder="1"/>
    <xf numFmtId="0" fontId="32" fillId="0" borderId="21" xfId="0" applyFont="1" applyBorder="1" applyAlignment="1" applyProtection="1">
      <alignment horizontal="left" wrapText="1"/>
      <protection locked="0"/>
    </xf>
    <xf numFmtId="4" fontId="32" fillId="0" borderId="21" xfId="0" applyNumberFormat="1" applyFont="1" applyBorder="1"/>
    <xf numFmtId="0" fontId="32" fillId="0" borderId="0" xfId="0" applyFont="1" applyAlignment="1" applyProtection="1">
      <alignment horizontal="left"/>
      <protection locked="0"/>
    </xf>
    <xf numFmtId="4" fontId="32" fillId="0" borderId="0" xfId="0" applyNumberFormat="1" applyFont="1" applyProtection="1">
      <protection locked="0"/>
    </xf>
    <xf numFmtId="0" fontId="93" fillId="0" borderId="0" xfId="0" applyFont="1" applyProtection="1">
      <protection locked="0"/>
    </xf>
    <xf numFmtId="0" fontId="33" fillId="0" borderId="74" xfId="0" applyFont="1" applyBorder="1" applyAlignment="1" applyProtection="1">
      <alignment wrapText="1"/>
      <protection locked="0"/>
    </xf>
    <xf numFmtId="4" fontId="33" fillId="0" borderId="75" xfId="0" applyNumberFormat="1" applyFont="1" applyBorder="1" applyAlignment="1">
      <alignment horizontal="right"/>
    </xf>
    <xf numFmtId="0" fontId="33" fillId="0" borderId="99" xfId="0" applyFont="1" applyBorder="1" applyAlignment="1" applyProtection="1">
      <alignment wrapText="1"/>
      <protection locked="0"/>
    </xf>
    <xf numFmtId="4" fontId="33" fillId="0" borderId="100" xfId="0" applyNumberFormat="1" applyFont="1" applyBorder="1" applyAlignment="1">
      <alignment horizontal="right"/>
    </xf>
    <xf numFmtId="0" fontId="33" fillId="0" borderId="76" xfId="0" applyFont="1" applyBorder="1" applyAlignment="1" applyProtection="1">
      <alignment wrapText="1"/>
      <protection locked="0"/>
    </xf>
    <xf numFmtId="4" fontId="33" fillId="0" borderId="77" xfId="0" applyNumberFormat="1" applyFont="1" applyBorder="1" applyAlignment="1">
      <alignment horizontal="right"/>
    </xf>
    <xf numFmtId="0" fontId="33" fillId="0" borderId="0" xfId="0" applyFont="1" applyAlignment="1" applyProtection="1">
      <alignment wrapText="1"/>
      <protection locked="0"/>
    </xf>
    <xf numFmtId="4" fontId="33" fillId="0" borderId="0" xfId="0" applyNumberFormat="1" applyFont="1" applyAlignment="1" applyProtection="1">
      <alignment horizontal="right"/>
      <protection locked="0"/>
    </xf>
    <xf numFmtId="0" fontId="33" fillId="0" borderId="98" xfId="0" applyFont="1" applyBorder="1" applyAlignment="1" applyProtection="1">
      <alignment wrapText="1"/>
      <protection locked="0"/>
    </xf>
    <xf numFmtId="4" fontId="33" fillId="0" borderId="101" xfId="0" applyNumberFormat="1" applyFont="1" applyBorder="1" applyAlignment="1">
      <alignment horizontal="right"/>
    </xf>
    <xf numFmtId="4" fontId="33" fillId="0" borderId="0" xfId="0" applyNumberFormat="1" applyFont="1" applyAlignment="1">
      <alignment horizontal="right"/>
    </xf>
    <xf numFmtId="0" fontId="32" fillId="0" borderId="93" xfId="0" applyFont="1" applyBorder="1" applyAlignment="1" applyProtection="1">
      <alignment wrapText="1"/>
      <protection locked="0"/>
    </xf>
    <xf numFmtId="4" fontId="32" fillId="0" borderId="85" xfId="0" applyNumberFormat="1" applyFont="1" applyBorder="1" applyAlignment="1">
      <alignment horizontal="right"/>
    </xf>
    <xf numFmtId="0" fontId="0" fillId="77" borderId="0" xfId="0" applyFill="1"/>
    <xf numFmtId="4" fontId="0" fillId="80" borderId="0" xfId="0" applyNumberFormat="1" applyFill="1" applyAlignment="1" applyProtection="1">
      <alignment horizontal="right" vertical="center"/>
      <protection locked="0"/>
    </xf>
    <xf numFmtId="0" fontId="0" fillId="80" borderId="0" xfId="0" applyFill="1"/>
    <xf numFmtId="4" fontId="0" fillId="77" borderId="0" xfId="0" applyNumberFormat="1" applyFill="1"/>
    <xf numFmtId="0" fontId="60" fillId="77" borderId="0" xfId="0" applyFont="1" applyFill="1" applyAlignment="1">
      <alignment horizontal="justify" vertical="center"/>
    </xf>
    <xf numFmtId="4" fontId="0" fillId="77" borderId="0" xfId="0" applyNumberFormat="1" applyFill="1" applyAlignment="1" applyProtection="1">
      <alignment horizontal="right" vertical="center"/>
      <protection locked="0"/>
    </xf>
    <xf numFmtId="0" fontId="0" fillId="72" borderId="0" xfId="0" applyFill="1"/>
    <xf numFmtId="4" fontId="87" fillId="80" borderId="0" xfId="0" applyNumberFormat="1" applyFont="1" applyFill="1" applyAlignment="1" applyProtection="1">
      <alignment horizontal="right" vertical="center"/>
      <protection locked="0"/>
    </xf>
    <xf numFmtId="0" fontId="0" fillId="77" borderId="0" xfId="0" applyFill="1" applyAlignment="1" applyProtection="1">
      <alignment horizontal="center" vertical="center"/>
      <protection locked="0"/>
    </xf>
    <xf numFmtId="4" fontId="0" fillId="77" borderId="0" xfId="0" applyNumberFormat="1" applyFill="1" applyProtection="1">
      <protection locked="0"/>
    </xf>
    <xf numFmtId="3" fontId="0" fillId="77" borderId="0" xfId="0" applyNumberFormat="1" applyFill="1" applyProtection="1">
      <protection locked="0"/>
    </xf>
    <xf numFmtId="4" fontId="58" fillId="76" borderId="0" xfId="0" applyNumberFormat="1" applyFont="1" applyFill="1" applyAlignment="1">
      <alignment horizontal="center"/>
    </xf>
    <xf numFmtId="0" fontId="94" fillId="80" borderId="0" xfId="0" applyFont="1" applyFill="1"/>
    <xf numFmtId="4" fontId="94" fillId="80" borderId="0" xfId="0" applyNumberFormat="1" applyFont="1" applyFill="1"/>
    <xf numFmtId="0" fontId="95" fillId="80" borderId="0" xfId="0" applyFont="1" applyFill="1"/>
    <xf numFmtId="0" fontId="94" fillId="80" borderId="0" xfId="0" applyFont="1" applyFill="1" applyAlignment="1">
      <alignment horizontal="center"/>
    </xf>
    <xf numFmtId="4" fontId="95" fillId="80" borderId="0" xfId="0" applyNumberFormat="1" applyFont="1" applyFill="1"/>
    <xf numFmtId="4" fontId="95" fillId="80" borderId="0" xfId="0" applyNumberFormat="1" applyFont="1" applyFill="1" applyAlignment="1">
      <alignment horizontal="center"/>
    </xf>
    <xf numFmtId="4" fontId="95" fillId="80" borderId="0" xfId="46" applyNumberFormat="1" applyFont="1" applyFill="1" applyAlignment="1">
      <alignment horizontal="center"/>
    </xf>
    <xf numFmtId="0" fontId="95" fillId="80" borderId="125" xfId="0" applyFont="1" applyFill="1" applyBorder="1" applyAlignment="1">
      <alignment horizontal="center"/>
    </xf>
    <xf numFmtId="4" fontId="95" fillId="80" borderId="125" xfId="0" applyNumberFormat="1" applyFont="1" applyFill="1" applyBorder="1" applyAlignment="1">
      <alignment horizontal="center"/>
    </xf>
    <xf numFmtId="4" fontId="95" fillId="80" borderId="125" xfId="46" applyNumberFormat="1" applyFont="1" applyFill="1" applyBorder="1" applyAlignment="1">
      <alignment horizontal="center"/>
    </xf>
    <xf numFmtId="4" fontId="94" fillId="80" borderId="0" xfId="0" applyNumberFormat="1" applyFont="1" applyFill="1" applyAlignment="1">
      <alignment horizontal="center"/>
    </xf>
    <xf numFmtId="0" fontId="94" fillId="80" borderId="0" xfId="0" applyFont="1" applyFill="1" applyAlignment="1" applyProtection="1">
      <alignment horizontal="center"/>
      <protection locked="0"/>
    </xf>
    <xf numFmtId="0" fontId="94" fillId="80" borderId="0" xfId="0" applyFont="1" applyFill="1" applyAlignment="1" applyProtection="1">
      <alignment horizontal="center" vertical="center"/>
      <protection locked="0"/>
    </xf>
    <xf numFmtId="0" fontId="94" fillId="80" borderId="0" xfId="0" applyFont="1" applyFill="1" applyAlignment="1" applyProtection="1">
      <alignment vertical="center"/>
      <protection locked="0"/>
    </xf>
    <xf numFmtId="4" fontId="94" fillId="80" borderId="0" xfId="0" applyNumberFormat="1" applyFont="1" applyFill="1" applyAlignment="1" applyProtection="1">
      <alignment horizontal="right" vertical="center"/>
      <protection locked="0"/>
    </xf>
    <xf numFmtId="0" fontId="95" fillId="80" borderId="126" xfId="0" applyFont="1" applyFill="1" applyBorder="1"/>
    <xf numFmtId="4" fontId="95" fillId="80" borderId="126" xfId="0" applyNumberFormat="1" applyFont="1" applyFill="1" applyBorder="1"/>
    <xf numFmtId="0" fontId="0" fillId="77" borderId="0" xfId="0" applyFill="1" applyAlignment="1">
      <alignment horizontal="center"/>
    </xf>
    <xf numFmtId="4" fontId="0" fillId="0" borderId="0" xfId="0" applyNumberFormat="1" applyAlignment="1" applyProtection="1">
      <alignment wrapText="1"/>
      <protection locked="0"/>
    </xf>
    <xf numFmtId="0" fontId="60" fillId="35" borderId="127" xfId="0" applyFont="1" applyFill="1" applyBorder="1" applyAlignment="1">
      <alignment horizontal="justify" vertical="center"/>
    </xf>
    <xf numFmtId="4" fontId="0" fillId="35" borderId="128" xfId="0" applyNumberFormat="1" applyFill="1" applyBorder="1" applyProtection="1">
      <protection locked="0"/>
    </xf>
    <xf numFmtId="0" fontId="0" fillId="35" borderId="129" xfId="0" applyFill="1" applyBorder="1" applyProtection="1">
      <protection locked="0"/>
    </xf>
    <xf numFmtId="0" fontId="0" fillId="35" borderId="130" xfId="0" applyFill="1" applyBorder="1" applyProtection="1">
      <protection locked="0"/>
    </xf>
    <xf numFmtId="0" fontId="60" fillId="35" borderId="131" xfId="0" applyFont="1" applyFill="1" applyBorder="1" applyAlignment="1">
      <alignment horizontal="justify" vertical="center"/>
    </xf>
    <xf numFmtId="4" fontId="0" fillId="35" borderId="132" xfId="0" applyNumberFormat="1" applyFill="1" applyBorder="1" applyProtection="1">
      <protection locked="0"/>
    </xf>
    <xf numFmtId="0" fontId="0" fillId="77" borderId="127" xfId="0" applyFill="1" applyBorder="1" applyAlignment="1" applyProtection="1">
      <alignment vertical="center"/>
      <protection locked="0"/>
    </xf>
    <xf numFmtId="4" fontId="0" fillId="77" borderId="133" xfId="0" applyNumberFormat="1" applyFill="1" applyBorder="1" applyAlignment="1" applyProtection="1">
      <alignment vertical="center"/>
      <protection locked="0"/>
    </xf>
    <xf numFmtId="0" fontId="0" fillId="77" borderId="128" xfId="0" applyFill="1" applyBorder="1" applyAlignment="1" applyProtection="1">
      <alignment vertical="center"/>
      <protection locked="0"/>
    </xf>
    <xf numFmtId="0" fontId="96" fillId="0" borderId="0" xfId="0" applyFont="1"/>
    <xf numFmtId="0" fontId="23" fillId="77" borderId="31" xfId="0" applyFont="1" applyFill="1" applyBorder="1" applyProtection="1">
      <protection locked="0"/>
    </xf>
    <xf numFmtId="0" fontId="23" fillId="77" borderId="33" xfId="0" applyFont="1" applyFill="1" applyBorder="1" applyProtection="1">
      <protection locked="0"/>
    </xf>
    <xf numFmtId="0" fontId="0" fillId="77" borderId="43" xfId="0" applyFill="1" applyBorder="1" applyProtection="1">
      <protection locked="0"/>
    </xf>
    <xf numFmtId="4" fontId="0" fillId="77" borderId="48" xfId="0" applyNumberFormat="1" applyFill="1" applyBorder="1"/>
    <xf numFmtId="4" fontId="0" fillId="77" borderId="36" xfId="0" applyNumberFormat="1" applyFill="1" applyBorder="1"/>
    <xf numFmtId="0" fontId="0" fillId="77" borderId="45" xfId="0" applyFill="1" applyBorder="1" applyProtection="1">
      <protection locked="0"/>
    </xf>
    <xf numFmtId="4" fontId="0" fillId="77" borderId="49" xfId="0" applyNumberFormat="1" applyFill="1" applyBorder="1"/>
    <xf numFmtId="4" fontId="0" fillId="77" borderId="37" xfId="0" applyNumberFormat="1" applyFill="1" applyBorder="1"/>
    <xf numFmtId="4" fontId="47" fillId="77" borderId="37" xfId="0" applyNumberFormat="1" applyFont="1" applyFill="1" applyBorder="1"/>
    <xf numFmtId="0" fontId="23" fillId="77" borderId="45" xfId="0" applyFont="1" applyFill="1" applyBorder="1" applyAlignment="1" applyProtection="1">
      <alignment wrapText="1"/>
      <protection locked="0"/>
    </xf>
    <xf numFmtId="4" fontId="23" fillId="77" borderId="49" xfId="0" applyNumberFormat="1" applyFont="1" applyFill="1" applyBorder="1"/>
    <xf numFmtId="4" fontId="23" fillId="77" borderId="37" xfId="0" applyNumberFormat="1" applyFont="1" applyFill="1" applyBorder="1"/>
    <xf numFmtId="0" fontId="0" fillId="77" borderId="45" xfId="0" applyFill="1" applyBorder="1" applyAlignment="1" applyProtection="1">
      <alignment wrapText="1"/>
      <protection locked="0"/>
    </xf>
    <xf numFmtId="0" fontId="0" fillId="77" borderId="37" xfId="0" applyFill="1" applyBorder="1"/>
    <xf numFmtId="4" fontId="0" fillId="77" borderId="78" xfId="0" applyNumberFormat="1" applyFill="1" applyBorder="1"/>
    <xf numFmtId="0" fontId="0" fillId="77" borderId="78" xfId="0" applyFill="1" applyBorder="1"/>
    <xf numFmtId="166" fontId="0" fillId="77" borderId="30" xfId="0" applyNumberFormat="1" applyFill="1" applyBorder="1"/>
    <xf numFmtId="4" fontId="0" fillId="77" borderId="49" xfId="0" applyNumberFormat="1" applyFill="1" applyBorder="1" applyProtection="1">
      <protection locked="0"/>
    </xf>
    <xf numFmtId="0" fontId="0" fillId="77" borderId="37" xfId="0" applyFill="1" applyBorder="1" applyProtection="1">
      <protection locked="0"/>
    </xf>
    <xf numFmtId="0" fontId="0" fillId="78" borderId="45" xfId="0" applyFill="1" applyBorder="1" applyAlignment="1" applyProtection="1">
      <alignment wrapText="1"/>
      <protection locked="0"/>
    </xf>
    <xf numFmtId="4" fontId="23" fillId="77" borderId="50" xfId="0" applyNumberFormat="1" applyFont="1" applyFill="1" applyBorder="1"/>
    <xf numFmtId="4" fontId="23" fillId="77" borderId="27" xfId="0" applyNumberFormat="1" applyFont="1" applyFill="1" applyBorder="1"/>
    <xf numFmtId="4" fontId="0" fillId="77" borderId="43" xfId="0" applyNumberFormat="1" applyFill="1" applyBorder="1"/>
    <xf numFmtId="4" fontId="0" fillId="77" borderId="45" xfId="0" applyNumberFormat="1" applyFill="1" applyBorder="1"/>
    <xf numFmtId="0" fontId="23" fillId="77" borderId="46" xfId="0" applyFont="1" applyFill="1" applyBorder="1" applyAlignment="1" applyProtection="1">
      <alignment wrapText="1"/>
      <protection locked="0"/>
    </xf>
    <xf numFmtId="4" fontId="23" fillId="77" borderId="46" xfId="0" applyNumberFormat="1" applyFont="1" applyFill="1" applyBorder="1"/>
    <xf numFmtId="0" fontId="0" fillId="77" borderId="93" xfId="0" applyFill="1" applyBorder="1" applyProtection="1">
      <protection locked="0"/>
    </xf>
    <xf numFmtId="0" fontId="0" fillId="77" borderId="94" xfId="0" applyFill="1" applyBorder="1" applyProtection="1">
      <protection locked="0"/>
    </xf>
    <xf numFmtId="4" fontId="0" fillId="77" borderId="85" xfId="0" applyNumberFormat="1" applyFill="1" applyBorder="1" applyProtection="1">
      <protection locked="0"/>
    </xf>
    <xf numFmtId="4" fontId="30" fillId="77" borderId="0" xfId="46" applyNumberFormat="1" applyFont="1" applyFill="1"/>
    <xf numFmtId="4" fontId="4" fillId="77" borderId="0" xfId="50" applyNumberFormat="1" applyFill="1"/>
    <xf numFmtId="2" fontId="0" fillId="80" borderId="0" xfId="0" applyNumberFormat="1" applyFill="1" applyProtection="1">
      <protection locked="0"/>
    </xf>
    <xf numFmtId="2" fontId="30" fillId="80" borderId="0" xfId="0" applyNumberFormat="1" applyFont="1" applyFill="1" applyProtection="1">
      <protection locked="0"/>
    </xf>
    <xf numFmtId="4" fontId="94" fillId="80" borderId="0" xfId="0" applyNumberFormat="1" applyFont="1" applyFill="1" applyProtection="1">
      <protection locked="0"/>
    </xf>
    <xf numFmtId="1" fontId="0" fillId="80" borderId="0" xfId="0" applyNumberFormat="1" applyFill="1" applyAlignment="1" applyProtection="1">
      <alignment horizontal="center" vertical="center"/>
      <protection locked="0"/>
    </xf>
    <xf numFmtId="2" fontId="0" fillId="80" borderId="0" xfId="0" applyNumberFormat="1" applyFill="1" applyAlignment="1" applyProtection="1">
      <alignment horizontal="left"/>
      <protection locked="0"/>
    </xf>
    <xf numFmtId="2" fontId="0" fillId="80" borderId="0" xfId="0" applyNumberFormat="1" applyFill="1" applyAlignment="1" applyProtection="1">
      <alignment vertical="center"/>
      <protection locked="0"/>
    </xf>
    <xf numFmtId="0" fontId="57" fillId="34" borderId="0" xfId="313" applyFont="1" applyFill="1"/>
    <xf numFmtId="0" fontId="0" fillId="83" borderId="0" xfId="0" applyFill="1" applyAlignment="1" applyProtection="1">
      <alignment vertical="center"/>
      <protection locked="0"/>
    </xf>
    <xf numFmtId="0" fontId="23" fillId="83" borderId="0" xfId="0" applyFont="1" applyFill="1" applyAlignment="1" applyProtection="1">
      <alignment vertical="center"/>
      <protection locked="0"/>
    </xf>
    <xf numFmtId="0" fontId="0" fillId="83" borderId="16" xfId="0" applyFill="1" applyBorder="1" applyAlignment="1" applyProtection="1">
      <alignment horizontal="right" vertical="center"/>
      <protection locked="0"/>
    </xf>
    <xf numFmtId="0" fontId="0" fillId="84" borderId="17" xfId="0" applyFill="1" applyBorder="1" applyAlignment="1" applyProtection="1">
      <alignment vertical="center"/>
      <protection locked="0"/>
    </xf>
    <xf numFmtId="0" fontId="0" fillId="83" borderId="18" xfId="0" applyFill="1" applyBorder="1" applyAlignment="1" applyProtection="1">
      <alignment horizontal="right" vertical="center"/>
      <protection locked="0"/>
    </xf>
    <xf numFmtId="0" fontId="0" fillId="84" borderId="19" xfId="0" applyFill="1" applyBorder="1" applyAlignment="1" applyProtection="1">
      <alignment vertical="center"/>
      <protection locked="0"/>
    </xf>
    <xf numFmtId="0" fontId="23" fillId="78" borderId="0" xfId="0" applyFont="1" applyFill="1" applyAlignment="1" applyProtection="1">
      <alignment vertical="center"/>
      <protection locked="0"/>
    </xf>
    <xf numFmtId="0" fontId="23" fillId="77" borderId="0" xfId="0" applyFont="1" applyFill="1" applyAlignment="1" applyProtection="1">
      <alignment horizontal="center" vertical="center"/>
      <protection locked="0"/>
    </xf>
    <xf numFmtId="0" fontId="23" fillId="77" borderId="0" xfId="0" applyFont="1" applyFill="1" applyAlignment="1" applyProtection="1">
      <alignment vertical="center"/>
      <protection locked="0"/>
    </xf>
    <xf numFmtId="0" fontId="23" fillId="77" borderId="20" xfId="0" applyFont="1" applyFill="1" applyBorder="1" applyAlignment="1" applyProtection="1">
      <alignment vertical="center"/>
      <protection locked="0"/>
    </xf>
    <xf numFmtId="10" fontId="23" fillId="84" borderId="21" xfId="0" applyNumberFormat="1" applyFont="1" applyFill="1" applyBorder="1" applyAlignment="1" applyProtection="1">
      <alignment vertical="center"/>
      <protection locked="0"/>
    </xf>
    <xf numFmtId="0" fontId="23" fillId="77" borderId="21" xfId="0" applyFont="1" applyFill="1" applyBorder="1" applyAlignment="1" applyProtection="1">
      <alignment horizontal="center" vertical="center" wrapText="1"/>
      <protection locked="0"/>
    </xf>
    <xf numFmtId="0" fontId="23" fillId="77" borderId="16" xfId="0" applyFont="1" applyFill="1" applyBorder="1" applyAlignment="1" applyProtection="1">
      <alignment horizontal="center" vertical="center" wrapText="1"/>
      <protection locked="0"/>
    </xf>
    <xf numFmtId="4" fontId="0" fillId="84" borderId="22" xfId="0" applyNumberFormat="1" applyFill="1" applyBorder="1" applyAlignment="1" applyProtection="1">
      <alignment horizontal="right" vertical="center"/>
      <protection locked="0"/>
    </xf>
    <xf numFmtId="0" fontId="23" fillId="77" borderId="23" xfId="0" applyFont="1" applyFill="1" applyBorder="1" applyAlignment="1" applyProtection="1">
      <alignment horizontal="center" vertical="center" wrapText="1"/>
      <protection locked="0"/>
    </xf>
    <xf numFmtId="4" fontId="0" fillId="84" borderId="24" xfId="0" applyNumberFormat="1" applyFill="1" applyBorder="1" applyAlignment="1" applyProtection="1">
      <alignment horizontal="right" vertical="center"/>
      <protection locked="0"/>
    </xf>
    <xf numFmtId="0" fontId="23" fillId="77" borderId="25" xfId="0" applyFont="1" applyFill="1" applyBorder="1" applyAlignment="1" applyProtection="1">
      <alignment horizontal="center" vertical="center" wrapText="1"/>
      <protection locked="0"/>
    </xf>
    <xf numFmtId="0" fontId="23" fillId="83" borderId="20" xfId="0" applyFont="1" applyFill="1" applyBorder="1" applyAlignment="1" applyProtection="1">
      <alignment horizontal="right" vertical="center" wrapText="1"/>
      <protection locked="0"/>
    </xf>
    <xf numFmtId="4" fontId="23" fillId="85" borderId="26" xfId="0" applyNumberFormat="1" applyFont="1" applyFill="1" applyBorder="1" applyAlignment="1">
      <alignment horizontal="right" vertical="center"/>
    </xf>
    <xf numFmtId="4" fontId="23" fillId="83" borderId="0" xfId="0" applyNumberFormat="1" applyFont="1" applyFill="1" applyAlignment="1" applyProtection="1">
      <alignment horizontal="right" vertical="center"/>
      <protection locked="0"/>
    </xf>
    <xf numFmtId="0" fontId="0" fillId="83" borderId="0" xfId="0" applyFill="1" applyAlignment="1" applyProtection="1">
      <alignment horizontal="right" vertical="center"/>
      <protection locked="0"/>
    </xf>
    <xf numFmtId="0" fontId="0" fillId="77" borderId="0" xfId="0" applyFill="1" applyAlignment="1" applyProtection="1">
      <alignment horizontal="right" vertical="center"/>
      <protection locked="0"/>
    </xf>
    <xf numFmtId="4" fontId="23" fillId="83" borderId="0" xfId="0" applyNumberFormat="1" applyFont="1" applyFill="1" applyAlignment="1" applyProtection="1">
      <alignment vertical="center"/>
      <protection locked="0"/>
    </xf>
    <xf numFmtId="0" fontId="23" fillId="77" borderId="18" xfId="0" applyFont="1" applyFill="1" applyBorder="1" applyAlignment="1" applyProtection="1">
      <alignment horizontal="center" vertical="center" wrapText="1"/>
      <protection locked="0"/>
    </xf>
    <xf numFmtId="4" fontId="23" fillId="85" borderId="27" xfId="0" applyNumberFormat="1" applyFont="1" applyFill="1" applyBorder="1" applyAlignment="1">
      <alignment horizontal="right" vertical="center"/>
    </xf>
    <xf numFmtId="4" fontId="0" fillId="83" borderId="0" xfId="0" applyNumberFormat="1" applyFill="1" applyAlignment="1" applyProtection="1">
      <alignment vertical="center"/>
      <protection locked="0"/>
    </xf>
    <xf numFmtId="0" fontId="0" fillId="78" borderId="0" xfId="0" applyFill="1" applyAlignment="1" applyProtection="1">
      <alignment vertical="center"/>
      <protection locked="0"/>
    </xf>
    <xf numFmtId="0" fontId="23" fillId="83" borderId="10" xfId="0" applyFont="1" applyFill="1" applyBorder="1" applyAlignment="1" applyProtection="1">
      <alignment horizontal="center" vertical="center" wrapText="1"/>
      <protection locked="0"/>
    </xf>
    <xf numFmtId="4" fontId="0" fillId="84" borderId="10" xfId="0" applyNumberFormat="1" applyFill="1" applyBorder="1" applyAlignment="1" applyProtection="1">
      <alignment vertical="center"/>
      <protection locked="0"/>
    </xf>
    <xf numFmtId="0" fontId="0" fillId="84" borderId="10" xfId="0" applyFill="1" applyBorder="1" applyAlignment="1" applyProtection="1">
      <alignment vertical="center"/>
      <protection locked="0"/>
    </xf>
    <xf numFmtId="0" fontId="0" fillId="83" borderId="20" xfId="0" applyFill="1" applyBorder="1" applyAlignment="1" applyProtection="1">
      <alignment horizontal="right" vertical="center"/>
      <protection locked="0"/>
    </xf>
    <xf numFmtId="4" fontId="0" fillId="85" borderId="26" xfId="0" applyNumberFormat="1" applyFill="1" applyBorder="1" applyAlignment="1">
      <alignment vertical="center"/>
    </xf>
    <xf numFmtId="4" fontId="0" fillId="77" borderId="26" xfId="0" applyNumberFormat="1" applyFill="1" applyBorder="1" applyAlignment="1" applyProtection="1">
      <alignment vertical="center"/>
      <protection locked="0"/>
    </xf>
    <xf numFmtId="0" fontId="0" fillId="77" borderId="0" xfId="0" applyFill="1" applyAlignment="1" applyProtection="1">
      <alignment vertical="center" wrapText="1"/>
      <protection locked="0"/>
    </xf>
    <xf numFmtId="0" fontId="23" fillId="83" borderId="0" xfId="0" applyFont="1" applyFill="1" applyAlignment="1" applyProtection="1">
      <alignment horizontal="right" vertical="center"/>
      <protection locked="0"/>
    </xf>
    <xf numFmtId="0" fontId="0" fillId="84" borderId="11" xfId="0" applyFill="1" applyBorder="1" applyAlignment="1" applyProtection="1">
      <alignment vertical="center"/>
      <protection locked="0"/>
    </xf>
    <xf numFmtId="0" fontId="0" fillId="84" borderId="72" xfId="0" applyFill="1" applyBorder="1" applyAlignment="1" applyProtection="1">
      <alignment vertical="center"/>
      <protection locked="0"/>
    </xf>
    <xf numFmtId="0" fontId="23" fillId="83" borderId="72" xfId="0" applyFont="1" applyFill="1" applyBorder="1" applyAlignment="1" applyProtection="1">
      <alignment horizontal="center" vertical="center"/>
      <protection locked="0"/>
    </xf>
    <xf numFmtId="1" fontId="23" fillId="77" borderId="0" xfId="0" applyNumberFormat="1" applyFont="1" applyFill="1" applyProtection="1">
      <protection locked="0"/>
    </xf>
    <xf numFmtId="0" fontId="23" fillId="77" borderId="72" xfId="0" applyFont="1" applyFill="1" applyBorder="1" applyAlignment="1" applyProtection="1">
      <alignment horizontal="center"/>
      <protection locked="0"/>
    </xf>
    <xf numFmtId="0" fontId="23" fillId="77" borderId="72" xfId="0" applyFont="1" applyFill="1" applyBorder="1" applyAlignment="1" applyProtection="1">
      <alignment horizontal="center" wrapText="1"/>
      <protection locked="0"/>
    </xf>
    <xf numFmtId="0" fontId="23" fillId="83" borderId="72" xfId="0" applyFont="1" applyFill="1" applyBorder="1" applyAlignment="1" applyProtection="1">
      <alignment horizontal="center"/>
      <protection locked="0"/>
    </xf>
    <xf numFmtId="0" fontId="0" fillId="77" borderId="0" xfId="0" applyFill="1" applyAlignment="1" applyProtection="1">
      <alignment wrapText="1"/>
      <protection locked="0"/>
    </xf>
    <xf numFmtId="0" fontId="0" fillId="84" borderId="72" xfId="0" applyFill="1" applyBorder="1" applyProtection="1">
      <protection locked="0"/>
    </xf>
    <xf numFmtId="0" fontId="23" fillId="85" borderId="72" xfId="0" applyFont="1" applyFill="1" applyBorder="1"/>
    <xf numFmtId="0" fontId="0" fillId="78" borderId="72" xfId="0" applyFill="1" applyBorder="1" applyProtection="1">
      <protection locked="0"/>
    </xf>
    <xf numFmtId="0" fontId="23" fillId="77" borderId="72" xfId="0" applyFont="1" applyFill="1" applyBorder="1" applyProtection="1">
      <protection locked="0"/>
    </xf>
    <xf numFmtId="0" fontId="0" fillId="83" borderId="82" xfId="0" applyFill="1" applyBorder="1" applyAlignment="1" applyProtection="1">
      <alignment vertical="center"/>
      <protection locked="0"/>
    </xf>
    <xf numFmtId="4" fontId="47" fillId="78" borderId="26" xfId="0" applyNumberFormat="1" applyFont="1" applyFill="1" applyBorder="1" applyAlignment="1">
      <alignment vertical="center"/>
    </xf>
    <xf numFmtId="4" fontId="23" fillId="85" borderId="26" xfId="0" applyNumberFormat="1" applyFont="1" applyFill="1" applyBorder="1" applyAlignment="1">
      <alignment vertical="center"/>
    </xf>
    <xf numFmtId="0" fontId="0" fillId="83" borderId="80" xfId="0" applyFill="1" applyBorder="1" applyAlignment="1" applyProtection="1">
      <alignment vertical="center"/>
      <protection locked="0"/>
    </xf>
    <xf numFmtId="0" fontId="0" fillId="83" borderId="81" xfId="0" applyFill="1" applyBorder="1" applyAlignment="1" applyProtection="1">
      <alignment vertical="center"/>
      <protection locked="0"/>
    </xf>
    <xf numFmtId="4" fontId="23" fillId="85" borderId="79" xfId="0" applyNumberFormat="1" applyFont="1" applyFill="1" applyBorder="1" applyAlignment="1">
      <alignment vertical="center"/>
    </xf>
    <xf numFmtId="1" fontId="23" fillId="77" borderId="72" xfId="0" applyNumberFormat="1" applyFont="1" applyFill="1" applyBorder="1" applyAlignment="1" applyProtection="1">
      <alignment horizontal="center" vertical="center"/>
      <protection locked="0"/>
    </xf>
    <xf numFmtId="0" fontId="0" fillId="77" borderId="0" xfId="0" applyFill="1" applyAlignment="1" applyProtection="1">
      <alignment horizontal="right" vertical="center" wrapText="1"/>
      <protection locked="0"/>
    </xf>
    <xf numFmtId="4" fontId="0" fillId="77" borderId="0" xfId="0" applyNumberFormat="1" applyFill="1" applyAlignment="1" applyProtection="1">
      <alignment vertical="center"/>
      <protection locked="0"/>
    </xf>
    <xf numFmtId="0" fontId="34" fillId="77" borderId="0" xfId="0" applyFont="1" applyFill="1" applyAlignment="1" applyProtection="1">
      <alignment vertical="center" wrapText="1"/>
      <protection locked="0"/>
    </xf>
    <xf numFmtId="0" fontId="34" fillId="77" borderId="0" xfId="0" applyFont="1" applyFill="1" applyAlignment="1" applyProtection="1">
      <alignment vertical="center"/>
      <protection locked="0"/>
    </xf>
    <xf numFmtId="0" fontId="23" fillId="77" borderId="21" xfId="0" applyFont="1" applyFill="1" applyBorder="1" applyAlignment="1" applyProtection="1">
      <alignment horizontal="justify" vertical="center" wrapText="1"/>
      <protection locked="0"/>
    </xf>
    <xf numFmtId="0" fontId="23" fillId="77" borderId="26" xfId="0" applyFont="1" applyFill="1" applyBorder="1" applyAlignment="1" applyProtection="1">
      <alignment horizontal="center" vertical="center" wrapText="1"/>
      <protection locked="0"/>
    </xf>
    <xf numFmtId="0" fontId="0" fillId="77" borderId="28" xfId="0" applyFill="1" applyBorder="1" applyAlignment="1" applyProtection="1">
      <alignment horizontal="center" vertical="center" wrapText="1"/>
      <protection locked="0"/>
    </xf>
    <xf numFmtId="165" fontId="0" fillId="84" borderId="19" xfId="33" applyFont="1" applyFill="1" applyBorder="1" applyAlignment="1" applyProtection="1">
      <alignment horizontal="justify" vertical="center" wrapText="1"/>
      <protection locked="0"/>
    </xf>
    <xf numFmtId="9" fontId="0" fillId="78" borderId="19" xfId="37" applyFont="1" applyFill="1" applyBorder="1" applyAlignment="1" applyProtection="1">
      <alignment horizontal="right" vertical="center" wrapText="1"/>
      <protection locked="0"/>
    </xf>
    <xf numFmtId="0" fontId="0" fillId="77" borderId="29" xfId="0" applyFill="1" applyBorder="1" applyAlignment="1" applyProtection="1">
      <alignment horizontal="center" vertical="center" wrapText="1"/>
      <protection locked="0"/>
    </xf>
    <xf numFmtId="165" fontId="0" fillId="84" borderId="30" xfId="33" applyFont="1" applyFill="1" applyBorder="1" applyAlignment="1" applyProtection="1">
      <alignment horizontal="justify" vertical="center" wrapText="1"/>
      <protection locked="0"/>
    </xf>
    <xf numFmtId="9" fontId="0" fillId="78" borderId="30" xfId="37" applyFont="1" applyFill="1" applyBorder="1" applyAlignment="1" applyProtection="1">
      <alignment horizontal="right" vertical="center" wrapText="1"/>
      <protection locked="0"/>
    </xf>
    <xf numFmtId="0" fontId="23" fillId="77" borderId="31" xfId="0" applyFont="1" applyFill="1" applyBorder="1" applyAlignment="1" applyProtection="1">
      <alignment vertical="center" wrapText="1"/>
      <protection locked="0"/>
    </xf>
    <xf numFmtId="165" fontId="23" fillId="85" borderId="32" xfId="0" applyNumberFormat="1" applyFont="1" applyFill="1" applyBorder="1" applyAlignment="1">
      <alignment vertical="center"/>
    </xf>
    <xf numFmtId="165" fontId="23" fillId="85" borderId="33" xfId="0" applyNumberFormat="1" applyFont="1" applyFill="1" applyBorder="1" applyAlignment="1">
      <alignment vertical="center"/>
    </xf>
    <xf numFmtId="165" fontId="23" fillId="85" borderId="33" xfId="0" applyNumberFormat="1" applyFont="1" applyFill="1" applyBorder="1" applyAlignment="1">
      <alignment horizontal="center" vertical="center"/>
    </xf>
    <xf numFmtId="0" fontId="85" fillId="77" borderId="124" xfId="0" applyFont="1" applyFill="1" applyBorder="1" applyAlignment="1">
      <alignment wrapText="1"/>
    </xf>
    <xf numFmtId="0" fontId="34" fillId="77" borderId="0" xfId="0" applyFont="1" applyFill="1" applyAlignment="1" applyProtection="1">
      <alignment horizontal="justify" vertical="center" wrapText="1"/>
      <protection locked="0"/>
    </xf>
    <xf numFmtId="0" fontId="35" fillId="85" borderId="33" xfId="0" applyFont="1" applyFill="1" applyBorder="1" applyAlignment="1">
      <alignment horizontal="justify" vertical="center" wrapText="1"/>
    </xf>
    <xf numFmtId="0" fontId="23" fillId="77" borderId="0" xfId="0" applyFont="1" applyFill="1" applyAlignment="1" applyProtection="1">
      <alignment vertical="center" wrapText="1"/>
      <protection locked="0"/>
    </xf>
    <xf numFmtId="0" fontId="35" fillId="77" borderId="0" xfId="0" applyFont="1" applyFill="1" applyAlignment="1" applyProtection="1">
      <alignment horizontal="justify" vertical="center" wrapText="1"/>
      <protection locked="0"/>
    </xf>
    <xf numFmtId="0" fontId="23" fillId="77" borderId="16" xfId="0" applyFont="1" applyFill="1" applyBorder="1" applyAlignment="1" applyProtection="1">
      <alignment horizontal="justify" vertical="center" wrapText="1"/>
      <protection locked="0"/>
    </xf>
    <xf numFmtId="0" fontId="23" fillId="77" borderId="17" xfId="0" applyFont="1" applyFill="1" applyBorder="1" applyAlignment="1" applyProtection="1">
      <alignment horizontal="justify" vertical="center" wrapText="1"/>
      <protection locked="0"/>
    </xf>
    <xf numFmtId="0" fontId="23" fillId="77" borderId="20" xfId="0" applyFont="1" applyFill="1" applyBorder="1" applyAlignment="1" applyProtection="1">
      <alignment horizontal="justify" vertical="center" wrapText="1"/>
      <protection locked="0"/>
    </xf>
    <xf numFmtId="0" fontId="34" fillId="84" borderId="20" xfId="0" applyFont="1" applyFill="1" applyBorder="1" applyAlignment="1" applyProtection="1">
      <alignment horizontal="justify" vertical="center" wrapText="1"/>
      <protection locked="0"/>
    </xf>
    <xf numFmtId="0" fontId="34" fillId="85" borderId="26" xfId="0" applyFont="1" applyFill="1" applyBorder="1" applyAlignment="1">
      <alignment horizontal="justify" vertical="center" wrapText="1"/>
    </xf>
    <xf numFmtId="0" fontId="23" fillId="77" borderId="20" xfId="0" applyFont="1" applyFill="1" applyBorder="1" applyAlignment="1" applyProtection="1">
      <alignment horizontal="center" vertical="center" wrapText="1"/>
      <protection locked="0"/>
    </xf>
    <xf numFmtId="0" fontId="23" fillId="77" borderId="0" xfId="0" applyFont="1" applyFill="1" applyAlignment="1" applyProtection="1">
      <alignment horizontal="center" vertical="center" wrapText="1"/>
      <protection locked="0"/>
    </xf>
    <xf numFmtId="0" fontId="0" fillId="77" borderId="18" xfId="0" applyFill="1" applyBorder="1" applyAlignment="1" applyProtection="1">
      <alignment horizontal="center" vertical="center" wrapText="1"/>
      <protection locked="0"/>
    </xf>
    <xf numFmtId="166" fontId="0" fillId="85" borderId="28" xfId="33" applyNumberFormat="1" applyFont="1" applyFill="1" applyBorder="1" applyAlignment="1" applyProtection="1">
      <alignment horizontal="right" vertical="center" wrapText="1"/>
    </xf>
    <xf numFmtId="10" fontId="0" fillId="77" borderId="0" xfId="0" applyNumberFormat="1" applyFill="1" applyAlignment="1" applyProtection="1">
      <alignment horizontal="right" vertical="center" wrapText="1"/>
      <protection locked="0"/>
    </xf>
    <xf numFmtId="166" fontId="0" fillId="77" borderId="0" xfId="33" applyNumberFormat="1" applyFont="1" applyFill="1" applyBorder="1" applyAlignment="1" applyProtection="1">
      <alignment horizontal="right" vertical="center" wrapText="1"/>
      <protection locked="0"/>
    </xf>
    <xf numFmtId="0" fontId="23" fillId="77" borderId="0" xfId="0" applyFont="1" applyFill="1" applyAlignment="1" applyProtection="1">
      <alignment horizontal="right" vertical="center" wrapText="1"/>
      <protection locked="0"/>
    </xf>
    <xf numFmtId="166" fontId="23" fillId="77" borderId="0" xfId="33" applyNumberFormat="1" applyFont="1" applyFill="1" applyBorder="1" applyAlignment="1" applyProtection="1">
      <alignment horizontal="right" vertical="center" wrapText="1"/>
      <protection locked="0"/>
    </xf>
    <xf numFmtId="166" fontId="23" fillId="85" borderId="34" xfId="0" applyNumberFormat="1" applyFont="1" applyFill="1" applyBorder="1" applyAlignment="1">
      <alignment horizontal="right" vertical="center" wrapText="1"/>
    </xf>
    <xf numFmtId="10" fontId="23" fillId="77" borderId="34" xfId="0" applyNumberFormat="1" applyFont="1" applyFill="1" applyBorder="1" applyAlignment="1" applyProtection="1">
      <alignment horizontal="right" vertical="center" wrapText="1"/>
      <protection locked="0"/>
    </xf>
    <xf numFmtId="166" fontId="23" fillId="85" borderId="26" xfId="33" applyNumberFormat="1" applyFont="1" applyFill="1" applyBorder="1" applyAlignment="1" applyProtection="1">
      <alignment horizontal="right" vertical="center" wrapText="1"/>
    </xf>
    <xf numFmtId="166" fontId="23" fillId="77" borderId="0" xfId="0" applyNumberFormat="1" applyFont="1" applyFill="1" applyAlignment="1" applyProtection="1">
      <alignment horizontal="right" vertical="center" wrapText="1"/>
      <protection locked="0"/>
    </xf>
    <xf numFmtId="10" fontId="23" fillId="77" borderId="0" xfId="0" applyNumberFormat="1" applyFont="1" applyFill="1" applyAlignment="1" applyProtection="1">
      <alignment horizontal="right" vertical="center" wrapText="1"/>
      <protection locked="0"/>
    </xf>
    <xf numFmtId="0" fontId="23" fillId="77" borderId="0" xfId="0" applyFont="1" applyFill="1" applyAlignment="1" applyProtection="1">
      <alignment horizontal="left" vertical="center" wrapText="1"/>
      <protection locked="0"/>
    </xf>
    <xf numFmtId="0" fontId="23" fillId="83" borderId="21" xfId="0" applyFont="1" applyFill="1" applyBorder="1" applyAlignment="1" applyProtection="1">
      <alignment horizontal="center" vertical="center" wrapText="1"/>
      <protection locked="0"/>
    </xf>
    <xf numFmtId="0" fontId="23" fillId="77" borderId="20" xfId="0" applyFont="1" applyFill="1" applyBorder="1" applyAlignment="1" applyProtection="1">
      <alignment vertical="center" wrapText="1"/>
      <protection locked="0"/>
    </xf>
    <xf numFmtId="4" fontId="0" fillId="85" borderId="21" xfId="0" applyNumberFormat="1" applyFill="1" applyBorder="1" applyAlignment="1">
      <alignment vertical="center"/>
    </xf>
    <xf numFmtId="0" fontId="23" fillId="77" borderId="16" xfId="0" applyFont="1" applyFill="1" applyBorder="1" applyAlignment="1" applyProtection="1">
      <alignment horizontal="center" vertical="center"/>
      <protection locked="0"/>
    </xf>
    <xf numFmtId="4" fontId="0" fillId="85" borderId="35" xfId="0" applyNumberFormat="1" applyFill="1" applyBorder="1" applyAlignment="1">
      <alignment horizontal="right" vertical="center"/>
    </xf>
    <xf numFmtId="4" fontId="0" fillId="85" borderId="36" xfId="0" applyNumberFormat="1" applyFill="1" applyBorder="1" applyAlignment="1">
      <alignment vertical="center"/>
    </xf>
    <xf numFmtId="0" fontId="23" fillId="77" borderId="23" xfId="0" applyFont="1" applyFill="1" applyBorder="1" applyAlignment="1" applyProtection="1">
      <alignment horizontal="center" vertical="center"/>
      <protection locked="0"/>
    </xf>
    <xf numFmtId="4" fontId="0" fillId="85" borderId="11" xfId="0" applyNumberFormat="1" applyFill="1" applyBorder="1" applyAlignment="1">
      <alignment horizontal="right" vertical="center"/>
    </xf>
    <xf numFmtId="4" fontId="0" fillId="85" borderId="37" xfId="0" applyNumberFormat="1" applyFill="1" applyBorder="1" applyAlignment="1">
      <alignment vertical="center"/>
    </xf>
    <xf numFmtId="0" fontId="23" fillId="77" borderId="25" xfId="0" applyFont="1" applyFill="1" applyBorder="1" applyAlignment="1" applyProtection="1">
      <alignment horizontal="center" vertical="center"/>
      <protection locked="0"/>
    </xf>
    <xf numFmtId="0" fontId="23" fillId="77" borderId="49" xfId="0" applyFont="1" applyFill="1" applyBorder="1" applyAlignment="1" applyProtection="1">
      <alignment horizontal="center" vertical="center"/>
      <protection locked="0"/>
    </xf>
    <xf numFmtId="4" fontId="23" fillId="85" borderId="10" xfId="0" applyNumberFormat="1" applyFont="1" applyFill="1" applyBorder="1" applyAlignment="1">
      <alignment horizontal="right" vertical="center"/>
    </xf>
    <xf numFmtId="4" fontId="23" fillId="85" borderId="37" xfId="0" applyNumberFormat="1" applyFont="1" applyFill="1" applyBorder="1" applyAlignment="1">
      <alignment vertical="center"/>
    </xf>
    <xf numFmtId="0" fontId="23" fillId="83" borderId="38" xfId="0" applyFont="1" applyFill="1" applyBorder="1" applyAlignment="1" applyProtection="1">
      <alignment vertical="center"/>
      <protection locked="0"/>
    </xf>
    <xf numFmtId="0" fontId="23" fillId="77" borderId="38" xfId="0" applyFont="1" applyFill="1" applyBorder="1" applyAlignment="1" applyProtection="1">
      <alignment horizontal="center" vertical="center"/>
      <protection locked="0"/>
    </xf>
    <xf numFmtId="0" fontId="23" fillId="77" borderId="10" xfId="0" applyFont="1" applyFill="1" applyBorder="1" applyAlignment="1" applyProtection="1">
      <alignment horizontal="center" vertical="center" wrapText="1"/>
      <protection locked="0"/>
    </xf>
    <xf numFmtId="0" fontId="23" fillId="84" borderId="10" xfId="0" applyFont="1" applyFill="1" applyBorder="1" applyAlignment="1" applyProtection="1">
      <alignment horizontal="center" vertical="center"/>
      <protection locked="0"/>
    </xf>
    <xf numFmtId="4" fontId="0" fillId="84" borderId="10" xfId="0" applyNumberFormat="1" applyFill="1" applyBorder="1" applyAlignment="1" applyProtection="1">
      <alignment horizontal="right" vertical="center"/>
      <protection locked="0"/>
    </xf>
    <xf numFmtId="4" fontId="0" fillId="85" borderId="10" xfId="0" applyNumberFormat="1" applyFill="1" applyBorder="1" applyAlignment="1">
      <alignment horizontal="center" vertical="center"/>
    </xf>
    <xf numFmtId="4" fontId="0" fillId="85" borderId="10" xfId="0" applyNumberFormat="1" applyFill="1" applyBorder="1" applyAlignment="1">
      <alignment horizontal="right" vertical="center"/>
    </xf>
    <xf numFmtId="4" fontId="0" fillId="84" borderId="10" xfId="0" applyNumberFormat="1" applyFill="1" applyBorder="1" applyAlignment="1" applyProtection="1">
      <alignment horizontal="left" vertical="center"/>
      <protection locked="0"/>
    </xf>
    <xf numFmtId="0" fontId="23" fillId="77" borderId="21" xfId="0" applyFont="1" applyFill="1" applyBorder="1" applyAlignment="1" applyProtection="1">
      <alignment vertical="center"/>
      <protection locked="0"/>
    </xf>
    <xf numFmtId="0" fontId="23" fillId="77" borderId="21" xfId="0" applyFont="1" applyFill="1" applyBorder="1" applyAlignment="1" applyProtection="1">
      <alignment horizontal="center" vertical="center"/>
      <protection locked="0"/>
    </xf>
    <xf numFmtId="4" fontId="23" fillId="77" borderId="0" xfId="0" applyNumberFormat="1" applyFont="1" applyFill="1" applyAlignment="1" applyProtection="1">
      <alignment horizontal="center" vertical="center"/>
      <protection locked="0"/>
    </xf>
    <xf numFmtId="0" fontId="23" fillId="77" borderId="29" xfId="0" applyFont="1" applyFill="1" applyBorder="1" applyAlignment="1" applyProtection="1">
      <alignment vertical="center"/>
      <protection locked="0"/>
    </xf>
    <xf numFmtId="4" fontId="0" fillId="85" borderId="29" xfId="0" applyNumberFormat="1" applyFill="1" applyBorder="1" applyAlignment="1">
      <alignment vertical="center"/>
    </xf>
    <xf numFmtId="4" fontId="23" fillId="85" borderId="21" xfId="0" applyNumberFormat="1" applyFont="1" applyFill="1" applyBorder="1" applyAlignment="1">
      <alignment vertical="center"/>
    </xf>
    <xf numFmtId="4" fontId="23" fillId="77" borderId="0" xfId="0" applyNumberFormat="1" applyFont="1" applyFill="1" applyAlignment="1" applyProtection="1">
      <alignment vertical="center"/>
      <protection locked="0"/>
    </xf>
    <xf numFmtId="0" fontId="23" fillId="77" borderId="39" xfId="0" applyFont="1" applyFill="1" applyBorder="1" applyAlignment="1" applyProtection="1">
      <alignment horizontal="center" vertical="center"/>
      <protection locked="0"/>
    </xf>
    <xf numFmtId="0" fontId="0" fillId="83" borderId="39" xfId="0" applyFill="1" applyBorder="1" applyAlignment="1" applyProtection="1">
      <alignment vertical="center"/>
      <protection locked="0"/>
    </xf>
    <xf numFmtId="4" fontId="0" fillId="85" borderId="39" xfId="0" applyNumberFormat="1" applyFill="1" applyBorder="1" applyAlignment="1">
      <alignment vertical="center"/>
    </xf>
    <xf numFmtId="0" fontId="0" fillId="83" borderId="29" xfId="0" applyFill="1" applyBorder="1" applyAlignment="1" applyProtection="1">
      <alignment vertical="center"/>
      <protection locked="0"/>
    </xf>
    <xf numFmtId="0" fontId="0" fillId="83" borderId="28" xfId="0" applyFill="1" applyBorder="1" applyAlignment="1" applyProtection="1">
      <alignment vertical="center"/>
      <protection locked="0"/>
    </xf>
    <xf numFmtId="4" fontId="0" fillId="85" borderId="28" xfId="0" applyNumberFormat="1" applyFill="1" applyBorder="1" applyAlignment="1">
      <alignment vertical="center"/>
    </xf>
    <xf numFmtId="0" fontId="23" fillId="85" borderId="10" xfId="0" applyFont="1" applyFill="1" applyBorder="1" applyAlignment="1">
      <alignment vertical="center"/>
    </xf>
    <xf numFmtId="0" fontId="0" fillId="85" borderId="10" xfId="0" applyFill="1" applyBorder="1" applyAlignment="1">
      <alignment vertical="center"/>
    </xf>
    <xf numFmtId="0" fontId="0" fillId="83" borderId="12" xfId="0" applyFill="1" applyBorder="1" applyAlignment="1" applyProtection="1">
      <alignment vertical="center"/>
      <protection locked="0"/>
    </xf>
    <xf numFmtId="0" fontId="0" fillId="83" borderId="16" xfId="0" applyFill="1" applyBorder="1" applyAlignment="1" applyProtection="1">
      <alignment vertical="center"/>
      <protection locked="0"/>
    </xf>
    <xf numFmtId="0" fontId="0" fillId="83" borderId="25" xfId="0" applyFill="1" applyBorder="1" applyAlignment="1" applyProtection="1">
      <alignment vertical="center"/>
      <protection locked="0"/>
    </xf>
    <xf numFmtId="0" fontId="0" fillId="83" borderId="18" xfId="0" applyFill="1" applyBorder="1" applyAlignment="1" applyProtection="1">
      <alignment vertical="center"/>
      <protection locked="0"/>
    </xf>
    <xf numFmtId="4" fontId="23" fillId="85" borderId="28" xfId="0" applyNumberFormat="1" applyFont="1" applyFill="1" applyBorder="1" applyAlignment="1">
      <alignment vertical="center"/>
    </xf>
    <xf numFmtId="4" fontId="23" fillId="85" borderId="10" xfId="0" applyNumberFormat="1" applyFont="1" applyFill="1" applyBorder="1" applyAlignment="1">
      <alignment horizontal="center" vertical="center"/>
    </xf>
    <xf numFmtId="0" fontId="66" fillId="77" borderId="0" xfId="0" applyFont="1" applyFill="1"/>
    <xf numFmtId="0" fontId="23" fillId="77" borderId="35" xfId="0" applyFont="1" applyFill="1" applyBorder="1" applyAlignment="1" applyProtection="1">
      <alignment horizontal="center" vertical="center"/>
      <protection locked="0"/>
    </xf>
    <xf numFmtId="0" fontId="23" fillId="77" borderId="35" xfId="0" applyFont="1" applyFill="1" applyBorder="1" applyAlignment="1" applyProtection="1">
      <alignment horizontal="center" vertical="center" wrapText="1"/>
      <protection locked="0"/>
    </xf>
    <xf numFmtId="0" fontId="23" fillId="77" borderId="22" xfId="0" applyFont="1" applyFill="1" applyBorder="1" applyAlignment="1" applyProtection="1">
      <alignment horizontal="center" vertical="center"/>
      <protection locked="0"/>
    </xf>
    <xf numFmtId="0" fontId="23" fillId="85" borderId="10" xfId="0" applyFont="1" applyFill="1" applyBorder="1" applyAlignment="1" applyProtection="1">
      <alignment horizontal="center" vertical="center"/>
      <protection locked="0"/>
    </xf>
    <xf numFmtId="4" fontId="37" fillId="84" borderId="10" xfId="0" applyNumberFormat="1" applyFont="1" applyFill="1" applyBorder="1" applyAlignment="1" applyProtection="1">
      <alignment vertical="center"/>
      <protection locked="0"/>
    </xf>
    <xf numFmtId="4" fontId="37" fillId="77" borderId="0" xfId="0" applyNumberFormat="1" applyFont="1" applyFill="1" applyAlignment="1" applyProtection="1">
      <alignment vertical="center"/>
      <protection locked="0"/>
    </xf>
    <xf numFmtId="0" fontId="23" fillId="85" borderId="38" xfId="0" applyFont="1" applyFill="1" applyBorder="1" applyAlignment="1">
      <alignment vertical="center"/>
    </xf>
    <xf numFmtId="0" fontId="23" fillId="85" borderId="13" xfId="0" applyFont="1" applyFill="1" applyBorder="1" applyAlignment="1">
      <alignment vertical="center"/>
    </xf>
    <xf numFmtId="4" fontId="23" fillId="85" borderId="13" xfId="0" applyNumberFormat="1" applyFont="1" applyFill="1" applyBorder="1" applyAlignment="1">
      <alignment horizontal="right" vertical="center"/>
    </xf>
    <xf numFmtId="165" fontId="0" fillId="77" borderId="0" xfId="33" applyFont="1" applyFill="1" applyBorder="1" applyAlignment="1" applyProtection="1">
      <alignment vertical="center"/>
      <protection locked="0"/>
    </xf>
    <xf numFmtId="0" fontId="0" fillId="77" borderId="54" xfId="0" applyFill="1" applyBorder="1" applyAlignment="1" applyProtection="1">
      <alignment vertical="center"/>
      <protection locked="0"/>
    </xf>
    <xf numFmtId="0" fontId="0" fillId="83" borderId="40" xfId="0" applyFill="1" applyBorder="1" applyAlignment="1">
      <alignment vertical="center"/>
    </xf>
    <xf numFmtId="4" fontId="0" fillId="83" borderId="0" xfId="0" applyNumberFormat="1" applyFill="1" applyAlignment="1" applyProtection="1">
      <alignment horizontal="center" vertical="center"/>
      <protection locked="0"/>
    </xf>
    <xf numFmtId="4" fontId="0" fillId="78" borderId="0" xfId="0" applyNumberFormat="1" applyFill="1" applyAlignment="1" applyProtection="1">
      <alignment horizontal="center" vertical="center"/>
      <protection locked="0"/>
    </xf>
    <xf numFmtId="0" fontId="23" fillId="83" borderId="48" xfId="0" applyFont="1" applyFill="1" applyBorder="1" applyAlignment="1" applyProtection="1">
      <alignment horizontal="right" vertical="center"/>
      <protection locked="0"/>
    </xf>
    <xf numFmtId="0" fontId="23" fillId="83" borderId="36" xfId="0" applyFont="1" applyFill="1" applyBorder="1" applyAlignment="1" applyProtection="1">
      <alignment horizontal="center" vertical="center"/>
      <protection locked="0"/>
    </xf>
    <xf numFmtId="0" fontId="0" fillId="83" borderId="49" xfId="0" applyFill="1" applyBorder="1" applyAlignment="1" applyProtection="1">
      <alignment vertical="center"/>
      <protection locked="0"/>
    </xf>
    <xf numFmtId="0" fontId="0" fillId="84" borderId="37" xfId="0" applyFill="1" applyBorder="1" applyAlignment="1" applyProtection="1">
      <alignment vertical="center"/>
      <protection locked="0"/>
    </xf>
    <xf numFmtId="0" fontId="23" fillId="83" borderId="31" xfId="0" applyFont="1" applyFill="1" applyBorder="1" applyAlignment="1" applyProtection="1">
      <alignment horizontal="right" vertical="center"/>
      <protection locked="0"/>
    </xf>
    <xf numFmtId="2" fontId="23" fillId="85" borderId="33" xfId="0" applyNumberFormat="1" applyFont="1" applyFill="1" applyBorder="1" applyAlignment="1">
      <alignment horizontal="center" vertical="center"/>
    </xf>
    <xf numFmtId="0" fontId="23" fillId="77" borderId="16" xfId="0" applyFont="1" applyFill="1" applyBorder="1" applyAlignment="1" applyProtection="1">
      <alignment vertical="center"/>
      <protection locked="0"/>
    </xf>
    <xf numFmtId="0" fontId="38" fillId="77" borderId="22" xfId="0" applyFont="1" applyFill="1" applyBorder="1" applyAlignment="1" applyProtection="1">
      <alignment horizontal="center" vertical="center"/>
      <protection locked="0"/>
    </xf>
    <xf numFmtId="0" fontId="0" fillId="84" borderId="47" xfId="0" applyFill="1" applyBorder="1" applyAlignment="1" applyProtection="1">
      <alignment vertical="center"/>
      <protection locked="0"/>
    </xf>
    <xf numFmtId="4" fontId="0" fillId="84" borderId="36" xfId="0" applyNumberFormat="1" applyFill="1" applyBorder="1" applyAlignment="1" applyProtection="1">
      <alignment vertical="center"/>
      <protection locked="0"/>
    </xf>
    <xf numFmtId="0" fontId="0" fillId="84" borderId="23" xfId="0" applyFill="1" applyBorder="1" applyAlignment="1" applyProtection="1">
      <alignment vertical="center"/>
      <protection locked="0"/>
    </xf>
    <xf numFmtId="4" fontId="0" fillId="84" borderId="37" xfId="0" applyNumberFormat="1" applyFill="1" applyBorder="1" applyAlignment="1" applyProtection="1">
      <alignment vertical="center"/>
      <protection locked="0"/>
    </xf>
    <xf numFmtId="0" fontId="0" fillId="83" borderId="0" xfId="0" applyFill="1" applyAlignment="1">
      <alignment vertical="center"/>
    </xf>
    <xf numFmtId="0" fontId="0" fillId="84" borderId="41" xfId="0" applyFill="1" applyBorder="1" applyAlignment="1" applyProtection="1">
      <alignment vertical="center"/>
      <protection locked="0"/>
    </xf>
    <xf numFmtId="4" fontId="0" fillId="84" borderId="24" xfId="0" applyNumberFormat="1" applyFill="1" applyBorder="1" applyAlignment="1" applyProtection="1">
      <alignment vertical="center"/>
      <protection locked="0"/>
    </xf>
    <xf numFmtId="4" fontId="23" fillId="85" borderId="33" xfId="0" applyNumberFormat="1" applyFont="1" applyFill="1" applyBorder="1" applyAlignment="1">
      <alignment vertical="center"/>
    </xf>
    <xf numFmtId="0" fontId="36" fillId="83" borderId="0" xfId="0" applyFont="1" applyFill="1" applyAlignment="1" applyProtection="1">
      <alignment vertical="center"/>
      <protection locked="0"/>
    </xf>
    <xf numFmtId="0" fontId="23" fillId="83" borderId="42" xfId="0" applyFont="1" applyFill="1" applyBorder="1" applyAlignment="1" applyProtection="1">
      <alignment vertical="center"/>
      <protection locked="0"/>
    </xf>
    <xf numFmtId="0" fontId="23" fillId="83" borderId="0" xfId="0" applyFont="1" applyFill="1" applyAlignment="1" applyProtection="1">
      <alignment horizontal="center" vertical="center"/>
      <protection locked="0"/>
    </xf>
    <xf numFmtId="0" fontId="23" fillId="77" borderId="43" xfId="0" applyFont="1" applyFill="1" applyBorder="1" applyAlignment="1" applyProtection="1">
      <alignment horizontal="right" vertical="center"/>
      <protection locked="0"/>
    </xf>
    <xf numFmtId="4" fontId="23" fillId="85" borderId="43" xfId="0" applyNumberFormat="1" applyFont="1" applyFill="1" applyBorder="1" applyAlignment="1">
      <alignment horizontal="right" vertical="center"/>
    </xf>
    <xf numFmtId="0" fontId="39" fillId="83" borderId="0" xfId="0" applyFont="1" applyFill="1" applyAlignment="1" applyProtection="1">
      <alignment vertical="center"/>
      <protection locked="0"/>
    </xf>
    <xf numFmtId="0" fontId="23" fillId="77" borderId="44" xfId="0" applyFont="1" applyFill="1" applyBorder="1" applyAlignment="1" applyProtection="1">
      <alignment horizontal="right" vertical="center"/>
      <protection locked="0"/>
    </xf>
    <xf numFmtId="4" fontId="23" fillId="85" borderId="44" xfId="0" applyNumberFormat="1" applyFont="1" applyFill="1" applyBorder="1" applyAlignment="1">
      <alignment horizontal="right" vertical="center"/>
    </xf>
    <xf numFmtId="10" fontId="23" fillId="77" borderId="45" xfId="0" applyNumberFormat="1" applyFont="1" applyFill="1" applyBorder="1" applyAlignment="1" applyProtection="1">
      <alignment horizontal="right" vertical="center"/>
      <protection locked="0"/>
    </xf>
    <xf numFmtId="4" fontId="23" fillId="85" borderId="45" xfId="0" applyNumberFormat="1" applyFont="1" applyFill="1" applyBorder="1" applyAlignment="1">
      <alignment horizontal="right" vertical="center"/>
    </xf>
    <xf numFmtId="10" fontId="23" fillId="77" borderId="46" xfId="0" applyNumberFormat="1" applyFont="1" applyFill="1" applyBorder="1" applyAlignment="1" applyProtection="1">
      <alignment horizontal="right" vertical="center"/>
      <protection locked="0"/>
    </xf>
    <xf numFmtId="4" fontId="23" fillId="85" borderId="46" xfId="0" applyNumberFormat="1" applyFont="1" applyFill="1" applyBorder="1" applyAlignment="1">
      <alignment horizontal="right" vertical="center"/>
    </xf>
    <xf numFmtId="0" fontId="23" fillId="77" borderId="21" xfId="0" applyFont="1" applyFill="1" applyBorder="1" applyAlignment="1" applyProtection="1">
      <alignment horizontal="right" vertical="center"/>
      <protection locked="0"/>
    </xf>
    <xf numFmtId="4" fontId="23" fillId="85" borderId="21" xfId="0" applyNumberFormat="1" applyFont="1" applyFill="1" applyBorder="1" applyAlignment="1">
      <alignment horizontal="right" vertical="center"/>
    </xf>
    <xf numFmtId="4" fontId="23" fillId="77" borderId="0" xfId="0" applyNumberFormat="1" applyFont="1" applyFill="1" applyAlignment="1" applyProtection="1">
      <alignment horizontal="right" vertical="center"/>
      <protection locked="0"/>
    </xf>
    <xf numFmtId="0" fontId="23" fillId="83" borderId="20" xfId="0" applyFont="1" applyFill="1" applyBorder="1" applyAlignment="1" applyProtection="1">
      <alignment vertical="center"/>
      <protection locked="0"/>
    </xf>
    <xf numFmtId="0" fontId="0" fillId="77" borderId="47" xfId="0" applyFill="1" applyBorder="1" applyAlignment="1" applyProtection="1">
      <alignment vertical="center"/>
      <protection locked="0"/>
    </xf>
    <xf numFmtId="4" fontId="0" fillId="85" borderId="43" xfId="0" applyNumberFormat="1" applyFill="1" applyBorder="1" applyAlignment="1">
      <alignment vertical="center"/>
    </xf>
    <xf numFmtId="0" fontId="0" fillId="77" borderId="23" xfId="0" applyFill="1" applyBorder="1" applyAlignment="1" applyProtection="1">
      <alignment vertical="center"/>
      <protection locked="0"/>
    </xf>
    <xf numFmtId="4" fontId="0" fillId="85" borderId="45" xfId="0" applyNumberFormat="1" applyFill="1" applyBorder="1" applyAlignment="1">
      <alignment vertical="center"/>
    </xf>
    <xf numFmtId="0" fontId="0" fillId="77" borderId="23" xfId="0" applyFill="1" applyBorder="1" applyAlignment="1" applyProtection="1">
      <alignment vertical="center" wrapText="1"/>
      <protection locked="0"/>
    </xf>
    <xf numFmtId="0" fontId="0" fillId="77" borderId="41" xfId="0" applyFill="1" applyBorder="1" applyAlignment="1" applyProtection="1">
      <alignment vertical="center"/>
      <protection locked="0"/>
    </xf>
    <xf numFmtId="0" fontId="40" fillId="77" borderId="23" xfId="0" applyFont="1" applyFill="1" applyBorder="1" applyAlignment="1" applyProtection="1">
      <alignment vertical="center" wrapText="1"/>
      <protection locked="0"/>
    </xf>
    <xf numFmtId="4" fontId="40" fillId="85" borderId="45" xfId="0" applyNumberFormat="1" applyFont="1" applyFill="1" applyBorder="1" applyAlignment="1">
      <alignment vertical="center"/>
    </xf>
    <xf numFmtId="0" fontId="23" fillId="77" borderId="65" xfId="0" applyFont="1" applyFill="1" applyBorder="1" applyAlignment="1" applyProtection="1">
      <alignment vertical="center"/>
      <protection locked="0"/>
    </xf>
    <xf numFmtId="4" fontId="0" fillId="85" borderId="51" xfId="0" applyNumberFormat="1" applyFill="1" applyBorder="1" applyAlignment="1">
      <alignment vertical="center"/>
    </xf>
    <xf numFmtId="0" fontId="0" fillId="83" borderId="10" xfId="0" applyFill="1" applyBorder="1" applyAlignment="1" applyProtection="1">
      <alignment vertical="center"/>
      <protection locked="0"/>
    </xf>
    <xf numFmtId="4" fontId="23" fillId="85" borderId="10" xfId="0" applyNumberFormat="1" applyFont="1" applyFill="1" applyBorder="1" applyAlignment="1">
      <alignment vertical="center"/>
    </xf>
    <xf numFmtId="0" fontId="37" fillId="83" borderId="0" xfId="0" applyFont="1" applyFill="1" applyAlignment="1" applyProtection="1">
      <alignment vertical="center"/>
      <protection locked="0"/>
    </xf>
    <xf numFmtId="0" fontId="23" fillId="77" borderId="79" xfId="0" applyFont="1" applyFill="1" applyBorder="1" applyAlignment="1">
      <alignment vertical="center"/>
    </xf>
    <xf numFmtId="0" fontId="23" fillId="77" borderId="0" xfId="0" applyFont="1" applyFill="1" applyAlignment="1">
      <alignment vertical="center"/>
    </xf>
    <xf numFmtId="0" fontId="0" fillId="86" borderId="102" xfId="0" applyFill="1" applyBorder="1" applyAlignment="1">
      <alignment vertical="center" wrapText="1"/>
    </xf>
    <xf numFmtId="4" fontId="0" fillId="86" borderId="82" xfId="0" applyNumberFormat="1" applyFill="1" applyBorder="1" applyAlignment="1">
      <alignment vertical="center" wrapText="1"/>
    </xf>
    <xf numFmtId="0" fontId="0" fillId="86" borderId="81" xfId="0" applyFill="1" applyBorder="1" applyAlignment="1">
      <alignment vertical="center" wrapText="1"/>
    </xf>
    <xf numFmtId="4" fontId="0" fillId="87" borderId="0" xfId="0" applyNumberFormat="1" applyFill="1" applyAlignment="1" applyProtection="1">
      <alignment vertical="center"/>
      <protection locked="0"/>
    </xf>
    <xf numFmtId="0" fontId="0" fillId="87" borderId="0" xfId="0" applyFill="1" applyAlignment="1" applyProtection="1">
      <alignment vertical="center"/>
      <protection locked="0"/>
    </xf>
    <xf numFmtId="0" fontId="37" fillId="77" borderId="0" xfId="0" applyFont="1" applyFill="1" applyAlignment="1" applyProtection="1">
      <alignment horizontal="left" vertical="center"/>
      <protection locked="0"/>
    </xf>
    <xf numFmtId="0" fontId="0" fillId="77" borderId="129" xfId="0" applyFill="1" applyBorder="1" applyAlignment="1" applyProtection="1">
      <alignment vertical="center"/>
      <protection locked="0"/>
    </xf>
    <xf numFmtId="0" fontId="0" fillId="77" borderId="130" xfId="0" applyFill="1" applyBorder="1" applyAlignment="1" applyProtection="1">
      <alignment vertical="center"/>
      <protection locked="0"/>
    </xf>
    <xf numFmtId="0" fontId="23" fillId="77" borderId="131" xfId="0" applyFont="1" applyFill="1" applyBorder="1" applyAlignment="1" applyProtection="1">
      <alignment vertical="center"/>
      <protection locked="0"/>
    </xf>
    <xf numFmtId="4" fontId="23" fillId="77" borderId="134" xfId="0" applyNumberFormat="1" applyFont="1" applyFill="1" applyBorder="1" applyAlignment="1" applyProtection="1">
      <alignment vertical="center"/>
      <protection locked="0"/>
    </xf>
    <xf numFmtId="0" fontId="89" fillId="77" borderId="132" xfId="0" applyFont="1" applyFill="1" applyBorder="1" applyAlignment="1" applyProtection="1">
      <alignment vertical="center"/>
      <protection locked="0"/>
    </xf>
    <xf numFmtId="0" fontId="33" fillId="82" borderId="0" xfId="0" applyFont="1" applyFill="1" applyAlignment="1">
      <alignment horizontal="justify" vertical="center"/>
    </xf>
    <xf numFmtId="0" fontId="0" fillId="82" borderId="0" xfId="0" applyFill="1" applyAlignment="1" applyProtection="1">
      <alignment vertical="center"/>
      <protection locked="0"/>
    </xf>
    <xf numFmtId="1" fontId="62" fillId="80" borderId="0" xfId="0" applyNumberFormat="1" applyFont="1" applyFill="1" applyAlignment="1" applyProtection="1">
      <alignment horizontal="left"/>
      <protection locked="0"/>
    </xf>
    <xf numFmtId="1" fontId="23" fillId="80" borderId="0" xfId="0" applyNumberFormat="1" applyFont="1" applyFill="1" applyAlignment="1" applyProtection="1">
      <alignment horizontal="center" vertical="center"/>
      <protection locked="0"/>
    </xf>
    <xf numFmtId="2" fontId="23" fillId="80" borderId="0" xfId="0" applyNumberFormat="1" applyFont="1" applyFill="1" applyAlignment="1" applyProtection="1">
      <alignment horizontal="center" vertical="center"/>
      <protection locked="0"/>
    </xf>
    <xf numFmtId="1" fontId="23" fillId="80" borderId="0" xfId="0" applyNumberFormat="1" applyFont="1" applyFill="1" applyAlignment="1" applyProtection="1">
      <alignment horizontal="center"/>
      <protection locked="0"/>
    </xf>
    <xf numFmtId="2" fontId="23" fillId="80" borderId="0" xfId="0" applyNumberFormat="1" applyFont="1" applyFill="1" applyAlignment="1" applyProtection="1">
      <alignment horizontal="center"/>
      <protection locked="0"/>
    </xf>
    <xf numFmtId="2" fontId="30" fillId="80" borderId="0" xfId="0" applyNumberFormat="1" applyFont="1" applyFill="1" applyAlignment="1" applyProtection="1">
      <alignment vertical="center"/>
      <protection locked="0"/>
    </xf>
    <xf numFmtId="4" fontId="0" fillId="80" borderId="0" xfId="0" applyNumberFormat="1" applyFill="1" applyProtection="1">
      <protection locked="0"/>
    </xf>
    <xf numFmtId="2" fontId="0" fillId="80" borderId="0" xfId="0" applyNumberFormat="1" applyFill="1" applyAlignment="1" applyProtection="1">
      <alignment horizontal="center"/>
      <protection locked="0"/>
    </xf>
    <xf numFmtId="4" fontId="0" fillId="80" borderId="0" xfId="0" applyNumberFormat="1" applyFill="1"/>
    <xf numFmtId="2" fontId="0" fillId="80" borderId="0" xfId="0" applyNumberFormat="1" applyFill="1"/>
    <xf numFmtId="4" fontId="55" fillId="80" borderId="0" xfId="0" applyNumberFormat="1" applyFont="1" applyFill="1" applyAlignment="1">
      <alignment horizontal="right"/>
    </xf>
    <xf numFmtId="0" fontId="55" fillId="80" borderId="0" xfId="0" applyFont="1" applyFill="1" applyAlignment="1">
      <alignment horizontal="center" vertical="center"/>
    </xf>
    <xf numFmtId="0" fontId="0" fillId="80" borderId="0" xfId="0" applyFill="1" applyAlignment="1">
      <alignment horizontal="left" vertical="top"/>
    </xf>
    <xf numFmtId="4" fontId="55" fillId="80" borderId="0" xfId="0" applyNumberFormat="1" applyFont="1" applyFill="1" applyAlignment="1">
      <alignment horizontal="right" vertical="center"/>
    </xf>
    <xf numFmtId="4" fontId="0" fillId="80" borderId="0" xfId="0" applyNumberFormat="1" applyFill="1" applyAlignment="1">
      <alignment horizontal="right" vertical="top"/>
    </xf>
    <xf numFmtId="4" fontId="55" fillId="80" borderId="0" xfId="0" applyNumberFormat="1" applyFont="1" applyFill="1" applyAlignment="1">
      <alignment horizontal="right" vertical="top"/>
    </xf>
    <xf numFmtId="4" fontId="94" fillId="72" borderId="0" xfId="50" applyNumberFormat="1" applyFont="1" applyFill="1"/>
    <xf numFmtId="4" fontId="0" fillId="77" borderId="0" xfId="0" applyNumberFormat="1" applyFill="1" applyAlignment="1" applyProtection="1">
      <alignment horizontal="center" vertical="center"/>
      <protection locked="0"/>
    </xf>
    <xf numFmtId="0" fontId="0" fillId="80" borderId="0" xfId="0" applyFill="1" applyProtection="1">
      <protection locked="0"/>
    </xf>
    <xf numFmtId="0" fontId="0" fillId="80" borderId="0" xfId="0" applyFill="1" applyAlignment="1" applyProtection="1">
      <alignment horizontal="center"/>
      <protection locked="0"/>
    </xf>
    <xf numFmtId="0" fontId="0" fillId="80" borderId="0" xfId="0" applyFill="1" applyAlignment="1" applyProtection="1">
      <alignment horizontal="center" vertical="center"/>
      <protection locked="0"/>
    </xf>
    <xf numFmtId="0" fontId="0" fillId="80" borderId="0" xfId="0" applyFill="1" applyAlignment="1" applyProtection="1">
      <alignment vertical="center"/>
      <protection locked="0"/>
    </xf>
    <xf numFmtId="49" fontId="0" fillId="80" borderId="0" xfId="0" applyNumberFormat="1" applyFill="1" applyAlignment="1" applyProtection="1">
      <alignment horizontal="center"/>
      <protection locked="0"/>
    </xf>
    <xf numFmtId="0" fontId="0" fillId="80" borderId="0" xfId="0" quotePrefix="1" applyFill="1" applyAlignment="1" applyProtection="1">
      <alignment horizontal="center"/>
      <protection locked="0"/>
    </xf>
    <xf numFmtId="0" fontId="0" fillId="0" borderId="0" xfId="0" applyAlignment="1" applyProtection="1">
      <alignment vertical="center"/>
      <protection locked="0"/>
    </xf>
    <xf numFmtId="0" fontId="0" fillId="77" borderId="0" xfId="0" applyFill="1" applyAlignment="1" applyProtection="1">
      <alignment horizontal="center"/>
      <protection locked="0"/>
    </xf>
    <xf numFmtId="0" fontId="62" fillId="77" borderId="0" xfId="0" applyFont="1" applyFill="1" applyAlignment="1" applyProtection="1">
      <alignment horizontal="left"/>
      <protection locked="0"/>
    </xf>
    <xf numFmtId="4" fontId="0" fillId="22" borderId="135" xfId="0" applyNumberFormat="1" applyFill="1" applyBorder="1" applyProtection="1">
      <protection locked="0"/>
    </xf>
    <xf numFmtId="4" fontId="0" fillId="22" borderId="136" xfId="0" applyNumberFormat="1" applyFill="1" applyBorder="1" applyProtection="1">
      <protection locked="0"/>
    </xf>
    <xf numFmtId="0" fontId="23" fillId="77" borderId="0" xfId="0" applyFont="1" applyFill="1"/>
    <xf numFmtId="0" fontId="23" fillId="81" borderId="0" xfId="0" applyFont="1" applyFill="1" applyAlignment="1" applyProtection="1">
      <alignment horizontal="center" vertical="center" wrapText="1"/>
      <protection locked="0"/>
    </xf>
    <xf numFmtId="165" fontId="0" fillId="84" borderId="79" xfId="33" applyFont="1" applyFill="1" applyBorder="1" applyAlignment="1" applyProtection="1">
      <alignment horizontal="justify" vertical="center" wrapText="1"/>
      <protection locked="0"/>
    </xf>
    <xf numFmtId="4" fontId="52" fillId="77" borderId="0" xfId="0" applyNumberFormat="1" applyFont="1" applyFill="1"/>
    <xf numFmtId="0" fontId="38" fillId="77" borderId="20" xfId="0" applyFont="1" applyFill="1" applyBorder="1"/>
    <xf numFmtId="0" fontId="38" fillId="78" borderId="58" xfId="0" applyFont="1" applyFill="1" applyBorder="1" applyAlignment="1">
      <alignment horizontal="center"/>
    </xf>
    <xf numFmtId="0" fontId="30" fillId="77" borderId="66" xfId="0" applyFont="1" applyFill="1" applyBorder="1"/>
    <xf numFmtId="3" fontId="30" fillId="84" borderId="10" xfId="0" applyNumberFormat="1" applyFont="1" applyFill="1" applyBorder="1" applyAlignment="1" applyProtection="1">
      <alignment horizontal="right"/>
      <protection locked="0"/>
    </xf>
    <xf numFmtId="0" fontId="30" fillId="77" borderId="23" xfId="0" applyFont="1" applyFill="1" applyBorder="1"/>
    <xf numFmtId="0" fontId="30" fillId="77" borderId="65" xfId="0" applyFont="1" applyFill="1" applyBorder="1"/>
    <xf numFmtId="0" fontId="38" fillId="77" borderId="18" xfId="0" applyFont="1" applyFill="1" applyBorder="1"/>
    <xf numFmtId="3" fontId="23" fillId="85" borderId="55" xfId="0" applyNumberFormat="1" applyFont="1" applyFill="1" applyBorder="1" applyAlignment="1">
      <alignment horizontal="right"/>
    </xf>
    <xf numFmtId="2" fontId="0" fillId="77" borderId="0" xfId="0" applyNumberFormat="1" applyFill="1" applyAlignment="1">
      <alignment wrapText="1"/>
    </xf>
    <xf numFmtId="0" fontId="36" fillId="77" borderId="20" xfId="0" applyFont="1" applyFill="1" applyBorder="1"/>
    <xf numFmtId="0" fontId="38" fillId="78" borderId="32" xfId="0" applyFont="1" applyFill="1" applyBorder="1" applyAlignment="1">
      <alignment horizontal="center"/>
    </xf>
    <xf numFmtId="0" fontId="36" fillId="77" borderId="0" xfId="0" applyFont="1" applyFill="1" applyProtection="1">
      <protection locked="0"/>
    </xf>
    <xf numFmtId="0" fontId="30" fillId="77" borderId="47" xfId="0" applyFont="1" applyFill="1" applyBorder="1"/>
    <xf numFmtId="4" fontId="30" fillId="84" borderId="14" xfId="0" applyNumberFormat="1" applyFont="1" applyFill="1" applyBorder="1" applyAlignment="1" applyProtection="1">
      <alignment horizontal="right"/>
      <protection locked="0"/>
    </xf>
    <xf numFmtId="0" fontId="38" fillId="77" borderId="0" xfId="0" applyFont="1" applyFill="1" applyAlignment="1" applyProtection="1">
      <alignment horizontal="center"/>
      <protection locked="0"/>
    </xf>
    <xf numFmtId="0" fontId="38" fillId="77" borderId="20" xfId="0" applyFont="1" applyFill="1" applyBorder="1" applyAlignment="1">
      <alignment wrapText="1"/>
    </xf>
    <xf numFmtId="4" fontId="38" fillId="85" borderId="35" xfId="0" applyNumberFormat="1" applyFont="1" applyFill="1" applyBorder="1" applyAlignment="1">
      <alignment horizontal="right"/>
    </xf>
    <xf numFmtId="0" fontId="0" fillId="77" borderId="47" xfId="0" applyFill="1" applyBorder="1"/>
    <xf numFmtId="4" fontId="0" fillId="84" borderId="58" xfId="0" applyNumberFormat="1" applyFill="1" applyBorder="1" applyAlignment="1" applyProtection="1">
      <alignment horizontal="right"/>
      <protection locked="0"/>
    </xf>
    <xf numFmtId="0" fontId="0" fillId="77" borderId="23" xfId="0" applyFill="1" applyBorder="1"/>
    <xf numFmtId="4" fontId="0" fillId="84" borderId="10" xfId="0" applyNumberFormat="1" applyFill="1" applyBorder="1" applyAlignment="1" applyProtection="1">
      <alignment horizontal="right"/>
      <protection locked="0"/>
    </xf>
    <xf numFmtId="0" fontId="0" fillId="77" borderId="65" xfId="0" applyFill="1" applyBorder="1"/>
    <xf numFmtId="4" fontId="0" fillId="84" borderId="11" xfId="0" applyNumberFormat="1" applyFill="1" applyBorder="1" applyAlignment="1" applyProtection="1">
      <alignment horizontal="right"/>
      <protection locked="0"/>
    </xf>
    <xf numFmtId="4" fontId="23" fillId="85" borderId="32" xfId="0" applyNumberFormat="1" applyFont="1" applyFill="1" applyBorder="1" applyAlignment="1">
      <alignment horizontal="right"/>
    </xf>
    <xf numFmtId="1" fontId="38" fillId="80" borderId="35" xfId="0" quotePrefix="1" applyNumberFormat="1" applyFont="1" applyFill="1" applyBorder="1" applyAlignment="1">
      <alignment horizontal="center"/>
    </xf>
    <xf numFmtId="1" fontId="38" fillId="80" borderId="61" xfId="0" applyNumberFormat="1" applyFont="1" applyFill="1" applyBorder="1" applyAlignment="1">
      <alignment horizontal="center"/>
    </xf>
    <xf numFmtId="4" fontId="0" fillId="77" borderId="58" xfId="0" applyNumberFormat="1" applyFill="1" applyBorder="1" applyAlignment="1">
      <alignment horizontal="right"/>
    </xf>
    <xf numFmtId="0" fontId="0" fillId="77" borderId="41" xfId="0" applyFill="1" applyBorder="1" applyAlignment="1">
      <alignment wrapText="1"/>
    </xf>
    <xf numFmtId="4" fontId="0" fillId="77" borderId="11" xfId="0" applyNumberFormat="1" applyFill="1" applyBorder="1" applyAlignment="1">
      <alignment horizontal="right"/>
    </xf>
    <xf numFmtId="0" fontId="23" fillId="77" borderId="20" xfId="0" applyFont="1" applyFill="1" applyBorder="1" applyAlignment="1">
      <alignment wrapText="1"/>
    </xf>
    <xf numFmtId="10" fontId="23" fillId="77" borderId="32" xfId="37" applyNumberFormat="1" applyFont="1" applyFill="1" applyBorder="1" applyAlignment="1" applyProtection="1">
      <alignment horizontal="right"/>
    </xf>
    <xf numFmtId="0" fontId="30" fillId="77" borderId="0" xfId="46" applyFont="1" applyFill="1"/>
    <xf numFmtId="0" fontId="38" fillId="77" borderId="0" xfId="46" applyFont="1" applyFill="1" applyAlignment="1">
      <alignment horizontal="center"/>
    </xf>
    <xf numFmtId="0" fontId="38" fillId="77" borderId="82" xfId="46" applyFont="1" applyFill="1" applyBorder="1" applyAlignment="1">
      <alignment horizontal="center"/>
    </xf>
    <xf numFmtId="16" fontId="38" fillId="77" borderId="82" xfId="46" quotePrefix="1" applyNumberFormat="1" applyFont="1" applyFill="1" applyBorder="1" applyAlignment="1">
      <alignment horizontal="center"/>
    </xf>
    <xf numFmtId="0" fontId="51" fillId="77" borderId="0" xfId="0" applyFont="1" applyFill="1"/>
    <xf numFmtId="0" fontId="61" fillId="77" borderId="0" xfId="46" applyFont="1" applyFill="1"/>
    <xf numFmtId="4" fontId="61" fillId="77" borderId="0" xfId="46" applyNumberFormat="1" applyFont="1" applyFill="1"/>
    <xf numFmtId="0" fontId="61" fillId="77" borderId="82" xfId="46" applyFont="1" applyFill="1" applyBorder="1"/>
    <xf numFmtId="4" fontId="61" fillId="77" borderId="82" xfId="46" applyNumberFormat="1" applyFont="1" applyFill="1" applyBorder="1"/>
    <xf numFmtId="0" fontId="38" fillId="77" borderId="0" xfId="46" applyFont="1" applyFill="1"/>
    <xf numFmtId="4" fontId="38" fillId="77" borderId="0" xfId="46" applyNumberFormat="1" applyFont="1" applyFill="1"/>
    <xf numFmtId="0" fontId="38" fillId="77" borderId="112" xfId="46" applyFont="1" applyFill="1" applyBorder="1"/>
    <xf numFmtId="4" fontId="38" fillId="77" borderId="112" xfId="46" applyNumberFormat="1" applyFont="1" applyFill="1" applyBorder="1"/>
    <xf numFmtId="0" fontId="0" fillId="72" borderId="0" xfId="0" applyFill="1" applyAlignment="1" applyProtection="1">
      <alignment horizontal="center" vertical="center"/>
      <protection locked="0"/>
    </xf>
    <xf numFmtId="0" fontId="0" fillId="72" borderId="0" xfId="0" applyFill="1" applyProtection="1">
      <protection locked="0"/>
    </xf>
    <xf numFmtId="0" fontId="0" fillId="72" borderId="0" xfId="0" applyFill="1" applyAlignment="1" applyProtection="1">
      <alignment horizontal="left"/>
      <protection locked="0"/>
    </xf>
    <xf numFmtId="0" fontId="0" fillId="72" borderId="0" xfId="0" applyFill="1" applyAlignment="1" applyProtection="1">
      <alignment horizontal="left" vertical="center"/>
      <protection locked="0"/>
    </xf>
    <xf numFmtId="4" fontId="0" fillId="72" borderId="0" xfId="0" applyNumberFormat="1" applyFill="1" applyProtection="1">
      <protection locked="0"/>
    </xf>
    <xf numFmtId="0" fontId="30" fillId="72" borderId="0" xfId="0" applyFont="1" applyFill="1" applyProtection="1">
      <protection locked="0"/>
    </xf>
    <xf numFmtId="0" fontId="30" fillId="72" borderId="0" xfId="0" applyFont="1" applyFill="1" applyAlignment="1" applyProtection="1">
      <alignment vertical="center"/>
      <protection locked="0"/>
    </xf>
    <xf numFmtId="4" fontId="0" fillId="80" borderId="0" xfId="0" applyNumberFormat="1" applyFill="1" applyAlignment="1" applyProtection="1">
      <alignment vertical="center"/>
      <protection locked="0"/>
    </xf>
    <xf numFmtId="4" fontId="0" fillId="80" borderId="0" xfId="0" applyNumberFormat="1" applyFill="1" applyAlignment="1" applyProtection="1">
      <alignment horizontal="right"/>
      <protection locked="0"/>
    </xf>
    <xf numFmtId="4" fontId="0" fillId="72" borderId="0" xfId="0" applyNumberFormat="1" applyFill="1" applyAlignment="1" applyProtection="1">
      <alignment horizontal="right"/>
      <protection locked="0"/>
    </xf>
    <xf numFmtId="0" fontId="30" fillId="76" borderId="110" xfId="46" quotePrefix="1" applyFont="1" applyFill="1" applyBorder="1" applyAlignment="1">
      <alignment horizontal="center"/>
    </xf>
    <xf numFmtId="0" fontId="30" fillId="76" borderId="110" xfId="46" applyFont="1" applyFill="1" applyBorder="1" applyAlignment="1">
      <alignment horizontal="center"/>
    </xf>
    <xf numFmtId="4" fontId="0" fillId="80" borderId="0" xfId="0" applyNumberFormat="1" applyFill="1" applyAlignment="1" applyProtection="1">
      <alignment horizontal="center"/>
      <protection locked="0"/>
    </xf>
    <xf numFmtId="0" fontId="23" fillId="81" borderId="0" xfId="0" applyFont="1" applyFill="1" applyAlignment="1" applyProtection="1">
      <alignment horizontal="right" vertical="center" wrapText="1"/>
      <protection locked="0"/>
    </xf>
    <xf numFmtId="0" fontId="97" fillId="77" borderId="137" xfId="0" applyFont="1" applyFill="1" applyBorder="1" applyAlignment="1">
      <alignment horizontal="center" vertical="center" wrapText="1"/>
    </xf>
    <xf numFmtId="0" fontId="97" fillId="77" borderId="105" xfId="0" applyFont="1" applyFill="1" applyBorder="1" applyAlignment="1">
      <alignment horizontal="center" vertical="center" wrapText="1"/>
    </xf>
    <xf numFmtId="0" fontId="97" fillId="77" borderId="138" xfId="0" applyFont="1" applyFill="1" applyBorder="1" applyAlignment="1">
      <alignment horizontal="center" vertical="center" wrapText="1"/>
    </xf>
    <xf numFmtId="0" fontId="97" fillId="77" borderId="81" xfId="0" applyFont="1" applyFill="1" applyBorder="1" applyAlignment="1">
      <alignment horizontal="center" vertical="center" wrapText="1"/>
    </xf>
    <xf numFmtId="0" fontId="98" fillId="77" borderId="138" xfId="0" applyFont="1" applyFill="1" applyBorder="1" applyAlignment="1">
      <alignment horizontal="justify" vertical="center" wrapText="1"/>
    </xf>
    <xf numFmtId="0" fontId="98" fillId="77" borderId="81" xfId="0" applyFont="1" applyFill="1" applyBorder="1" applyAlignment="1">
      <alignment horizontal="center" vertical="center" wrapText="1"/>
    </xf>
    <xf numFmtId="0" fontId="24" fillId="0" borderId="0" xfId="31" applyNumberFormat="1" applyFill="1" applyBorder="1" applyAlignment="1" applyProtection="1">
      <alignment wrapText="1"/>
    </xf>
    <xf numFmtId="0" fontId="55" fillId="76" borderId="0" xfId="0" applyFont="1" applyFill="1" applyAlignment="1">
      <alignment horizontal="center"/>
    </xf>
    <xf numFmtId="0" fontId="4" fillId="76" borderId="0" xfId="0" applyFont="1" applyFill="1"/>
    <xf numFmtId="0" fontId="4" fillId="76" borderId="103" xfId="48" applyFill="1" applyBorder="1" applyAlignment="1">
      <alignment horizontal="right" vertical="top"/>
    </xf>
    <xf numFmtId="0" fontId="4" fillId="76" borderId="104" xfId="0" applyFont="1" applyFill="1" applyBorder="1" applyAlignment="1">
      <alignment horizontal="right"/>
    </xf>
    <xf numFmtId="0" fontId="4" fillId="76" borderId="105" xfId="0" applyFont="1" applyFill="1" applyBorder="1" applyAlignment="1">
      <alignment horizontal="right"/>
    </xf>
    <xf numFmtId="0" fontId="4" fillId="76" borderId="102" xfId="48" applyFill="1" applyBorder="1" applyAlignment="1">
      <alignment horizontal="center" vertical="top"/>
    </xf>
    <xf numFmtId="0" fontId="4" fillId="76" borderId="82" xfId="0" applyFont="1" applyFill="1" applyBorder="1" applyAlignment="1">
      <alignment horizontal="center"/>
    </xf>
    <xf numFmtId="0" fontId="4" fillId="76" borderId="81" xfId="0" applyFont="1" applyFill="1" applyBorder="1" applyAlignment="1">
      <alignment horizontal="center"/>
    </xf>
    <xf numFmtId="0" fontId="58" fillId="76" borderId="113" xfId="0" applyFont="1" applyFill="1" applyBorder="1" applyAlignment="1">
      <alignment horizontal="center"/>
    </xf>
    <xf numFmtId="0" fontId="4" fillId="76" borderId="113" xfId="0" applyFont="1" applyFill="1" applyBorder="1"/>
    <xf numFmtId="0" fontId="97" fillId="77" borderId="137" xfId="0" applyFont="1" applyFill="1" applyBorder="1" applyAlignment="1">
      <alignment horizontal="center" vertical="center" wrapText="1"/>
    </xf>
    <xf numFmtId="0" fontId="97" fillId="77" borderId="138" xfId="0" applyFont="1" applyFill="1" applyBorder="1" applyAlignment="1">
      <alignment horizontal="center" vertical="center" wrapText="1"/>
    </xf>
    <xf numFmtId="0" fontId="0" fillId="77" borderId="0" xfId="0" applyFill="1" applyAlignment="1" applyProtection="1">
      <alignment vertical="center" wrapText="1"/>
      <protection locked="0"/>
    </xf>
    <xf numFmtId="0" fontId="0" fillId="83" borderId="0" xfId="0" applyFill="1" applyAlignment="1" applyProtection="1">
      <alignment vertical="center" wrapText="1"/>
      <protection locked="0"/>
    </xf>
    <xf numFmtId="0" fontId="0" fillId="83" borderId="0" xfId="0" applyFill="1" applyAlignment="1" applyProtection="1">
      <alignment horizontal="left" vertical="center" wrapText="1"/>
      <protection locked="0"/>
    </xf>
    <xf numFmtId="0" fontId="0" fillId="83" borderId="0" xfId="0" applyFill="1" applyAlignment="1" applyProtection="1">
      <alignment horizontal="left" vertical="center"/>
      <protection locked="0"/>
    </xf>
    <xf numFmtId="0" fontId="0" fillId="86" borderId="103" xfId="0" applyFill="1" applyBorder="1" applyAlignment="1">
      <alignment vertical="center" wrapText="1"/>
    </xf>
    <xf numFmtId="0" fontId="0" fillId="86" borderId="104" xfId="0" applyFill="1" applyBorder="1" applyAlignment="1">
      <alignment vertical="center" wrapText="1"/>
    </xf>
    <xf numFmtId="0" fontId="0" fillId="86" borderId="105" xfId="0" applyFill="1" applyBorder="1" applyAlignment="1">
      <alignment vertical="center" wrapText="1"/>
    </xf>
    <xf numFmtId="0" fontId="23" fillId="77" borderId="20" xfId="0" applyFont="1" applyFill="1" applyBorder="1" applyAlignment="1" applyProtection="1">
      <alignment horizontal="center" vertical="center" wrapText="1"/>
      <protection locked="0"/>
    </xf>
    <xf numFmtId="0" fontId="23" fillId="77" borderId="21" xfId="0" applyFont="1" applyFill="1" applyBorder="1" applyAlignment="1" applyProtection="1">
      <alignment horizontal="center" vertical="center" wrapText="1"/>
      <protection locked="0"/>
    </xf>
    <xf numFmtId="0" fontId="23" fillId="77" borderId="0" xfId="0" applyFont="1" applyFill="1" applyAlignment="1" applyProtection="1">
      <alignment horizontal="center" vertical="center" wrapText="1"/>
      <protection locked="0"/>
    </xf>
    <xf numFmtId="0" fontId="0" fillId="77" borderId="0" xfId="0" applyFill="1" applyAlignment="1" applyProtection="1">
      <alignment wrapText="1"/>
      <protection locked="0"/>
    </xf>
    <xf numFmtId="0" fontId="23" fillId="0" borderId="0" xfId="0" applyFont="1" applyAlignment="1" applyProtection="1">
      <alignment wrapText="1"/>
      <protection locked="0"/>
    </xf>
    <xf numFmtId="0" fontId="0" fillId="0" borderId="60" xfId="0" applyBorder="1" applyAlignment="1" applyProtection="1">
      <alignment wrapText="1"/>
      <protection locked="0"/>
    </xf>
    <xf numFmtId="0" fontId="0" fillId="0" borderId="0" xfId="0" applyAlignment="1" applyProtection="1">
      <alignment wrapText="1"/>
      <protection locked="0"/>
    </xf>
    <xf numFmtId="0" fontId="0" fillId="0" borderId="0" xfId="0" applyAlignment="1">
      <alignment wrapText="1"/>
    </xf>
    <xf numFmtId="0" fontId="0" fillId="77" borderId="0" xfId="0" applyFill="1" applyAlignment="1">
      <alignment wrapText="1"/>
    </xf>
    <xf numFmtId="0" fontId="31" fillId="0" borderId="10" xfId="0" applyFont="1" applyBorder="1" applyAlignment="1">
      <alignment horizontal="center" vertical="center"/>
    </xf>
    <xf numFmtId="4" fontId="62" fillId="0" borderId="0" xfId="0" applyNumberFormat="1" applyFont="1" applyAlignment="1">
      <alignment horizontal="center"/>
    </xf>
    <xf numFmtId="0" fontId="62" fillId="0" borderId="0" xfId="0" applyFont="1" applyAlignment="1">
      <alignment horizontal="center"/>
    </xf>
    <xf numFmtId="4" fontId="0" fillId="0" borderId="0" xfId="0" applyNumberFormat="1" applyAlignment="1">
      <alignment horizontal="left"/>
    </xf>
    <xf numFmtId="0" fontId="29" fillId="31" borderId="10" xfId="0" applyFont="1" applyFill="1" applyBorder="1" applyAlignment="1">
      <alignment horizontal="center" vertical="center"/>
    </xf>
    <xf numFmtId="0" fontId="29" fillId="31" borderId="11" xfId="0" applyFont="1" applyFill="1" applyBorder="1" applyAlignment="1">
      <alignment horizontal="center" vertical="center"/>
    </xf>
    <xf numFmtId="0" fontId="29" fillId="4" borderId="38" xfId="0" applyFont="1" applyFill="1" applyBorder="1" applyAlignment="1">
      <alignment horizontal="center" vertical="center"/>
    </xf>
    <xf numFmtId="0" fontId="29" fillId="31" borderId="14" xfId="0" applyFont="1" applyFill="1" applyBorder="1" applyAlignment="1">
      <alignment horizontal="center" vertical="center"/>
    </xf>
    <xf numFmtId="0" fontId="0" fillId="24" borderId="38" xfId="0" applyFill="1" applyBorder="1" applyAlignment="1">
      <alignment wrapText="1"/>
    </xf>
    <xf numFmtId="0" fontId="0" fillId="0" borderId="12" xfId="0" applyBorder="1" applyAlignment="1">
      <alignment wrapText="1"/>
    </xf>
    <xf numFmtId="0" fontId="0" fillId="0" borderId="13" xfId="0" applyBorder="1" applyAlignment="1">
      <alignment wrapText="1"/>
    </xf>
    <xf numFmtId="0" fontId="0" fillId="24" borderId="0" xfId="0" applyFill="1" applyAlignment="1" applyProtection="1">
      <alignment wrapText="1"/>
      <protection locked="0"/>
    </xf>
    <xf numFmtId="0" fontId="0" fillId="24" borderId="0" xfId="0" applyFill="1" applyAlignment="1" applyProtection="1">
      <alignment horizontal="left"/>
      <protection locked="0"/>
    </xf>
    <xf numFmtId="0" fontId="0" fillId="33" borderId="106" xfId="0" applyFill="1" applyBorder="1" applyAlignment="1">
      <alignment wrapText="1"/>
    </xf>
    <xf numFmtId="0" fontId="0" fillId="33" borderId="107" xfId="0" applyFill="1" applyBorder="1" applyAlignment="1">
      <alignment wrapText="1"/>
    </xf>
    <xf numFmtId="0" fontId="0" fillId="33" borderId="108" xfId="0" applyFill="1" applyBorder="1" applyAlignment="1">
      <alignment wrapText="1"/>
    </xf>
    <xf numFmtId="0" fontId="23" fillId="0" borderId="20"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23" fillId="0" borderId="0" xfId="0" applyFont="1" applyAlignment="1" applyProtection="1">
      <alignment horizontal="left" wrapText="1"/>
      <protection locked="0"/>
    </xf>
    <xf numFmtId="0" fontId="43" fillId="0" borderId="0" xfId="35" applyFont="1" applyAlignment="1">
      <alignment horizontal="left" vertical="center" wrapText="1"/>
    </xf>
    <xf numFmtId="0" fontId="50" fillId="0" borderId="0" xfId="35" applyFont="1" applyAlignment="1">
      <alignment horizontal="left" vertical="center" wrapText="1"/>
    </xf>
    <xf numFmtId="0" fontId="23" fillId="0" borderId="0" xfId="0" applyFont="1" applyAlignment="1">
      <alignment horizontal="left"/>
    </xf>
    <xf numFmtId="4" fontId="23" fillId="0" borderId="0" xfId="0" applyNumberFormat="1" applyFont="1" applyAlignment="1">
      <alignment horizontal="right"/>
    </xf>
    <xf numFmtId="0" fontId="23" fillId="4" borderId="10" xfId="0" applyFont="1" applyFill="1" applyBorder="1" applyAlignment="1">
      <alignment horizontal="left"/>
    </xf>
    <xf numFmtId="4" fontId="28" fillId="4" borderId="10" xfId="0" applyNumberFormat="1" applyFont="1" applyFill="1" applyBorder="1" applyAlignment="1">
      <alignment horizontal="right"/>
    </xf>
    <xf numFmtId="0" fontId="23" fillId="31" borderId="10" xfId="0" applyFont="1" applyFill="1" applyBorder="1" applyAlignment="1">
      <alignment horizontal="left"/>
    </xf>
    <xf numFmtId="170" fontId="28" fillId="31" borderId="10" xfId="0" applyNumberFormat="1" applyFont="1" applyFill="1" applyBorder="1" applyAlignment="1">
      <alignment horizontal="right"/>
    </xf>
    <xf numFmtId="170" fontId="36" fillId="0" borderId="0" xfId="0" applyNumberFormat="1" applyFont="1" applyAlignment="1">
      <alignment horizontal="right"/>
    </xf>
    <xf numFmtId="0" fontId="0" fillId="0" borderId="0" xfId="0" applyAlignment="1">
      <alignment horizontal="left"/>
    </xf>
    <xf numFmtId="0" fontId="23" fillId="36" borderId="10" xfId="0" applyFont="1" applyFill="1" applyBorder="1" applyAlignment="1">
      <alignment horizontal="center"/>
    </xf>
    <xf numFmtId="4" fontId="28" fillId="36" borderId="10" xfId="0" applyNumberFormat="1" applyFont="1" applyFill="1" applyBorder="1" applyAlignment="1">
      <alignment horizontal="center"/>
    </xf>
    <xf numFmtId="0" fontId="0" fillId="36" borderId="25" xfId="0" applyFill="1" applyBorder="1" applyAlignment="1">
      <alignment vertical="center"/>
    </xf>
    <xf numFmtId="0" fontId="64" fillId="36" borderId="30" xfId="0" applyFont="1" applyFill="1" applyBorder="1" applyAlignment="1">
      <alignment vertical="center"/>
    </xf>
  </cellXfs>
  <cellStyles count="314">
    <cellStyle name="20% - Énfasis1" xfId="1" builtinId="30" customBuiltin="1"/>
    <cellStyle name="20% - Énfasis1 2" xfId="75" xr:uid="{00000000-0005-0000-0000-000001000000}"/>
    <cellStyle name="20% - Énfasis2" xfId="2" builtinId="34" customBuiltin="1"/>
    <cellStyle name="20% - Énfasis2 2" xfId="79" xr:uid="{00000000-0005-0000-0000-000003000000}"/>
    <cellStyle name="20% - Énfasis3" xfId="3" builtinId="38" customBuiltin="1"/>
    <cellStyle name="20% - Énfasis3 2" xfId="83" xr:uid="{00000000-0005-0000-0000-000005000000}"/>
    <cellStyle name="20% - Énfasis4" xfId="4" builtinId="42" customBuiltin="1"/>
    <cellStyle name="20% - Énfasis4 2" xfId="87" xr:uid="{00000000-0005-0000-0000-000007000000}"/>
    <cellStyle name="20% - Énfasis5" xfId="5" builtinId="46" customBuiltin="1"/>
    <cellStyle name="20% - Énfasis5 2" xfId="91" xr:uid="{00000000-0005-0000-0000-000009000000}"/>
    <cellStyle name="20% - Énfasis6" xfId="6" builtinId="50" customBuiltin="1"/>
    <cellStyle name="20% - Énfasis6 2" xfId="95" xr:uid="{00000000-0005-0000-0000-00000B000000}"/>
    <cellStyle name="40% - Énfasis1" xfId="7" builtinId="31" customBuiltin="1"/>
    <cellStyle name="40% - Énfasis1 2" xfId="76" xr:uid="{00000000-0005-0000-0000-00000D000000}"/>
    <cellStyle name="40% - Énfasis2" xfId="8" builtinId="35" customBuiltin="1"/>
    <cellStyle name="40% - Énfasis2 2" xfId="80" xr:uid="{00000000-0005-0000-0000-00000F000000}"/>
    <cellStyle name="40% - Énfasis3" xfId="9" builtinId="39" customBuiltin="1"/>
    <cellStyle name="40% - Énfasis3 2" xfId="84" xr:uid="{00000000-0005-0000-0000-000011000000}"/>
    <cellStyle name="40% - Énfasis4" xfId="10" builtinId="43" customBuiltin="1"/>
    <cellStyle name="40% - Énfasis4 2" xfId="88" xr:uid="{00000000-0005-0000-0000-000013000000}"/>
    <cellStyle name="40% - Énfasis5" xfId="11" builtinId="47" customBuiltin="1"/>
    <cellStyle name="40% - Énfasis5 2" xfId="92" xr:uid="{00000000-0005-0000-0000-000015000000}"/>
    <cellStyle name="40% - Énfasis6" xfId="12" builtinId="51" customBuiltin="1"/>
    <cellStyle name="40% - Énfasis6 2" xfId="96" xr:uid="{00000000-0005-0000-0000-000017000000}"/>
    <cellStyle name="60% - Énfasis1" xfId="13" builtinId="32" customBuiltin="1"/>
    <cellStyle name="60% - Énfasis1 2" xfId="77" xr:uid="{00000000-0005-0000-0000-000019000000}"/>
    <cellStyle name="60% - Énfasis2" xfId="14" builtinId="36" customBuiltin="1"/>
    <cellStyle name="60% - Énfasis2 2" xfId="81" xr:uid="{00000000-0005-0000-0000-00001B000000}"/>
    <cellStyle name="60% - Énfasis3" xfId="15" builtinId="40" customBuiltin="1"/>
    <cellStyle name="60% - Énfasis3 2" xfId="85" xr:uid="{00000000-0005-0000-0000-00001D000000}"/>
    <cellStyle name="60% - Énfasis4" xfId="16" builtinId="44" customBuiltin="1"/>
    <cellStyle name="60% - Énfasis4 2" xfId="89" xr:uid="{00000000-0005-0000-0000-00001F000000}"/>
    <cellStyle name="60% - Énfasis5" xfId="17" builtinId="48" customBuiltin="1"/>
    <cellStyle name="60% - Énfasis5 2" xfId="93" xr:uid="{00000000-0005-0000-0000-000021000000}"/>
    <cellStyle name="60% - Énfasis6" xfId="18" builtinId="52" customBuiltin="1"/>
    <cellStyle name="60% - Énfasis6 2" xfId="97" xr:uid="{00000000-0005-0000-0000-000023000000}"/>
    <cellStyle name="Buena 2" xfId="62" xr:uid="{00000000-0005-0000-0000-000024000000}"/>
    <cellStyle name="Bueno" xfId="19" builtinId="26" customBuiltin="1"/>
    <cellStyle name="Cálculo" xfId="20" builtinId="22" customBuiltin="1"/>
    <cellStyle name="Cálculo 2" xfId="67" xr:uid="{00000000-0005-0000-0000-000027000000}"/>
    <cellStyle name="Celda de comprobación" xfId="21" builtinId="23" customBuiltin="1"/>
    <cellStyle name="Celda de comprobación 2" xfId="69" xr:uid="{00000000-0005-0000-0000-000029000000}"/>
    <cellStyle name="Celda vinculada" xfId="22" builtinId="24" customBuiltin="1"/>
    <cellStyle name="Celda vinculada 2" xfId="68" xr:uid="{00000000-0005-0000-0000-00002B000000}"/>
    <cellStyle name="Encabezado 1" xfId="42" builtinId="16" customBuiltin="1"/>
    <cellStyle name="Encabezado 4" xfId="23" builtinId="19" customBuiltin="1"/>
    <cellStyle name="Encabezado 4 2" xfId="61" xr:uid="{00000000-0005-0000-0000-00002E000000}"/>
    <cellStyle name="Énfasis1" xfId="24" builtinId="29" customBuiltin="1"/>
    <cellStyle name="Énfasis1 2" xfId="74" xr:uid="{00000000-0005-0000-0000-000030000000}"/>
    <cellStyle name="Énfasis2" xfId="25" builtinId="33" customBuiltin="1"/>
    <cellStyle name="Énfasis2 2" xfId="78" xr:uid="{00000000-0005-0000-0000-000032000000}"/>
    <cellStyle name="Énfasis3" xfId="26" builtinId="37" customBuiltin="1"/>
    <cellStyle name="Énfasis3 2" xfId="82" xr:uid="{00000000-0005-0000-0000-000034000000}"/>
    <cellStyle name="Énfasis4" xfId="27" builtinId="41" customBuiltin="1"/>
    <cellStyle name="Énfasis4 2" xfId="86" xr:uid="{00000000-0005-0000-0000-000036000000}"/>
    <cellStyle name="Énfasis5" xfId="28" builtinId="45" customBuiltin="1"/>
    <cellStyle name="Énfasis5 2" xfId="90" xr:uid="{00000000-0005-0000-0000-000038000000}"/>
    <cellStyle name="Énfasis6" xfId="29" builtinId="49" customBuiltin="1"/>
    <cellStyle name="Énfasis6 2" xfId="94" xr:uid="{00000000-0005-0000-0000-00003A000000}"/>
    <cellStyle name="Entrada" xfId="30" builtinId="20" customBuiltin="1"/>
    <cellStyle name="Entrada 2" xfId="65" xr:uid="{00000000-0005-0000-0000-00003C000000}"/>
    <cellStyle name="Euro" xfId="51" xr:uid="{00000000-0005-0000-0000-00003D000000}"/>
    <cellStyle name="Hipervínculo" xfId="31" builtinId="8"/>
    <cellStyle name="Hipervínculo visitado" xfId="98" builtinId="9" hidden="1"/>
    <cellStyle name="Hipervínculo visitado" xfId="99" builtinId="9" hidden="1"/>
    <cellStyle name="Hipervínculo visitado" xfId="100" builtinId="9" hidden="1"/>
    <cellStyle name="Hipervínculo visitado" xfId="101" builtinId="9" hidden="1"/>
    <cellStyle name="Hipervínculo visitado" xfId="102" builtinId="9" hidden="1"/>
    <cellStyle name="Hipervínculo visitado" xfId="103" builtinId="9" hidden="1"/>
    <cellStyle name="Hipervínculo visitado" xfId="104" builtinId="9" hidden="1"/>
    <cellStyle name="Hipervínculo visitado" xfId="105" builtinId="9" hidden="1"/>
    <cellStyle name="Hipervínculo visitado" xfId="106" builtinId="9" hidden="1"/>
    <cellStyle name="Hipervínculo visitado" xfId="107" builtinId="9" hidden="1"/>
    <cellStyle name="Hipervínculo visitado" xfId="108" builtinId="9" hidden="1"/>
    <cellStyle name="Hipervínculo visitado" xfId="109" builtinId="9" hidden="1"/>
    <cellStyle name="Hipervínculo visitado" xfId="110" builtinId="9" hidden="1"/>
    <cellStyle name="Hipervínculo visitado" xfId="111" builtinId="9" hidden="1"/>
    <cellStyle name="Hipervínculo visitado" xfId="112" builtinId="9" hidden="1"/>
    <cellStyle name="Hipervínculo visitado" xfId="113" builtinId="9" hidden="1"/>
    <cellStyle name="Hipervínculo visitado" xfId="114" builtinId="9" hidden="1"/>
    <cellStyle name="Hipervínculo visitado" xfId="115" builtinId="9" hidden="1"/>
    <cellStyle name="Hipervínculo visitado" xfId="116" builtinId="9" hidden="1"/>
    <cellStyle name="Hipervínculo visitado" xfId="117" builtinId="9" hidden="1"/>
    <cellStyle name="Hipervínculo visitado" xfId="118" builtinId="9" hidden="1"/>
    <cellStyle name="Hipervínculo visitado" xfId="119" builtinId="9" hidden="1"/>
    <cellStyle name="Hipervínculo visitado" xfId="120" builtinId="9" hidden="1"/>
    <cellStyle name="Hipervínculo visitado" xfId="121" builtinId="9" hidden="1"/>
    <cellStyle name="Hipervínculo visitado" xfId="122" builtinId="9" hidden="1"/>
    <cellStyle name="Hipervínculo visitado" xfId="123" builtinId="9" hidden="1"/>
    <cellStyle name="Hipervínculo visitado" xfId="124" builtinId="9" hidden="1"/>
    <cellStyle name="Hipervínculo visitado" xfId="125" builtinId="9" hidden="1"/>
    <cellStyle name="Hipervínculo visitado" xfId="126" builtinId="9" hidden="1"/>
    <cellStyle name="Hipervínculo visitado" xfId="127" builtinId="9" hidden="1"/>
    <cellStyle name="Hipervínculo visitado" xfId="128" builtinId="9" hidden="1"/>
    <cellStyle name="Hipervínculo visitado" xfId="129" builtinId="9" hidden="1"/>
    <cellStyle name="Hipervínculo visitado" xfId="130" builtinId="9" hidden="1"/>
    <cellStyle name="Hipervínculo visitado" xfId="131" builtinId="9" hidden="1"/>
    <cellStyle name="Hipervínculo visitado" xfId="132" builtinId="9" hidden="1"/>
    <cellStyle name="Hipervínculo visitado" xfId="133" builtinId="9" hidden="1"/>
    <cellStyle name="Hipervínculo visitado" xfId="134" builtinId="9" hidden="1"/>
    <cellStyle name="Hipervínculo visitado" xfId="135" builtinId="9" hidden="1"/>
    <cellStyle name="Hipervínculo visitado" xfId="136" builtinId="9" hidden="1"/>
    <cellStyle name="Hipervínculo visitado" xfId="137" builtinId="9" hidden="1"/>
    <cellStyle name="Hipervínculo visitado" xfId="138" builtinId="9" hidden="1"/>
    <cellStyle name="Hipervínculo visitado" xfId="139" builtinId="9" hidden="1"/>
    <cellStyle name="Hipervínculo visitado" xfId="140" builtinId="9" hidden="1"/>
    <cellStyle name="Hipervínculo visitado" xfId="141" builtinId="9" hidden="1"/>
    <cellStyle name="Hipervínculo visitado" xfId="142" builtinId="9" hidden="1"/>
    <cellStyle name="Hipervínculo visitado" xfId="143" builtinId="9" hidden="1"/>
    <cellStyle name="Hipervínculo visitado" xfId="144" builtinId="9" hidden="1"/>
    <cellStyle name="Hipervínculo visitado" xfId="145" builtinId="9" hidden="1"/>
    <cellStyle name="Hipervínculo visitado" xfId="146" builtinId="9" hidden="1"/>
    <cellStyle name="Hipervínculo visitado" xfId="147" builtinId="9" hidden="1"/>
    <cellStyle name="Hipervínculo visitado" xfId="148" builtinId="9" hidden="1"/>
    <cellStyle name="Hipervínculo visitado" xfId="149" builtinId="9" hidden="1"/>
    <cellStyle name="Hipervínculo visitado" xfId="150" builtinId="9" hidden="1"/>
    <cellStyle name="Hipervínculo visitado" xfId="151" builtinId="9" hidden="1"/>
    <cellStyle name="Hipervínculo visitado" xfId="152" builtinId="9" hidden="1"/>
    <cellStyle name="Hipervínculo visitado" xfId="153" builtinId="9" hidden="1"/>
    <cellStyle name="Hipervínculo visitado" xfId="154" builtinId="9" hidden="1"/>
    <cellStyle name="Hipervínculo visitado" xfId="155" builtinId="9" hidden="1"/>
    <cellStyle name="Hipervínculo visitado" xfId="156" builtinId="9" hidden="1"/>
    <cellStyle name="Hipervínculo visitado" xfId="157" builtinId="9" hidden="1"/>
    <cellStyle name="Hipervínculo visitado" xfId="158" builtinId="9" hidden="1"/>
    <cellStyle name="Hipervínculo visitado" xfId="159" builtinId="9" hidden="1"/>
    <cellStyle name="Hipervínculo visitado" xfId="160" builtinId="9" hidden="1"/>
    <cellStyle name="Hipervínculo visitado" xfId="161" builtinId="9" hidden="1"/>
    <cellStyle name="Hipervínculo visitado" xfId="162" builtinId="9" hidden="1"/>
    <cellStyle name="Hipervínculo visitado" xfId="163" builtinId="9" hidden="1"/>
    <cellStyle name="Hipervínculo visitado" xfId="164" builtinId="9" hidden="1"/>
    <cellStyle name="Hipervínculo visitado" xfId="165" builtinId="9" hidden="1"/>
    <cellStyle name="Hipervínculo visitado" xfId="166" builtinId="9" hidden="1"/>
    <cellStyle name="Hipervínculo visitado" xfId="167" builtinId="9" hidden="1"/>
    <cellStyle name="Hipervínculo visitado" xfId="168" builtinId="9" hidden="1"/>
    <cellStyle name="Hipervínculo visitado" xfId="169" builtinId="9" hidden="1"/>
    <cellStyle name="Hipervínculo visitado" xfId="170" builtinId="9" hidden="1"/>
    <cellStyle name="Hipervínculo visitado" xfId="171" builtinId="9" hidden="1"/>
    <cellStyle name="Hipervínculo visitado" xfId="172" builtinId="9" hidden="1"/>
    <cellStyle name="Hipervínculo visitado" xfId="173" builtinId="9" hidden="1"/>
    <cellStyle name="Hipervínculo visitado" xfId="174" builtinId="9" hidden="1"/>
    <cellStyle name="Hipervínculo visitado" xfId="175" builtinId="9" hidden="1"/>
    <cellStyle name="Hipervínculo visitado" xfId="176" builtinId="9" hidden="1"/>
    <cellStyle name="Hipervínculo visitado" xfId="177" builtinId="9" hidden="1"/>
    <cellStyle name="Hipervínculo visitado" xfId="178" builtinId="9" hidden="1"/>
    <cellStyle name="Hipervínculo visitado" xfId="179" builtinId="9" hidden="1"/>
    <cellStyle name="Hipervínculo visitado" xfId="180" builtinId="9" hidden="1"/>
    <cellStyle name="Hipervínculo visitado" xfId="181" builtinId="9" hidden="1"/>
    <cellStyle name="Hipervínculo visitado" xfId="182" builtinId="9" hidden="1"/>
    <cellStyle name="Hipervínculo visitado" xfId="183" builtinId="9" hidden="1"/>
    <cellStyle name="Hipervínculo visitado" xfId="184" builtinId="9" hidden="1"/>
    <cellStyle name="Hipervínculo visitado" xfId="185" builtinId="9" hidden="1"/>
    <cellStyle name="Hipervínculo visitado" xfId="186" builtinId="9" hidden="1"/>
    <cellStyle name="Hipervínculo visitado" xfId="187" builtinId="9" hidden="1"/>
    <cellStyle name="Hipervínculo visitado" xfId="188" builtinId="9" hidden="1"/>
    <cellStyle name="Hipervínculo visitado" xfId="189" builtinId="9" hidden="1"/>
    <cellStyle name="Hipervínculo visitado" xfId="190" builtinId="9" hidden="1"/>
    <cellStyle name="Hipervínculo visitado" xfId="191" builtinId="9" hidden="1"/>
    <cellStyle name="Hipervínculo visitado" xfId="192" builtinId="9" hidden="1"/>
    <cellStyle name="Hipervínculo visitado" xfId="193" builtinId="9" hidden="1"/>
    <cellStyle name="Hipervínculo visitado" xfId="194" builtinId="9" hidden="1"/>
    <cellStyle name="Hipervínculo visitado" xfId="195" builtinId="9" hidden="1"/>
    <cellStyle name="Hipervínculo visitado" xfId="196" builtinId="9" hidden="1"/>
    <cellStyle name="Hipervínculo visitado" xfId="197" builtinId="9" hidden="1"/>
    <cellStyle name="Hipervínculo visitado" xfId="198" builtinId="9" hidden="1"/>
    <cellStyle name="Hipervínculo visitado" xfId="199" builtinId="9" hidden="1"/>
    <cellStyle name="Hipervínculo visitado" xfId="200" builtinId="9" hidden="1"/>
    <cellStyle name="Hipervínculo visitado" xfId="201" builtinId="9" hidden="1"/>
    <cellStyle name="Hipervínculo visitado" xfId="202" builtinId="9" hidden="1"/>
    <cellStyle name="Hipervínculo visitado" xfId="203" builtinId="9" hidden="1"/>
    <cellStyle name="Hipervínculo visitado" xfId="204" builtinId="9" hidden="1"/>
    <cellStyle name="Hipervínculo visitado" xfId="205" builtinId="9" hidden="1"/>
    <cellStyle name="Hipervínculo visitado" xfId="206" builtinId="9" hidden="1"/>
    <cellStyle name="Hipervínculo visitado" xfId="207" builtinId="9" hidden="1"/>
    <cellStyle name="Hipervínculo visitado" xfId="208" builtinId="9" hidden="1"/>
    <cellStyle name="Hipervínculo visitado" xfId="209" builtinId="9" hidden="1"/>
    <cellStyle name="Hipervínculo visitado" xfId="210" builtinId="9" hidden="1"/>
    <cellStyle name="Hipervínculo visitado" xfId="211" builtinId="9" hidden="1"/>
    <cellStyle name="Hipervínculo visitado" xfId="212" builtinId="9" hidden="1"/>
    <cellStyle name="Hipervínculo visitado" xfId="213" builtinId="9" hidden="1"/>
    <cellStyle name="Hipervínculo visitado" xfId="214" builtinId="9" hidden="1"/>
    <cellStyle name="Hipervínculo visitado" xfId="215" builtinId="9" hidden="1"/>
    <cellStyle name="Hipervínculo visitado" xfId="216" builtinId="9" hidden="1"/>
    <cellStyle name="Hipervínculo visitado" xfId="217" builtinId="9" hidden="1"/>
    <cellStyle name="Hipervínculo visitado" xfId="218" builtinId="9" hidden="1"/>
    <cellStyle name="Hipervínculo visitado" xfId="219" builtinId="9" hidden="1"/>
    <cellStyle name="Hipervínculo visitado" xfId="220" builtinId="9" hidden="1"/>
    <cellStyle name="Hipervínculo visitado" xfId="221" builtinId="9" hidden="1"/>
    <cellStyle name="Hipervínculo visitado" xfId="222" builtinId="9" hidden="1"/>
    <cellStyle name="Hipervínculo visitado" xfId="223" builtinId="9" hidden="1"/>
    <cellStyle name="Hipervínculo visitado" xfId="224" builtinId="9" hidden="1"/>
    <cellStyle name="Hipervínculo visitado" xfId="225" builtinId="9" hidden="1"/>
    <cellStyle name="Hipervínculo visitado" xfId="226" builtinId="9" hidden="1"/>
    <cellStyle name="Hipervínculo visitado" xfId="227" builtinId="9" hidden="1"/>
    <cellStyle name="Hipervínculo visitado" xfId="228" builtinId="9" hidden="1"/>
    <cellStyle name="Hipervínculo visitado" xfId="229" builtinId="9" hidden="1"/>
    <cellStyle name="Hipervínculo visitado" xfId="230" builtinId="9" hidden="1"/>
    <cellStyle name="Hipervínculo visitado" xfId="231" builtinId="9" hidden="1"/>
    <cellStyle name="Hipervínculo visitado" xfId="232" builtinId="9" hidden="1"/>
    <cellStyle name="Hipervínculo visitado" xfId="233" builtinId="9" hidden="1"/>
    <cellStyle name="Hipervínculo visitado" xfId="234" builtinId="9" hidden="1"/>
    <cellStyle name="Hipervínculo visitado" xfId="235" builtinId="9" hidden="1"/>
    <cellStyle name="Hipervínculo visitado" xfId="236" builtinId="9" hidden="1"/>
    <cellStyle name="Hipervínculo visitado" xfId="237" builtinId="9" hidden="1"/>
    <cellStyle name="Hipervínculo visitado" xfId="238" builtinId="9" hidden="1"/>
    <cellStyle name="Hipervínculo visitado" xfId="239" builtinId="9" hidden="1"/>
    <cellStyle name="Hipervínculo visitado" xfId="240" builtinId="9" hidden="1"/>
    <cellStyle name="Hipervínculo visitado" xfId="241" builtinId="9" hidden="1"/>
    <cellStyle name="Hipervínculo visitado" xfId="242" builtinId="9" hidden="1"/>
    <cellStyle name="Hipervínculo visitado" xfId="243" builtinId="9" hidden="1"/>
    <cellStyle name="Hipervínculo visitado" xfId="244" builtinId="9" hidden="1"/>
    <cellStyle name="Hipervínculo visitado" xfId="245" builtinId="9" hidden="1"/>
    <cellStyle name="Hipervínculo visitado" xfId="246" builtinId="9" hidden="1"/>
    <cellStyle name="Hipervínculo visitado" xfId="247" builtinId="9" hidden="1"/>
    <cellStyle name="Hipervínculo visitado" xfId="248" builtinId="9" hidden="1"/>
    <cellStyle name="Hipervínculo visitado" xfId="249" builtinId="9" hidden="1"/>
    <cellStyle name="Hipervínculo visitado" xfId="250" builtinId="9" hidden="1"/>
    <cellStyle name="Hipervínculo visitado" xfId="251" builtinId="9" hidden="1"/>
    <cellStyle name="Hipervínculo visitado" xfId="252" builtinId="9" hidden="1"/>
    <cellStyle name="Hipervínculo visitado" xfId="253" builtinId="9" hidden="1"/>
    <cellStyle name="Hipervínculo visitado" xfId="254" builtinId="9" hidden="1"/>
    <cellStyle name="Hipervínculo visitado" xfId="255" builtinId="9" hidden="1"/>
    <cellStyle name="Hipervínculo visitado" xfId="256" builtinId="9" hidden="1"/>
    <cellStyle name="Hipervínculo visitado" xfId="257" builtinId="9" hidden="1"/>
    <cellStyle name="Hipervínculo visitado" xfId="258" builtinId="9" hidden="1"/>
    <cellStyle name="Hipervínculo visitado" xfId="259" builtinId="9" hidden="1"/>
    <cellStyle name="Hipervínculo visitado" xfId="260" builtinId="9" hidden="1"/>
    <cellStyle name="Hipervínculo visitado" xfId="261" builtinId="9" hidden="1"/>
    <cellStyle name="Hipervínculo visitado" xfId="262" builtinId="9" hidden="1"/>
    <cellStyle name="Hipervínculo visitado" xfId="263" builtinId="9" hidden="1"/>
    <cellStyle name="Hipervínculo visitado" xfId="264" builtinId="9" hidden="1"/>
    <cellStyle name="Hipervínculo visitado" xfId="265" builtinId="9" hidden="1"/>
    <cellStyle name="Hipervínculo visitado" xfId="266" builtinId="9" hidden="1"/>
    <cellStyle name="Hipervínculo visitado" xfId="267" builtinId="9" hidden="1"/>
    <cellStyle name="Hipervínculo visitado" xfId="268" builtinId="9" hidden="1"/>
    <cellStyle name="Hipervínculo visitado" xfId="269" builtinId="9" hidden="1"/>
    <cellStyle name="Hipervínculo visitado" xfId="270" builtinId="9" hidden="1"/>
    <cellStyle name="Hipervínculo visitado" xfId="271" builtinId="9" hidden="1"/>
    <cellStyle name="Hipervínculo visitado" xfId="272" builtinId="9" hidden="1"/>
    <cellStyle name="Hipervínculo visitado" xfId="273" builtinId="9" hidden="1"/>
    <cellStyle name="Hipervínculo visitado" xfId="274" builtinId="9" hidden="1"/>
    <cellStyle name="Hipervínculo visitado" xfId="275" builtinId="9" hidden="1"/>
    <cellStyle name="Hipervínculo visitado" xfId="276" builtinId="9" hidden="1"/>
    <cellStyle name="Hipervínculo visitado" xfId="277" builtinId="9" hidden="1"/>
    <cellStyle name="Hipervínculo visitado" xfId="278" builtinId="9" hidden="1"/>
    <cellStyle name="Hipervínculo visitado" xfId="279" builtinId="9" hidden="1"/>
    <cellStyle name="Hipervínculo visitado" xfId="280" builtinId="9" hidden="1"/>
    <cellStyle name="Hipervínculo visitado" xfId="281" builtinId="9" hidden="1"/>
    <cellStyle name="Hipervínculo visitado" xfId="282" builtinId="9" hidden="1"/>
    <cellStyle name="Hipervínculo visitado" xfId="283" builtinId="9" hidden="1"/>
    <cellStyle name="Hipervínculo visitado" xfId="284" builtinId="9" hidden="1"/>
    <cellStyle name="Hipervínculo visitado" xfId="285" builtinId="9" hidden="1"/>
    <cellStyle name="Hipervínculo visitado" xfId="286" builtinId="9" hidden="1"/>
    <cellStyle name="Hipervínculo visitado" xfId="287" builtinId="9" hidden="1"/>
    <cellStyle name="Hipervínculo visitado" xfId="288" builtinId="9" hidden="1"/>
    <cellStyle name="Hipervínculo visitado" xfId="289" builtinId="9" hidden="1"/>
    <cellStyle name="Hipervínculo visitado" xfId="290" builtinId="9" hidden="1"/>
    <cellStyle name="Hipervínculo visitado" xfId="291" builtinId="9" hidden="1"/>
    <cellStyle name="Hipervínculo visitado" xfId="292" builtinId="9" hidden="1"/>
    <cellStyle name="Hipervínculo visitado" xfId="293" builtinId="9" hidden="1"/>
    <cellStyle name="Hipervínculo visitado" xfId="294" builtinId="9" hidden="1"/>
    <cellStyle name="Hipervínculo visitado" xfId="295" builtinId="9" hidden="1"/>
    <cellStyle name="Hipervínculo visitado" xfId="296" builtinId="9" hidden="1"/>
    <cellStyle name="Hipervínculo visitado" xfId="297" builtinId="9" hidden="1"/>
    <cellStyle name="Hipervínculo visitado" xfId="298" builtinId="9" hidden="1"/>
    <cellStyle name="Hipervínculo visitado" xfId="299" builtinId="9" hidden="1"/>
    <cellStyle name="Hipervínculo visitado" xfId="300" builtinId="9" hidden="1"/>
    <cellStyle name="Hipervínculo visitado" xfId="301" builtinId="9" hidden="1"/>
    <cellStyle name="Hipervínculo visitado" xfId="302" builtinId="9" hidden="1"/>
    <cellStyle name="Hipervínculo visitado" xfId="303" builtinId="9" hidden="1"/>
    <cellStyle name="Hipervínculo visitado" xfId="304" builtinId="9" hidden="1"/>
    <cellStyle name="Hipervínculo visitado" xfId="305" builtinId="9" hidden="1"/>
    <cellStyle name="Hipervínculo visitado" xfId="306" builtinId="9" hidden="1"/>
    <cellStyle name="Hipervínculo visitado" xfId="307" builtinId="9" hidden="1"/>
    <cellStyle name="Hipervínculo visitado" xfId="308" builtinId="9" hidden="1"/>
    <cellStyle name="Hipervínculo visitado" xfId="309" builtinId="9" hidden="1"/>
    <cellStyle name="Hipervínculo visitado" xfId="310" builtinId="9" hidden="1"/>
    <cellStyle name="Incorrecto" xfId="32" builtinId="27" customBuiltin="1"/>
    <cellStyle name="Incorrecto 2" xfId="63" xr:uid="{00000000-0005-0000-0000-000015010000}"/>
    <cellStyle name="Millares" xfId="33" builtinId="3"/>
    <cellStyle name="Millares [0] 2" xfId="52" xr:uid="{00000000-0005-0000-0000-000017010000}"/>
    <cellStyle name="Millares 2" xfId="47" xr:uid="{00000000-0005-0000-0000-000018010000}"/>
    <cellStyle name="Millares 3" xfId="53" xr:uid="{00000000-0005-0000-0000-000019010000}"/>
    <cellStyle name="Millares 4" xfId="54" xr:uid="{00000000-0005-0000-0000-00001A010000}"/>
    <cellStyle name="Moneda 2" xfId="55" xr:uid="{00000000-0005-0000-0000-00001B010000}"/>
    <cellStyle name="Neutral" xfId="34" builtinId="28" customBuiltin="1"/>
    <cellStyle name="Neutral 2" xfId="64" xr:uid="{00000000-0005-0000-0000-00001D010000}"/>
    <cellStyle name="Normal" xfId="0" builtinId="0"/>
    <cellStyle name="Normal 2" xfId="46" xr:uid="{00000000-0005-0000-0000-00001F010000}"/>
    <cellStyle name="Normal 2 2" xfId="50" xr:uid="{00000000-0005-0000-0000-000020010000}"/>
    <cellStyle name="Normal 2 3" xfId="313" xr:uid="{A467447B-219E-469D-A3E6-089BFE592AB8}"/>
    <cellStyle name="Normal 3" xfId="48" xr:uid="{00000000-0005-0000-0000-000021010000}"/>
    <cellStyle name="Normal 4" xfId="56" xr:uid="{00000000-0005-0000-0000-000022010000}"/>
    <cellStyle name="Normal_Exemple practic consolidacio" xfId="35" xr:uid="{00000000-0005-0000-0000-000023010000}"/>
    <cellStyle name="Notas" xfId="36" builtinId="10" customBuiltin="1"/>
    <cellStyle name="Notas 2" xfId="71" xr:uid="{00000000-0005-0000-0000-000025010000}"/>
    <cellStyle name="Percentatge 2" xfId="311" xr:uid="{00000000-0005-0000-0000-000026010000}"/>
    <cellStyle name="Porcentaje" xfId="37" builtinId="5"/>
    <cellStyle name="Porcentaje 2" xfId="312" xr:uid="{00000000-0005-0000-0000-000028010000}"/>
    <cellStyle name="Porcentual 2" xfId="49" xr:uid="{00000000-0005-0000-0000-000029010000}"/>
    <cellStyle name="Salida" xfId="38" builtinId="21" customBuiltin="1"/>
    <cellStyle name="Salida 2" xfId="66" xr:uid="{00000000-0005-0000-0000-00002B010000}"/>
    <cellStyle name="Texto de advertencia" xfId="39" builtinId="11" customBuiltin="1"/>
    <cellStyle name="Texto de advertencia 2" xfId="70" xr:uid="{00000000-0005-0000-0000-00002D010000}"/>
    <cellStyle name="Texto explicativo" xfId="40" builtinId="53" customBuiltin="1"/>
    <cellStyle name="Texto explicativo 2" xfId="72" xr:uid="{00000000-0005-0000-0000-00002F010000}"/>
    <cellStyle name="Título" xfId="41" builtinId="15" customBuiltin="1"/>
    <cellStyle name="Título 1 2" xfId="58" xr:uid="{00000000-0005-0000-0000-000031010000}"/>
    <cellStyle name="Título 2" xfId="43" builtinId="17" customBuiltin="1"/>
    <cellStyle name="Título 2 2" xfId="59" xr:uid="{00000000-0005-0000-0000-000033010000}"/>
    <cellStyle name="Título 3" xfId="44" builtinId="18" customBuiltin="1"/>
    <cellStyle name="Título 3 2" xfId="60" xr:uid="{00000000-0005-0000-0000-000035010000}"/>
    <cellStyle name="Título 4" xfId="57" xr:uid="{00000000-0005-0000-0000-000036010000}"/>
    <cellStyle name="Total" xfId="45" builtinId="25" customBuiltin="1"/>
    <cellStyle name="Total 2" xfId="73" xr:uid="{00000000-0005-0000-0000-000038010000}"/>
  </cellStyles>
  <dxfs count="17">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val="0"/>
        <condense val="0"/>
        <extend val="0"/>
        <color indexed="0"/>
      </font>
      <fill>
        <patternFill patternType="solid">
          <fgColor indexed="60"/>
          <bgColor indexed="10"/>
        </patternFill>
      </fill>
    </dxf>
    <dxf>
      <font>
        <b val="0"/>
        <condense val="0"/>
        <extend val="0"/>
        <color indexed="0"/>
      </font>
      <fill>
        <patternFill patternType="solid">
          <fgColor indexed="49"/>
          <bgColor indexed="11"/>
        </patternFill>
      </fill>
    </dxf>
    <dxf>
      <fill>
        <patternFill patternType="solid">
          <fgColor indexed="60"/>
          <bgColor indexed="10"/>
        </patternFill>
      </fill>
    </dxf>
    <dxf>
      <fill>
        <patternFill patternType="solid">
          <fgColor indexed="49"/>
          <bgColor indexed="11"/>
        </patternFill>
      </fill>
    </dxf>
    <dxf>
      <fill>
        <patternFill patternType="solid">
          <fgColor indexed="49"/>
          <bgColor indexed="11"/>
        </patternFill>
      </fill>
    </dxf>
    <dxf>
      <fill>
        <patternFill patternType="solid">
          <fgColor indexed="60"/>
          <bgColor indexed="10"/>
        </patternFill>
      </fill>
    </dxf>
    <dxf>
      <fill>
        <patternFill patternType="solid">
          <fgColor indexed="49"/>
          <bgColor indexed="11"/>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ill>
        <patternFill patternType="solid">
          <fgColor indexed="60"/>
          <bgColor indexed="10"/>
        </patternFill>
      </fill>
    </dxf>
    <dxf>
      <font>
        <b val="0"/>
        <condense val="0"/>
        <extend val="0"/>
        <color indexed="0"/>
      </font>
      <fill>
        <patternFill patternType="solid">
          <fgColor indexed="60"/>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651710</xdr:colOff>
      <xdr:row>119</xdr:row>
      <xdr:rowOff>137027</xdr:rowOff>
    </xdr:from>
    <xdr:to>
      <xdr:col>11</xdr:col>
      <xdr:colOff>223921</xdr:colOff>
      <xdr:row>130</xdr:row>
      <xdr:rowOff>16710</xdr:rowOff>
    </xdr:to>
    <xdr:sp macro="" textlink="">
      <xdr:nvSpPr>
        <xdr:cNvPr id="4" name="Flecha doblada hacia arriba 3">
          <a:extLst>
            <a:ext uri="{FF2B5EF4-FFF2-40B4-BE49-F238E27FC236}">
              <a16:creationId xmlns:a16="http://schemas.microsoft.com/office/drawing/2014/main" id="{00000000-0008-0000-0200-000004000000}"/>
            </a:ext>
          </a:extLst>
        </xdr:cNvPr>
        <xdr:cNvSpPr/>
      </xdr:nvSpPr>
      <xdr:spPr bwMode="auto">
        <a:xfrm rot="5400000">
          <a:off x="8856579" y="19939000"/>
          <a:ext cx="1664368" cy="1711158"/>
        </a:xfrm>
        <a:prstGeom prst="bentUpArrow">
          <a:avLst/>
        </a:prstGeom>
        <a:solidFill>
          <a:schemeClr val="accent6"/>
        </a:solid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ca-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193</xdr:row>
      <xdr:rowOff>76200</xdr:rowOff>
    </xdr:from>
    <xdr:to>
      <xdr:col>9</xdr:col>
      <xdr:colOff>0</xdr:colOff>
      <xdr:row>193</xdr:row>
      <xdr:rowOff>76200</xdr:rowOff>
    </xdr:to>
    <xdr:sp macro="" textlink="">
      <xdr:nvSpPr>
        <xdr:cNvPr id="4447" name="Line 54">
          <a:extLst>
            <a:ext uri="{FF2B5EF4-FFF2-40B4-BE49-F238E27FC236}">
              <a16:creationId xmlns:a16="http://schemas.microsoft.com/office/drawing/2014/main" id="{00000000-0008-0000-0600-00005F110000}"/>
            </a:ext>
          </a:extLst>
        </xdr:cNvPr>
        <xdr:cNvSpPr>
          <a:spLocks noChangeShapeType="1"/>
        </xdr:cNvSpPr>
      </xdr:nvSpPr>
      <xdr:spPr bwMode="auto">
        <a:xfrm>
          <a:off x="12534900" y="33483550"/>
          <a:ext cx="0" cy="0"/>
        </a:xfrm>
        <a:prstGeom prst="line">
          <a:avLst/>
        </a:prstGeom>
        <a:noFill/>
        <a:ln w="9360" cap="sq">
          <a:solidFill>
            <a:srgbClr val="000000"/>
          </a:solidFill>
          <a:miter lim="800000"/>
          <a:headEnd/>
          <a:tailEnd/>
        </a:ln>
      </xdr:spPr>
    </xdr:sp>
    <xdr:clientData/>
  </xdr:twoCellAnchor>
  <xdr:twoCellAnchor>
    <xdr:from>
      <xdr:col>5</xdr:col>
      <xdr:colOff>0</xdr:colOff>
      <xdr:row>223</xdr:row>
      <xdr:rowOff>76200</xdr:rowOff>
    </xdr:from>
    <xdr:to>
      <xdr:col>5</xdr:col>
      <xdr:colOff>0</xdr:colOff>
      <xdr:row>223</xdr:row>
      <xdr:rowOff>76200</xdr:rowOff>
    </xdr:to>
    <xdr:sp macro="" textlink="">
      <xdr:nvSpPr>
        <xdr:cNvPr id="4448" name="Line 54">
          <a:extLst>
            <a:ext uri="{FF2B5EF4-FFF2-40B4-BE49-F238E27FC236}">
              <a16:creationId xmlns:a16="http://schemas.microsoft.com/office/drawing/2014/main" id="{00000000-0008-0000-0600-000060110000}"/>
            </a:ext>
          </a:extLst>
        </xdr:cNvPr>
        <xdr:cNvSpPr>
          <a:spLocks noChangeShapeType="1"/>
        </xdr:cNvSpPr>
      </xdr:nvSpPr>
      <xdr:spPr bwMode="auto">
        <a:xfrm>
          <a:off x="7823200" y="38823900"/>
          <a:ext cx="0" cy="0"/>
        </a:xfrm>
        <a:prstGeom prst="line">
          <a:avLst/>
        </a:prstGeom>
        <a:noFill/>
        <a:ln w="9360" cap="sq">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44</xdr:row>
      <xdr:rowOff>0</xdr:rowOff>
    </xdr:from>
    <xdr:to>
      <xdr:col>2</xdr:col>
      <xdr:colOff>958850</xdr:colOff>
      <xdr:row>44</xdr:row>
      <xdr:rowOff>0</xdr:rowOff>
    </xdr:to>
    <xdr:pic>
      <xdr:nvPicPr>
        <xdr:cNvPr id="24941" name="Picture 8">
          <a:extLst>
            <a:ext uri="{FF2B5EF4-FFF2-40B4-BE49-F238E27FC236}">
              <a16:creationId xmlns:a16="http://schemas.microsoft.com/office/drawing/2014/main" id="{00000000-0008-0000-0A00-00006D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42" name="Picture 9">
          <a:extLst>
            <a:ext uri="{FF2B5EF4-FFF2-40B4-BE49-F238E27FC236}">
              <a16:creationId xmlns:a16="http://schemas.microsoft.com/office/drawing/2014/main" id="{00000000-0008-0000-0A00-00006E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43" name="Picture 10">
          <a:extLst>
            <a:ext uri="{FF2B5EF4-FFF2-40B4-BE49-F238E27FC236}">
              <a16:creationId xmlns:a16="http://schemas.microsoft.com/office/drawing/2014/main" id="{00000000-0008-0000-0A00-00006F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44" name="Picture 11">
          <a:extLst>
            <a:ext uri="{FF2B5EF4-FFF2-40B4-BE49-F238E27FC236}">
              <a16:creationId xmlns:a16="http://schemas.microsoft.com/office/drawing/2014/main" id="{00000000-0008-0000-0A00-000070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45" name="Picture 12">
          <a:extLst>
            <a:ext uri="{FF2B5EF4-FFF2-40B4-BE49-F238E27FC236}">
              <a16:creationId xmlns:a16="http://schemas.microsoft.com/office/drawing/2014/main" id="{00000000-0008-0000-0A00-000071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46" name="Picture 13">
          <a:extLst>
            <a:ext uri="{FF2B5EF4-FFF2-40B4-BE49-F238E27FC236}">
              <a16:creationId xmlns:a16="http://schemas.microsoft.com/office/drawing/2014/main" id="{00000000-0008-0000-0A00-000072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47" name="Picture 14">
          <a:extLst>
            <a:ext uri="{FF2B5EF4-FFF2-40B4-BE49-F238E27FC236}">
              <a16:creationId xmlns:a16="http://schemas.microsoft.com/office/drawing/2014/main" id="{00000000-0008-0000-0A00-000073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48" name="Picture 15">
          <a:extLst>
            <a:ext uri="{FF2B5EF4-FFF2-40B4-BE49-F238E27FC236}">
              <a16:creationId xmlns:a16="http://schemas.microsoft.com/office/drawing/2014/main" id="{00000000-0008-0000-0A00-000074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49" name="Picture 16">
          <a:extLst>
            <a:ext uri="{FF2B5EF4-FFF2-40B4-BE49-F238E27FC236}">
              <a16:creationId xmlns:a16="http://schemas.microsoft.com/office/drawing/2014/main" id="{00000000-0008-0000-0A00-000075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50" name="Picture 17">
          <a:extLst>
            <a:ext uri="{FF2B5EF4-FFF2-40B4-BE49-F238E27FC236}">
              <a16:creationId xmlns:a16="http://schemas.microsoft.com/office/drawing/2014/main" id="{00000000-0008-0000-0A00-000076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51" name="Picture 18">
          <a:extLst>
            <a:ext uri="{FF2B5EF4-FFF2-40B4-BE49-F238E27FC236}">
              <a16:creationId xmlns:a16="http://schemas.microsoft.com/office/drawing/2014/main" id="{00000000-0008-0000-0A00-000077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52" name="Picture 19">
          <a:extLst>
            <a:ext uri="{FF2B5EF4-FFF2-40B4-BE49-F238E27FC236}">
              <a16:creationId xmlns:a16="http://schemas.microsoft.com/office/drawing/2014/main" id="{00000000-0008-0000-0A00-000078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53" name="Picture 20">
          <a:extLst>
            <a:ext uri="{FF2B5EF4-FFF2-40B4-BE49-F238E27FC236}">
              <a16:creationId xmlns:a16="http://schemas.microsoft.com/office/drawing/2014/main" id="{00000000-0008-0000-0A00-000079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54" name="Picture 21">
          <a:extLst>
            <a:ext uri="{FF2B5EF4-FFF2-40B4-BE49-F238E27FC236}">
              <a16:creationId xmlns:a16="http://schemas.microsoft.com/office/drawing/2014/main" id="{00000000-0008-0000-0A00-00007A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55" name="Picture 22">
          <a:extLst>
            <a:ext uri="{FF2B5EF4-FFF2-40B4-BE49-F238E27FC236}">
              <a16:creationId xmlns:a16="http://schemas.microsoft.com/office/drawing/2014/main" id="{00000000-0008-0000-0A00-00007B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56" name="Picture 23">
          <a:extLst>
            <a:ext uri="{FF2B5EF4-FFF2-40B4-BE49-F238E27FC236}">
              <a16:creationId xmlns:a16="http://schemas.microsoft.com/office/drawing/2014/main" id="{00000000-0008-0000-0A00-00007C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57" name="Picture 24">
          <a:extLst>
            <a:ext uri="{FF2B5EF4-FFF2-40B4-BE49-F238E27FC236}">
              <a16:creationId xmlns:a16="http://schemas.microsoft.com/office/drawing/2014/main" id="{00000000-0008-0000-0A00-00007D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58" name="Picture 25">
          <a:extLst>
            <a:ext uri="{FF2B5EF4-FFF2-40B4-BE49-F238E27FC236}">
              <a16:creationId xmlns:a16="http://schemas.microsoft.com/office/drawing/2014/main" id="{00000000-0008-0000-0A00-00007E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59" name="Picture 26">
          <a:extLst>
            <a:ext uri="{FF2B5EF4-FFF2-40B4-BE49-F238E27FC236}">
              <a16:creationId xmlns:a16="http://schemas.microsoft.com/office/drawing/2014/main" id="{00000000-0008-0000-0A00-00007F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60" name="Picture 27">
          <a:extLst>
            <a:ext uri="{FF2B5EF4-FFF2-40B4-BE49-F238E27FC236}">
              <a16:creationId xmlns:a16="http://schemas.microsoft.com/office/drawing/2014/main" id="{00000000-0008-0000-0A00-000080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61" name="Picture 28">
          <a:extLst>
            <a:ext uri="{FF2B5EF4-FFF2-40B4-BE49-F238E27FC236}">
              <a16:creationId xmlns:a16="http://schemas.microsoft.com/office/drawing/2014/main" id="{00000000-0008-0000-0A00-000081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62" name="Picture 29">
          <a:extLst>
            <a:ext uri="{FF2B5EF4-FFF2-40B4-BE49-F238E27FC236}">
              <a16:creationId xmlns:a16="http://schemas.microsoft.com/office/drawing/2014/main" id="{00000000-0008-0000-0A00-000082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63" name="Picture 30">
          <a:extLst>
            <a:ext uri="{FF2B5EF4-FFF2-40B4-BE49-F238E27FC236}">
              <a16:creationId xmlns:a16="http://schemas.microsoft.com/office/drawing/2014/main" id="{00000000-0008-0000-0A00-000083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64" name="Picture 31">
          <a:extLst>
            <a:ext uri="{FF2B5EF4-FFF2-40B4-BE49-F238E27FC236}">
              <a16:creationId xmlns:a16="http://schemas.microsoft.com/office/drawing/2014/main" id="{00000000-0008-0000-0A00-000084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65" name="Picture 32">
          <a:extLst>
            <a:ext uri="{FF2B5EF4-FFF2-40B4-BE49-F238E27FC236}">
              <a16:creationId xmlns:a16="http://schemas.microsoft.com/office/drawing/2014/main" id="{00000000-0008-0000-0A00-000085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66" name="Picture 33">
          <a:extLst>
            <a:ext uri="{FF2B5EF4-FFF2-40B4-BE49-F238E27FC236}">
              <a16:creationId xmlns:a16="http://schemas.microsoft.com/office/drawing/2014/main" id="{00000000-0008-0000-0A00-000086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67" name="Picture 34">
          <a:extLst>
            <a:ext uri="{FF2B5EF4-FFF2-40B4-BE49-F238E27FC236}">
              <a16:creationId xmlns:a16="http://schemas.microsoft.com/office/drawing/2014/main" id="{00000000-0008-0000-0A00-000087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68" name="Picture 35">
          <a:extLst>
            <a:ext uri="{FF2B5EF4-FFF2-40B4-BE49-F238E27FC236}">
              <a16:creationId xmlns:a16="http://schemas.microsoft.com/office/drawing/2014/main" id="{00000000-0008-0000-0A00-000088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69" name="Picture 36">
          <a:extLst>
            <a:ext uri="{FF2B5EF4-FFF2-40B4-BE49-F238E27FC236}">
              <a16:creationId xmlns:a16="http://schemas.microsoft.com/office/drawing/2014/main" id="{00000000-0008-0000-0A00-000089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70" name="Picture 37">
          <a:extLst>
            <a:ext uri="{FF2B5EF4-FFF2-40B4-BE49-F238E27FC236}">
              <a16:creationId xmlns:a16="http://schemas.microsoft.com/office/drawing/2014/main" id="{00000000-0008-0000-0A00-00008A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71" name="Picture 38">
          <a:extLst>
            <a:ext uri="{FF2B5EF4-FFF2-40B4-BE49-F238E27FC236}">
              <a16:creationId xmlns:a16="http://schemas.microsoft.com/office/drawing/2014/main" id="{00000000-0008-0000-0A00-00008B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72" name="Picture 39">
          <a:extLst>
            <a:ext uri="{FF2B5EF4-FFF2-40B4-BE49-F238E27FC236}">
              <a16:creationId xmlns:a16="http://schemas.microsoft.com/office/drawing/2014/main" id="{00000000-0008-0000-0A00-00008C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73" name="Picture 40">
          <a:extLst>
            <a:ext uri="{FF2B5EF4-FFF2-40B4-BE49-F238E27FC236}">
              <a16:creationId xmlns:a16="http://schemas.microsoft.com/office/drawing/2014/main" id="{00000000-0008-0000-0A00-00008D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74" name="Picture 41">
          <a:extLst>
            <a:ext uri="{FF2B5EF4-FFF2-40B4-BE49-F238E27FC236}">
              <a16:creationId xmlns:a16="http://schemas.microsoft.com/office/drawing/2014/main" id="{00000000-0008-0000-0A00-00008E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75" name="Picture 42">
          <a:extLst>
            <a:ext uri="{FF2B5EF4-FFF2-40B4-BE49-F238E27FC236}">
              <a16:creationId xmlns:a16="http://schemas.microsoft.com/office/drawing/2014/main" id="{00000000-0008-0000-0A00-00008F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76" name="Picture 43">
          <a:extLst>
            <a:ext uri="{FF2B5EF4-FFF2-40B4-BE49-F238E27FC236}">
              <a16:creationId xmlns:a16="http://schemas.microsoft.com/office/drawing/2014/main" id="{00000000-0008-0000-0A00-000090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77" name="Picture 44">
          <a:extLst>
            <a:ext uri="{FF2B5EF4-FFF2-40B4-BE49-F238E27FC236}">
              <a16:creationId xmlns:a16="http://schemas.microsoft.com/office/drawing/2014/main" id="{00000000-0008-0000-0A00-000091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78" name="Picture 45">
          <a:extLst>
            <a:ext uri="{FF2B5EF4-FFF2-40B4-BE49-F238E27FC236}">
              <a16:creationId xmlns:a16="http://schemas.microsoft.com/office/drawing/2014/main" id="{00000000-0008-0000-0A00-000092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79" name="Picture 46">
          <a:extLst>
            <a:ext uri="{FF2B5EF4-FFF2-40B4-BE49-F238E27FC236}">
              <a16:creationId xmlns:a16="http://schemas.microsoft.com/office/drawing/2014/main" id="{00000000-0008-0000-0A00-000093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80" name="Picture 47">
          <a:extLst>
            <a:ext uri="{FF2B5EF4-FFF2-40B4-BE49-F238E27FC236}">
              <a16:creationId xmlns:a16="http://schemas.microsoft.com/office/drawing/2014/main" id="{00000000-0008-0000-0A00-000094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81" name="Picture 48">
          <a:extLst>
            <a:ext uri="{FF2B5EF4-FFF2-40B4-BE49-F238E27FC236}">
              <a16:creationId xmlns:a16="http://schemas.microsoft.com/office/drawing/2014/main" id="{00000000-0008-0000-0A00-000095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82" name="Picture 49">
          <a:extLst>
            <a:ext uri="{FF2B5EF4-FFF2-40B4-BE49-F238E27FC236}">
              <a16:creationId xmlns:a16="http://schemas.microsoft.com/office/drawing/2014/main" id="{00000000-0008-0000-0A00-000096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83" name="Picture 50">
          <a:extLst>
            <a:ext uri="{FF2B5EF4-FFF2-40B4-BE49-F238E27FC236}">
              <a16:creationId xmlns:a16="http://schemas.microsoft.com/office/drawing/2014/main" id="{00000000-0008-0000-0A00-000097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84" name="Picture 51">
          <a:extLst>
            <a:ext uri="{FF2B5EF4-FFF2-40B4-BE49-F238E27FC236}">
              <a16:creationId xmlns:a16="http://schemas.microsoft.com/office/drawing/2014/main" id="{00000000-0008-0000-0A00-000098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2</xdr:col>
      <xdr:colOff>0</xdr:colOff>
      <xdr:row>44</xdr:row>
      <xdr:rowOff>0</xdr:rowOff>
    </xdr:from>
    <xdr:to>
      <xdr:col>2</xdr:col>
      <xdr:colOff>958850</xdr:colOff>
      <xdr:row>44</xdr:row>
      <xdr:rowOff>0</xdr:rowOff>
    </xdr:to>
    <xdr:pic>
      <xdr:nvPicPr>
        <xdr:cNvPr id="24985" name="Picture 52">
          <a:extLst>
            <a:ext uri="{FF2B5EF4-FFF2-40B4-BE49-F238E27FC236}">
              <a16:creationId xmlns:a16="http://schemas.microsoft.com/office/drawing/2014/main" id="{00000000-0008-0000-0A00-000099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3</xdr:col>
      <xdr:colOff>0</xdr:colOff>
      <xdr:row>44</xdr:row>
      <xdr:rowOff>0</xdr:rowOff>
    </xdr:from>
    <xdr:to>
      <xdr:col>3</xdr:col>
      <xdr:colOff>958850</xdr:colOff>
      <xdr:row>44</xdr:row>
      <xdr:rowOff>0</xdr:rowOff>
    </xdr:to>
    <xdr:pic>
      <xdr:nvPicPr>
        <xdr:cNvPr id="24986" name="Picture 53">
          <a:extLst>
            <a:ext uri="{FF2B5EF4-FFF2-40B4-BE49-F238E27FC236}">
              <a16:creationId xmlns:a16="http://schemas.microsoft.com/office/drawing/2014/main" id="{00000000-0008-0000-0A00-00009A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87" name="Picture 54">
          <a:extLst>
            <a:ext uri="{FF2B5EF4-FFF2-40B4-BE49-F238E27FC236}">
              <a16:creationId xmlns:a16="http://schemas.microsoft.com/office/drawing/2014/main" id="{00000000-0008-0000-0A00-00009B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88" name="Picture 55">
          <a:extLst>
            <a:ext uri="{FF2B5EF4-FFF2-40B4-BE49-F238E27FC236}">
              <a16:creationId xmlns:a16="http://schemas.microsoft.com/office/drawing/2014/main" id="{00000000-0008-0000-0A00-00009C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89" name="Picture 56">
          <a:extLst>
            <a:ext uri="{FF2B5EF4-FFF2-40B4-BE49-F238E27FC236}">
              <a16:creationId xmlns:a16="http://schemas.microsoft.com/office/drawing/2014/main" id="{00000000-0008-0000-0A00-00009D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0" name="Picture 57">
          <a:extLst>
            <a:ext uri="{FF2B5EF4-FFF2-40B4-BE49-F238E27FC236}">
              <a16:creationId xmlns:a16="http://schemas.microsoft.com/office/drawing/2014/main" id="{00000000-0008-0000-0A00-00009E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1" name="Picture 58">
          <a:extLst>
            <a:ext uri="{FF2B5EF4-FFF2-40B4-BE49-F238E27FC236}">
              <a16:creationId xmlns:a16="http://schemas.microsoft.com/office/drawing/2014/main" id="{00000000-0008-0000-0A00-00009F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2" name="Picture 59">
          <a:extLst>
            <a:ext uri="{FF2B5EF4-FFF2-40B4-BE49-F238E27FC236}">
              <a16:creationId xmlns:a16="http://schemas.microsoft.com/office/drawing/2014/main" id="{00000000-0008-0000-0A00-0000A0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3" name="Picture 60">
          <a:extLst>
            <a:ext uri="{FF2B5EF4-FFF2-40B4-BE49-F238E27FC236}">
              <a16:creationId xmlns:a16="http://schemas.microsoft.com/office/drawing/2014/main" id="{00000000-0008-0000-0A00-0000A1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4" name="Picture 61">
          <a:extLst>
            <a:ext uri="{FF2B5EF4-FFF2-40B4-BE49-F238E27FC236}">
              <a16:creationId xmlns:a16="http://schemas.microsoft.com/office/drawing/2014/main" id="{00000000-0008-0000-0A00-0000A2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5" name="Picture 62">
          <a:extLst>
            <a:ext uri="{FF2B5EF4-FFF2-40B4-BE49-F238E27FC236}">
              <a16:creationId xmlns:a16="http://schemas.microsoft.com/office/drawing/2014/main" id="{00000000-0008-0000-0A00-0000A3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6" name="Picture 63">
          <a:extLst>
            <a:ext uri="{FF2B5EF4-FFF2-40B4-BE49-F238E27FC236}">
              <a16:creationId xmlns:a16="http://schemas.microsoft.com/office/drawing/2014/main" id="{00000000-0008-0000-0A00-0000A4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7" name="Picture 64">
          <a:extLst>
            <a:ext uri="{FF2B5EF4-FFF2-40B4-BE49-F238E27FC236}">
              <a16:creationId xmlns:a16="http://schemas.microsoft.com/office/drawing/2014/main" id="{00000000-0008-0000-0A00-0000A5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8" name="Picture 65">
          <a:extLst>
            <a:ext uri="{FF2B5EF4-FFF2-40B4-BE49-F238E27FC236}">
              <a16:creationId xmlns:a16="http://schemas.microsoft.com/office/drawing/2014/main" id="{00000000-0008-0000-0A00-0000A6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4999" name="Picture 66">
          <a:extLst>
            <a:ext uri="{FF2B5EF4-FFF2-40B4-BE49-F238E27FC236}">
              <a16:creationId xmlns:a16="http://schemas.microsoft.com/office/drawing/2014/main" id="{00000000-0008-0000-0A00-0000A7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0" name="Picture 67">
          <a:extLst>
            <a:ext uri="{FF2B5EF4-FFF2-40B4-BE49-F238E27FC236}">
              <a16:creationId xmlns:a16="http://schemas.microsoft.com/office/drawing/2014/main" id="{00000000-0008-0000-0A00-0000A8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1" name="Picture 68">
          <a:extLst>
            <a:ext uri="{FF2B5EF4-FFF2-40B4-BE49-F238E27FC236}">
              <a16:creationId xmlns:a16="http://schemas.microsoft.com/office/drawing/2014/main" id="{00000000-0008-0000-0A00-0000A9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2" name="Picture 69">
          <a:extLst>
            <a:ext uri="{FF2B5EF4-FFF2-40B4-BE49-F238E27FC236}">
              <a16:creationId xmlns:a16="http://schemas.microsoft.com/office/drawing/2014/main" id="{00000000-0008-0000-0A00-0000AA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3" name="Picture 70">
          <a:extLst>
            <a:ext uri="{FF2B5EF4-FFF2-40B4-BE49-F238E27FC236}">
              <a16:creationId xmlns:a16="http://schemas.microsoft.com/office/drawing/2014/main" id="{00000000-0008-0000-0A00-0000AB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4" name="Picture 71">
          <a:extLst>
            <a:ext uri="{FF2B5EF4-FFF2-40B4-BE49-F238E27FC236}">
              <a16:creationId xmlns:a16="http://schemas.microsoft.com/office/drawing/2014/main" id="{00000000-0008-0000-0A00-0000AC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5" name="Picture 72">
          <a:extLst>
            <a:ext uri="{FF2B5EF4-FFF2-40B4-BE49-F238E27FC236}">
              <a16:creationId xmlns:a16="http://schemas.microsoft.com/office/drawing/2014/main" id="{00000000-0008-0000-0A00-0000AD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6" name="Picture 73">
          <a:extLst>
            <a:ext uri="{FF2B5EF4-FFF2-40B4-BE49-F238E27FC236}">
              <a16:creationId xmlns:a16="http://schemas.microsoft.com/office/drawing/2014/main" id="{00000000-0008-0000-0A00-0000AE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7" name="Picture 74">
          <a:extLst>
            <a:ext uri="{FF2B5EF4-FFF2-40B4-BE49-F238E27FC236}">
              <a16:creationId xmlns:a16="http://schemas.microsoft.com/office/drawing/2014/main" id="{00000000-0008-0000-0A00-0000AF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8" name="Picture 75">
          <a:extLst>
            <a:ext uri="{FF2B5EF4-FFF2-40B4-BE49-F238E27FC236}">
              <a16:creationId xmlns:a16="http://schemas.microsoft.com/office/drawing/2014/main" id="{00000000-0008-0000-0A00-0000B0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09" name="Picture 76">
          <a:extLst>
            <a:ext uri="{FF2B5EF4-FFF2-40B4-BE49-F238E27FC236}">
              <a16:creationId xmlns:a16="http://schemas.microsoft.com/office/drawing/2014/main" id="{00000000-0008-0000-0A00-0000B1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0" name="Picture 77">
          <a:extLst>
            <a:ext uri="{FF2B5EF4-FFF2-40B4-BE49-F238E27FC236}">
              <a16:creationId xmlns:a16="http://schemas.microsoft.com/office/drawing/2014/main" id="{00000000-0008-0000-0A00-0000B2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1" name="Picture 78">
          <a:extLst>
            <a:ext uri="{FF2B5EF4-FFF2-40B4-BE49-F238E27FC236}">
              <a16:creationId xmlns:a16="http://schemas.microsoft.com/office/drawing/2014/main" id="{00000000-0008-0000-0A00-0000B3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2" name="Picture 79">
          <a:extLst>
            <a:ext uri="{FF2B5EF4-FFF2-40B4-BE49-F238E27FC236}">
              <a16:creationId xmlns:a16="http://schemas.microsoft.com/office/drawing/2014/main" id="{00000000-0008-0000-0A00-0000B4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3" name="Picture 80">
          <a:extLst>
            <a:ext uri="{FF2B5EF4-FFF2-40B4-BE49-F238E27FC236}">
              <a16:creationId xmlns:a16="http://schemas.microsoft.com/office/drawing/2014/main" id="{00000000-0008-0000-0A00-0000B5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4" name="Picture 81">
          <a:extLst>
            <a:ext uri="{FF2B5EF4-FFF2-40B4-BE49-F238E27FC236}">
              <a16:creationId xmlns:a16="http://schemas.microsoft.com/office/drawing/2014/main" id="{00000000-0008-0000-0A00-0000B6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5" name="Picture 82">
          <a:extLst>
            <a:ext uri="{FF2B5EF4-FFF2-40B4-BE49-F238E27FC236}">
              <a16:creationId xmlns:a16="http://schemas.microsoft.com/office/drawing/2014/main" id="{00000000-0008-0000-0A00-0000B7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6" name="Picture 83">
          <a:extLst>
            <a:ext uri="{FF2B5EF4-FFF2-40B4-BE49-F238E27FC236}">
              <a16:creationId xmlns:a16="http://schemas.microsoft.com/office/drawing/2014/main" id="{00000000-0008-0000-0A00-0000B8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7" name="Picture 84">
          <a:extLst>
            <a:ext uri="{FF2B5EF4-FFF2-40B4-BE49-F238E27FC236}">
              <a16:creationId xmlns:a16="http://schemas.microsoft.com/office/drawing/2014/main" id="{00000000-0008-0000-0A00-0000B9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8" name="Picture 85">
          <a:extLst>
            <a:ext uri="{FF2B5EF4-FFF2-40B4-BE49-F238E27FC236}">
              <a16:creationId xmlns:a16="http://schemas.microsoft.com/office/drawing/2014/main" id="{00000000-0008-0000-0A00-0000BA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19" name="Picture 86">
          <a:extLst>
            <a:ext uri="{FF2B5EF4-FFF2-40B4-BE49-F238E27FC236}">
              <a16:creationId xmlns:a16="http://schemas.microsoft.com/office/drawing/2014/main" id="{00000000-0008-0000-0A00-0000BB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0" name="Picture 87">
          <a:extLst>
            <a:ext uri="{FF2B5EF4-FFF2-40B4-BE49-F238E27FC236}">
              <a16:creationId xmlns:a16="http://schemas.microsoft.com/office/drawing/2014/main" id="{00000000-0008-0000-0A00-0000BC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1" name="Picture 88">
          <a:extLst>
            <a:ext uri="{FF2B5EF4-FFF2-40B4-BE49-F238E27FC236}">
              <a16:creationId xmlns:a16="http://schemas.microsoft.com/office/drawing/2014/main" id="{00000000-0008-0000-0A00-0000BD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2" name="Picture 89">
          <a:extLst>
            <a:ext uri="{FF2B5EF4-FFF2-40B4-BE49-F238E27FC236}">
              <a16:creationId xmlns:a16="http://schemas.microsoft.com/office/drawing/2014/main" id="{00000000-0008-0000-0A00-0000BE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3" name="Picture 90">
          <a:extLst>
            <a:ext uri="{FF2B5EF4-FFF2-40B4-BE49-F238E27FC236}">
              <a16:creationId xmlns:a16="http://schemas.microsoft.com/office/drawing/2014/main" id="{00000000-0008-0000-0A00-0000BF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4" name="Picture 91">
          <a:extLst>
            <a:ext uri="{FF2B5EF4-FFF2-40B4-BE49-F238E27FC236}">
              <a16:creationId xmlns:a16="http://schemas.microsoft.com/office/drawing/2014/main" id="{00000000-0008-0000-0A00-0000C0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5" name="Picture 92">
          <a:extLst>
            <a:ext uri="{FF2B5EF4-FFF2-40B4-BE49-F238E27FC236}">
              <a16:creationId xmlns:a16="http://schemas.microsoft.com/office/drawing/2014/main" id="{00000000-0008-0000-0A00-0000C1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6" name="Picture 93">
          <a:extLst>
            <a:ext uri="{FF2B5EF4-FFF2-40B4-BE49-F238E27FC236}">
              <a16:creationId xmlns:a16="http://schemas.microsoft.com/office/drawing/2014/main" id="{00000000-0008-0000-0A00-0000C2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7" name="Picture 94">
          <a:extLst>
            <a:ext uri="{FF2B5EF4-FFF2-40B4-BE49-F238E27FC236}">
              <a16:creationId xmlns:a16="http://schemas.microsoft.com/office/drawing/2014/main" id="{00000000-0008-0000-0A00-0000C3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8" name="Picture 95">
          <a:extLst>
            <a:ext uri="{FF2B5EF4-FFF2-40B4-BE49-F238E27FC236}">
              <a16:creationId xmlns:a16="http://schemas.microsoft.com/office/drawing/2014/main" id="{00000000-0008-0000-0A00-0000C4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29" name="Picture 96">
          <a:extLst>
            <a:ext uri="{FF2B5EF4-FFF2-40B4-BE49-F238E27FC236}">
              <a16:creationId xmlns:a16="http://schemas.microsoft.com/office/drawing/2014/main" id="{00000000-0008-0000-0A00-0000C5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30" name="Picture 97">
          <a:extLst>
            <a:ext uri="{FF2B5EF4-FFF2-40B4-BE49-F238E27FC236}">
              <a16:creationId xmlns:a16="http://schemas.microsoft.com/office/drawing/2014/main" id="{00000000-0008-0000-0A00-0000C6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31" name="Picture 98">
          <a:extLst>
            <a:ext uri="{FF2B5EF4-FFF2-40B4-BE49-F238E27FC236}">
              <a16:creationId xmlns:a16="http://schemas.microsoft.com/office/drawing/2014/main" id="{00000000-0008-0000-0A00-0000C7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twoCellAnchor>
    <xdr:from>
      <xdr:col>4</xdr:col>
      <xdr:colOff>0</xdr:colOff>
      <xdr:row>44</xdr:row>
      <xdr:rowOff>0</xdr:rowOff>
    </xdr:from>
    <xdr:to>
      <xdr:col>4</xdr:col>
      <xdr:colOff>958850</xdr:colOff>
      <xdr:row>44</xdr:row>
      <xdr:rowOff>0</xdr:rowOff>
    </xdr:to>
    <xdr:pic>
      <xdr:nvPicPr>
        <xdr:cNvPr id="25032" name="Picture 99">
          <a:extLst>
            <a:ext uri="{FF2B5EF4-FFF2-40B4-BE49-F238E27FC236}">
              <a16:creationId xmlns:a16="http://schemas.microsoft.com/office/drawing/2014/main" id="{00000000-0008-0000-0A00-0000C86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61200" y="7239000"/>
          <a:ext cx="958850" cy="0"/>
        </a:xfrm>
        <a:prstGeom prst="rect">
          <a:avLst/>
        </a:prstGeom>
        <a:solidFill>
          <a:srgbClr val="FFFFFF"/>
        </a:solidFill>
        <a:ln w="9525">
          <a:solidFill>
            <a:srgbClr val="000000"/>
          </a:solid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204</xdr:row>
      <xdr:rowOff>76200</xdr:rowOff>
    </xdr:from>
    <xdr:to>
      <xdr:col>9</xdr:col>
      <xdr:colOff>0</xdr:colOff>
      <xdr:row>204</xdr:row>
      <xdr:rowOff>76200</xdr:rowOff>
    </xdr:to>
    <xdr:sp macro="" textlink="">
      <xdr:nvSpPr>
        <xdr:cNvPr id="9595" name="Line 54">
          <a:extLst>
            <a:ext uri="{FF2B5EF4-FFF2-40B4-BE49-F238E27FC236}">
              <a16:creationId xmlns:a16="http://schemas.microsoft.com/office/drawing/2014/main" id="{00000000-0008-0000-0B00-00007B250000}"/>
            </a:ext>
          </a:extLst>
        </xdr:cNvPr>
        <xdr:cNvSpPr>
          <a:spLocks noChangeShapeType="1"/>
        </xdr:cNvSpPr>
      </xdr:nvSpPr>
      <xdr:spPr bwMode="auto">
        <a:xfrm>
          <a:off x="12134850" y="34925000"/>
          <a:ext cx="0" cy="0"/>
        </a:xfrm>
        <a:prstGeom prst="line">
          <a:avLst/>
        </a:prstGeom>
        <a:noFill/>
        <a:ln w="9360" cap="sq">
          <a:solidFill>
            <a:srgbClr val="000000"/>
          </a:solidFill>
          <a:miter lim="800000"/>
          <a:headEnd/>
          <a:tailEnd/>
        </a:ln>
      </xdr:spPr>
    </xdr:sp>
    <xdr:clientData/>
  </xdr:twoCellAnchor>
  <xdr:twoCellAnchor>
    <xdr:from>
      <xdr:col>5</xdr:col>
      <xdr:colOff>0</xdr:colOff>
      <xdr:row>234</xdr:row>
      <xdr:rowOff>76200</xdr:rowOff>
    </xdr:from>
    <xdr:to>
      <xdr:col>5</xdr:col>
      <xdr:colOff>0</xdr:colOff>
      <xdr:row>234</xdr:row>
      <xdr:rowOff>76200</xdr:rowOff>
    </xdr:to>
    <xdr:sp macro="" textlink="">
      <xdr:nvSpPr>
        <xdr:cNvPr id="9596" name="Line 54">
          <a:extLst>
            <a:ext uri="{FF2B5EF4-FFF2-40B4-BE49-F238E27FC236}">
              <a16:creationId xmlns:a16="http://schemas.microsoft.com/office/drawing/2014/main" id="{00000000-0008-0000-0B00-00007C250000}"/>
            </a:ext>
          </a:extLst>
        </xdr:cNvPr>
        <xdr:cNvSpPr>
          <a:spLocks noChangeShapeType="1"/>
        </xdr:cNvSpPr>
      </xdr:nvSpPr>
      <xdr:spPr bwMode="auto">
        <a:xfrm>
          <a:off x="7721600" y="40405050"/>
          <a:ext cx="0" cy="0"/>
        </a:xfrm>
        <a:prstGeom prst="line">
          <a:avLst/>
        </a:prstGeom>
        <a:noFill/>
        <a:ln w="9360" cap="sq">
          <a:solidFill>
            <a:srgbClr val="000000"/>
          </a:solidFill>
          <a:miter lim="800000"/>
          <a:headEnd/>
          <a:tailEnd/>
        </a:ln>
      </xdr:spPr>
    </xdr:sp>
    <xdr:clientData/>
  </xdr:twoCellAnchor>
  <xdr:twoCellAnchor>
    <xdr:from>
      <xdr:col>9</xdr:col>
      <xdr:colOff>0</xdr:colOff>
      <xdr:row>193</xdr:row>
      <xdr:rowOff>76200</xdr:rowOff>
    </xdr:from>
    <xdr:to>
      <xdr:col>9</xdr:col>
      <xdr:colOff>0</xdr:colOff>
      <xdr:row>193</xdr:row>
      <xdr:rowOff>76200</xdr:rowOff>
    </xdr:to>
    <xdr:sp macro="" textlink="">
      <xdr:nvSpPr>
        <xdr:cNvPr id="9597" name="Line 54">
          <a:extLst>
            <a:ext uri="{FF2B5EF4-FFF2-40B4-BE49-F238E27FC236}">
              <a16:creationId xmlns:a16="http://schemas.microsoft.com/office/drawing/2014/main" id="{00000000-0008-0000-0B00-00007D250000}"/>
            </a:ext>
          </a:extLst>
        </xdr:cNvPr>
        <xdr:cNvSpPr>
          <a:spLocks noChangeShapeType="1"/>
        </xdr:cNvSpPr>
      </xdr:nvSpPr>
      <xdr:spPr bwMode="auto">
        <a:xfrm>
          <a:off x="12134850" y="33108900"/>
          <a:ext cx="0" cy="0"/>
        </a:xfrm>
        <a:prstGeom prst="line">
          <a:avLst/>
        </a:prstGeom>
        <a:noFill/>
        <a:ln w="9360" cap="sq">
          <a:solidFill>
            <a:srgbClr val="000000"/>
          </a:solidFill>
          <a:miter lim="800000"/>
          <a:headEnd/>
          <a:tailEnd/>
        </a:ln>
      </xdr:spPr>
    </xdr:sp>
    <xdr:clientData/>
  </xdr:twoCellAnchor>
  <xdr:twoCellAnchor>
    <xdr:from>
      <xdr:col>5</xdr:col>
      <xdr:colOff>0</xdr:colOff>
      <xdr:row>223</xdr:row>
      <xdr:rowOff>76200</xdr:rowOff>
    </xdr:from>
    <xdr:to>
      <xdr:col>5</xdr:col>
      <xdr:colOff>0</xdr:colOff>
      <xdr:row>223</xdr:row>
      <xdr:rowOff>76200</xdr:rowOff>
    </xdr:to>
    <xdr:sp macro="" textlink="">
      <xdr:nvSpPr>
        <xdr:cNvPr id="9598" name="Line 54">
          <a:extLst>
            <a:ext uri="{FF2B5EF4-FFF2-40B4-BE49-F238E27FC236}">
              <a16:creationId xmlns:a16="http://schemas.microsoft.com/office/drawing/2014/main" id="{00000000-0008-0000-0B00-00007E250000}"/>
            </a:ext>
          </a:extLst>
        </xdr:cNvPr>
        <xdr:cNvSpPr>
          <a:spLocks noChangeShapeType="1"/>
        </xdr:cNvSpPr>
      </xdr:nvSpPr>
      <xdr:spPr bwMode="auto">
        <a:xfrm>
          <a:off x="7721600" y="38449250"/>
          <a:ext cx="0" cy="0"/>
        </a:xfrm>
        <a:prstGeom prst="line">
          <a:avLst/>
        </a:prstGeom>
        <a:noFill/>
        <a:ln w="9360" cap="sq">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I33"/>
  <sheetViews>
    <sheetView workbookViewId="0">
      <selection activeCell="A4" sqref="A4"/>
    </sheetView>
  </sheetViews>
  <sheetFormatPr baseColWidth="10" defaultColWidth="11.36328125" defaultRowHeight="12.5" x14ac:dyDescent="0.25"/>
  <cols>
    <col min="1" max="1" width="111.36328125" customWidth="1"/>
  </cols>
  <sheetData>
    <row r="2" spans="1:9" ht="14" x14ac:dyDescent="0.3">
      <c r="A2" s="1" t="s">
        <v>336</v>
      </c>
      <c r="B2" t="s">
        <v>337</v>
      </c>
    </row>
    <row r="3" spans="1:9" x14ac:dyDescent="0.25">
      <c r="B3" s="2">
        <v>41934</v>
      </c>
    </row>
    <row r="4" spans="1:9" ht="13" x14ac:dyDescent="0.3">
      <c r="A4" s="3" t="s">
        <v>338</v>
      </c>
    </row>
    <row r="6" spans="1:9" x14ac:dyDescent="0.25">
      <c r="A6" s="4" t="s">
        <v>339</v>
      </c>
    </row>
    <row r="8" spans="1:9" x14ac:dyDescent="0.25">
      <c r="A8" s="4" t="s">
        <v>340</v>
      </c>
    </row>
    <row r="10" spans="1:9" ht="12.75" customHeight="1" x14ac:dyDescent="0.25">
      <c r="A10" s="1109" t="s">
        <v>341</v>
      </c>
      <c r="B10" s="1109"/>
      <c r="C10" s="1109"/>
      <c r="D10" s="1109"/>
      <c r="E10" s="1109"/>
      <c r="F10" s="1109"/>
      <c r="G10" s="1109"/>
      <c r="H10" s="1109"/>
      <c r="I10" s="1109"/>
    </row>
    <row r="12" spans="1:9" x14ac:dyDescent="0.25">
      <c r="A12" s="4" t="s">
        <v>342</v>
      </c>
    </row>
    <row r="14" spans="1:9" x14ac:dyDescent="0.25">
      <c r="A14" s="4" t="s">
        <v>343</v>
      </c>
    </row>
    <row r="16" spans="1:9" ht="25" x14ac:dyDescent="0.25">
      <c r="A16" s="5" t="s">
        <v>363</v>
      </c>
    </row>
    <row r="18" spans="1:9" ht="25" x14ac:dyDescent="0.25">
      <c r="A18" s="5" t="s">
        <v>364</v>
      </c>
    </row>
    <row r="20" spans="1:9" ht="25" x14ac:dyDescent="0.25">
      <c r="A20" s="5" t="s">
        <v>361</v>
      </c>
    </row>
    <row r="22" spans="1:9" ht="27" customHeight="1" x14ac:dyDescent="0.3">
      <c r="A22" s="6" t="s">
        <v>344</v>
      </c>
      <c r="B22" s="7"/>
      <c r="C22" s="7"/>
      <c r="D22" s="7"/>
      <c r="E22" s="7"/>
      <c r="F22" s="7"/>
      <c r="G22" s="7"/>
      <c r="H22" s="7"/>
      <c r="I22" s="7"/>
    </row>
    <row r="24" spans="1:9" ht="26.25" customHeight="1" x14ac:dyDescent="0.25">
      <c r="A24" s="5" t="s">
        <v>64</v>
      </c>
    </row>
    <row r="25" spans="1:9" x14ac:dyDescent="0.25">
      <c r="A25" s="7"/>
    </row>
    <row r="26" spans="1:9" ht="26.25" customHeight="1" x14ac:dyDescent="0.25">
      <c r="A26" s="5" t="s">
        <v>345</v>
      </c>
    </row>
    <row r="28" spans="1:9" ht="27" customHeight="1" x14ac:dyDescent="0.25">
      <c r="A28" s="7" t="s">
        <v>63</v>
      </c>
      <c r="B28" s="7"/>
      <c r="C28" s="7"/>
      <c r="D28" s="7"/>
      <c r="E28" s="7"/>
      <c r="F28" s="7"/>
      <c r="G28" s="7"/>
      <c r="H28" s="7"/>
      <c r="I28" s="7"/>
    </row>
    <row r="30" spans="1:9" ht="25" x14ac:dyDescent="0.25">
      <c r="A30" s="5" t="s">
        <v>362</v>
      </c>
    </row>
    <row r="32" spans="1:9" ht="13" x14ac:dyDescent="0.3">
      <c r="A32" s="8" t="s">
        <v>346</v>
      </c>
    </row>
    <row r="33" spans="1:8" ht="26" x14ac:dyDescent="0.3">
      <c r="A33" s="9" t="s">
        <v>347</v>
      </c>
      <c r="B33" s="7"/>
      <c r="C33" s="7"/>
      <c r="D33" s="7"/>
      <c r="E33" s="7"/>
      <c r="F33" s="7"/>
      <c r="G33" s="7"/>
      <c r="H33" s="7"/>
    </row>
  </sheetData>
  <mergeCells count="1">
    <mergeCell ref="A10:I10"/>
  </mergeCells>
  <phoneticPr fontId="0" type="noConversion"/>
  <hyperlinks>
    <hyperlink ref="A6" location="'1_desglòs INGRESSOS'!A1" display="1. Cal començar per la pestanya &quot;1_desglòs INGRESSOS&quot;. " xr:uid="{00000000-0004-0000-0000-000000000000}"/>
    <hyperlink ref="A8" location="'2_desglòs DESPESES'!A1" display="2. Un cop determinats els ingressos de l'entitat local, s'emplenarà la pestanya &quot;2_desglòs DESPESES&quot;." xr:uid="{00000000-0004-0000-0000-000001000000}"/>
    <hyperlink ref="A10" location="'3_PREV LIQ _Regla despesa'!A1" display="3. A continuació, caldrà emplenar el full &quot;3_PREV LIQ_Regla despesa&quot; a fi de calcular la regla de la despesa" xr:uid="{00000000-0004-0000-0000-000002000000}"/>
    <hyperlink ref="A12" location="'4_PREV LIQ_CF_NF'!A1" display="4. Després calcularem la capacitat o necessitat de finançament de l'entitat en el full &quot;4_PREV_LIQ_CF_NF&quot;" xr:uid="{00000000-0004-0000-0000-000003000000}"/>
    <hyperlink ref="A14" location="'5_PREV LIQ_sostre despesa'!A1" display="5. Automàticament s'empleneran les dades relatives al càlcul del sostre de la despesa &quot;5_PREV_LIQ_sostre despesa&quot;" xr:uid="{00000000-0004-0000-0000-000004000000}"/>
    <hyperlink ref="A18" location="'7_PREV LIQ i LIQ_equilibri'!A1" display="7. Finalment, al full &quot;7_PREV LIQ i LIQ_equilibri,  hi ha el càlcul relatiu a l'equilibri del pressupost i l'estalvi corrent després d'amortitzacions" xr:uid="{00000000-0004-0000-0000-000005000000}"/>
    <hyperlink ref="A16" location="'6_PREV LIQ_Sostenibilitat'!A1" display="6. Al full &quot;6_PREV_LIQ_Sostenibilitat&quot; es calcula la previsió del rati de deute viu a 31/12/2015, amb les dades de l'últim exercici liquidat (2013)" xr:uid="{00000000-0004-0000-0000-000006000000}"/>
    <hyperlink ref="A24" location="'8_LIQ_Regla despesa'!A1" display="1. Un cop s'hagi liquidat l'exercici anterior caldrà recalcular la regla de la despesa, la capacitat o necessitat de finançament i el sostre de despesa. Per això, es començarà emplenant el full &quot;8_LIQ_Regla despesa&quot; amb les dades de la LIQUIDACIÓ." xr:uid="{00000000-0004-0000-0000-000007000000}"/>
    <hyperlink ref="A26" location="9_LIQ_CF_NF!A1" display="2. A continuació emplenarem també les dades relatives a la liquidació al full &quot;9_LIQ_CF_NF&quot; a fi d'obtenir la capacitat o necessitat de finançament real." xr:uid="{00000000-0004-0000-0000-000008000000}"/>
    <hyperlink ref="A20" location="'11_EQUILIBRIS I CONSOLIDACIÓ'!A1" display="Al full &quot;11_EQUILIBRIS I CONSOLIDACIÓ&quot; hi trobareu la plantilla per a fer els càlculs consolidats, així com per calcular els equilibris pressupostaris a efectes d'emplenar l'informe d'intervenció." xr:uid="{00000000-0004-0000-0000-000009000000}"/>
    <hyperlink ref="A30" location="'10_LIQ_Sostenibilitat'!A1" display="4. I, per últim, al full &quot;10_LIQ_Sostenibilitat&quot; es recalcula el rati de deute viu a 31/12/2015 amb les dades de la liquidació de l'exercici 2014." xr:uid="{00000000-0004-0000-0000-00000A000000}"/>
  </hyperlinks>
  <pageMargins left="0.74791666666666667" right="0.74791666666666667" top="0.98402777777777772" bottom="0.98402777777777772" header="0.51180555555555551" footer="0.51180555555555551"/>
  <pageSetup paperSize="9" scale="80" firstPageNumber="0" orientation="portrait" horizontalDpi="300" verticalDpi="300"/>
  <headerFooter alignWithMargins="0"/>
  <colBreaks count="1" manualBreakCount="1">
    <brk id="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2:L29"/>
  <sheetViews>
    <sheetView zoomScale="70" zoomScaleNormal="70" zoomScalePageLayoutView="90" workbookViewId="0">
      <selection sqref="A1:XFD1048576"/>
    </sheetView>
  </sheetViews>
  <sheetFormatPr baseColWidth="10" defaultColWidth="11.36328125" defaultRowHeight="14" x14ac:dyDescent="0.3"/>
  <cols>
    <col min="1" max="1" width="2.81640625" style="686" customWidth="1"/>
    <col min="2" max="2" width="67.81640625" style="686" customWidth="1"/>
    <col min="3" max="3" width="15" style="686" customWidth="1"/>
    <col min="4" max="4" width="16.81640625" style="686" customWidth="1"/>
    <col min="5" max="5" width="21.08984375" style="686" customWidth="1"/>
    <col min="6" max="6" width="17.81640625" style="686" customWidth="1"/>
    <col min="7" max="16384" width="11.36328125" style="686"/>
  </cols>
  <sheetData>
    <row r="2" spans="1:12" x14ac:dyDescent="0.3">
      <c r="A2" s="685" t="s">
        <v>268</v>
      </c>
    </row>
    <row r="4" spans="1:12" x14ac:dyDescent="0.3">
      <c r="D4" s="687"/>
      <c r="E4" s="687"/>
      <c r="F4" s="687"/>
      <c r="G4" s="687"/>
      <c r="H4" s="687"/>
      <c r="I4" s="687"/>
      <c r="J4" s="687"/>
      <c r="K4" s="687"/>
      <c r="L4" s="687"/>
    </row>
    <row r="5" spans="1:12" x14ac:dyDescent="0.3">
      <c r="B5" s="688"/>
      <c r="C5" s="689"/>
      <c r="D5" s="687"/>
      <c r="E5" s="690"/>
      <c r="F5" s="687"/>
      <c r="G5" s="687"/>
      <c r="H5" s="687"/>
      <c r="I5" s="687"/>
      <c r="J5" s="687"/>
      <c r="K5" s="687"/>
      <c r="L5" s="687"/>
    </row>
    <row r="6" spans="1:12" x14ac:dyDescent="0.3">
      <c r="B6" s="688" t="s">
        <v>269</v>
      </c>
      <c r="C6" s="689"/>
      <c r="D6" s="687"/>
      <c r="E6" s="687"/>
    </row>
    <row r="7" spans="1:12" ht="14.5" x14ac:dyDescent="0.35">
      <c r="B7" s="691" t="s">
        <v>270</v>
      </c>
      <c r="C7" s="687"/>
      <c r="D7" s="687"/>
    </row>
    <row r="8" spans="1:12" x14ac:dyDescent="0.3">
      <c r="B8" s="688"/>
      <c r="C8" s="692"/>
      <c r="D8" s="687"/>
    </row>
    <row r="9" spans="1:12" ht="25.5" customHeight="1" x14ac:dyDescent="0.3">
      <c r="B9" s="693"/>
      <c r="C9" s="694" t="s">
        <v>73</v>
      </c>
      <c r="D9" s="687"/>
    </row>
    <row r="10" spans="1:12" x14ac:dyDescent="0.3">
      <c r="B10" s="695" t="s">
        <v>271</v>
      </c>
      <c r="C10" s="696">
        <f>+RESUM_PRESSUPOST!E27</f>
        <v>155889</v>
      </c>
      <c r="D10" s="697"/>
    </row>
    <row r="11" spans="1:12" x14ac:dyDescent="0.3">
      <c r="B11" s="698" t="s">
        <v>272</v>
      </c>
      <c r="C11" s="699">
        <f>+RESUM_PRESSUPOST!E28</f>
        <v>274514</v>
      </c>
      <c r="D11" s="697"/>
    </row>
    <row r="12" spans="1:12" x14ac:dyDescent="0.3">
      <c r="B12" s="700" t="s">
        <v>273</v>
      </c>
      <c r="C12" s="699">
        <f>+RESUM_PRESSUPOST!E29</f>
        <v>11000</v>
      </c>
      <c r="D12" s="697"/>
      <c r="E12" s="701"/>
    </row>
    <row r="13" spans="1:12" x14ac:dyDescent="0.3">
      <c r="B13" s="698" t="s">
        <v>274</v>
      </c>
      <c r="C13" s="699">
        <f>+RESUM_PRESSUPOST!E30</f>
        <v>5100</v>
      </c>
      <c r="D13" s="697"/>
    </row>
    <row r="14" spans="1:12" x14ac:dyDescent="0.3">
      <c r="B14" s="700" t="s">
        <v>321</v>
      </c>
      <c r="C14" s="699">
        <f>+RESUM_PRESSUPOST!E31</f>
        <v>500</v>
      </c>
      <c r="D14" s="697"/>
    </row>
    <row r="15" spans="1:12" x14ac:dyDescent="0.3">
      <c r="B15" s="698" t="s">
        <v>275</v>
      </c>
      <c r="C15" s="699">
        <f>+RESUM_PRESSUPOST!E32</f>
        <v>157890</v>
      </c>
      <c r="D15" s="697"/>
      <c r="E15" s="701"/>
    </row>
    <row r="16" spans="1:12" x14ac:dyDescent="0.3">
      <c r="B16" s="702" t="s">
        <v>276</v>
      </c>
      <c r="C16" s="703">
        <f>+RESUM_PRESSUPOST!E33</f>
        <v>0</v>
      </c>
      <c r="D16" s="697"/>
      <c r="E16" s="701"/>
    </row>
    <row r="17" spans="2:5" x14ac:dyDescent="0.3">
      <c r="B17" s="704" t="s">
        <v>73</v>
      </c>
      <c r="C17" s="705">
        <f>SUM(C10:C16)</f>
        <v>604893</v>
      </c>
      <c r="D17" s="697"/>
    </row>
    <row r="18" spans="2:5" x14ac:dyDescent="0.3">
      <c r="B18" s="706"/>
      <c r="C18" s="707"/>
      <c r="D18" s="687"/>
      <c r="E18" s="708"/>
    </row>
    <row r="20" spans="2:5" ht="14.5" thickBot="1" x14ac:dyDescent="0.35"/>
    <row r="21" spans="2:5" x14ac:dyDescent="0.3">
      <c r="B21" s="709" t="s">
        <v>669</v>
      </c>
      <c r="C21" s="710">
        <f>+'3 Regla despesa'!C302</f>
        <v>621583.14393999986</v>
      </c>
      <c r="D21" s="697"/>
    </row>
    <row r="22" spans="2:5" x14ac:dyDescent="0.3">
      <c r="B22" s="711" t="s">
        <v>670</v>
      </c>
      <c r="C22" s="712">
        <f>+'3 Regla despesa'!C303</f>
        <v>299264.59809706913</v>
      </c>
      <c r="D22" s="697"/>
    </row>
    <row r="23" spans="2:5" x14ac:dyDescent="0.3">
      <c r="B23" s="711" t="s">
        <v>355</v>
      </c>
      <c r="C23" s="712">
        <f>+C21-C22</f>
        <v>322318.54584293073</v>
      </c>
      <c r="D23" s="697"/>
    </row>
    <row r="24" spans="2:5" ht="14.5" thickBot="1" x14ac:dyDescent="0.35">
      <c r="B24" s="713" t="s">
        <v>356</v>
      </c>
      <c r="C24" s="714">
        <f>+'4_CF_NF'!M129</f>
        <v>98774.031381207562</v>
      </c>
      <c r="D24" s="697"/>
    </row>
    <row r="25" spans="2:5" ht="14.5" thickBot="1" x14ac:dyDescent="0.35">
      <c r="B25" s="715"/>
      <c r="C25" s="716"/>
    </row>
    <row r="26" spans="2:5" ht="28.5" thickBot="1" x14ac:dyDescent="0.35">
      <c r="B26" s="717" t="s">
        <v>357</v>
      </c>
      <c r="C26" s="718">
        <f>MIN(C23:C24)</f>
        <v>98774.031381207562</v>
      </c>
      <c r="D26" s="697"/>
    </row>
    <row r="27" spans="2:5" ht="14.5" thickBot="1" x14ac:dyDescent="0.35">
      <c r="B27" s="715"/>
      <c r="C27" s="719"/>
    </row>
    <row r="28" spans="2:5" ht="14.5" thickBot="1" x14ac:dyDescent="0.35">
      <c r="B28" s="720" t="s">
        <v>358</v>
      </c>
      <c r="C28" s="721">
        <f>+C17+C26</f>
        <v>703667.03138120752</v>
      </c>
      <c r="D28" s="697"/>
    </row>
    <row r="29" spans="2:5" x14ac:dyDescent="0.3">
      <c r="C29" s="633"/>
    </row>
  </sheetData>
  <sheetProtection algorithmName="SHA-512" hashValue="2dmJnYJIUtiOCF0jajo+mcfSnJTATxMpkyB+YaM4pA+EmgR7cQC9Jn5MQGMimYHWNOD3ot/Mjk2TprqKE3kOyA==" saltValue="W6TwdgL0NcCSsDcl1r0l1A==" spinCount="100000" sheet="1" objects="1" scenarios="1"/>
  <phoneticPr fontId="0" type="noConversion"/>
  <pageMargins left="0.74803149606299213" right="0.74803149606299213" top="0.98425196850393704" bottom="0.98425196850393704" header="0.51181102362204722" footer="0.51181102362204722"/>
  <pageSetup paperSize="9" firstPageNumber="0" orientation="portrait" horizontalDpi="300" verticalDpi="300" r:id="rId1"/>
  <headerFooter alignWithMargins="0"/>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fitToPage="1"/>
  </sheetPr>
  <dimension ref="A3:R69"/>
  <sheetViews>
    <sheetView topLeftCell="A31" zoomScale="70" zoomScaleNormal="70" workbookViewId="0">
      <selection activeCell="A31" sqref="A1:XFD1048576"/>
    </sheetView>
  </sheetViews>
  <sheetFormatPr baseColWidth="10" defaultColWidth="11.36328125" defaultRowHeight="12.5" x14ac:dyDescent="0.25"/>
  <cols>
    <col min="1" max="1" width="33.81640625" style="641" customWidth="1"/>
    <col min="2" max="2" width="18.26953125" style="641" customWidth="1"/>
    <col min="3" max="3" width="5.36328125" style="641" customWidth="1"/>
    <col min="4" max="4" width="26.36328125" style="641" customWidth="1"/>
    <col min="5" max="5" width="13.36328125" style="641" customWidth="1"/>
    <col min="6" max="6" width="6.36328125" style="641" customWidth="1"/>
    <col min="7" max="7" width="24.36328125" style="641" customWidth="1"/>
    <col min="8" max="8" width="13.36328125" style="641" customWidth="1"/>
    <col min="9" max="9" width="11.36328125" style="641"/>
    <col min="10" max="10" width="32.26953125" style="641" customWidth="1"/>
    <col min="11" max="12" width="11.36328125" style="641"/>
    <col min="13" max="13" width="14.81640625" style="641" customWidth="1"/>
    <col min="14" max="16384" width="11.36328125" style="641"/>
  </cols>
  <sheetData>
    <row r="3" spans="1:5" ht="13" x14ac:dyDescent="0.3">
      <c r="A3" s="1041" t="s">
        <v>288</v>
      </c>
      <c r="B3" s="722"/>
    </row>
    <row r="4" spans="1:5" x14ac:dyDescent="0.25">
      <c r="A4" s="722"/>
      <c r="B4" s="722"/>
    </row>
    <row r="5" spans="1:5" ht="45.75" customHeight="1" x14ac:dyDescent="0.25">
      <c r="A5" s="1137" t="s">
        <v>289</v>
      </c>
      <c r="B5" s="1137"/>
      <c r="D5" s="1044"/>
    </row>
    <row r="6" spans="1:5" ht="13" thickBot="1" x14ac:dyDescent="0.3"/>
    <row r="7" spans="1:5" ht="13.5" thickBot="1" x14ac:dyDescent="0.35">
      <c r="A7" s="1045" t="s">
        <v>661</v>
      </c>
      <c r="B7" s="1046">
        <f>+'3 Regla despesa'!C4</f>
        <v>2025</v>
      </c>
    </row>
    <row r="8" spans="1:5" x14ac:dyDescent="0.25">
      <c r="A8" s="1047" t="s">
        <v>310</v>
      </c>
      <c r="B8" s="1048">
        <f>+N46</f>
        <v>276366.78000000003</v>
      </c>
    </row>
    <row r="9" spans="1:5" x14ac:dyDescent="0.25">
      <c r="A9" s="1049" t="s">
        <v>311</v>
      </c>
      <c r="B9" s="1048">
        <f>+N51</f>
        <v>0</v>
      </c>
    </row>
    <row r="10" spans="1:5" x14ac:dyDescent="0.25">
      <c r="A10" s="1049" t="s">
        <v>312</v>
      </c>
      <c r="B10" s="1048">
        <f>+RESUM_PRESSUPOST!H198</f>
        <v>0</v>
      </c>
      <c r="C10" s="641" t="s">
        <v>48</v>
      </c>
    </row>
    <row r="11" spans="1:5" x14ac:dyDescent="0.25">
      <c r="A11" s="1049" t="s">
        <v>313</v>
      </c>
      <c r="B11" s="1048"/>
    </row>
    <row r="12" spans="1:5" ht="13" thickBot="1" x14ac:dyDescent="0.3">
      <c r="A12" s="1050" t="s">
        <v>314</v>
      </c>
      <c r="B12" s="1048"/>
    </row>
    <row r="13" spans="1:5" ht="13.5" thickBot="1" x14ac:dyDescent="0.35">
      <c r="A13" s="1051" t="s">
        <v>315</v>
      </c>
      <c r="B13" s="1052">
        <f>SUM(B8:B12)</f>
        <v>276366.78000000003</v>
      </c>
    </row>
    <row r="15" spans="1:5" ht="13" x14ac:dyDescent="0.3">
      <c r="D15" s="1041" t="s">
        <v>667</v>
      </c>
      <c r="E15" s="722"/>
    </row>
    <row r="16" spans="1:5" ht="13" thickBot="1" x14ac:dyDescent="0.3">
      <c r="D16" s="1053"/>
      <c r="E16" s="1053"/>
    </row>
    <row r="17" spans="2:11" ht="13.5" thickBot="1" x14ac:dyDescent="0.35">
      <c r="D17" s="1054" t="s">
        <v>317</v>
      </c>
      <c r="E17" s="1055">
        <f>+B7-2</f>
        <v>2023</v>
      </c>
      <c r="G17" s="1056"/>
    </row>
    <row r="18" spans="2:11" x14ac:dyDescent="0.25">
      <c r="D18" s="1057" t="s">
        <v>318</v>
      </c>
      <c r="E18" s="1058">
        <v>223114.75</v>
      </c>
    </row>
    <row r="19" spans="2:11" ht="13" x14ac:dyDescent="0.3">
      <c r="B19" s="1059"/>
      <c r="D19" s="1049" t="s">
        <v>319</v>
      </c>
      <c r="E19" s="1058">
        <v>8046.29</v>
      </c>
    </row>
    <row r="20" spans="2:11" x14ac:dyDescent="0.25">
      <c r="D20" s="1049" t="s">
        <v>320</v>
      </c>
      <c r="E20" s="1058">
        <v>59255.88</v>
      </c>
    </row>
    <row r="21" spans="2:11" x14ac:dyDescent="0.25">
      <c r="D21" s="1049" t="s">
        <v>274</v>
      </c>
      <c r="E21" s="1058">
        <v>431786.87</v>
      </c>
    </row>
    <row r="22" spans="2:11" ht="13" thickBot="1" x14ac:dyDescent="0.3">
      <c r="D22" s="1050" t="s">
        <v>321</v>
      </c>
      <c r="E22" s="1058">
        <v>0</v>
      </c>
    </row>
    <row r="23" spans="2:11" ht="26.5" thickBot="1" x14ac:dyDescent="0.35">
      <c r="D23" s="1060" t="s">
        <v>322</v>
      </c>
      <c r="E23" s="1061">
        <f>E18+E19+E20+E21+E22</f>
        <v>722203.79</v>
      </c>
    </row>
    <row r="24" spans="2:11" x14ac:dyDescent="0.25">
      <c r="D24" s="1062" t="s">
        <v>176</v>
      </c>
      <c r="E24" s="1063"/>
    </row>
    <row r="25" spans="2:11" x14ac:dyDescent="0.25">
      <c r="D25" s="1064" t="s">
        <v>175</v>
      </c>
      <c r="E25" s="1065"/>
    </row>
    <row r="26" spans="2:11" ht="13" thickBot="1" x14ac:dyDescent="0.3">
      <c r="D26" s="1066" t="s">
        <v>323</v>
      </c>
      <c r="E26" s="1067"/>
    </row>
    <row r="27" spans="2:11" ht="27.75" customHeight="1" thickBot="1" x14ac:dyDescent="0.35">
      <c r="D27" s="1060" t="s">
        <v>324</v>
      </c>
      <c r="E27" s="1068">
        <f>+E23-E24-E25-E26</f>
        <v>722203.79</v>
      </c>
    </row>
    <row r="29" spans="2:11" ht="13" x14ac:dyDescent="0.3">
      <c r="G29" s="1041" t="s">
        <v>325</v>
      </c>
      <c r="H29" s="722"/>
      <c r="I29" s="722"/>
      <c r="J29" s="722"/>
      <c r="K29" s="722"/>
    </row>
    <row r="30" spans="2:11" ht="13.5" thickBot="1" x14ac:dyDescent="0.35">
      <c r="G30" s="1041"/>
      <c r="H30" s="722"/>
      <c r="I30" s="722"/>
      <c r="J30" s="722"/>
      <c r="K30" s="722"/>
    </row>
    <row r="31" spans="2:11" ht="13" x14ac:dyDescent="0.3">
      <c r="G31" s="722"/>
      <c r="H31" s="1069" t="s">
        <v>671</v>
      </c>
    </row>
    <row r="32" spans="2:11" ht="13.5" thickBot="1" x14ac:dyDescent="0.35">
      <c r="G32" s="722"/>
      <c r="H32" s="1070">
        <f>+B7</f>
        <v>2025</v>
      </c>
    </row>
    <row r="33" spans="7:18" x14ac:dyDescent="0.25">
      <c r="G33" s="1062" t="s">
        <v>326</v>
      </c>
      <c r="H33" s="1071">
        <f>+N52</f>
        <v>276366.78000000003</v>
      </c>
    </row>
    <row r="34" spans="7:18" ht="13" thickBot="1" x14ac:dyDescent="0.3">
      <c r="G34" s="1072" t="s">
        <v>324</v>
      </c>
      <c r="H34" s="1073">
        <f>+E27</f>
        <v>722203.79</v>
      </c>
    </row>
    <row r="35" spans="7:18" ht="13.5" thickBot="1" x14ac:dyDescent="0.35">
      <c r="G35" s="1074" t="s">
        <v>327</v>
      </c>
      <c r="H35" s="1075">
        <f>+H33/H34</f>
        <v>0.38267146174904454</v>
      </c>
    </row>
    <row r="38" spans="7:18" ht="13" x14ac:dyDescent="0.3">
      <c r="J38" s="1076"/>
      <c r="K38" s="1077" t="s">
        <v>413</v>
      </c>
      <c r="L38" s="1077"/>
      <c r="M38" s="1077"/>
      <c r="N38" s="1077" t="s">
        <v>413</v>
      </c>
      <c r="O38" s="1077" t="s">
        <v>228</v>
      </c>
    </row>
    <row r="39" spans="7:18" ht="13.5" thickBot="1" x14ac:dyDescent="0.35">
      <c r="J39" s="1078" t="s">
        <v>411</v>
      </c>
      <c r="K39" s="1078" t="s">
        <v>410</v>
      </c>
      <c r="L39" s="1078" t="s">
        <v>409</v>
      </c>
      <c r="M39" s="1078" t="s">
        <v>408</v>
      </c>
      <c r="N39" s="1079" t="s">
        <v>653</v>
      </c>
      <c r="O39" s="1078" t="s">
        <v>654</v>
      </c>
    </row>
    <row r="40" spans="7:18" x14ac:dyDescent="0.25">
      <c r="H40" s="732"/>
      <c r="J40" s="1076"/>
      <c r="K40" s="1076"/>
      <c r="L40" s="1076"/>
      <c r="M40" s="1076"/>
      <c r="N40" s="1076"/>
      <c r="O40" s="1076"/>
    </row>
    <row r="41" spans="7:18" x14ac:dyDescent="0.25">
      <c r="G41" s="1080"/>
      <c r="J41" s="1076" t="s">
        <v>727</v>
      </c>
      <c r="K41" s="792">
        <v>151224.25</v>
      </c>
      <c r="L41" s="792"/>
      <c r="M41" s="731">
        <v>10000</v>
      </c>
      <c r="N41" s="792">
        <f>+K41+L41-M41</f>
        <v>141224.25</v>
      </c>
      <c r="O41" s="792"/>
      <c r="P41" s="731"/>
      <c r="Q41" s="731"/>
    </row>
    <row r="42" spans="7:18" x14ac:dyDescent="0.25">
      <c r="G42" s="1080"/>
      <c r="J42" s="1076" t="s">
        <v>728</v>
      </c>
      <c r="K42" s="792">
        <v>147642.53</v>
      </c>
      <c r="L42" s="792"/>
      <c r="M42" s="731">
        <v>12500</v>
      </c>
      <c r="N42" s="792">
        <f>+K42+L42-M42</f>
        <v>135142.53</v>
      </c>
      <c r="O42" s="792"/>
      <c r="P42" s="731"/>
      <c r="Q42" s="731"/>
    </row>
    <row r="43" spans="7:18" x14ac:dyDescent="0.25">
      <c r="G43" s="1080"/>
      <c r="J43" s="1076"/>
      <c r="K43" s="792"/>
      <c r="L43" s="792"/>
      <c r="M43" s="792"/>
      <c r="N43" s="792"/>
      <c r="O43" s="792"/>
      <c r="P43" s="731"/>
      <c r="Q43" s="731"/>
      <c r="R43" s="731"/>
    </row>
    <row r="44" spans="7:18" x14ac:dyDescent="0.25">
      <c r="G44" s="1080"/>
      <c r="J44" s="1076"/>
      <c r="K44" s="792"/>
      <c r="L44" s="792"/>
      <c r="M44" s="792"/>
      <c r="N44" s="792"/>
      <c r="O44" s="792"/>
      <c r="Q44" s="731"/>
    </row>
    <row r="45" spans="7:18" x14ac:dyDescent="0.25">
      <c r="J45" s="1076"/>
      <c r="K45" s="792"/>
      <c r="L45" s="792"/>
      <c r="M45" s="792"/>
      <c r="N45" s="792"/>
      <c r="O45" s="792"/>
    </row>
    <row r="46" spans="7:18" ht="13" x14ac:dyDescent="0.3">
      <c r="J46" s="1081" t="s">
        <v>391</v>
      </c>
      <c r="K46" s="1082">
        <f t="shared" ref="K46:O46" si="0">SUM(K41:K45)</f>
        <v>298866.78000000003</v>
      </c>
      <c r="L46" s="1082">
        <f t="shared" si="0"/>
        <v>0</v>
      </c>
      <c r="M46" s="1082">
        <f t="shared" si="0"/>
        <v>22500</v>
      </c>
      <c r="N46" s="1082">
        <f t="shared" si="0"/>
        <v>276366.78000000003</v>
      </c>
      <c r="O46" s="1082">
        <f t="shared" si="0"/>
        <v>0</v>
      </c>
      <c r="P46" s="731"/>
      <c r="Q46" s="731"/>
    </row>
    <row r="47" spans="7:18" x14ac:dyDescent="0.25">
      <c r="J47" s="1076"/>
      <c r="K47" s="1076"/>
      <c r="L47" s="1076"/>
      <c r="M47" s="1076"/>
      <c r="N47" s="1076"/>
      <c r="O47" s="1076"/>
    </row>
    <row r="48" spans="7:18" x14ac:dyDescent="0.25">
      <c r="J48" s="1076" t="s">
        <v>50</v>
      </c>
      <c r="K48" s="792">
        <v>0</v>
      </c>
      <c r="L48" s="792"/>
      <c r="M48" s="792"/>
      <c r="N48" s="792">
        <f>+K48+L48-M48</f>
        <v>0</v>
      </c>
      <c r="O48" s="792">
        <v>0</v>
      </c>
    </row>
    <row r="49" spans="10:17" x14ac:dyDescent="0.25">
      <c r="J49" s="1076"/>
      <c r="K49" s="792"/>
      <c r="L49" s="792"/>
      <c r="M49" s="792"/>
      <c r="N49" s="792"/>
      <c r="O49" s="792"/>
    </row>
    <row r="50" spans="10:17" x14ac:dyDescent="0.25">
      <c r="J50" s="1076"/>
      <c r="K50" s="792"/>
      <c r="L50" s="792"/>
      <c r="M50" s="792"/>
      <c r="N50" s="792"/>
      <c r="O50" s="792"/>
    </row>
    <row r="51" spans="10:17" ht="13.5" thickBot="1" x14ac:dyDescent="0.35">
      <c r="J51" s="1083" t="s">
        <v>391</v>
      </c>
      <c r="K51" s="1084">
        <f>SUM(K48:K50)</f>
        <v>0</v>
      </c>
      <c r="L51" s="1084">
        <f t="shared" ref="L51:N51" si="1">SUM(L48:L50)</f>
        <v>0</v>
      </c>
      <c r="M51" s="1084">
        <f t="shared" si="1"/>
        <v>0</v>
      </c>
      <c r="N51" s="1084">
        <f t="shared" si="1"/>
        <v>0</v>
      </c>
      <c r="O51" s="1084">
        <f>+O48</f>
        <v>0</v>
      </c>
      <c r="P51" s="731"/>
      <c r="Q51" s="731"/>
    </row>
    <row r="52" spans="10:17" ht="13" x14ac:dyDescent="0.3">
      <c r="J52" s="1085" t="s">
        <v>389</v>
      </c>
      <c r="K52" s="1086">
        <f>+K46+K51</f>
        <v>298866.78000000003</v>
      </c>
      <c r="L52" s="1086">
        <f>+L46+L51</f>
        <v>0</v>
      </c>
      <c r="M52" s="1086">
        <f>+M46+M51</f>
        <v>22500</v>
      </c>
      <c r="N52" s="1086">
        <f>+N46+N51</f>
        <v>276366.78000000003</v>
      </c>
      <c r="O52" s="1086">
        <f>+O46+O51</f>
        <v>0</v>
      </c>
    </row>
    <row r="53" spans="10:17" x14ac:dyDescent="0.25">
      <c r="J53" s="1076"/>
      <c r="K53" s="792"/>
      <c r="L53" s="792"/>
      <c r="M53" s="792"/>
      <c r="N53" s="792"/>
      <c r="O53" s="792"/>
    </row>
    <row r="54" spans="10:17" x14ac:dyDescent="0.25">
      <c r="J54" s="1076"/>
      <c r="K54" s="792"/>
      <c r="L54" s="792"/>
      <c r="M54" s="792"/>
      <c r="N54" s="792"/>
      <c r="O54" s="792"/>
    </row>
    <row r="55" spans="10:17" x14ac:dyDescent="0.25">
      <c r="J55" s="1076"/>
      <c r="K55" s="792"/>
      <c r="L55" s="792"/>
      <c r="M55" s="792"/>
      <c r="N55" s="792"/>
      <c r="O55" s="792"/>
    </row>
    <row r="56" spans="10:17" x14ac:dyDescent="0.25">
      <c r="J56" s="1076"/>
      <c r="K56" s="792"/>
      <c r="L56" s="792"/>
      <c r="M56" s="792"/>
      <c r="N56" s="792"/>
      <c r="O56" s="792"/>
    </row>
    <row r="57" spans="10:17" x14ac:dyDescent="0.25">
      <c r="J57" s="1076"/>
      <c r="K57" s="792"/>
      <c r="L57" s="792"/>
      <c r="M57" s="792"/>
      <c r="N57" s="792"/>
      <c r="O57" s="792">
        <v>0</v>
      </c>
    </row>
    <row r="58" spans="10:17" ht="13.5" thickBot="1" x14ac:dyDescent="0.35">
      <c r="J58" s="1087" t="s">
        <v>382</v>
      </c>
      <c r="K58" s="1088">
        <f>+K52+K54</f>
        <v>298866.78000000003</v>
      </c>
      <c r="L58" s="1088">
        <f>+L52+L54</f>
        <v>0</v>
      </c>
      <c r="M58" s="1088">
        <f>+M52+M54</f>
        <v>22500</v>
      </c>
      <c r="N58" s="1088">
        <f>+N52+N54</f>
        <v>276366.78000000003</v>
      </c>
      <c r="O58" s="1088">
        <f>+O52+O54</f>
        <v>0</v>
      </c>
    </row>
    <row r="59" spans="10:17" ht="13" thickTop="1" x14ac:dyDescent="0.25"/>
    <row r="60" spans="10:17" x14ac:dyDescent="0.25">
      <c r="K60" s="732"/>
      <c r="N60" s="732"/>
    </row>
    <row r="61" spans="10:17" x14ac:dyDescent="0.25">
      <c r="K61" s="731">
        <f>+K46-K41</f>
        <v>147642.53000000003</v>
      </c>
    </row>
    <row r="62" spans="10:17" x14ac:dyDescent="0.25">
      <c r="M62" s="731">
        <f>+M43+M42</f>
        <v>12500</v>
      </c>
      <c r="N62" s="731"/>
    </row>
    <row r="63" spans="10:17" x14ac:dyDescent="0.25">
      <c r="M63" s="731">
        <f>+M62/4</f>
        <v>3125</v>
      </c>
      <c r="N63" s="731"/>
    </row>
    <row r="64" spans="10:17" x14ac:dyDescent="0.25">
      <c r="M64" s="731"/>
    </row>
    <row r="67" spans="10:14" ht="14" x14ac:dyDescent="0.25">
      <c r="J67" s="726"/>
    </row>
    <row r="68" spans="10:14" x14ac:dyDescent="0.25">
      <c r="J68" s="641" t="s">
        <v>859</v>
      </c>
      <c r="K68" s="641">
        <v>159339.14000000001</v>
      </c>
      <c r="M68" s="641">
        <v>8114.89</v>
      </c>
      <c r="N68" s="641">
        <v>151224.25</v>
      </c>
    </row>
    <row r="69" spans="10:14" x14ac:dyDescent="0.25">
      <c r="J69" s="641" t="s">
        <v>860</v>
      </c>
      <c r="L69" s="641">
        <v>160000</v>
      </c>
      <c r="M69" s="641">
        <v>12357.47</v>
      </c>
      <c r="N69" s="641">
        <v>147642.53</v>
      </c>
    </row>
  </sheetData>
  <sheetProtection algorithmName="SHA-512" hashValue="sSx9g6nLEEmOQsgQbkTZ701KKrWDo3KPX3KCdJ+owEywqL/wSTXgf76/mAu02mwrBkJyLF/Nntr2Wawan4OPMw==" saltValue="mzO8etmbBc7nBx5/YXkyoQ==" spinCount="100000" sheet="1" objects="1" scenarios="1"/>
  <mergeCells count="1">
    <mergeCell ref="A5:B5"/>
  </mergeCells>
  <phoneticPr fontId="0" type="noConversion"/>
  <pageMargins left="0.74791666666666667" right="0.74791666666666667" top="0.98402777777777772" bottom="0.98402777777777772" header="0.51180555555555551" footer="0.51180555555555551"/>
  <pageSetup paperSize="9" scale="88" firstPageNumber="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4"/>
  <dimension ref="D1:L110"/>
  <sheetViews>
    <sheetView tabSelected="1" zoomScaleSheetLayoutView="100" zoomScalePageLayoutView="90" workbookViewId="0">
      <selection activeCell="G45" sqref="G45"/>
    </sheetView>
  </sheetViews>
  <sheetFormatPr baseColWidth="10" defaultColWidth="11.36328125" defaultRowHeight="15.5" x14ac:dyDescent="0.25"/>
  <cols>
    <col min="2" max="3" width="1.08984375" customWidth="1"/>
    <col min="4" max="4" width="2.36328125" style="501" customWidth="1"/>
    <col min="5" max="5" width="1.36328125" style="501" customWidth="1"/>
    <col min="6" max="6" width="11.36328125" style="501" customWidth="1"/>
    <col min="7" max="7" width="55.81640625" customWidth="1"/>
    <col min="8" max="8" width="14" style="502" customWidth="1"/>
    <col min="12" max="12" width="11.36328125" style="511" customWidth="1"/>
    <col min="259" max="259" width="5.36328125" customWidth="1"/>
    <col min="260" max="260" width="22.26953125" customWidth="1"/>
    <col min="261" max="261" width="20.36328125" customWidth="1"/>
    <col min="262" max="262" width="20" customWidth="1"/>
    <col min="263" max="263" width="55.81640625" customWidth="1"/>
    <col min="264" max="264" width="24" customWidth="1"/>
    <col min="268" max="268" width="11.36328125" customWidth="1"/>
    <col min="515" max="515" width="5.36328125" customWidth="1"/>
    <col min="516" max="516" width="22.26953125" customWidth="1"/>
    <col min="517" max="517" width="20.36328125" customWidth="1"/>
    <col min="518" max="518" width="20" customWidth="1"/>
    <col min="519" max="519" width="55.81640625" customWidth="1"/>
    <col min="520" max="520" width="24" customWidth="1"/>
    <col min="524" max="524" width="11.36328125" customWidth="1"/>
    <col min="771" max="771" width="5.36328125" customWidth="1"/>
    <col min="772" max="772" width="22.26953125" customWidth="1"/>
    <col min="773" max="773" width="20.36328125" customWidth="1"/>
    <col min="774" max="774" width="20" customWidth="1"/>
    <col min="775" max="775" width="55.81640625" customWidth="1"/>
    <col min="776" max="776" width="24" customWidth="1"/>
    <col min="780" max="780" width="11.36328125" customWidth="1"/>
    <col min="1027" max="1027" width="5.36328125" customWidth="1"/>
    <col min="1028" max="1028" width="22.26953125" customWidth="1"/>
    <col min="1029" max="1029" width="20.36328125" customWidth="1"/>
    <col min="1030" max="1030" width="20" customWidth="1"/>
    <col min="1031" max="1031" width="55.81640625" customWidth="1"/>
    <col min="1032" max="1032" width="24" customWidth="1"/>
    <col min="1036" max="1036" width="11.36328125" customWidth="1"/>
    <col min="1283" max="1283" width="5.36328125" customWidth="1"/>
    <col min="1284" max="1284" width="22.26953125" customWidth="1"/>
    <col min="1285" max="1285" width="20.36328125" customWidth="1"/>
    <col min="1286" max="1286" width="20" customWidth="1"/>
    <col min="1287" max="1287" width="55.81640625" customWidth="1"/>
    <col min="1288" max="1288" width="24" customWidth="1"/>
    <col min="1292" max="1292" width="11.36328125" customWidth="1"/>
    <col min="1539" max="1539" width="5.36328125" customWidth="1"/>
    <col min="1540" max="1540" width="22.26953125" customWidth="1"/>
    <col min="1541" max="1541" width="20.36328125" customWidth="1"/>
    <col min="1542" max="1542" width="20" customWidth="1"/>
    <col min="1543" max="1543" width="55.81640625" customWidth="1"/>
    <col min="1544" max="1544" width="24" customWidth="1"/>
    <col min="1548" max="1548" width="11.36328125" customWidth="1"/>
    <col min="1795" max="1795" width="5.36328125" customWidth="1"/>
    <col min="1796" max="1796" width="22.26953125" customWidth="1"/>
    <col min="1797" max="1797" width="20.36328125" customWidth="1"/>
    <col min="1798" max="1798" width="20" customWidth="1"/>
    <col min="1799" max="1799" width="55.81640625" customWidth="1"/>
    <col min="1800" max="1800" width="24" customWidth="1"/>
    <col min="1804" max="1804" width="11.36328125" customWidth="1"/>
    <col min="2051" max="2051" width="5.36328125" customWidth="1"/>
    <col min="2052" max="2052" width="22.26953125" customWidth="1"/>
    <col min="2053" max="2053" width="20.36328125" customWidth="1"/>
    <col min="2054" max="2054" width="20" customWidth="1"/>
    <col min="2055" max="2055" width="55.81640625" customWidth="1"/>
    <col min="2056" max="2056" width="24" customWidth="1"/>
    <col min="2060" max="2060" width="11.36328125" customWidth="1"/>
    <col min="2307" max="2307" width="5.36328125" customWidth="1"/>
    <col min="2308" max="2308" width="22.26953125" customWidth="1"/>
    <col min="2309" max="2309" width="20.36328125" customWidth="1"/>
    <col min="2310" max="2310" width="20" customWidth="1"/>
    <col min="2311" max="2311" width="55.81640625" customWidth="1"/>
    <col min="2312" max="2312" width="24" customWidth="1"/>
    <col min="2316" max="2316" width="11.36328125" customWidth="1"/>
    <col min="2563" max="2563" width="5.36328125" customWidth="1"/>
    <col min="2564" max="2564" width="22.26953125" customWidth="1"/>
    <col min="2565" max="2565" width="20.36328125" customWidth="1"/>
    <col min="2566" max="2566" width="20" customWidth="1"/>
    <col min="2567" max="2567" width="55.81640625" customWidth="1"/>
    <col min="2568" max="2568" width="24" customWidth="1"/>
    <col min="2572" max="2572" width="11.36328125" customWidth="1"/>
    <col min="2819" max="2819" width="5.36328125" customWidth="1"/>
    <col min="2820" max="2820" width="22.26953125" customWidth="1"/>
    <col min="2821" max="2821" width="20.36328125" customWidth="1"/>
    <col min="2822" max="2822" width="20" customWidth="1"/>
    <col min="2823" max="2823" width="55.81640625" customWidth="1"/>
    <col min="2824" max="2824" width="24" customWidth="1"/>
    <col min="2828" max="2828" width="11.36328125" customWidth="1"/>
    <col min="3075" max="3075" width="5.36328125" customWidth="1"/>
    <col min="3076" max="3076" width="22.26953125" customWidth="1"/>
    <col min="3077" max="3077" width="20.36328125" customWidth="1"/>
    <col min="3078" max="3078" width="20" customWidth="1"/>
    <col min="3079" max="3079" width="55.81640625" customWidth="1"/>
    <col min="3080" max="3080" width="24" customWidth="1"/>
    <col min="3084" max="3084" width="11.36328125" customWidth="1"/>
    <col min="3331" max="3331" width="5.36328125" customWidth="1"/>
    <col min="3332" max="3332" width="22.26953125" customWidth="1"/>
    <col min="3333" max="3333" width="20.36328125" customWidth="1"/>
    <col min="3334" max="3334" width="20" customWidth="1"/>
    <col min="3335" max="3335" width="55.81640625" customWidth="1"/>
    <col min="3336" max="3336" width="24" customWidth="1"/>
    <col min="3340" max="3340" width="11.36328125" customWidth="1"/>
    <col min="3587" max="3587" width="5.36328125" customWidth="1"/>
    <col min="3588" max="3588" width="22.26953125" customWidth="1"/>
    <col min="3589" max="3589" width="20.36328125" customWidth="1"/>
    <col min="3590" max="3590" width="20" customWidth="1"/>
    <col min="3591" max="3591" width="55.81640625" customWidth="1"/>
    <col min="3592" max="3592" width="24" customWidth="1"/>
    <col min="3596" max="3596" width="11.36328125" customWidth="1"/>
    <col min="3843" max="3843" width="5.36328125" customWidth="1"/>
    <col min="3844" max="3844" width="22.26953125" customWidth="1"/>
    <col min="3845" max="3845" width="20.36328125" customWidth="1"/>
    <col min="3846" max="3846" width="20" customWidth="1"/>
    <col min="3847" max="3847" width="55.81640625" customWidth="1"/>
    <col min="3848" max="3848" width="24" customWidth="1"/>
    <col min="3852" max="3852" width="11.36328125" customWidth="1"/>
    <col min="4099" max="4099" width="5.36328125" customWidth="1"/>
    <col min="4100" max="4100" width="22.26953125" customWidth="1"/>
    <col min="4101" max="4101" width="20.36328125" customWidth="1"/>
    <col min="4102" max="4102" width="20" customWidth="1"/>
    <col min="4103" max="4103" width="55.81640625" customWidth="1"/>
    <col min="4104" max="4104" width="24" customWidth="1"/>
    <col min="4108" max="4108" width="11.36328125" customWidth="1"/>
    <col min="4355" max="4355" width="5.36328125" customWidth="1"/>
    <col min="4356" max="4356" width="22.26953125" customWidth="1"/>
    <col min="4357" max="4357" width="20.36328125" customWidth="1"/>
    <col min="4358" max="4358" width="20" customWidth="1"/>
    <col min="4359" max="4359" width="55.81640625" customWidth="1"/>
    <col min="4360" max="4360" width="24" customWidth="1"/>
    <col min="4364" max="4364" width="11.36328125" customWidth="1"/>
    <col min="4611" max="4611" width="5.36328125" customWidth="1"/>
    <col min="4612" max="4612" width="22.26953125" customWidth="1"/>
    <col min="4613" max="4613" width="20.36328125" customWidth="1"/>
    <col min="4614" max="4614" width="20" customWidth="1"/>
    <col min="4615" max="4615" width="55.81640625" customWidth="1"/>
    <col min="4616" max="4616" width="24" customWidth="1"/>
    <col min="4620" max="4620" width="11.36328125" customWidth="1"/>
    <col min="4867" max="4867" width="5.36328125" customWidth="1"/>
    <col min="4868" max="4868" width="22.26953125" customWidth="1"/>
    <col min="4869" max="4869" width="20.36328125" customWidth="1"/>
    <col min="4870" max="4870" width="20" customWidth="1"/>
    <col min="4871" max="4871" width="55.81640625" customWidth="1"/>
    <col min="4872" max="4872" width="24" customWidth="1"/>
    <col min="4876" max="4876" width="11.36328125" customWidth="1"/>
    <col min="5123" max="5123" width="5.36328125" customWidth="1"/>
    <col min="5124" max="5124" width="22.26953125" customWidth="1"/>
    <col min="5125" max="5125" width="20.36328125" customWidth="1"/>
    <col min="5126" max="5126" width="20" customWidth="1"/>
    <col min="5127" max="5127" width="55.81640625" customWidth="1"/>
    <col min="5128" max="5128" width="24" customWidth="1"/>
    <col min="5132" max="5132" width="11.36328125" customWidth="1"/>
    <col min="5379" max="5379" width="5.36328125" customWidth="1"/>
    <col min="5380" max="5380" width="22.26953125" customWidth="1"/>
    <col min="5381" max="5381" width="20.36328125" customWidth="1"/>
    <col min="5382" max="5382" width="20" customWidth="1"/>
    <col min="5383" max="5383" width="55.81640625" customWidth="1"/>
    <col min="5384" max="5384" width="24" customWidth="1"/>
    <col min="5388" max="5388" width="11.36328125" customWidth="1"/>
    <col min="5635" max="5635" width="5.36328125" customWidth="1"/>
    <col min="5636" max="5636" width="22.26953125" customWidth="1"/>
    <col min="5637" max="5637" width="20.36328125" customWidth="1"/>
    <col min="5638" max="5638" width="20" customWidth="1"/>
    <col min="5639" max="5639" width="55.81640625" customWidth="1"/>
    <col min="5640" max="5640" width="24" customWidth="1"/>
    <col min="5644" max="5644" width="11.36328125" customWidth="1"/>
    <col min="5891" max="5891" width="5.36328125" customWidth="1"/>
    <col min="5892" max="5892" width="22.26953125" customWidth="1"/>
    <col min="5893" max="5893" width="20.36328125" customWidth="1"/>
    <col min="5894" max="5894" width="20" customWidth="1"/>
    <col min="5895" max="5895" width="55.81640625" customWidth="1"/>
    <col min="5896" max="5896" width="24" customWidth="1"/>
    <col min="5900" max="5900" width="11.36328125" customWidth="1"/>
    <col min="6147" max="6147" width="5.36328125" customWidth="1"/>
    <col min="6148" max="6148" width="22.26953125" customWidth="1"/>
    <col min="6149" max="6149" width="20.36328125" customWidth="1"/>
    <col min="6150" max="6150" width="20" customWidth="1"/>
    <col min="6151" max="6151" width="55.81640625" customWidth="1"/>
    <col min="6152" max="6152" width="24" customWidth="1"/>
    <col min="6156" max="6156" width="11.36328125" customWidth="1"/>
    <col min="6403" max="6403" width="5.36328125" customWidth="1"/>
    <col min="6404" max="6404" width="22.26953125" customWidth="1"/>
    <col min="6405" max="6405" width="20.36328125" customWidth="1"/>
    <col min="6406" max="6406" width="20" customWidth="1"/>
    <col min="6407" max="6407" width="55.81640625" customWidth="1"/>
    <col min="6408" max="6408" width="24" customWidth="1"/>
    <col min="6412" max="6412" width="11.36328125" customWidth="1"/>
    <col min="6659" max="6659" width="5.36328125" customWidth="1"/>
    <col min="6660" max="6660" width="22.26953125" customWidth="1"/>
    <col min="6661" max="6661" width="20.36328125" customWidth="1"/>
    <col min="6662" max="6662" width="20" customWidth="1"/>
    <col min="6663" max="6663" width="55.81640625" customWidth="1"/>
    <col min="6664" max="6664" width="24" customWidth="1"/>
    <col min="6668" max="6668" width="11.36328125" customWidth="1"/>
    <col min="6915" max="6915" width="5.36328125" customWidth="1"/>
    <col min="6916" max="6916" width="22.26953125" customWidth="1"/>
    <col min="6917" max="6917" width="20.36328125" customWidth="1"/>
    <col min="6918" max="6918" width="20" customWidth="1"/>
    <col min="6919" max="6919" width="55.81640625" customWidth="1"/>
    <col min="6920" max="6920" width="24" customWidth="1"/>
    <col min="6924" max="6924" width="11.36328125" customWidth="1"/>
    <col min="7171" max="7171" width="5.36328125" customWidth="1"/>
    <col min="7172" max="7172" width="22.26953125" customWidth="1"/>
    <col min="7173" max="7173" width="20.36328125" customWidth="1"/>
    <col min="7174" max="7174" width="20" customWidth="1"/>
    <col min="7175" max="7175" width="55.81640625" customWidth="1"/>
    <col min="7176" max="7176" width="24" customWidth="1"/>
    <col min="7180" max="7180" width="11.36328125" customWidth="1"/>
    <col min="7427" max="7427" width="5.36328125" customWidth="1"/>
    <col min="7428" max="7428" width="22.26953125" customWidth="1"/>
    <col min="7429" max="7429" width="20.36328125" customWidth="1"/>
    <col min="7430" max="7430" width="20" customWidth="1"/>
    <col min="7431" max="7431" width="55.81640625" customWidth="1"/>
    <col min="7432" max="7432" width="24" customWidth="1"/>
    <col min="7436" max="7436" width="11.36328125" customWidth="1"/>
    <col min="7683" max="7683" width="5.36328125" customWidth="1"/>
    <col min="7684" max="7684" width="22.26953125" customWidth="1"/>
    <col min="7685" max="7685" width="20.36328125" customWidth="1"/>
    <col min="7686" max="7686" width="20" customWidth="1"/>
    <col min="7687" max="7687" width="55.81640625" customWidth="1"/>
    <col min="7688" max="7688" width="24" customWidth="1"/>
    <col min="7692" max="7692" width="11.36328125" customWidth="1"/>
    <col min="7939" max="7939" width="5.36328125" customWidth="1"/>
    <col min="7940" max="7940" width="22.26953125" customWidth="1"/>
    <col min="7941" max="7941" width="20.36328125" customWidth="1"/>
    <col min="7942" max="7942" width="20" customWidth="1"/>
    <col min="7943" max="7943" width="55.81640625" customWidth="1"/>
    <col min="7944" max="7944" width="24" customWidth="1"/>
    <col min="7948" max="7948" width="11.36328125" customWidth="1"/>
    <col min="8195" max="8195" width="5.36328125" customWidth="1"/>
    <col min="8196" max="8196" width="22.26953125" customWidth="1"/>
    <col min="8197" max="8197" width="20.36328125" customWidth="1"/>
    <col min="8198" max="8198" width="20" customWidth="1"/>
    <col min="8199" max="8199" width="55.81640625" customWidth="1"/>
    <col min="8200" max="8200" width="24" customWidth="1"/>
    <col min="8204" max="8204" width="11.36328125" customWidth="1"/>
    <col min="8451" max="8451" width="5.36328125" customWidth="1"/>
    <col min="8452" max="8452" width="22.26953125" customWidth="1"/>
    <col min="8453" max="8453" width="20.36328125" customWidth="1"/>
    <col min="8454" max="8454" width="20" customWidth="1"/>
    <col min="8455" max="8455" width="55.81640625" customWidth="1"/>
    <col min="8456" max="8456" width="24" customWidth="1"/>
    <col min="8460" max="8460" width="11.36328125" customWidth="1"/>
    <col min="8707" max="8707" width="5.36328125" customWidth="1"/>
    <col min="8708" max="8708" width="22.26953125" customWidth="1"/>
    <col min="8709" max="8709" width="20.36328125" customWidth="1"/>
    <col min="8710" max="8710" width="20" customWidth="1"/>
    <col min="8711" max="8711" width="55.81640625" customWidth="1"/>
    <col min="8712" max="8712" width="24" customWidth="1"/>
    <col min="8716" max="8716" width="11.36328125" customWidth="1"/>
    <col min="8963" max="8963" width="5.36328125" customWidth="1"/>
    <col min="8964" max="8964" width="22.26953125" customWidth="1"/>
    <col min="8965" max="8965" width="20.36328125" customWidth="1"/>
    <col min="8966" max="8966" width="20" customWidth="1"/>
    <col min="8967" max="8967" width="55.81640625" customWidth="1"/>
    <col min="8968" max="8968" width="24" customWidth="1"/>
    <col min="8972" max="8972" width="11.36328125" customWidth="1"/>
    <col min="9219" max="9219" width="5.36328125" customWidth="1"/>
    <col min="9220" max="9220" width="22.26953125" customWidth="1"/>
    <col min="9221" max="9221" width="20.36328125" customWidth="1"/>
    <col min="9222" max="9222" width="20" customWidth="1"/>
    <col min="9223" max="9223" width="55.81640625" customWidth="1"/>
    <col min="9224" max="9224" width="24" customWidth="1"/>
    <col min="9228" max="9228" width="11.36328125" customWidth="1"/>
    <col min="9475" max="9475" width="5.36328125" customWidth="1"/>
    <col min="9476" max="9476" width="22.26953125" customWidth="1"/>
    <col min="9477" max="9477" width="20.36328125" customWidth="1"/>
    <col min="9478" max="9478" width="20" customWidth="1"/>
    <col min="9479" max="9479" width="55.81640625" customWidth="1"/>
    <col min="9480" max="9480" width="24" customWidth="1"/>
    <col min="9484" max="9484" width="11.36328125" customWidth="1"/>
    <col min="9731" max="9731" width="5.36328125" customWidth="1"/>
    <col min="9732" max="9732" width="22.26953125" customWidth="1"/>
    <col min="9733" max="9733" width="20.36328125" customWidth="1"/>
    <col min="9734" max="9734" width="20" customWidth="1"/>
    <col min="9735" max="9735" width="55.81640625" customWidth="1"/>
    <col min="9736" max="9736" width="24" customWidth="1"/>
    <col min="9740" max="9740" width="11.36328125" customWidth="1"/>
    <col min="9987" max="9987" width="5.36328125" customWidth="1"/>
    <col min="9988" max="9988" width="22.26953125" customWidth="1"/>
    <col min="9989" max="9989" width="20.36328125" customWidth="1"/>
    <col min="9990" max="9990" width="20" customWidth="1"/>
    <col min="9991" max="9991" width="55.81640625" customWidth="1"/>
    <col min="9992" max="9992" width="24" customWidth="1"/>
    <col min="9996" max="9996" width="11.36328125" customWidth="1"/>
    <col min="10243" max="10243" width="5.36328125" customWidth="1"/>
    <col min="10244" max="10244" width="22.26953125" customWidth="1"/>
    <col min="10245" max="10245" width="20.36328125" customWidth="1"/>
    <col min="10246" max="10246" width="20" customWidth="1"/>
    <col min="10247" max="10247" width="55.81640625" customWidth="1"/>
    <col min="10248" max="10248" width="24" customWidth="1"/>
    <col min="10252" max="10252" width="11.36328125" customWidth="1"/>
    <col min="10499" max="10499" width="5.36328125" customWidth="1"/>
    <col min="10500" max="10500" width="22.26953125" customWidth="1"/>
    <col min="10501" max="10501" width="20.36328125" customWidth="1"/>
    <col min="10502" max="10502" width="20" customWidth="1"/>
    <col min="10503" max="10503" width="55.81640625" customWidth="1"/>
    <col min="10504" max="10504" width="24" customWidth="1"/>
    <col min="10508" max="10508" width="11.36328125" customWidth="1"/>
    <col min="10755" max="10755" width="5.36328125" customWidth="1"/>
    <col min="10756" max="10756" width="22.26953125" customWidth="1"/>
    <col min="10757" max="10757" width="20.36328125" customWidth="1"/>
    <col min="10758" max="10758" width="20" customWidth="1"/>
    <col min="10759" max="10759" width="55.81640625" customWidth="1"/>
    <col min="10760" max="10760" width="24" customWidth="1"/>
    <col min="10764" max="10764" width="11.36328125" customWidth="1"/>
    <col min="11011" max="11011" width="5.36328125" customWidth="1"/>
    <col min="11012" max="11012" width="22.26953125" customWidth="1"/>
    <col min="11013" max="11013" width="20.36328125" customWidth="1"/>
    <col min="11014" max="11014" width="20" customWidth="1"/>
    <col min="11015" max="11015" width="55.81640625" customWidth="1"/>
    <col min="11016" max="11016" width="24" customWidth="1"/>
    <col min="11020" max="11020" width="11.36328125" customWidth="1"/>
    <col min="11267" max="11267" width="5.36328125" customWidth="1"/>
    <col min="11268" max="11268" width="22.26953125" customWidth="1"/>
    <col min="11269" max="11269" width="20.36328125" customWidth="1"/>
    <col min="11270" max="11270" width="20" customWidth="1"/>
    <col min="11271" max="11271" width="55.81640625" customWidth="1"/>
    <col min="11272" max="11272" width="24" customWidth="1"/>
    <col min="11276" max="11276" width="11.36328125" customWidth="1"/>
    <col min="11523" max="11523" width="5.36328125" customWidth="1"/>
    <col min="11524" max="11524" width="22.26953125" customWidth="1"/>
    <col min="11525" max="11525" width="20.36328125" customWidth="1"/>
    <col min="11526" max="11526" width="20" customWidth="1"/>
    <col min="11527" max="11527" width="55.81640625" customWidth="1"/>
    <col min="11528" max="11528" width="24" customWidth="1"/>
    <col min="11532" max="11532" width="11.36328125" customWidth="1"/>
    <col min="11779" max="11779" width="5.36328125" customWidth="1"/>
    <col min="11780" max="11780" width="22.26953125" customWidth="1"/>
    <col min="11781" max="11781" width="20.36328125" customWidth="1"/>
    <col min="11782" max="11782" width="20" customWidth="1"/>
    <col min="11783" max="11783" width="55.81640625" customWidth="1"/>
    <col min="11784" max="11784" width="24" customWidth="1"/>
    <col min="11788" max="11788" width="11.36328125" customWidth="1"/>
    <col min="12035" max="12035" width="5.36328125" customWidth="1"/>
    <col min="12036" max="12036" width="22.26953125" customWidth="1"/>
    <col min="12037" max="12037" width="20.36328125" customWidth="1"/>
    <col min="12038" max="12038" width="20" customWidth="1"/>
    <col min="12039" max="12039" width="55.81640625" customWidth="1"/>
    <col min="12040" max="12040" width="24" customWidth="1"/>
    <col min="12044" max="12044" width="11.36328125" customWidth="1"/>
    <col min="12291" max="12291" width="5.36328125" customWidth="1"/>
    <col min="12292" max="12292" width="22.26953125" customWidth="1"/>
    <col min="12293" max="12293" width="20.36328125" customWidth="1"/>
    <col min="12294" max="12294" width="20" customWidth="1"/>
    <col min="12295" max="12295" width="55.81640625" customWidth="1"/>
    <col min="12296" max="12296" width="24" customWidth="1"/>
    <col min="12300" max="12300" width="11.36328125" customWidth="1"/>
    <col min="12547" max="12547" width="5.36328125" customWidth="1"/>
    <col min="12548" max="12548" width="22.26953125" customWidth="1"/>
    <col min="12549" max="12549" width="20.36328125" customWidth="1"/>
    <col min="12550" max="12550" width="20" customWidth="1"/>
    <col min="12551" max="12551" width="55.81640625" customWidth="1"/>
    <col min="12552" max="12552" width="24" customWidth="1"/>
    <col min="12556" max="12556" width="11.36328125" customWidth="1"/>
    <col min="12803" max="12803" width="5.36328125" customWidth="1"/>
    <col min="12804" max="12804" width="22.26953125" customWidth="1"/>
    <col min="12805" max="12805" width="20.36328125" customWidth="1"/>
    <col min="12806" max="12806" width="20" customWidth="1"/>
    <col min="12807" max="12807" width="55.81640625" customWidth="1"/>
    <col min="12808" max="12808" width="24" customWidth="1"/>
    <col min="12812" max="12812" width="11.36328125" customWidth="1"/>
    <col min="13059" max="13059" width="5.36328125" customWidth="1"/>
    <col min="13060" max="13060" width="22.26953125" customWidth="1"/>
    <col min="13061" max="13061" width="20.36328125" customWidth="1"/>
    <col min="13062" max="13062" width="20" customWidth="1"/>
    <col min="13063" max="13063" width="55.81640625" customWidth="1"/>
    <col min="13064" max="13064" width="24" customWidth="1"/>
    <col min="13068" max="13068" width="11.36328125" customWidth="1"/>
    <col min="13315" max="13315" width="5.36328125" customWidth="1"/>
    <col min="13316" max="13316" width="22.26953125" customWidth="1"/>
    <col min="13317" max="13317" width="20.36328125" customWidth="1"/>
    <col min="13318" max="13318" width="20" customWidth="1"/>
    <col min="13319" max="13319" width="55.81640625" customWidth="1"/>
    <col min="13320" max="13320" width="24" customWidth="1"/>
    <col min="13324" max="13324" width="11.36328125" customWidth="1"/>
    <col min="13571" max="13571" width="5.36328125" customWidth="1"/>
    <col min="13572" max="13572" width="22.26953125" customWidth="1"/>
    <col min="13573" max="13573" width="20.36328125" customWidth="1"/>
    <col min="13574" max="13574" width="20" customWidth="1"/>
    <col min="13575" max="13575" width="55.81640625" customWidth="1"/>
    <col min="13576" max="13576" width="24" customWidth="1"/>
    <col min="13580" max="13580" width="11.36328125" customWidth="1"/>
    <col min="13827" max="13827" width="5.36328125" customWidth="1"/>
    <col min="13828" max="13828" width="22.26953125" customWidth="1"/>
    <col min="13829" max="13829" width="20.36328125" customWidth="1"/>
    <col min="13830" max="13830" width="20" customWidth="1"/>
    <col min="13831" max="13831" width="55.81640625" customWidth="1"/>
    <col min="13832" max="13832" width="24" customWidth="1"/>
    <col min="13836" max="13836" width="11.36328125" customWidth="1"/>
    <col min="14083" max="14083" width="5.36328125" customWidth="1"/>
    <col min="14084" max="14084" width="22.26953125" customWidth="1"/>
    <col min="14085" max="14085" width="20.36328125" customWidth="1"/>
    <col min="14086" max="14086" width="20" customWidth="1"/>
    <col min="14087" max="14087" width="55.81640625" customWidth="1"/>
    <col min="14088" max="14088" width="24" customWidth="1"/>
    <col min="14092" max="14092" width="11.36328125" customWidth="1"/>
    <col min="14339" max="14339" width="5.36328125" customWidth="1"/>
    <col min="14340" max="14340" width="22.26953125" customWidth="1"/>
    <col min="14341" max="14341" width="20.36328125" customWidth="1"/>
    <col min="14342" max="14342" width="20" customWidth="1"/>
    <col min="14343" max="14343" width="55.81640625" customWidth="1"/>
    <col min="14344" max="14344" width="24" customWidth="1"/>
    <col min="14348" max="14348" width="11.36328125" customWidth="1"/>
    <col min="14595" max="14595" width="5.36328125" customWidth="1"/>
    <col min="14596" max="14596" width="22.26953125" customWidth="1"/>
    <col min="14597" max="14597" width="20.36328125" customWidth="1"/>
    <col min="14598" max="14598" width="20" customWidth="1"/>
    <col min="14599" max="14599" width="55.81640625" customWidth="1"/>
    <col min="14600" max="14600" width="24" customWidth="1"/>
    <col min="14604" max="14604" width="11.36328125" customWidth="1"/>
    <col min="14851" max="14851" width="5.36328125" customWidth="1"/>
    <col min="14852" max="14852" width="22.26953125" customWidth="1"/>
    <col min="14853" max="14853" width="20.36328125" customWidth="1"/>
    <col min="14854" max="14854" width="20" customWidth="1"/>
    <col min="14855" max="14855" width="55.81640625" customWidth="1"/>
    <col min="14856" max="14856" width="24" customWidth="1"/>
    <col min="14860" max="14860" width="11.36328125" customWidth="1"/>
    <col min="15107" max="15107" width="5.36328125" customWidth="1"/>
    <col min="15108" max="15108" width="22.26953125" customWidth="1"/>
    <col min="15109" max="15109" width="20.36328125" customWidth="1"/>
    <col min="15110" max="15110" width="20" customWidth="1"/>
    <col min="15111" max="15111" width="55.81640625" customWidth="1"/>
    <col min="15112" max="15112" width="24" customWidth="1"/>
    <col min="15116" max="15116" width="11.36328125" customWidth="1"/>
    <col min="15363" max="15363" width="5.36328125" customWidth="1"/>
    <col min="15364" max="15364" width="22.26953125" customWidth="1"/>
    <col min="15365" max="15365" width="20.36328125" customWidth="1"/>
    <col min="15366" max="15366" width="20" customWidth="1"/>
    <col min="15367" max="15367" width="55.81640625" customWidth="1"/>
    <col min="15368" max="15368" width="24" customWidth="1"/>
    <col min="15372" max="15372" width="11.36328125" customWidth="1"/>
    <col min="15619" max="15619" width="5.36328125" customWidth="1"/>
    <col min="15620" max="15620" width="22.26953125" customWidth="1"/>
    <col min="15621" max="15621" width="20.36328125" customWidth="1"/>
    <col min="15622" max="15622" width="20" customWidth="1"/>
    <col min="15623" max="15623" width="55.81640625" customWidth="1"/>
    <col min="15624" max="15624" width="24" customWidth="1"/>
    <col min="15628" max="15628" width="11.36328125" customWidth="1"/>
    <col min="15875" max="15875" width="5.36328125" customWidth="1"/>
    <col min="15876" max="15876" width="22.26953125" customWidth="1"/>
    <col min="15877" max="15877" width="20.36328125" customWidth="1"/>
    <col min="15878" max="15878" width="20" customWidth="1"/>
    <col min="15879" max="15879" width="55.81640625" customWidth="1"/>
    <col min="15880" max="15880" width="24" customWidth="1"/>
    <col min="15884" max="15884" width="11.36328125" customWidth="1"/>
    <col min="16131" max="16131" width="5.36328125" customWidth="1"/>
    <col min="16132" max="16132" width="22.26953125" customWidth="1"/>
    <col min="16133" max="16133" width="20.36328125" customWidth="1"/>
    <col min="16134" max="16134" width="20" customWidth="1"/>
    <col min="16135" max="16135" width="55.81640625" customWidth="1"/>
    <col min="16136" max="16136" width="24" customWidth="1"/>
    <col min="16140" max="16140" width="11.36328125" customWidth="1"/>
  </cols>
  <sheetData>
    <row r="1" spans="4:12" ht="17.25" customHeight="1" x14ac:dyDescent="0.25"/>
    <row r="2" spans="4:12" ht="17.25" customHeight="1" x14ac:dyDescent="0.35">
      <c r="E2" s="504"/>
      <c r="F2" s="671" t="s">
        <v>453</v>
      </c>
    </row>
    <row r="4" spans="4:12" s="7" customFormat="1" ht="26" x14ac:dyDescent="0.25">
      <c r="D4" s="500"/>
      <c r="E4" s="672"/>
      <c r="F4" s="672" t="s">
        <v>454</v>
      </c>
      <c r="G4" s="672" t="s">
        <v>352</v>
      </c>
      <c r="H4" s="673" t="s">
        <v>353</v>
      </c>
      <c r="L4" s="674"/>
    </row>
    <row r="5" spans="4:12" x14ac:dyDescent="0.25">
      <c r="D5" s="1144"/>
      <c r="E5" s="1145"/>
      <c r="F5" s="505">
        <v>130</v>
      </c>
      <c r="G5" s="506" t="s">
        <v>455</v>
      </c>
      <c r="H5" s="507">
        <f>SUMIF(DESPESES!$B$7:$B$138,PROGRAMES!F5,DESPESES!$E$7:$E$138)</f>
        <v>0</v>
      </c>
    </row>
    <row r="6" spans="4:12" x14ac:dyDescent="0.25">
      <c r="D6" s="1144"/>
      <c r="E6" s="1145"/>
      <c r="F6" s="505">
        <v>132</v>
      </c>
      <c r="G6" s="506" t="s">
        <v>456</v>
      </c>
      <c r="H6" s="507">
        <f>SUMIF(DESPESES!$B$7:$B$138,PROGRAMES!F6,DESPESES!$E$7:$E$138)</f>
        <v>0</v>
      </c>
    </row>
    <row r="7" spans="4:12" x14ac:dyDescent="0.25">
      <c r="D7" s="1144"/>
      <c r="E7" s="1145"/>
      <c r="F7" s="505">
        <v>133</v>
      </c>
      <c r="G7" s="506" t="s">
        <v>457</v>
      </c>
      <c r="H7" s="507">
        <f>SUMIF(DESPESES!$B$7:$B$138,PROGRAMES!F7,DESPESES!$E$7:$E$138)</f>
        <v>3400</v>
      </c>
    </row>
    <row r="8" spans="4:12" x14ac:dyDescent="0.25">
      <c r="D8" s="1144"/>
      <c r="E8" s="1145"/>
      <c r="F8" s="505">
        <v>134</v>
      </c>
      <c r="G8" s="506" t="s">
        <v>458</v>
      </c>
      <c r="H8" s="507">
        <f>SUMIF(DESPESES!$B$7:$B$138,PROGRAMES!F8,DESPESES!$E$7:$E$138)</f>
        <v>0</v>
      </c>
    </row>
    <row r="9" spans="4:12" x14ac:dyDescent="0.25">
      <c r="D9" s="1144"/>
      <c r="E9" s="1145"/>
      <c r="F9" s="505">
        <v>135</v>
      </c>
      <c r="G9" s="506" t="s">
        <v>459</v>
      </c>
      <c r="H9" s="507">
        <f>SUMIF(DESPESES!$B$7:$B$138,PROGRAMES!F9,DESPESES!$E$7:$E$138)</f>
        <v>0</v>
      </c>
    </row>
    <row r="10" spans="4:12" x14ac:dyDescent="0.25">
      <c r="D10" s="1144"/>
      <c r="E10" s="1145"/>
      <c r="F10" s="505">
        <v>136</v>
      </c>
      <c r="G10" s="506" t="s">
        <v>460</v>
      </c>
      <c r="H10" s="507">
        <f>SUMIF(DESPESES!$B$7:$B$138,PROGRAMES!F10,DESPESES!$E$7:$E$138)</f>
        <v>0</v>
      </c>
    </row>
    <row r="11" spans="4:12" ht="18" customHeight="1" x14ac:dyDescent="0.25">
      <c r="D11" s="1144"/>
      <c r="E11" s="1142"/>
      <c r="F11" s="505">
        <v>150</v>
      </c>
      <c r="G11" s="506" t="s">
        <v>461</v>
      </c>
      <c r="H11" s="507">
        <f>SUMIF(DESPESES!$B$7:$B$138,PROGRAMES!F11,DESPESES!$E$7:$E$138)</f>
        <v>0</v>
      </c>
    </row>
    <row r="12" spans="4:12" ht="18" customHeight="1" x14ac:dyDescent="0.25">
      <c r="D12" s="1144"/>
      <c r="E12" s="1142"/>
      <c r="F12" s="505">
        <v>151</v>
      </c>
      <c r="G12" s="506" t="s">
        <v>462</v>
      </c>
      <c r="H12" s="507">
        <f>SUMIF(DESPESES!$B$7:$B$138,PROGRAMES!F12,DESPESES!$E$7:$E$138)</f>
        <v>0</v>
      </c>
    </row>
    <row r="13" spans="4:12" ht="18" customHeight="1" x14ac:dyDescent="0.25">
      <c r="D13" s="1144"/>
      <c r="E13" s="1142"/>
      <c r="F13" s="499">
        <v>1521</v>
      </c>
      <c r="G13" s="506" t="s">
        <v>463</v>
      </c>
      <c r="H13" s="507">
        <f>SUMIF(DESPESES!$B$7:$B$138,PROGRAMES!F13,DESPESES!$E$7:$E$138)</f>
        <v>0</v>
      </c>
    </row>
    <row r="14" spans="4:12" ht="18" customHeight="1" x14ac:dyDescent="0.25">
      <c r="D14" s="1144"/>
      <c r="E14" s="1142"/>
      <c r="F14" s="499">
        <v>1522</v>
      </c>
      <c r="G14" s="506" t="s">
        <v>464</v>
      </c>
      <c r="H14" s="507">
        <f>SUMIF(DESPESES!$B$7:$B$138,PROGRAMES!F14,DESPESES!$E$7:$E$138)</f>
        <v>0</v>
      </c>
    </row>
    <row r="15" spans="4:12" ht="18" customHeight="1" x14ac:dyDescent="0.25">
      <c r="D15" s="1144"/>
      <c r="E15" s="1142"/>
      <c r="F15" s="499">
        <v>1531</v>
      </c>
      <c r="G15" s="506" t="s">
        <v>465</v>
      </c>
      <c r="H15" s="507">
        <f>SUMIF(DESPESES!$B$7:$B$138,PROGRAMES!F15,DESPESES!$E$7:$E$138)</f>
        <v>0</v>
      </c>
    </row>
    <row r="16" spans="4:12" ht="18" customHeight="1" x14ac:dyDescent="0.25">
      <c r="D16" s="1144"/>
      <c r="E16" s="1142"/>
      <c r="F16" s="499">
        <v>1532</v>
      </c>
      <c r="G16" s="506" t="s">
        <v>466</v>
      </c>
      <c r="H16" s="507">
        <f>SUMIF(DESPESES!$B$7:$B$138,PROGRAMES!F16,DESPESES!$E$7:$E$138)</f>
        <v>0</v>
      </c>
      <c r="J16" s="632"/>
    </row>
    <row r="17" spans="4:9" ht="18" customHeight="1" x14ac:dyDescent="0.25">
      <c r="D17" s="1144"/>
      <c r="E17" s="1142"/>
      <c r="F17" s="505">
        <v>160</v>
      </c>
      <c r="G17" s="506" t="s">
        <v>467</v>
      </c>
      <c r="H17" s="507">
        <f>SUMIF(DESPESES!$B$7:$B$138,PROGRAMES!F17,DESPESES!$E$7:$E$138)</f>
        <v>77291</v>
      </c>
    </row>
    <row r="18" spans="4:9" ht="18" customHeight="1" x14ac:dyDescent="0.25">
      <c r="D18" s="1144"/>
      <c r="E18" s="1142"/>
      <c r="F18" s="505">
        <v>161</v>
      </c>
      <c r="G18" s="506" t="s">
        <v>468</v>
      </c>
      <c r="H18" s="507">
        <f>SUMIF(DESPESES!$B$7:$B$138,PROGRAMES!F18,DESPESES!$E$7:$E$138)</f>
        <v>47100</v>
      </c>
    </row>
    <row r="19" spans="4:9" ht="18" customHeight="1" x14ac:dyDescent="0.25">
      <c r="D19" s="1144"/>
      <c r="E19" s="1142"/>
      <c r="F19" s="499">
        <v>1621</v>
      </c>
      <c r="G19" s="506" t="s">
        <v>469</v>
      </c>
      <c r="H19" s="507">
        <f>SUMIF(DESPESES!$B$7:$B$138,PROGRAMES!F19,DESPESES!$E$7:$E$138)</f>
        <v>16500</v>
      </c>
    </row>
    <row r="20" spans="4:9" ht="18" customHeight="1" x14ac:dyDescent="0.25">
      <c r="D20" s="1144"/>
      <c r="E20" s="1142"/>
      <c r="F20" s="499">
        <v>1622</v>
      </c>
      <c r="G20" s="506" t="s">
        <v>470</v>
      </c>
      <c r="H20" s="507">
        <f>SUMIF(DESPESES!$B$7:$B$138,PROGRAMES!F20,DESPESES!$E$7:$E$138)</f>
        <v>0</v>
      </c>
    </row>
    <row r="21" spans="4:9" ht="18" customHeight="1" x14ac:dyDescent="0.25">
      <c r="D21" s="1144"/>
      <c r="E21" s="1142"/>
      <c r="F21" s="499">
        <v>1623</v>
      </c>
      <c r="G21" s="506" t="s">
        <v>471</v>
      </c>
      <c r="H21" s="507">
        <f>SUMIF(DESPESES!$B$7:$B$138,PROGRAMES!F21,DESPESES!$E$7:$E$138)</f>
        <v>18000</v>
      </c>
    </row>
    <row r="22" spans="4:9" ht="18" customHeight="1" x14ac:dyDescent="0.25">
      <c r="D22" s="1144"/>
      <c r="E22" s="1142"/>
      <c r="F22" s="505">
        <v>163</v>
      </c>
      <c r="G22" s="506" t="s">
        <v>472</v>
      </c>
      <c r="H22" s="507">
        <f>SUMIF(DESPESES!$B$7:$B$138,PROGRAMES!F22,DESPESES!$E$7:$E$138)</f>
        <v>0</v>
      </c>
    </row>
    <row r="23" spans="4:9" ht="18" customHeight="1" x14ac:dyDescent="0.25">
      <c r="D23" s="1144"/>
      <c r="E23" s="1142"/>
      <c r="F23" s="505">
        <v>164</v>
      </c>
      <c r="G23" s="506" t="s">
        <v>473</v>
      </c>
      <c r="H23" s="507">
        <f>SUMIF(DESPESES!$B$7:$B$138,PROGRAMES!F23,DESPESES!$E$7:$E$138)</f>
        <v>500</v>
      </c>
    </row>
    <row r="24" spans="4:9" ht="18" customHeight="1" x14ac:dyDescent="0.25">
      <c r="D24" s="1144"/>
      <c r="E24" s="1142"/>
      <c r="F24" s="505">
        <v>165</v>
      </c>
      <c r="G24" s="506" t="s">
        <v>474</v>
      </c>
      <c r="H24" s="507">
        <f>SUMIF(DESPESES!$B$7:$B$138,PROGRAMES!F24,DESPESES!$E$7:$E$138)</f>
        <v>47701</v>
      </c>
    </row>
    <row r="25" spans="4:9" ht="18" customHeight="1" x14ac:dyDescent="0.25">
      <c r="D25" s="1144"/>
      <c r="E25" s="1143"/>
      <c r="F25" s="505">
        <v>170</v>
      </c>
      <c r="G25" s="506" t="s">
        <v>475</v>
      </c>
      <c r="H25" s="507">
        <f>SUMIF(DESPESES!$B$7:$B$138,PROGRAMES!F25,DESPESES!$E$7:$E$138)</f>
        <v>0</v>
      </c>
    </row>
    <row r="26" spans="4:9" ht="18" customHeight="1" x14ac:dyDescent="0.25">
      <c r="D26" s="1144"/>
      <c r="E26" s="1143"/>
      <c r="F26" s="505">
        <v>171</v>
      </c>
      <c r="G26" s="506" t="s">
        <v>476</v>
      </c>
      <c r="H26" s="507">
        <f>SUMIF(DESPESES!$B$7:$B$138,PROGRAMES!F26,DESPESES!$E$7:$E$138)</f>
        <v>4000</v>
      </c>
    </row>
    <row r="27" spans="4:9" ht="18" customHeight="1" x14ac:dyDescent="0.25">
      <c r="D27" s="1144"/>
      <c r="E27" s="1143"/>
      <c r="F27" s="505">
        <v>1721</v>
      </c>
      <c r="G27" s="506" t="s">
        <v>477</v>
      </c>
      <c r="H27" s="507">
        <f>SUMIF(DESPESES!$B$7:$B$138,PROGRAMES!F27,DESPESES!$E$7:$E$138)</f>
        <v>0</v>
      </c>
      <c r="I27" s="632"/>
    </row>
    <row r="28" spans="4:9" ht="18" customHeight="1" x14ac:dyDescent="0.25">
      <c r="D28" s="1144"/>
      <c r="E28" s="508"/>
      <c r="F28" s="505">
        <v>211</v>
      </c>
      <c r="G28" s="506" t="s">
        <v>479</v>
      </c>
      <c r="H28" s="507">
        <f>SUMIF(DESPESES!$B$7:$B$138,PROGRAMES!F28,DESPESES!$E$7:$E$138)</f>
        <v>0</v>
      </c>
      <c r="I28" s="632"/>
    </row>
    <row r="29" spans="4:9" ht="18" customHeight="1" x14ac:dyDescent="0.25">
      <c r="D29" s="1144"/>
      <c r="E29" s="627"/>
      <c r="F29" s="505">
        <v>221</v>
      </c>
      <c r="G29" s="506" t="s">
        <v>480</v>
      </c>
      <c r="H29" s="507">
        <f>SUMIF(DESPESES!$B$7:$B$138,PROGRAMES!F29,DESPESES!$E$7:$E$138)</f>
        <v>0</v>
      </c>
      <c r="I29" s="632"/>
    </row>
    <row r="30" spans="4:9" ht="18" customHeight="1" x14ac:dyDescent="0.25">
      <c r="D30" s="1144"/>
      <c r="E30" s="627"/>
      <c r="F30" s="505">
        <v>231</v>
      </c>
      <c r="G30" s="506" t="s">
        <v>481</v>
      </c>
      <c r="H30" s="507">
        <f>SUMIF(DESPESES!$B$7:$B$138,PROGRAMES!F30,DESPESES!$E$7:$E$138)</f>
        <v>2100</v>
      </c>
    </row>
    <row r="31" spans="4:9" ht="18" x14ac:dyDescent="0.25">
      <c r="D31" s="1144"/>
      <c r="E31" s="508"/>
      <c r="F31" s="509">
        <v>241</v>
      </c>
      <c r="G31" s="510" t="s">
        <v>482</v>
      </c>
      <c r="H31" s="507">
        <f>SUMIF(DESPESES!$B$7:$B$138,PROGRAMES!F31,DESPESES!$E$7:$E$138)</f>
        <v>0</v>
      </c>
      <c r="I31" s="632"/>
    </row>
    <row r="32" spans="4:9" ht="18" customHeight="1" x14ac:dyDescent="0.25">
      <c r="D32" s="1144"/>
      <c r="E32" s="1145"/>
      <c r="F32" s="505">
        <v>311</v>
      </c>
      <c r="G32" s="506" t="s">
        <v>483</v>
      </c>
      <c r="H32" s="507">
        <f>SUMIF(DESPESES!$B$7:$B$138,PROGRAMES!F32,DESPESES!$E$7:$E$138)</f>
        <v>0</v>
      </c>
    </row>
    <row r="33" spans="4:8" ht="18" customHeight="1" x14ac:dyDescent="0.25">
      <c r="D33" s="1144"/>
      <c r="E33" s="1145"/>
      <c r="F33" s="505">
        <v>312</v>
      </c>
      <c r="G33" s="506" t="s">
        <v>484</v>
      </c>
      <c r="H33" s="507">
        <f>SUMIF(DESPESES!$B$7:$B$138,PROGRAMES!F33,DESPESES!$E$7:$E$138)</f>
        <v>0</v>
      </c>
    </row>
    <row r="34" spans="4:8" ht="18" customHeight="1" x14ac:dyDescent="0.25">
      <c r="D34" s="1144"/>
      <c r="E34" s="1142"/>
      <c r="F34" s="505">
        <v>320</v>
      </c>
      <c r="G34" s="506" t="s">
        <v>485</v>
      </c>
      <c r="H34" s="507">
        <f>SUMIF(DESPESES!$B$7:$B$138,PROGRAMES!F34,DESPESES!$E$7:$E$138)</f>
        <v>0</v>
      </c>
    </row>
    <row r="35" spans="4:8" ht="18" customHeight="1" x14ac:dyDescent="0.25">
      <c r="D35" s="1144"/>
      <c r="E35" s="1142"/>
      <c r="F35" s="505">
        <v>321</v>
      </c>
      <c r="G35" s="506" t="s">
        <v>486</v>
      </c>
      <c r="H35" s="507">
        <f>SUMIF(DESPESES!$B$7:$B$138,PROGRAMES!F35,DESPESES!$E$7:$E$138)</f>
        <v>0</v>
      </c>
    </row>
    <row r="36" spans="4:8" ht="18" customHeight="1" x14ac:dyDescent="0.25">
      <c r="D36" s="1144"/>
      <c r="E36" s="1142"/>
      <c r="F36" s="505">
        <v>322</v>
      </c>
      <c r="G36" s="506" t="s">
        <v>487</v>
      </c>
      <c r="H36" s="507">
        <f>SUMIF(DESPESES!$B$7:$B$138,PROGRAMES!F36,DESPESES!$E$7:$E$138)</f>
        <v>0</v>
      </c>
    </row>
    <row r="37" spans="4:8" ht="18" customHeight="1" x14ac:dyDescent="0.25">
      <c r="D37" s="1144"/>
      <c r="E37" s="1142"/>
      <c r="F37" s="505">
        <v>323</v>
      </c>
      <c r="G37" s="506" t="s">
        <v>488</v>
      </c>
      <c r="H37" s="507">
        <f>SUMIF(DESPESES!$B$7:$B$138,PROGRAMES!F37,DESPESES!$E$7:$E$138)</f>
        <v>39000</v>
      </c>
    </row>
    <row r="38" spans="4:8" ht="18" customHeight="1" x14ac:dyDescent="0.25">
      <c r="D38" s="1144"/>
      <c r="E38" s="1142"/>
      <c r="F38" s="505">
        <v>324</v>
      </c>
      <c r="G38" s="506" t="s">
        <v>489</v>
      </c>
      <c r="H38" s="507">
        <f>SUMIF(DESPESES!$B$7:$B$138,PROGRAMES!F38,DESPESES!$E$7:$E$138)</f>
        <v>0</v>
      </c>
    </row>
    <row r="39" spans="4:8" ht="18" customHeight="1" x14ac:dyDescent="0.25">
      <c r="D39" s="1144"/>
      <c r="E39" s="1142"/>
      <c r="F39" s="505">
        <v>325</v>
      </c>
      <c r="G39" s="506" t="s">
        <v>490</v>
      </c>
      <c r="H39" s="507">
        <f>SUMIF(DESPESES!$B$7:$B$138,PROGRAMES!F39,DESPESES!$E$7:$E$138)</f>
        <v>0</v>
      </c>
    </row>
    <row r="40" spans="4:8" ht="18" customHeight="1" x14ac:dyDescent="0.25">
      <c r="D40" s="1144"/>
      <c r="E40" s="1142"/>
      <c r="F40" s="505">
        <v>326</v>
      </c>
      <c r="G40" s="506" t="s">
        <v>491</v>
      </c>
      <c r="H40" s="507">
        <f>SUMIF(DESPESES!$B$7:$B$138,PROGRAMES!F40,DESPESES!$E$7:$E$138)</f>
        <v>0</v>
      </c>
    </row>
    <row r="41" spans="4:8" ht="18" customHeight="1" x14ac:dyDescent="0.25">
      <c r="D41" s="1144"/>
      <c r="E41" s="1142"/>
      <c r="F41" s="505">
        <v>327</v>
      </c>
      <c r="G41" s="506" t="s">
        <v>492</v>
      </c>
      <c r="H41" s="507">
        <f>SUMIF(DESPESES!$B$7:$B$138,PROGRAMES!F41,DESPESES!$E$7:$E$138)</f>
        <v>0</v>
      </c>
    </row>
    <row r="42" spans="4:8" ht="18" customHeight="1" x14ac:dyDescent="0.25">
      <c r="D42" s="1144"/>
      <c r="E42" s="1142"/>
      <c r="F42" s="505">
        <v>330</v>
      </c>
      <c r="G42" s="506" t="s">
        <v>493</v>
      </c>
      <c r="H42" s="507">
        <f>SUMIF(DESPESES!$B$7:$B$138,PROGRAMES!F42,DESPESES!$E$7:$E$138)</f>
        <v>0</v>
      </c>
    </row>
    <row r="43" spans="4:8" ht="18" customHeight="1" x14ac:dyDescent="0.25">
      <c r="D43" s="1144"/>
      <c r="E43" s="1142"/>
      <c r="F43" s="499">
        <v>332</v>
      </c>
      <c r="G43" s="506" t="s">
        <v>494</v>
      </c>
      <c r="H43" s="507">
        <f>SUMIF(DESPESES!$B$7:$B$138,PROGRAMES!F43,DESPESES!$E$7:$E$138)</f>
        <v>0</v>
      </c>
    </row>
    <row r="44" spans="4:8" ht="18" customHeight="1" x14ac:dyDescent="0.25">
      <c r="D44" s="1144"/>
      <c r="E44" s="1142"/>
      <c r="F44" s="499">
        <v>3322</v>
      </c>
      <c r="G44" s="506" t="s">
        <v>495</v>
      </c>
      <c r="H44" s="507">
        <f>SUMIF(DESPESES!$B$7:$B$138,PROGRAMES!F44,DESPESES!$E$7:$E$138)</f>
        <v>0</v>
      </c>
    </row>
    <row r="45" spans="4:8" ht="18" customHeight="1" x14ac:dyDescent="0.25">
      <c r="D45" s="1144"/>
      <c r="E45" s="1142"/>
      <c r="F45" s="505">
        <v>333</v>
      </c>
      <c r="G45" s="506" t="s">
        <v>496</v>
      </c>
      <c r="H45" s="507">
        <f>SUMIF(DESPESES!$B$7:$B$138,PROGRAMES!F45,DESPESES!$E$7:$E$138)</f>
        <v>3100</v>
      </c>
    </row>
    <row r="46" spans="4:8" ht="18" customHeight="1" x14ac:dyDescent="0.25">
      <c r="D46" s="1144"/>
      <c r="E46" s="1142"/>
      <c r="F46" s="505">
        <v>334</v>
      </c>
      <c r="G46" s="506" t="s">
        <v>497</v>
      </c>
      <c r="H46" s="507">
        <f>SUMIF(DESPESES!$B$7:$B$138,PROGRAMES!F46,DESPESES!$E$7:$E$138)</f>
        <v>2000</v>
      </c>
    </row>
    <row r="47" spans="4:8" ht="18" customHeight="1" x14ac:dyDescent="0.25">
      <c r="D47" s="1144"/>
      <c r="E47" s="1142"/>
      <c r="F47" s="505">
        <v>336</v>
      </c>
      <c r="G47" s="506" t="s">
        <v>498</v>
      </c>
      <c r="H47" s="507">
        <f>SUMIF(DESPESES!$B$7:$B$138,PROGRAMES!F47,DESPESES!$E$7:$E$138)</f>
        <v>0</v>
      </c>
    </row>
    <row r="48" spans="4:8" ht="18" customHeight="1" x14ac:dyDescent="0.25">
      <c r="D48" s="1144"/>
      <c r="E48" s="1142"/>
      <c r="F48" s="505">
        <v>337</v>
      </c>
      <c r="G48" s="506" t="s">
        <v>499</v>
      </c>
      <c r="H48" s="507">
        <f>SUMIF(DESPESES!$B$7:$B$138,PROGRAMES!F48,DESPESES!$E$7:$E$138)</f>
        <v>800</v>
      </c>
    </row>
    <row r="49" spans="4:9" ht="18" customHeight="1" x14ac:dyDescent="0.25">
      <c r="D49" s="1144"/>
      <c r="E49" s="1142"/>
      <c r="F49" s="505">
        <v>338</v>
      </c>
      <c r="G49" s="506" t="s">
        <v>500</v>
      </c>
      <c r="H49" s="507">
        <f>SUMIF(DESPESES!$B$7:$B$138,PROGRAMES!F49,DESPESES!$E$7:$E$138)</f>
        <v>17000</v>
      </c>
    </row>
    <row r="50" spans="4:9" ht="18" customHeight="1" x14ac:dyDescent="0.25">
      <c r="D50" s="1144"/>
      <c r="E50" s="1143"/>
      <c r="F50" s="505">
        <v>340</v>
      </c>
      <c r="G50" s="506" t="s">
        <v>501</v>
      </c>
      <c r="H50" s="507">
        <f>SUMIF(DESPESES!$B$7:$B$138,PROGRAMES!F50,DESPESES!$E$7:$E$138)</f>
        <v>0</v>
      </c>
    </row>
    <row r="51" spans="4:9" ht="18" customHeight="1" x14ac:dyDescent="0.25">
      <c r="D51" s="1144"/>
      <c r="E51" s="1143"/>
      <c r="F51" s="505">
        <v>341</v>
      </c>
      <c r="G51" s="506" t="s">
        <v>502</v>
      </c>
      <c r="H51" s="507">
        <f>SUMIF(DESPESES!$B$7:$B$138,PROGRAMES!F51,DESPESES!$E$7:$E$138)</f>
        <v>0</v>
      </c>
    </row>
    <row r="52" spans="4:9" ht="18" customHeight="1" x14ac:dyDescent="0.25">
      <c r="D52" s="1144"/>
      <c r="E52" s="1143"/>
      <c r="F52" s="509">
        <v>342</v>
      </c>
      <c r="G52" s="510" t="s">
        <v>503</v>
      </c>
      <c r="H52" s="507">
        <f>SUMIF(DESPESES!$B$7:$B$138,PROGRAMES!F52,DESPESES!$E$7:$E$138)</f>
        <v>19500</v>
      </c>
      <c r="I52" s="632"/>
    </row>
    <row r="53" spans="4:9" ht="18" customHeight="1" x14ac:dyDescent="0.25">
      <c r="D53" s="1144"/>
      <c r="E53" s="1145"/>
      <c r="F53" s="505">
        <v>410</v>
      </c>
      <c r="G53" s="506" t="s">
        <v>504</v>
      </c>
      <c r="H53" s="507">
        <f>SUMIF(DESPESES!$B$7:$B$138,PROGRAMES!F53,DESPESES!$E$7:$E$138)</f>
        <v>0</v>
      </c>
    </row>
    <row r="54" spans="4:9" ht="18" customHeight="1" x14ac:dyDescent="0.25">
      <c r="D54" s="1144"/>
      <c r="E54" s="1145"/>
      <c r="F54" s="505">
        <v>412</v>
      </c>
      <c r="G54" s="506" t="s">
        <v>505</v>
      </c>
      <c r="H54" s="507">
        <f>SUMIF(DESPESES!$B$7:$B$138,PROGRAMES!F54,DESPESES!$E$7:$E$138)</f>
        <v>0</v>
      </c>
    </row>
    <row r="55" spans="4:9" ht="18" customHeight="1" x14ac:dyDescent="0.25">
      <c r="D55" s="1144"/>
      <c r="E55" s="1145"/>
      <c r="F55" s="505">
        <v>414</v>
      </c>
      <c r="G55" s="506" t="s">
        <v>506</v>
      </c>
      <c r="H55" s="507">
        <f>SUMIF(DESPESES!$B$7:$B$138,PROGRAMES!F55,DESPESES!$E$7:$E$138)</f>
        <v>3000</v>
      </c>
    </row>
    <row r="56" spans="4:9" ht="18" customHeight="1" x14ac:dyDescent="0.25">
      <c r="D56" s="1144"/>
      <c r="E56" s="1145"/>
      <c r="F56" s="505">
        <v>415</v>
      </c>
      <c r="G56" s="506" t="s">
        <v>507</v>
      </c>
      <c r="H56" s="507">
        <f>SUMIF(DESPESES!$B$7:$B$138,PROGRAMES!F56,DESPESES!$E$7:$E$138)</f>
        <v>0</v>
      </c>
    </row>
    <row r="57" spans="4:9" ht="18" customHeight="1" x14ac:dyDescent="0.25">
      <c r="D57" s="1144"/>
      <c r="E57" s="1145"/>
      <c r="F57" s="505">
        <v>419</v>
      </c>
      <c r="G57" s="506" t="s">
        <v>508</v>
      </c>
      <c r="H57" s="507">
        <f>SUMIF(DESPESES!$B$7:$B$138,PROGRAMES!F57,DESPESES!$E$7:$E$138)</f>
        <v>0</v>
      </c>
    </row>
    <row r="58" spans="4:9" ht="18" customHeight="1" x14ac:dyDescent="0.25">
      <c r="D58" s="1144"/>
      <c r="E58" s="1142"/>
      <c r="F58" s="505">
        <v>420</v>
      </c>
      <c r="G58" s="506" t="s">
        <v>509</v>
      </c>
      <c r="H58" s="507">
        <f>SUMIF(DESPESES!$B$7:$B$138,PROGRAMES!F58,DESPESES!$E$7:$E$138)</f>
        <v>0</v>
      </c>
    </row>
    <row r="59" spans="4:9" ht="18" customHeight="1" x14ac:dyDescent="0.25">
      <c r="D59" s="1144"/>
      <c r="E59" s="1142"/>
      <c r="F59" s="505">
        <v>422</v>
      </c>
      <c r="G59" s="506" t="s">
        <v>510</v>
      </c>
      <c r="H59" s="507">
        <f>SUMIF(DESPESES!$B$7:$B$138,PROGRAMES!F59,DESPESES!$E$7:$E$138)</f>
        <v>0</v>
      </c>
    </row>
    <row r="60" spans="4:9" ht="18" customHeight="1" x14ac:dyDescent="0.25">
      <c r="D60" s="1144"/>
      <c r="E60" s="1142"/>
      <c r="F60" s="505">
        <v>423</v>
      </c>
      <c r="G60" s="506" t="s">
        <v>511</v>
      </c>
      <c r="H60" s="507">
        <f>SUMIF(DESPESES!$B$7:$B$138,PROGRAMES!F60,DESPESES!$E$7:$E$138)</f>
        <v>0</v>
      </c>
    </row>
    <row r="61" spans="4:9" ht="18" customHeight="1" x14ac:dyDescent="0.25">
      <c r="D61" s="1144"/>
      <c r="E61" s="1142"/>
      <c r="F61" s="505">
        <v>425</v>
      </c>
      <c r="G61" s="506" t="s">
        <v>512</v>
      </c>
      <c r="H61" s="507">
        <f>SUMIF(DESPESES!$B$7:$B$138,PROGRAMES!F61,DESPESES!$E$7:$E$138)</f>
        <v>0</v>
      </c>
    </row>
    <row r="62" spans="4:9" ht="18" customHeight="1" x14ac:dyDescent="0.25">
      <c r="D62" s="1144"/>
      <c r="E62" s="1142"/>
      <c r="F62" s="505">
        <v>430</v>
      </c>
      <c r="G62" s="506" t="s">
        <v>513</v>
      </c>
      <c r="H62" s="507">
        <f>SUMIF(DESPESES!$B$7:$B$138,PROGRAMES!F62,DESPESES!$E$7:$E$138)</f>
        <v>0</v>
      </c>
    </row>
    <row r="63" spans="4:9" ht="18" customHeight="1" x14ac:dyDescent="0.25">
      <c r="D63" s="1144"/>
      <c r="E63" s="1142"/>
      <c r="F63" s="505">
        <v>4311</v>
      </c>
      <c r="G63" s="506" t="s">
        <v>514</v>
      </c>
      <c r="H63" s="507">
        <f>SUMIF(DESPESES!$B$7:$B$138,PROGRAMES!F63,DESPESES!$E$7:$E$138)</f>
        <v>0</v>
      </c>
    </row>
    <row r="64" spans="4:9" ht="18" customHeight="1" x14ac:dyDescent="0.25">
      <c r="D64" s="1144"/>
      <c r="E64" s="1142"/>
      <c r="F64" s="505">
        <v>4312</v>
      </c>
      <c r="G64" s="506" t="s">
        <v>515</v>
      </c>
      <c r="H64" s="507">
        <f>SUMIF(DESPESES!$B$7:$B$138,PROGRAMES!F64,DESPESES!$E$7:$E$138)</f>
        <v>0</v>
      </c>
    </row>
    <row r="65" spans="4:8" ht="18" customHeight="1" x14ac:dyDescent="0.25">
      <c r="D65" s="1144"/>
      <c r="E65" s="1142"/>
      <c r="F65" s="505">
        <v>4313</v>
      </c>
      <c r="G65" s="506" t="s">
        <v>516</v>
      </c>
      <c r="H65" s="507">
        <f>SUMIF(DESPESES!$B$7:$B$138,PROGRAMES!F65,DESPESES!$E$7:$E$138)</f>
        <v>0</v>
      </c>
    </row>
    <row r="66" spans="4:8" ht="18" customHeight="1" x14ac:dyDescent="0.25">
      <c r="D66" s="1144"/>
      <c r="E66" s="1142"/>
      <c r="F66" s="505">
        <v>432</v>
      </c>
      <c r="G66" s="506" t="s">
        <v>517</v>
      </c>
      <c r="H66" s="507">
        <f>SUMIF(DESPESES!$B$7:$B$138,PROGRAMES!F66,DESPESES!$E$7:$E$138)</f>
        <v>25000</v>
      </c>
    </row>
    <row r="67" spans="4:8" ht="18" customHeight="1" x14ac:dyDescent="0.25">
      <c r="D67" s="1144"/>
      <c r="E67" s="1142"/>
      <c r="F67" s="505">
        <v>433</v>
      </c>
      <c r="G67" s="506" t="s">
        <v>518</v>
      </c>
      <c r="H67" s="507">
        <f>SUMIF(DESPESES!$B$7:$B$138,PROGRAMES!F67,DESPESES!$E$7:$E$138)</f>
        <v>0</v>
      </c>
    </row>
    <row r="68" spans="4:8" ht="18" customHeight="1" x14ac:dyDescent="0.25">
      <c r="D68" s="1144"/>
      <c r="E68" s="1142"/>
      <c r="F68" s="505">
        <v>439</v>
      </c>
      <c r="G68" s="506" t="s">
        <v>519</v>
      </c>
      <c r="H68" s="507">
        <f>SUMIF(DESPESES!$B$7:$B$138,PROGRAMES!F68,DESPESES!$E$7:$E$138)</f>
        <v>0</v>
      </c>
    </row>
    <row r="69" spans="4:8" ht="18" customHeight="1" x14ac:dyDescent="0.25">
      <c r="D69" s="1144"/>
      <c r="E69" s="1142"/>
      <c r="F69" s="505">
        <v>440</v>
      </c>
      <c r="G69" s="506" t="s">
        <v>520</v>
      </c>
      <c r="H69" s="507">
        <f>SUMIF(DESPESES!$B$7:$B$138,PROGRAMES!F69,DESPESES!$E$7:$E$138)</f>
        <v>0</v>
      </c>
    </row>
    <row r="70" spans="4:8" ht="18" customHeight="1" x14ac:dyDescent="0.25">
      <c r="D70" s="1144"/>
      <c r="E70" s="1142"/>
      <c r="F70" s="505">
        <v>4411</v>
      </c>
      <c r="G70" s="506" t="s">
        <v>521</v>
      </c>
      <c r="H70" s="507">
        <f>SUMIF(DESPESES!$B$7:$B$138,PROGRAMES!F70,DESPESES!$E$7:$E$138)</f>
        <v>0</v>
      </c>
    </row>
    <row r="71" spans="4:8" ht="18" customHeight="1" x14ac:dyDescent="0.25">
      <c r="D71" s="1144"/>
      <c r="E71" s="1142"/>
      <c r="F71" s="505">
        <v>4412</v>
      </c>
      <c r="G71" s="506" t="s">
        <v>522</v>
      </c>
      <c r="H71" s="507">
        <f>SUMIF(DESPESES!$B$7:$B$138,PROGRAMES!F71,DESPESES!$E$7:$E$138)</f>
        <v>0</v>
      </c>
    </row>
    <row r="72" spans="4:8" ht="18" customHeight="1" x14ac:dyDescent="0.25">
      <c r="D72" s="1144"/>
      <c r="E72" s="1142"/>
      <c r="F72" s="505">
        <v>442</v>
      </c>
      <c r="G72" s="506" t="s">
        <v>523</v>
      </c>
      <c r="H72" s="507">
        <f>SUMIF(DESPESES!$B$7:$B$138,PROGRAMES!F72,DESPESES!$E$7:$E$138)</f>
        <v>0</v>
      </c>
    </row>
    <row r="73" spans="4:8" ht="18" customHeight="1" x14ac:dyDescent="0.25">
      <c r="D73" s="1144"/>
      <c r="E73" s="1142"/>
      <c r="F73" s="505">
        <v>443</v>
      </c>
      <c r="G73" s="506" t="s">
        <v>524</v>
      </c>
      <c r="H73" s="507">
        <f>SUMIF(DESPESES!$B$7:$B$138,PROGRAMES!F73,DESPESES!$E$7:$E$138)</f>
        <v>0</v>
      </c>
    </row>
    <row r="74" spans="4:8" ht="18" customHeight="1" x14ac:dyDescent="0.25">
      <c r="D74" s="1144"/>
      <c r="E74" s="1142"/>
      <c r="F74" s="505">
        <v>450</v>
      </c>
      <c r="G74" s="506" t="s">
        <v>525</v>
      </c>
      <c r="H74" s="507">
        <f>SUMIF(DESPESES!$B$7:$B$138,PROGRAMES!F74,DESPESES!$E$7:$E$138)</f>
        <v>10000</v>
      </c>
    </row>
    <row r="75" spans="4:8" ht="18" customHeight="1" x14ac:dyDescent="0.25">
      <c r="D75" s="1144"/>
      <c r="E75" s="1142"/>
      <c r="F75" s="505">
        <v>452</v>
      </c>
      <c r="G75" s="506" t="s">
        <v>526</v>
      </c>
      <c r="H75" s="507">
        <f>SUMIF(DESPESES!$B$7:$B$138,PROGRAMES!F75,DESPESES!$E$7:$E$138)</f>
        <v>0</v>
      </c>
    </row>
    <row r="76" spans="4:8" ht="17.25" customHeight="1" x14ac:dyDescent="0.25">
      <c r="D76" s="1144"/>
      <c r="E76" s="1142"/>
      <c r="F76" s="505">
        <v>453</v>
      </c>
      <c r="G76" s="506" t="s">
        <v>527</v>
      </c>
      <c r="H76" s="507">
        <f>SUMIF(DESPESES!$B$7:$B$138,PROGRAMES!F76,DESPESES!$E$7:$E$138)</f>
        <v>0</v>
      </c>
    </row>
    <row r="77" spans="4:8" ht="18" customHeight="1" x14ac:dyDescent="0.25">
      <c r="D77" s="1144"/>
      <c r="E77" s="1142"/>
      <c r="F77" s="505">
        <v>454</v>
      </c>
      <c r="G77" s="506" t="s">
        <v>528</v>
      </c>
      <c r="H77" s="507">
        <f>SUMIF(DESPESES!$B$7:$B$138,PROGRAMES!F77,DESPESES!$E$7:$E$138)</f>
        <v>3000</v>
      </c>
    </row>
    <row r="78" spans="4:8" ht="18" customHeight="1" x14ac:dyDescent="0.25">
      <c r="D78" s="1144"/>
      <c r="E78" s="1142"/>
      <c r="F78" s="505">
        <v>459</v>
      </c>
      <c r="G78" s="506" t="s">
        <v>529</v>
      </c>
      <c r="H78" s="507">
        <f>SUMIF(DESPESES!$B$7:$B$138,PROGRAMES!F78,DESPESES!$E$7:$E$138)</f>
        <v>42898</v>
      </c>
    </row>
    <row r="79" spans="4:8" ht="18" customHeight="1" x14ac:dyDescent="0.25">
      <c r="D79" s="1144"/>
      <c r="E79" s="1142"/>
      <c r="F79" s="505">
        <v>462</v>
      </c>
      <c r="G79" s="506" t="s">
        <v>530</v>
      </c>
      <c r="H79" s="507">
        <f>SUMIF(DESPESES!$B$7:$B$138,PROGRAMES!F79,DESPESES!$E$7:$E$138)</f>
        <v>0</v>
      </c>
    </row>
    <row r="80" spans="4:8" ht="18" customHeight="1" x14ac:dyDescent="0.25">
      <c r="D80" s="1144"/>
      <c r="E80" s="1142"/>
      <c r="F80" s="505">
        <v>463</v>
      </c>
      <c r="G80" s="506" t="s">
        <v>531</v>
      </c>
      <c r="H80" s="507">
        <f>SUMIF(DESPESES!$B$7:$B$138,PROGRAMES!F80,DESPESES!$E$7:$E$138)</f>
        <v>0</v>
      </c>
    </row>
    <row r="81" spans="4:9" ht="18" customHeight="1" x14ac:dyDescent="0.25">
      <c r="D81" s="1144"/>
      <c r="E81" s="1143"/>
      <c r="F81" s="505">
        <v>491</v>
      </c>
      <c r="G81" s="506" t="s">
        <v>532</v>
      </c>
      <c r="H81" s="507">
        <f>SUMIF(DESPESES!$B$7:$B$138,PROGRAMES!F81,DESPESES!$E$7:$E$138)</f>
        <v>0</v>
      </c>
    </row>
    <row r="82" spans="4:9" ht="18" customHeight="1" x14ac:dyDescent="0.25">
      <c r="D82" s="1144"/>
      <c r="E82" s="1143"/>
      <c r="F82" s="505">
        <v>492</v>
      </c>
      <c r="G82" s="506" t="s">
        <v>533</v>
      </c>
      <c r="H82" s="507">
        <f>SUMIF(DESPESES!$B$7:$B$138,PROGRAMES!F82,DESPESES!$E$7:$E$138)</f>
        <v>0</v>
      </c>
    </row>
    <row r="83" spans="4:9" ht="18" customHeight="1" x14ac:dyDescent="0.25">
      <c r="D83" s="1144"/>
      <c r="E83" s="1143"/>
      <c r="F83" s="509">
        <v>493</v>
      </c>
      <c r="G83" s="510" t="s">
        <v>534</v>
      </c>
      <c r="H83" s="507">
        <f>SUMIF(DESPESES!$B$7:$B$138,PROGRAMES!F83,DESPESES!$E$7:$E$138)</f>
        <v>0</v>
      </c>
      <c r="I83" s="632"/>
    </row>
    <row r="84" spans="4:9" ht="18" customHeight="1" x14ac:dyDescent="0.25">
      <c r="D84" s="1144"/>
      <c r="E84" s="629"/>
      <c r="F84" s="505">
        <v>912</v>
      </c>
      <c r="G84" s="506" t="s">
        <v>536</v>
      </c>
      <c r="H84" s="507">
        <f>SUMIF(DESPESES!$B$7:$B$138,PROGRAMES!F84,DESPESES!$E$7:$E$138)</f>
        <v>0</v>
      </c>
    </row>
    <row r="85" spans="4:9" ht="18" customHeight="1" x14ac:dyDescent="0.25">
      <c r="D85" s="1144"/>
      <c r="E85" s="1142"/>
      <c r="F85" s="505">
        <v>920</v>
      </c>
      <c r="G85" s="506" t="s">
        <v>455</v>
      </c>
      <c r="H85" s="507">
        <f>SUMIF(DESPESES!$B$7:$B$138,PROGRAMES!F85,DESPESES!$E$7:$E$138)</f>
        <v>194095</v>
      </c>
    </row>
    <row r="86" spans="4:9" ht="18" customHeight="1" x14ac:dyDescent="0.25">
      <c r="D86" s="1144"/>
      <c r="E86" s="1142"/>
      <c r="F86" s="505">
        <v>922</v>
      </c>
      <c r="G86" s="506" t="s">
        <v>537</v>
      </c>
      <c r="H86" s="507">
        <f>SUMIF(DESPESES!$B$7:$B$138,PROGRAMES!F86,DESPESES!$E$7:$E$138)</f>
        <v>0</v>
      </c>
    </row>
    <row r="87" spans="4:9" ht="18" customHeight="1" x14ac:dyDescent="0.25">
      <c r="D87" s="1144"/>
      <c r="E87" s="1142"/>
      <c r="F87" s="499">
        <v>9231</v>
      </c>
      <c r="G87" s="506" t="s">
        <v>539</v>
      </c>
      <c r="H87" s="507">
        <f>SUMIF(DESPESES!$B$7:$B$138,PROGRAMES!F87,DESPESES!$E$7:$E$138)</f>
        <v>0</v>
      </c>
    </row>
    <row r="88" spans="4:9" ht="18" customHeight="1" x14ac:dyDescent="0.25">
      <c r="D88" s="1144"/>
      <c r="E88" s="1142"/>
      <c r="F88" s="505">
        <v>924</v>
      </c>
      <c r="G88" s="506" t="s">
        <v>540</v>
      </c>
      <c r="H88" s="507">
        <f>SUMIF(DESPESES!$B$7:$B$138,PROGRAMES!F88,DESPESES!$E$7:$E$138)</f>
        <v>0</v>
      </c>
    </row>
    <row r="89" spans="4:9" ht="18" customHeight="1" x14ac:dyDescent="0.25">
      <c r="D89" s="1144"/>
      <c r="E89" s="1142"/>
      <c r="F89" s="505">
        <v>925</v>
      </c>
      <c r="G89" s="506" t="s">
        <v>541</v>
      </c>
      <c r="H89" s="507">
        <f>SUMIF(DESPESES!$B$7:$B$138,PROGRAMES!F89,DESPESES!$E$7:$E$138)</f>
        <v>0</v>
      </c>
    </row>
    <row r="90" spans="4:9" ht="18" customHeight="1" x14ac:dyDescent="0.25">
      <c r="D90" s="1144"/>
      <c r="E90" s="1142"/>
      <c r="F90" s="505">
        <v>926</v>
      </c>
      <c r="G90" s="506" t="s">
        <v>542</v>
      </c>
      <c r="H90" s="507">
        <f>SUMIF(DESPESES!$B$7:$B$138,PROGRAMES!F90,DESPESES!$E$7:$E$138)</f>
        <v>0</v>
      </c>
    </row>
    <row r="91" spans="4:9" ht="18" customHeight="1" x14ac:dyDescent="0.25">
      <c r="D91" s="1144"/>
      <c r="E91" s="1142"/>
      <c r="F91" s="505">
        <v>929</v>
      </c>
      <c r="G91" s="506" t="s">
        <v>543</v>
      </c>
      <c r="H91" s="507">
        <f>SUMIF(DESPESES!$B$7:$B$138,PROGRAMES!F91,DESPESES!$E$7:$E$138)</f>
        <v>500</v>
      </c>
    </row>
    <row r="92" spans="4:9" ht="18" customHeight="1" x14ac:dyDescent="0.25">
      <c r="D92" s="1144"/>
      <c r="E92" s="1142"/>
      <c r="F92" s="505">
        <v>931</v>
      </c>
      <c r="G92" s="506" t="s">
        <v>544</v>
      </c>
      <c r="H92" s="507">
        <f>SUMIF(DESPESES!$B$7:$B$138,PROGRAMES!F92,DESPESES!$E$7:$E$138)</f>
        <v>0</v>
      </c>
    </row>
    <row r="93" spans="4:9" ht="18" customHeight="1" x14ac:dyDescent="0.25">
      <c r="D93" s="1144"/>
      <c r="E93" s="1142"/>
      <c r="F93" s="505">
        <v>932</v>
      </c>
      <c r="G93" s="506" t="s">
        <v>545</v>
      </c>
      <c r="H93" s="507">
        <f>SUMIF(DESPESES!$B$7:$B$138,PROGRAMES!F93,DESPESES!$E$7:$E$138)</f>
        <v>5500</v>
      </c>
    </row>
    <row r="94" spans="4:9" ht="18" customHeight="1" x14ac:dyDescent="0.25">
      <c r="D94" s="1144"/>
      <c r="E94" s="1142"/>
      <c r="F94" s="505">
        <v>933</v>
      </c>
      <c r="G94" s="506" t="s">
        <v>546</v>
      </c>
      <c r="H94" s="507">
        <f>SUMIF(DESPESES!$B$7:$B$138,PROGRAMES!F94,DESPESES!$E$7:$E$138)</f>
        <v>0</v>
      </c>
    </row>
    <row r="95" spans="4:9" ht="18" customHeight="1" x14ac:dyDescent="0.25">
      <c r="D95" s="1144"/>
      <c r="E95" s="1142"/>
      <c r="F95" s="505">
        <v>934</v>
      </c>
      <c r="G95" s="506" t="s">
        <v>547</v>
      </c>
      <c r="H95" s="507">
        <f>SUMIF(DESPESES!$B$7:$B$138,PROGRAMES!F95,DESPESES!$E$7:$E$138)</f>
        <v>0</v>
      </c>
    </row>
    <row r="96" spans="4:9" ht="18" customHeight="1" x14ac:dyDescent="0.25">
      <c r="D96" s="1144"/>
      <c r="E96" s="1143"/>
      <c r="F96" s="505">
        <v>941</v>
      </c>
      <c r="G96" s="506" t="s">
        <v>548</v>
      </c>
      <c r="H96" s="507">
        <f>SUMIF(DESPESES!$B$7:$B$138,PROGRAMES!F96,DESPESES!$E$7:$E$138)</f>
        <v>0</v>
      </c>
    </row>
    <row r="97" spans="4:12" ht="18" customHeight="1" x14ac:dyDescent="0.25">
      <c r="D97" s="1144"/>
      <c r="E97" s="1143"/>
      <c r="F97" s="505">
        <v>942</v>
      </c>
      <c r="G97" s="506" t="s">
        <v>549</v>
      </c>
      <c r="H97" s="507">
        <f>SUMIF(DESPESES!$B$7:$B$138,PROGRAMES!F97,DESPESES!$E$7:$E$138)</f>
        <v>0</v>
      </c>
    </row>
    <row r="98" spans="4:12" ht="18" customHeight="1" x14ac:dyDescent="0.25">
      <c r="D98" s="1144"/>
      <c r="E98" s="1143"/>
      <c r="F98" s="505">
        <v>943</v>
      </c>
      <c r="G98" s="506" t="s">
        <v>550</v>
      </c>
      <c r="H98" s="507">
        <f>SUMIF(DESPESES!$B$7:$B$138,PROGRAMES!F98,DESPESES!$E$7:$E$138)</f>
        <v>0</v>
      </c>
    </row>
    <row r="99" spans="4:12" ht="18" customHeight="1" x14ac:dyDescent="0.25">
      <c r="D99" s="1144"/>
      <c r="E99" s="1143"/>
      <c r="F99" s="509">
        <v>944</v>
      </c>
      <c r="G99" s="510" t="s">
        <v>551</v>
      </c>
      <c r="H99" s="507">
        <f>SUMIF(DESPESES!$B$7:$B$138,PROGRAMES!F99,DESPESES!$E$7:$E$138)</f>
        <v>0</v>
      </c>
      <c r="I99" s="632"/>
    </row>
    <row r="100" spans="4:12" s="444" customFormat="1" ht="16.149999999999999" customHeight="1" x14ac:dyDescent="0.25">
      <c r="D100" s="628"/>
      <c r="E100" s="630"/>
      <c r="F100" s="513" t="s">
        <v>365</v>
      </c>
      <c r="G100" s="514" t="s">
        <v>552</v>
      </c>
      <c r="H100" s="507">
        <f>SUMIF(DESPESES!$B$7:$B$138,PROGRAMES!F100,DESPESES!$E$7:$E$138)</f>
        <v>33500</v>
      </c>
      <c r="L100" s="512"/>
    </row>
    <row r="101" spans="4:12" ht="25.5" customHeight="1" x14ac:dyDescent="0.25">
      <c r="D101" s="1138" t="s">
        <v>67</v>
      </c>
      <c r="E101" s="1138"/>
      <c r="F101" s="1138"/>
      <c r="G101" s="1138"/>
      <c r="H101" s="507">
        <f>SUM(H5:H100)</f>
        <v>615485</v>
      </c>
    </row>
    <row r="103" spans="4:12" x14ac:dyDescent="0.25">
      <c r="H103" s="502">
        <f>+RESUM_PRESSUPOST!E37</f>
        <v>627393</v>
      </c>
    </row>
    <row r="104" spans="4:12" x14ac:dyDescent="0.3">
      <c r="D104" s="1139"/>
      <c r="E104" s="1140"/>
      <c r="F104" s="1140"/>
      <c r="G104" s="1140"/>
      <c r="H104" s="1140"/>
    </row>
    <row r="105" spans="4:12" x14ac:dyDescent="0.3">
      <c r="D105" s="515"/>
      <c r="E105" s="515"/>
      <c r="F105" s="515"/>
      <c r="G105" s="515"/>
      <c r="H105" s="515"/>
    </row>
    <row r="106" spans="4:12" x14ac:dyDescent="0.3">
      <c r="D106" s="516"/>
      <c r="E106" s="516"/>
      <c r="F106" s="516"/>
      <c r="G106" s="517"/>
    </row>
    <row r="107" spans="4:12" x14ac:dyDescent="0.25">
      <c r="D107" s="1141"/>
      <c r="E107" s="1141"/>
      <c r="F107" s="1141"/>
      <c r="G107" s="1141"/>
    </row>
    <row r="108" spans="4:12" x14ac:dyDescent="0.25">
      <c r="D108" s="517"/>
      <c r="E108" s="517"/>
      <c r="F108" s="517"/>
      <c r="G108" s="517"/>
    </row>
    <row r="109" spans="4:12" x14ac:dyDescent="0.3">
      <c r="D109" s="516"/>
      <c r="E109" s="516"/>
      <c r="F109" s="516"/>
      <c r="G109" s="517"/>
    </row>
    <row r="110" spans="4:12" x14ac:dyDescent="0.25">
      <c r="D110" s="1141"/>
      <c r="E110" s="1141"/>
      <c r="F110" s="1141"/>
      <c r="G110" s="1141"/>
      <c r="H110" s="1141"/>
    </row>
  </sheetData>
  <sheetProtection algorithmName="SHA-512" hashValue="yMoY7IV31UTCHP1sOARHgto1WQ27eUpBDSh8AvsxAgiL7xegaK2jNXPtTeF5WCMGCi55HsxhB0QMGDI8sGksSA==" saltValue="LimCB65waJ/MUCRSS6y+Qg==" spinCount="100000" sheet="1" selectLockedCells="1" selectUnlockedCells="1"/>
  <mergeCells count="27">
    <mergeCell ref="D28:D31"/>
    <mergeCell ref="D5:D27"/>
    <mergeCell ref="E5:E10"/>
    <mergeCell ref="E11:E16"/>
    <mergeCell ref="E17:E24"/>
    <mergeCell ref="E25:E27"/>
    <mergeCell ref="D32:D52"/>
    <mergeCell ref="E32:E33"/>
    <mergeCell ref="E34:E41"/>
    <mergeCell ref="E42:E49"/>
    <mergeCell ref="E50:E52"/>
    <mergeCell ref="D101:G101"/>
    <mergeCell ref="D104:H104"/>
    <mergeCell ref="D107:G107"/>
    <mergeCell ref="D110:H110"/>
    <mergeCell ref="E74:E78"/>
    <mergeCell ref="E79:E80"/>
    <mergeCell ref="E81:E83"/>
    <mergeCell ref="D84:D99"/>
    <mergeCell ref="E85:E91"/>
    <mergeCell ref="E92:E95"/>
    <mergeCell ref="E96:E99"/>
    <mergeCell ref="D53:D83"/>
    <mergeCell ref="E53:E57"/>
    <mergeCell ref="E58:E61"/>
    <mergeCell ref="E62:E68"/>
    <mergeCell ref="E69:E73"/>
  </mergeCells>
  <conditionalFormatting sqref="D107:G107">
    <cfRule type="cellIs" dxfId="14" priority="1" stopIfTrue="1" operator="equal">
      <formula>"EL TOTAL D'INGRESSOS DEL PRESSUPOST NO COINCIDEIX AMB EL TOTAL DE DESPESES DEL PRESSUPOST"</formula>
    </cfRule>
    <cfRule type="cellIs" dxfId="13" priority="2" stopIfTrue="1" operator="equal">
      <formula>"EL PRESSUPOST ESTÀ ANIVELLAT"</formula>
    </cfRule>
  </conditionalFormatting>
  <conditionalFormatting sqref="D110:H110">
    <cfRule type="cellIs" dxfId="12" priority="3" stopIfTrue="1" operator="equal">
      <formula>"LES CLASSIFICACIONS ECONÒMIQUES I PER PROGRAMES ESTAN QUADRADES"</formula>
    </cfRule>
    <cfRule type="cellIs" dxfId="11" priority="4" stopIfTrue="1" operator="equal">
      <formula>"EL TOTAL DE LA CLASSIFICACIÓ ECONÒMICA DE DESPESES NO COINCIDEIX AMB EL TOTAL DE CLASSIFICACIÓ PER PROGRAMES DE DESPESES"</formula>
    </cfRule>
  </conditionalFormatting>
  <pageMargins left="0.74803149606299213" right="0.74803149606299213" top="0.98425196850393704" bottom="0.98425196850393704" header="0.51181102362204722" footer="0.51181102362204722"/>
  <pageSetup paperSize="9"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1:K44"/>
  <sheetViews>
    <sheetView topLeftCell="A7" zoomScale="90" zoomScaleNormal="90" zoomScaleSheetLayoutView="50" zoomScalePageLayoutView="90" workbookViewId="0">
      <selection activeCell="D104" sqref="D104:H104"/>
    </sheetView>
  </sheetViews>
  <sheetFormatPr baseColWidth="10" defaultColWidth="11.36328125" defaultRowHeight="12.5" x14ac:dyDescent="0.25"/>
  <cols>
    <col min="1" max="1" width="53.36328125" customWidth="1"/>
    <col min="2" max="2" width="13.81640625" customWidth="1"/>
    <col min="3" max="3" width="18.36328125" customWidth="1"/>
    <col min="4" max="4" width="15.08984375" customWidth="1"/>
    <col min="5" max="5" width="26.7265625" customWidth="1"/>
    <col min="6" max="6" width="12.08984375" customWidth="1"/>
    <col min="7" max="7" width="19.08984375" customWidth="1"/>
    <col min="8" max="8" width="12.81640625" customWidth="1"/>
    <col min="9" max="9" width="1.36328125" customWidth="1"/>
    <col min="10" max="10" width="11.26953125" customWidth="1"/>
    <col min="11" max="11" width="11.7265625" customWidth="1"/>
    <col min="12" max="12" width="12.26953125" customWidth="1"/>
    <col min="13" max="14" width="11.36328125" customWidth="1"/>
    <col min="15" max="15" width="11.7265625" customWidth="1"/>
    <col min="16" max="16" width="13" customWidth="1"/>
    <col min="17" max="17" width="11.26953125" customWidth="1"/>
    <col min="18" max="18" width="12.7265625" customWidth="1"/>
    <col min="20" max="20" width="11.7265625" customWidth="1"/>
    <col min="21" max="21" width="13" customWidth="1"/>
  </cols>
  <sheetData>
    <row r="1" spans="1:9" ht="13" x14ac:dyDescent="0.3">
      <c r="A1" s="442"/>
      <c r="B1" s="443"/>
      <c r="C1" s="444"/>
      <c r="D1" s="444"/>
      <c r="E1" s="444"/>
      <c r="F1" s="444"/>
      <c r="G1" s="444"/>
    </row>
    <row r="2" spans="1:9" ht="13" x14ac:dyDescent="0.3">
      <c r="A2" s="445" t="s">
        <v>277</v>
      </c>
      <c r="B2" s="446"/>
      <c r="C2" s="444"/>
      <c r="D2" s="444"/>
      <c r="E2" s="444"/>
      <c r="F2" s="444"/>
      <c r="G2" s="444"/>
    </row>
    <row r="3" spans="1:9" ht="13" x14ac:dyDescent="0.3">
      <c r="A3" s="445"/>
      <c r="B3" s="446"/>
      <c r="C3" s="444"/>
      <c r="D3" s="444"/>
      <c r="E3" s="444"/>
      <c r="F3" s="444"/>
      <c r="G3" s="444"/>
    </row>
    <row r="4" spans="1:9" ht="13" x14ac:dyDescent="0.3">
      <c r="A4" s="447" t="s">
        <v>278</v>
      </c>
      <c r="B4" s="448">
        <f>+'3 Regla despesa'!C4</f>
        <v>2025</v>
      </c>
      <c r="C4" s="444"/>
      <c r="D4" s="444"/>
      <c r="E4" s="447" t="s">
        <v>72</v>
      </c>
      <c r="F4" s="448">
        <f>+B4</f>
        <v>2025</v>
      </c>
      <c r="G4" s="444"/>
    </row>
    <row r="5" spans="1:9" ht="13" x14ac:dyDescent="0.3">
      <c r="A5" s="449">
        <v>1</v>
      </c>
      <c r="B5" s="266">
        <f>+RESUM_PRESSUPOST!E11</f>
        <v>107600</v>
      </c>
      <c r="C5" s="444"/>
      <c r="D5" s="444"/>
      <c r="E5" s="449">
        <v>1</v>
      </c>
      <c r="F5" s="266">
        <f>+RESUM_PRESSUPOST!E27</f>
        <v>155889</v>
      </c>
      <c r="G5" s="444"/>
    </row>
    <row r="6" spans="1:9" ht="13" x14ac:dyDescent="0.3">
      <c r="A6" s="450">
        <v>2</v>
      </c>
      <c r="B6" s="267">
        <f>+RESUM_PRESSUPOST!E12</f>
        <v>5000</v>
      </c>
      <c r="C6" s="451" t="s">
        <v>175</v>
      </c>
      <c r="D6" s="451" t="s">
        <v>176</v>
      </c>
      <c r="E6" s="450">
        <v>2</v>
      </c>
      <c r="F6" s="266">
        <f>+RESUM_PRESSUPOST!E28</f>
        <v>274514</v>
      </c>
      <c r="G6" s="444"/>
    </row>
    <row r="7" spans="1:9" ht="13" x14ac:dyDescent="0.3">
      <c r="A7" s="450">
        <v>3</v>
      </c>
      <c r="B7" s="267">
        <f>+RESUM_PRESSUPOST!E13</f>
        <v>174842</v>
      </c>
      <c r="C7" s="553">
        <v>0</v>
      </c>
      <c r="D7" s="553">
        <v>0</v>
      </c>
      <c r="E7" s="450">
        <v>3</v>
      </c>
      <c r="F7" s="266">
        <f>+RESUM_PRESSUPOST!E29</f>
        <v>11000</v>
      </c>
      <c r="G7" s="444"/>
    </row>
    <row r="8" spans="1:9" ht="13" x14ac:dyDescent="0.3">
      <c r="A8" s="450">
        <v>4</v>
      </c>
      <c r="B8" s="267">
        <f>+RESUM_PRESSUPOST!E14</f>
        <v>174621</v>
      </c>
      <c r="C8" s="444"/>
      <c r="D8" s="444"/>
      <c r="E8" s="452">
        <v>4</v>
      </c>
      <c r="F8" s="266">
        <f>+RESUM_PRESSUPOST!E30</f>
        <v>5100</v>
      </c>
      <c r="G8" s="444"/>
      <c r="H8" s="453"/>
      <c r="I8" s="453"/>
    </row>
    <row r="9" spans="1:9" ht="13" x14ac:dyDescent="0.3">
      <c r="A9" s="450">
        <v>5</v>
      </c>
      <c r="B9" s="267">
        <f>+RESUM_PRESSUPOST!E15</f>
        <v>14000</v>
      </c>
      <c r="C9" s="444"/>
      <c r="D9" s="444"/>
      <c r="E9" s="454" t="s">
        <v>279</v>
      </c>
      <c r="F9" s="340">
        <f>SUM(F5:F8)</f>
        <v>446503</v>
      </c>
      <c r="G9" s="444"/>
    </row>
    <row r="10" spans="1:9" ht="13" x14ac:dyDescent="0.3">
      <c r="A10" s="450"/>
      <c r="B10" s="267"/>
      <c r="C10" s="444"/>
      <c r="D10" s="444"/>
      <c r="E10" s="454">
        <v>5</v>
      </c>
      <c r="F10" s="340">
        <f>+'5_sostre despesa'!C14</f>
        <v>500</v>
      </c>
      <c r="G10" s="444"/>
    </row>
    <row r="11" spans="1:9" ht="13" x14ac:dyDescent="0.3">
      <c r="A11" s="455" t="s">
        <v>280</v>
      </c>
      <c r="B11" s="97">
        <f>SUM(B5:B9)</f>
        <v>476063</v>
      </c>
      <c r="C11" s="444"/>
      <c r="D11" s="444"/>
      <c r="E11" s="454" t="s">
        <v>57</v>
      </c>
      <c r="F11" s="340">
        <f>+F10</f>
        <v>500</v>
      </c>
      <c r="G11" s="444"/>
    </row>
    <row r="12" spans="1:9" ht="13" x14ac:dyDescent="0.3">
      <c r="A12" s="455">
        <v>6</v>
      </c>
      <c r="B12" s="267">
        <f>+RESUM_PRESSUPOST!E16</f>
        <v>0</v>
      </c>
      <c r="C12" s="444"/>
      <c r="D12" s="444"/>
      <c r="E12" s="454">
        <v>6</v>
      </c>
      <c r="F12" s="341">
        <f>+RESUM_PRESSUPOST!E32</f>
        <v>157890</v>
      </c>
      <c r="G12" s="456"/>
    </row>
    <row r="13" spans="1:9" ht="13" x14ac:dyDescent="0.3">
      <c r="A13" s="455">
        <v>7</v>
      </c>
      <c r="B13" s="267">
        <f>+RESUM_PRESSUPOST!E17</f>
        <v>151330</v>
      </c>
      <c r="C13" s="444"/>
      <c r="D13" s="444"/>
      <c r="E13" s="454">
        <v>7</v>
      </c>
      <c r="F13" s="341">
        <f>+RESUM_PRESSUPOST!E33</f>
        <v>0</v>
      </c>
      <c r="G13" s="444"/>
    </row>
    <row r="14" spans="1:9" ht="13" x14ac:dyDescent="0.3">
      <c r="A14" s="455" t="s">
        <v>282</v>
      </c>
      <c r="B14" s="97">
        <f>+B12+B13</f>
        <v>151330</v>
      </c>
      <c r="C14" s="444"/>
      <c r="D14" s="444"/>
      <c r="E14" s="454" t="s">
        <v>281</v>
      </c>
      <c r="F14" s="340">
        <f>+F12+F13</f>
        <v>157890</v>
      </c>
      <c r="G14" s="444"/>
    </row>
    <row r="15" spans="1:9" ht="13" x14ac:dyDescent="0.3">
      <c r="A15" s="455">
        <v>8</v>
      </c>
      <c r="B15" s="267">
        <f>+RESUM_PRESSUPOST!E18</f>
        <v>0</v>
      </c>
      <c r="C15" s="444"/>
      <c r="D15" s="444"/>
      <c r="E15" s="454">
        <v>8</v>
      </c>
      <c r="F15" s="341">
        <f>+RESUM_PRESSUPOST!E34</f>
        <v>0</v>
      </c>
      <c r="G15" s="444"/>
    </row>
    <row r="16" spans="1:9" ht="13" x14ac:dyDescent="0.3">
      <c r="A16" s="455">
        <v>9</v>
      </c>
      <c r="B16" s="267">
        <f>+RESUM_PRESSUPOST!E19</f>
        <v>0</v>
      </c>
      <c r="C16" s="444"/>
      <c r="D16" s="444"/>
      <c r="E16" s="454">
        <v>9</v>
      </c>
      <c r="F16" s="341">
        <f>+RESUM_PRESSUPOST!E35</f>
        <v>22500</v>
      </c>
      <c r="G16" s="444"/>
    </row>
    <row r="17" spans="1:11" ht="13" x14ac:dyDescent="0.3">
      <c r="A17" s="457" t="s">
        <v>284</v>
      </c>
      <c r="B17" s="135">
        <f>+B15+B16</f>
        <v>0</v>
      </c>
      <c r="C17" s="444"/>
      <c r="D17" s="444"/>
      <c r="E17" s="454" t="s">
        <v>283</v>
      </c>
      <c r="F17" s="340">
        <f>+F15+F16</f>
        <v>22500</v>
      </c>
      <c r="G17" s="444"/>
    </row>
    <row r="18" spans="1:11" ht="13" x14ac:dyDescent="0.3">
      <c r="A18" s="458" t="s">
        <v>124</v>
      </c>
      <c r="B18" s="135">
        <f>+B11+B14+B17</f>
        <v>627393</v>
      </c>
      <c r="C18" s="459"/>
      <c r="D18" s="444"/>
      <c r="E18" s="460" t="s">
        <v>124</v>
      </c>
      <c r="F18" s="342">
        <f>+F9++F11+F14+F17</f>
        <v>627393</v>
      </c>
      <c r="G18" s="456"/>
    </row>
    <row r="19" spans="1:11" x14ac:dyDescent="0.25">
      <c r="A19" s="444"/>
      <c r="B19" s="461"/>
      <c r="C19" s="444"/>
      <c r="D19" s="444"/>
      <c r="E19" s="444"/>
      <c r="F19" s="444"/>
      <c r="G19" s="444"/>
    </row>
    <row r="20" spans="1:11" ht="13" x14ac:dyDescent="0.3">
      <c r="A20" s="462" t="s">
        <v>285</v>
      </c>
      <c r="B20" s="268">
        <f>+B11+B14</f>
        <v>627393</v>
      </c>
      <c r="C20" s="463"/>
      <c r="D20" s="463"/>
      <c r="E20" s="464" t="s">
        <v>73</v>
      </c>
      <c r="F20" s="268">
        <f>+F9++F11+F14</f>
        <v>604893</v>
      </c>
      <c r="G20" s="463"/>
      <c r="H20" s="465"/>
      <c r="I20" s="453"/>
    </row>
    <row r="21" spans="1:11" x14ac:dyDescent="0.25">
      <c r="A21" s="444"/>
      <c r="B21" s="444"/>
      <c r="C21" s="444"/>
      <c r="D21" s="456"/>
      <c r="G21" s="444"/>
    </row>
    <row r="22" spans="1:11" ht="12.75" customHeight="1" x14ac:dyDescent="0.25">
      <c r="A22" s="123" t="s">
        <v>286</v>
      </c>
      <c r="B22" s="269">
        <f>+B18-F18</f>
        <v>0</v>
      </c>
      <c r="C22" s="1146" t="s">
        <v>58</v>
      </c>
      <c r="D22" s="1147"/>
      <c r="E22" s="1148"/>
      <c r="F22" s="444"/>
      <c r="G22" s="444"/>
    </row>
    <row r="23" spans="1:11" ht="12.75" customHeight="1" x14ac:dyDescent="0.25">
      <c r="A23" s="123" t="s">
        <v>287</v>
      </c>
      <c r="B23" s="269">
        <f>B11-F9-F16-C7-D7-F11</f>
        <v>6560</v>
      </c>
      <c r="C23" s="1146" t="s">
        <v>354</v>
      </c>
      <c r="D23" s="1147"/>
      <c r="E23" s="1148"/>
      <c r="F23" s="456"/>
      <c r="G23" s="444"/>
    </row>
    <row r="24" spans="1:11" s="444" customFormat="1" ht="13" x14ac:dyDescent="0.3">
      <c r="B24" s="456"/>
      <c r="C24" s="466"/>
      <c r="H24"/>
      <c r="I24"/>
      <c r="J24"/>
      <c r="K24"/>
    </row>
    <row r="25" spans="1:11" s="444" customFormat="1" ht="13" x14ac:dyDescent="0.3">
      <c r="B25" s="456"/>
      <c r="C25" s="466"/>
      <c r="H25"/>
      <c r="I25"/>
      <c r="J25"/>
      <c r="K25"/>
    </row>
    <row r="26" spans="1:11" s="444" customFormat="1" ht="13" x14ac:dyDescent="0.3">
      <c r="B26" s="456"/>
      <c r="C26" s="466"/>
      <c r="H26"/>
      <c r="I26"/>
      <c r="J26"/>
      <c r="K26"/>
    </row>
    <row r="27" spans="1:11" s="444" customFormat="1" ht="13" x14ac:dyDescent="0.3">
      <c r="B27" s="456"/>
      <c r="C27" s="466"/>
      <c r="H27"/>
      <c r="I27"/>
      <c r="J27"/>
      <c r="K27"/>
    </row>
    <row r="28" spans="1:11" s="444" customFormat="1" ht="13" x14ac:dyDescent="0.3">
      <c r="B28" s="456"/>
      <c r="C28" s="466"/>
      <c r="H28"/>
      <c r="I28"/>
      <c r="J28"/>
      <c r="K28"/>
    </row>
    <row r="29" spans="1:11" s="444" customFormat="1" ht="13" x14ac:dyDescent="0.3">
      <c r="B29" s="456"/>
      <c r="C29" s="466"/>
      <c r="H29"/>
      <c r="I29"/>
      <c r="J29"/>
      <c r="K29"/>
    </row>
    <row r="30" spans="1:11" s="444" customFormat="1" ht="13" x14ac:dyDescent="0.3">
      <c r="B30" s="456"/>
      <c r="C30" s="466"/>
      <c r="H30"/>
      <c r="I30"/>
      <c r="J30"/>
      <c r="K30"/>
    </row>
    <row r="31" spans="1:11" s="444" customFormat="1" ht="13" x14ac:dyDescent="0.3">
      <c r="B31" s="456"/>
      <c r="C31" s="466"/>
      <c r="H31"/>
      <c r="I31"/>
      <c r="J31"/>
      <c r="K31"/>
    </row>
    <row r="32" spans="1:11" s="444" customFormat="1" ht="13" x14ac:dyDescent="0.3">
      <c r="B32" s="456"/>
      <c r="C32" s="466"/>
      <c r="H32"/>
      <c r="I32"/>
      <c r="J32"/>
      <c r="K32"/>
    </row>
    <row r="33" spans="1:11" s="444" customFormat="1" ht="13" x14ac:dyDescent="0.3">
      <c r="B33" s="456"/>
      <c r="C33" s="466"/>
      <c r="H33"/>
      <c r="I33"/>
      <c r="J33"/>
      <c r="K33"/>
    </row>
    <row r="34" spans="1:11" s="444" customFormat="1" ht="13" x14ac:dyDescent="0.3">
      <c r="B34" s="456"/>
      <c r="C34" s="466"/>
      <c r="H34"/>
      <c r="I34"/>
      <c r="J34"/>
      <c r="K34"/>
    </row>
    <row r="35" spans="1:11" s="444" customFormat="1" ht="13" x14ac:dyDescent="0.3">
      <c r="B35" s="456"/>
      <c r="C35" s="466"/>
      <c r="H35"/>
      <c r="I35"/>
      <c r="J35"/>
      <c r="K35"/>
    </row>
    <row r="36" spans="1:11" s="444" customFormat="1" ht="13" x14ac:dyDescent="0.3">
      <c r="B36" s="456"/>
      <c r="C36" s="466"/>
      <c r="H36"/>
      <c r="I36"/>
      <c r="J36"/>
      <c r="K36"/>
    </row>
    <row r="37" spans="1:11" ht="13" x14ac:dyDescent="0.3">
      <c r="A37" s="444"/>
      <c r="B37" s="456"/>
      <c r="C37" s="466"/>
      <c r="D37" s="444"/>
      <c r="E37" s="444"/>
      <c r="F37" s="444"/>
      <c r="G37" s="444"/>
    </row>
    <row r="38" spans="1:11" ht="13" x14ac:dyDescent="0.3">
      <c r="A38" s="444"/>
      <c r="B38" s="456"/>
      <c r="C38" s="466"/>
      <c r="D38" s="444"/>
      <c r="E38" s="444"/>
      <c r="F38" s="444"/>
      <c r="G38" s="444"/>
    </row>
    <row r="39" spans="1:11" ht="13" x14ac:dyDescent="0.3">
      <c r="A39" s="444"/>
      <c r="B39" s="456"/>
      <c r="C39" s="466"/>
      <c r="D39" s="444"/>
      <c r="E39" s="444"/>
      <c r="F39" s="444"/>
      <c r="G39" s="444"/>
    </row>
    <row r="40" spans="1:11" ht="13" x14ac:dyDescent="0.3">
      <c r="A40" s="444"/>
      <c r="B40" s="456"/>
      <c r="C40" s="466"/>
      <c r="D40" s="444"/>
      <c r="E40" s="444"/>
      <c r="F40" s="444"/>
      <c r="G40" s="444"/>
    </row>
    <row r="41" spans="1:11" ht="13" x14ac:dyDescent="0.3">
      <c r="A41" s="444"/>
      <c r="B41" s="456"/>
      <c r="C41" s="466"/>
      <c r="D41" s="444"/>
      <c r="E41" s="444"/>
      <c r="F41" s="444"/>
      <c r="G41" s="444"/>
    </row>
    <row r="42" spans="1:11" ht="13" x14ac:dyDescent="0.3">
      <c r="A42" s="444"/>
      <c r="B42" s="456"/>
      <c r="C42" s="466"/>
      <c r="D42" s="444"/>
      <c r="E42" s="444"/>
      <c r="F42" s="444"/>
      <c r="G42" s="444"/>
    </row>
    <row r="43" spans="1:11" ht="13" x14ac:dyDescent="0.3">
      <c r="A43" s="444"/>
      <c r="B43" s="456"/>
      <c r="C43" s="466"/>
      <c r="D43" s="444"/>
      <c r="E43" s="444"/>
      <c r="F43" s="444"/>
      <c r="G43" s="444"/>
    </row>
    <row r="44" spans="1:11" ht="13" x14ac:dyDescent="0.3">
      <c r="A44" s="444"/>
      <c r="B44" s="456"/>
      <c r="C44" s="466"/>
      <c r="D44" s="444"/>
      <c r="E44" s="444"/>
      <c r="F44" s="444"/>
      <c r="G44" s="444"/>
    </row>
  </sheetData>
  <mergeCells count="2">
    <mergeCell ref="C22:E22"/>
    <mergeCell ref="C23:E23"/>
  </mergeCells>
  <phoneticPr fontId="0" type="noConversion"/>
  <conditionalFormatting sqref="B22">
    <cfRule type="expression" dxfId="10" priority="7" stopIfTrue="1">
      <formula>($B$18&gt;$F$18)</formula>
    </cfRule>
    <cfRule type="expression" dxfId="9" priority="8" stopIfTrue="1">
      <formula>($B$18&lt;$F$18)</formula>
    </cfRule>
    <cfRule type="expression" dxfId="8" priority="9" stopIfTrue="1">
      <formula>($B$18=$F$18)</formula>
    </cfRule>
  </conditionalFormatting>
  <conditionalFormatting sqref="B23">
    <cfRule type="expression" dxfId="7" priority="10" stopIfTrue="1">
      <formula>($B$5+$B$6+$B$7+$B$8+$B$9)-($F$5+$F$6+$F$7+$F$8+$F$16)&gt;0</formula>
    </cfRule>
    <cfRule type="expression" dxfId="6" priority="11" stopIfTrue="1">
      <formula>($B$5+$B$6+$B$7+$B$8+$B$9)-($F$5+$F$6+$F$7+$F$8+$F$16)&lt;0</formula>
    </cfRule>
    <cfRule type="expression" dxfId="5" priority="12" stopIfTrue="1">
      <formula>($B$5+$B$6+$B$7+$B$8+$B$9)-($F$5+$F$6+$F$7+$F$8+$F$16)=0</formula>
    </cfRule>
  </conditionalFormatting>
  <pageMargins left="0.25972222222222224" right="0.2" top="0.72986111111111107" bottom="0.87013888888888891" header="0.51180555555555551" footer="0.51180555555555551"/>
  <pageSetup paperSize="9" scale="75" firstPageNumber="0"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7"/>
  <dimension ref="A1:P342"/>
  <sheetViews>
    <sheetView topLeftCell="A49" zoomScale="90" zoomScaleNormal="90" zoomScaleSheetLayoutView="50" zoomScalePageLayoutView="90" workbookViewId="0">
      <selection activeCell="D342" sqref="D342"/>
    </sheetView>
  </sheetViews>
  <sheetFormatPr baseColWidth="10" defaultColWidth="11.36328125" defaultRowHeight="12.5" x14ac:dyDescent="0.25"/>
  <cols>
    <col min="1" max="1" width="4" style="10" customWidth="1"/>
    <col min="2" max="2" width="54.26953125" style="10" customWidth="1"/>
    <col min="3" max="3" width="19.26953125" style="10" customWidth="1"/>
    <col min="4" max="5" width="16.36328125" style="10" customWidth="1"/>
    <col min="6" max="6" width="17.26953125" style="10" customWidth="1"/>
    <col min="7" max="7" width="18.36328125" style="10" customWidth="1"/>
    <col min="8" max="8" width="13.36328125" style="10" customWidth="1"/>
    <col min="9" max="9" width="14" style="10" customWidth="1"/>
    <col min="10" max="10" width="17" style="10" customWidth="1"/>
    <col min="11" max="11" width="16.7265625" style="10" customWidth="1"/>
    <col min="12" max="12" width="12.36328125" style="10" customWidth="1"/>
    <col min="13" max="16384" width="11.36328125" style="10"/>
  </cols>
  <sheetData>
    <row r="1" spans="2:12" x14ac:dyDescent="0.25">
      <c r="B1" s="16"/>
      <c r="C1" s="16"/>
      <c r="D1" s="16"/>
      <c r="E1" s="16"/>
      <c r="F1" s="16"/>
      <c r="G1" s="16"/>
      <c r="H1" s="16"/>
      <c r="I1" s="16"/>
      <c r="J1" s="16"/>
      <c r="K1" s="16"/>
      <c r="L1" s="16"/>
    </row>
    <row r="2" spans="2:12" ht="13" x14ac:dyDescent="0.3">
      <c r="B2" s="17" t="s">
        <v>60</v>
      </c>
      <c r="C2" s="16"/>
      <c r="D2" s="16"/>
      <c r="E2" s="16"/>
      <c r="F2" s="16"/>
      <c r="G2" s="16"/>
      <c r="H2" s="16"/>
      <c r="I2" s="16"/>
      <c r="J2" s="16"/>
      <c r="K2" s="16"/>
      <c r="L2" s="16"/>
    </row>
    <row r="3" spans="2:12" x14ac:dyDescent="0.25">
      <c r="B3" s="16"/>
      <c r="C3" s="16"/>
      <c r="D3" s="16"/>
      <c r="E3" s="16"/>
      <c r="F3" s="16"/>
      <c r="G3" s="16"/>
      <c r="H3" s="16"/>
      <c r="I3" s="16"/>
      <c r="J3" s="16"/>
      <c r="K3" s="16"/>
      <c r="L3" s="16"/>
    </row>
    <row r="4" spans="2:12" x14ac:dyDescent="0.25">
      <c r="B4" s="18" t="s">
        <v>68</v>
      </c>
      <c r="C4" s="19">
        <v>2015</v>
      </c>
      <c r="D4" s="16"/>
      <c r="E4" s="16"/>
      <c r="F4" s="16"/>
      <c r="G4" s="16"/>
      <c r="H4" s="16"/>
      <c r="I4" s="16"/>
      <c r="J4" s="16"/>
      <c r="K4" s="16"/>
      <c r="L4" s="16"/>
    </row>
    <row r="5" spans="2:12" x14ac:dyDescent="0.25">
      <c r="B5" s="20" t="s">
        <v>328</v>
      </c>
      <c r="C5" s="21">
        <v>2014</v>
      </c>
      <c r="D5" s="16"/>
      <c r="E5" s="16"/>
      <c r="F5" s="16"/>
      <c r="G5" s="16"/>
      <c r="H5" s="16"/>
      <c r="I5" s="16"/>
      <c r="J5" s="16"/>
      <c r="K5" s="16"/>
      <c r="L5" s="16"/>
    </row>
    <row r="6" spans="2:12" x14ac:dyDescent="0.25">
      <c r="B6" s="16"/>
      <c r="C6" s="16"/>
      <c r="D6" s="16"/>
      <c r="E6" s="16"/>
      <c r="F6" s="16"/>
      <c r="G6" s="16"/>
      <c r="L6" s="16"/>
    </row>
    <row r="7" spans="2:12" x14ac:dyDescent="0.25">
      <c r="B7" s="16"/>
      <c r="C7" s="16"/>
      <c r="D7" s="16"/>
      <c r="E7" s="16"/>
      <c r="F7" s="16"/>
      <c r="G7" s="16"/>
      <c r="L7" s="16"/>
    </row>
    <row r="8" spans="2:12" ht="13" x14ac:dyDescent="0.3">
      <c r="B8" s="22" t="s">
        <v>329</v>
      </c>
      <c r="C8" s="16"/>
      <c r="D8" s="16"/>
      <c r="E8" s="16"/>
      <c r="F8" s="16"/>
      <c r="G8" s="16"/>
      <c r="H8" s="23"/>
      <c r="I8" s="24"/>
      <c r="J8" s="24"/>
      <c r="L8" s="16"/>
    </row>
    <row r="9" spans="2:12" x14ac:dyDescent="0.25">
      <c r="B9" s="16"/>
      <c r="C9" s="16"/>
      <c r="D9" s="16"/>
      <c r="E9" s="16"/>
      <c r="F9" s="16"/>
      <c r="G9" s="16"/>
      <c r="L9" s="16"/>
    </row>
    <row r="10" spans="2:12" ht="13" x14ac:dyDescent="0.3">
      <c r="B10" s="25" t="s">
        <v>71</v>
      </c>
      <c r="C10" s="26">
        <v>1.0129999999999999</v>
      </c>
      <c r="D10" s="16"/>
      <c r="E10" s="16"/>
      <c r="F10" s="16"/>
      <c r="G10" s="16"/>
      <c r="I10" s="24"/>
      <c r="J10" s="24"/>
      <c r="L10" s="16"/>
    </row>
    <row r="11" spans="2:12" x14ac:dyDescent="0.25">
      <c r="D11" s="16"/>
      <c r="E11" s="16"/>
      <c r="G11" s="16"/>
    </row>
    <row r="12" spans="2:12" ht="27" customHeight="1" x14ac:dyDescent="0.3">
      <c r="B12" s="27" t="s">
        <v>72</v>
      </c>
      <c r="C12" s="27">
        <f>+C5</f>
        <v>2014</v>
      </c>
      <c r="D12" s="16"/>
      <c r="E12" s="16"/>
      <c r="F12" s="16"/>
      <c r="G12" s="16"/>
    </row>
    <row r="13" spans="2:12" ht="13" x14ac:dyDescent="0.3">
      <c r="B13" s="28">
        <v>1</v>
      </c>
      <c r="C13" s="29"/>
      <c r="D13" s="16"/>
      <c r="E13" s="16"/>
      <c r="F13" s="16"/>
      <c r="G13" s="16"/>
      <c r="H13" s="16"/>
      <c r="I13" s="16"/>
      <c r="J13" s="16"/>
    </row>
    <row r="14" spans="2:12" ht="13" x14ac:dyDescent="0.3">
      <c r="B14" s="30">
        <v>2</v>
      </c>
      <c r="C14" s="31"/>
      <c r="D14" s="16"/>
      <c r="E14" s="16"/>
      <c r="F14" s="16"/>
      <c r="G14" s="16"/>
      <c r="H14" s="16"/>
      <c r="I14" s="16"/>
      <c r="J14" s="16"/>
    </row>
    <row r="15" spans="2:12" ht="13" x14ac:dyDescent="0.3">
      <c r="B15" s="32">
        <v>3</v>
      </c>
      <c r="C15" s="31"/>
      <c r="D15" s="16"/>
      <c r="E15" s="16"/>
      <c r="F15" s="16"/>
      <c r="G15" s="16"/>
      <c r="H15" s="16"/>
      <c r="I15" s="16"/>
      <c r="J15" s="16"/>
    </row>
    <row r="16" spans="2:12" ht="13" x14ac:dyDescent="0.3">
      <c r="B16" s="30">
        <v>4</v>
      </c>
      <c r="C16" s="31"/>
      <c r="D16" s="16"/>
      <c r="E16" s="16"/>
      <c r="F16" s="16"/>
      <c r="G16" s="16"/>
      <c r="H16" s="16"/>
      <c r="I16" s="16"/>
      <c r="J16" s="16"/>
    </row>
    <row r="17" spans="2:12" ht="13" x14ac:dyDescent="0.3">
      <c r="B17" s="32">
        <v>6</v>
      </c>
      <c r="C17" s="31"/>
      <c r="D17" s="16"/>
      <c r="E17" s="16"/>
      <c r="F17" s="16"/>
      <c r="G17" s="16"/>
      <c r="H17" s="16"/>
      <c r="I17" s="16"/>
      <c r="J17" s="16"/>
    </row>
    <row r="18" spans="2:12" ht="13" x14ac:dyDescent="0.3">
      <c r="B18" s="30">
        <v>7</v>
      </c>
      <c r="C18" s="31"/>
      <c r="D18" s="16"/>
      <c r="E18" s="16"/>
      <c r="F18" s="16"/>
      <c r="G18" s="16"/>
      <c r="H18" s="16"/>
      <c r="I18" s="16"/>
      <c r="J18" s="16"/>
    </row>
    <row r="19" spans="2:12" s="33" customFormat="1" ht="13" x14ac:dyDescent="0.3">
      <c r="B19" s="34" t="s">
        <v>73</v>
      </c>
      <c r="C19" s="35">
        <f>+C13+C14+C15+C16+C17+C18</f>
        <v>0</v>
      </c>
      <c r="D19" s="36"/>
      <c r="E19" s="37"/>
      <c r="F19" s="37"/>
      <c r="G19" s="37"/>
      <c r="H19" s="37"/>
      <c r="I19" s="37"/>
      <c r="J19" s="37"/>
    </row>
    <row r="20" spans="2:12" ht="13" x14ac:dyDescent="0.3">
      <c r="B20" s="32">
        <v>8</v>
      </c>
      <c r="C20" s="31"/>
      <c r="D20" s="38"/>
      <c r="E20" s="16"/>
      <c r="F20" s="16"/>
      <c r="G20" s="16"/>
      <c r="H20" s="16"/>
      <c r="I20" s="16"/>
      <c r="J20" s="16"/>
    </row>
    <row r="21" spans="2:12" ht="13" x14ac:dyDescent="0.3">
      <c r="B21" s="30">
        <v>9</v>
      </c>
      <c r="C21" s="31"/>
      <c r="D21" s="16"/>
      <c r="E21" s="16"/>
      <c r="F21" s="16"/>
      <c r="G21" s="16"/>
      <c r="H21" s="16"/>
      <c r="I21" s="16"/>
      <c r="J21" s="16"/>
    </row>
    <row r="22" spans="2:12" ht="13" x14ac:dyDescent="0.3">
      <c r="B22" s="39" t="s">
        <v>74</v>
      </c>
      <c r="C22" s="40">
        <f>+C13+C14+C15+C16+C17+C18+C20+C21</f>
        <v>0</v>
      </c>
      <c r="D22" s="41"/>
      <c r="E22" s="16"/>
      <c r="F22" s="16"/>
      <c r="G22" s="16"/>
      <c r="H22" s="16"/>
      <c r="I22" s="16"/>
      <c r="J22" s="16"/>
    </row>
    <row r="23" spans="2:12" x14ac:dyDescent="0.25">
      <c r="B23" s="16"/>
      <c r="C23" s="16"/>
      <c r="D23" s="16"/>
      <c r="E23" s="16"/>
      <c r="F23" s="16"/>
      <c r="G23" s="16"/>
      <c r="H23" s="16"/>
      <c r="I23" s="16"/>
      <c r="J23" s="16"/>
      <c r="K23" s="16"/>
    </row>
    <row r="24" spans="2:12" ht="11.25" customHeight="1" x14ac:dyDescent="0.25">
      <c r="B24" s="16"/>
      <c r="C24" s="16"/>
      <c r="D24" s="16"/>
      <c r="E24" s="16"/>
      <c r="F24" s="16"/>
      <c r="G24" s="16"/>
      <c r="H24" s="16"/>
      <c r="I24" s="16"/>
      <c r="J24" s="16"/>
      <c r="K24" s="16"/>
    </row>
    <row r="25" spans="2:12" ht="13" x14ac:dyDescent="0.3">
      <c r="B25" s="22" t="s">
        <v>330</v>
      </c>
      <c r="C25" s="42"/>
      <c r="D25" s="42"/>
      <c r="E25" s="16"/>
      <c r="F25" s="16"/>
      <c r="G25" s="16"/>
      <c r="H25" s="16"/>
      <c r="I25" s="16"/>
      <c r="J25" s="16"/>
      <c r="K25" s="16"/>
      <c r="L25" s="16"/>
    </row>
    <row r="26" spans="2:12" x14ac:dyDescent="0.25">
      <c r="B26" s="16"/>
      <c r="C26" s="16"/>
      <c r="D26" s="16"/>
      <c r="E26" s="16"/>
      <c r="F26" s="16"/>
      <c r="G26" s="16"/>
      <c r="H26" s="16"/>
      <c r="I26" s="16"/>
      <c r="J26" s="16"/>
      <c r="K26" s="16"/>
      <c r="L26" s="16"/>
    </row>
    <row r="27" spans="2:12" ht="13" x14ac:dyDescent="0.3">
      <c r="B27" s="17" t="s">
        <v>30</v>
      </c>
      <c r="C27" s="16"/>
      <c r="D27" s="16"/>
      <c r="E27" s="16"/>
      <c r="F27" s="16"/>
      <c r="G27" s="16"/>
      <c r="H27" s="16"/>
      <c r="I27" s="16"/>
      <c r="J27" s="16"/>
      <c r="K27" s="16"/>
      <c r="L27" s="16"/>
    </row>
    <row r="28" spans="2:12" x14ac:dyDescent="0.25">
      <c r="B28" s="16"/>
      <c r="C28" s="16"/>
      <c r="D28" s="16"/>
      <c r="E28" s="16"/>
      <c r="F28" s="16"/>
      <c r="G28" s="16"/>
      <c r="H28" s="16"/>
      <c r="I28" s="16"/>
      <c r="J28" s="16"/>
    </row>
    <row r="29" spans="2:12" x14ac:dyDescent="0.25">
      <c r="B29" s="16" t="s">
        <v>76</v>
      </c>
      <c r="C29" s="16"/>
      <c r="D29" s="16"/>
      <c r="E29" s="16"/>
      <c r="F29" s="16"/>
      <c r="G29" s="16"/>
      <c r="H29" s="16"/>
      <c r="I29" s="16"/>
      <c r="J29" s="16"/>
    </row>
    <row r="30" spans="2:12" x14ac:dyDescent="0.25">
      <c r="B30" s="16"/>
      <c r="C30" s="16"/>
      <c r="D30" s="16"/>
      <c r="E30" s="16"/>
      <c r="F30" s="16"/>
      <c r="G30" s="16"/>
      <c r="H30" s="16"/>
      <c r="I30" s="16"/>
      <c r="J30" s="16"/>
    </row>
    <row r="31" spans="2:12" ht="13" x14ac:dyDescent="0.3">
      <c r="B31" s="16"/>
      <c r="C31" s="43">
        <f>+C5</f>
        <v>2014</v>
      </c>
      <c r="D31" s="16"/>
      <c r="E31" s="43">
        <f>+C4</f>
        <v>2015</v>
      </c>
      <c r="F31" s="16"/>
      <c r="G31" s="16"/>
      <c r="H31" s="16"/>
      <c r="I31" s="16"/>
      <c r="J31" s="16"/>
    </row>
    <row r="32" spans="2:12" x14ac:dyDescent="0.25">
      <c r="B32" s="37" t="s">
        <v>77</v>
      </c>
      <c r="C32" s="44"/>
      <c r="D32" s="37" t="s">
        <v>77</v>
      </c>
      <c r="E32" s="123">
        <f>+'3 Regla despesa'!E32</f>
        <v>0</v>
      </c>
      <c r="F32" s="16"/>
      <c r="G32" s="16"/>
      <c r="H32" s="16"/>
      <c r="I32" s="16"/>
      <c r="J32" s="16"/>
    </row>
    <row r="33" spans="2:10" x14ac:dyDescent="0.25">
      <c r="B33" s="16"/>
      <c r="C33" s="41"/>
      <c r="D33" s="16"/>
      <c r="E33" s="16"/>
      <c r="F33" s="16"/>
      <c r="G33" s="16"/>
      <c r="H33" s="16"/>
      <c r="I33" s="16"/>
      <c r="J33" s="16"/>
    </row>
    <row r="34" spans="2:10" x14ac:dyDescent="0.25">
      <c r="B34" s="46" t="s">
        <v>78</v>
      </c>
      <c r="C34" s="47">
        <f>-C32</f>
        <v>0</v>
      </c>
      <c r="D34" s="48"/>
      <c r="E34" s="47">
        <f>-E32</f>
        <v>0</v>
      </c>
      <c r="F34" s="16"/>
      <c r="G34" s="16"/>
      <c r="H34" s="16"/>
      <c r="I34" s="16"/>
      <c r="J34" s="16"/>
    </row>
    <row r="35" spans="2:10" x14ac:dyDescent="0.25">
      <c r="B35" s="16"/>
      <c r="C35" s="41"/>
      <c r="D35" s="16"/>
      <c r="E35" s="16"/>
      <c r="F35" s="16"/>
      <c r="G35" s="16"/>
      <c r="H35" s="16"/>
      <c r="I35" s="16"/>
      <c r="J35" s="16"/>
    </row>
    <row r="36" spans="2:10" ht="13" x14ac:dyDescent="0.3">
      <c r="B36" s="17" t="s">
        <v>31</v>
      </c>
      <c r="C36" s="41"/>
      <c r="D36" s="16"/>
      <c r="E36" s="16"/>
      <c r="F36" s="16"/>
      <c r="G36" s="16"/>
      <c r="H36" s="16"/>
      <c r="I36" s="16"/>
      <c r="J36" s="16"/>
    </row>
    <row r="37" spans="2:10" x14ac:dyDescent="0.25">
      <c r="B37" s="16"/>
      <c r="C37" s="41"/>
      <c r="D37" s="16"/>
      <c r="E37" s="16"/>
      <c r="F37" s="16"/>
      <c r="G37" s="16"/>
      <c r="H37" s="16"/>
      <c r="I37" s="16"/>
      <c r="J37" s="16"/>
    </row>
    <row r="38" spans="2:10" ht="12.75" customHeight="1" x14ac:dyDescent="0.25">
      <c r="B38" s="1135" t="str">
        <f>+'3 Regla despesa'!B38:C38</f>
        <v>Saldo inicial (01/01/201X) del compte 413</v>
      </c>
      <c r="C38" s="1135"/>
      <c r="D38" s="16"/>
      <c r="E38" s="16"/>
      <c r="F38" s="16"/>
      <c r="G38" s="16"/>
      <c r="H38" s="16"/>
      <c r="I38" s="16"/>
      <c r="J38" s="16"/>
    </row>
    <row r="39" spans="2:10" x14ac:dyDescent="0.25">
      <c r="B39" s="16"/>
      <c r="C39" s="41"/>
      <c r="D39" s="16"/>
      <c r="E39" s="16"/>
      <c r="F39" s="16"/>
      <c r="G39" s="16"/>
      <c r="H39" s="16"/>
      <c r="I39" s="16"/>
      <c r="J39" s="16"/>
    </row>
    <row r="40" spans="2:10" ht="13" x14ac:dyDescent="0.3">
      <c r="B40" s="49" t="s">
        <v>349</v>
      </c>
      <c r="C40" s="43">
        <f>+C31</f>
        <v>2014</v>
      </c>
      <c r="D40" s="49" t="s">
        <v>349</v>
      </c>
      <c r="E40" s="43">
        <f>+E31</f>
        <v>2015</v>
      </c>
      <c r="F40" s="16"/>
      <c r="G40" s="16"/>
      <c r="H40" s="16"/>
      <c r="I40" s="16"/>
      <c r="J40" s="16"/>
    </row>
    <row r="41" spans="2:10" x14ac:dyDescent="0.25">
      <c r="B41" s="37">
        <v>1</v>
      </c>
      <c r="C41" s="44"/>
      <c r="D41" s="37">
        <v>1</v>
      </c>
      <c r="E41" s="123">
        <f>+'3 Regla despesa'!E41</f>
        <v>0</v>
      </c>
      <c r="F41" s="16"/>
      <c r="G41" s="16"/>
      <c r="H41" s="16"/>
      <c r="I41" s="16"/>
      <c r="J41" s="16"/>
    </row>
    <row r="42" spans="2:10" x14ac:dyDescent="0.25">
      <c r="B42" s="16">
        <v>2</v>
      </c>
      <c r="C42" s="44"/>
      <c r="D42" s="16">
        <v>2</v>
      </c>
      <c r="E42" s="123">
        <f>+'3 Regla despesa'!E42</f>
        <v>0</v>
      </c>
      <c r="F42" s="16"/>
      <c r="G42" s="16"/>
      <c r="H42" s="16"/>
      <c r="I42" s="16"/>
      <c r="J42" s="16"/>
    </row>
    <row r="43" spans="2:10" x14ac:dyDescent="0.25">
      <c r="B43" s="16">
        <v>3</v>
      </c>
      <c r="C43" s="44"/>
      <c r="D43" s="16">
        <v>3</v>
      </c>
      <c r="E43" s="123">
        <f>+'3 Regla despesa'!E43</f>
        <v>0</v>
      </c>
      <c r="F43" s="16"/>
      <c r="G43" s="16"/>
      <c r="H43" s="16"/>
      <c r="I43" s="16"/>
      <c r="J43" s="16"/>
    </row>
    <row r="44" spans="2:10" x14ac:dyDescent="0.25">
      <c r="B44" s="16">
        <v>4</v>
      </c>
      <c r="C44" s="44"/>
      <c r="D44" s="16">
        <v>4</v>
      </c>
      <c r="E44" s="123">
        <f>+'3 Regla despesa'!E44</f>
        <v>0</v>
      </c>
      <c r="F44" s="16"/>
      <c r="G44" s="16"/>
      <c r="H44" s="16"/>
      <c r="I44" s="16"/>
      <c r="J44" s="16"/>
    </row>
    <row r="45" spans="2:10" x14ac:dyDescent="0.25">
      <c r="B45" s="16">
        <v>6</v>
      </c>
      <c r="C45" s="44"/>
      <c r="D45" s="16">
        <v>5</v>
      </c>
      <c r="E45" s="123">
        <f>+'3 Regla despesa'!E45</f>
        <v>0</v>
      </c>
      <c r="F45" s="16"/>
      <c r="G45" s="16"/>
      <c r="H45" s="16"/>
      <c r="I45" s="16"/>
      <c r="J45" s="16"/>
    </row>
    <row r="46" spans="2:10" x14ac:dyDescent="0.25">
      <c r="B46" s="16">
        <v>7</v>
      </c>
      <c r="C46" s="44"/>
      <c r="D46" s="16">
        <v>6</v>
      </c>
      <c r="E46" s="123">
        <f>+'3 Regla despesa'!E46</f>
        <v>0</v>
      </c>
      <c r="F46" s="16"/>
      <c r="G46" s="16"/>
      <c r="H46" s="16"/>
      <c r="I46" s="16"/>
      <c r="J46" s="16"/>
    </row>
    <row r="47" spans="2:10" ht="12.75" customHeight="1" x14ac:dyDescent="0.25">
      <c r="B47" s="345"/>
      <c r="C47" s="345"/>
      <c r="D47" s="10">
        <v>7</v>
      </c>
      <c r="E47" s="123">
        <f>+'3 Regla despesa'!E47</f>
        <v>0</v>
      </c>
      <c r="F47" s="16"/>
      <c r="G47" s="16"/>
      <c r="H47" s="16"/>
      <c r="I47" s="16"/>
      <c r="J47" s="16"/>
    </row>
    <row r="48" spans="2:10" ht="12.75" customHeight="1" x14ac:dyDescent="0.25">
      <c r="B48" s="345" t="str">
        <f>+'3 Regla despesa'!B48:C49</f>
        <v>Saldo final (31/12/201X) del compte 413</v>
      </c>
      <c r="C48" s="345"/>
      <c r="F48" s="16"/>
      <c r="G48" s="16"/>
      <c r="H48" s="16"/>
      <c r="I48" s="16"/>
      <c r="J48" s="16"/>
    </row>
    <row r="49" spans="2:10" ht="12.75" customHeight="1" x14ac:dyDescent="0.25">
      <c r="B49" s="16"/>
      <c r="C49" s="41"/>
      <c r="F49" s="16"/>
      <c r="G49" s="16"/>
      <c r="H49" s="16"/>
      <c r="I49" s="16"/>
      <c r="J49" s="16"/>
    </row>
    <row r="50" spans="2:10" ht="13" x14ac:dyDescent="0.3">
      <c r="B50" s="49" t="s">
        <v>349</v>
      </c>
      <c r="C50" s="43">
        <f>+C40</f>
        <v>2014</v>
      </c>
      <c r="D50" s="49" t="s">
        <v>349</v>
      </c>
      <c r="E50" s="43">
        <f>+E40</f>
        <v>2015</v>
      </c>
      <c r="F50" s="16"/>
      <c r="G50" s="16"/>
      <c r="H50" s="16"/>
      <c r="I50" s="16"/>
      <c r="J50" s="16"/>
    </row>
    <row r="51" spans="2:10" x14ac:dyDescent="0.25">
      <c r="B51" s="37">
        <v>1</v>
      </c>
      <c r="C51" s="44"/>
      <c r="D51" s="37">
        <v>1</v>
      </c>
      <c r="E51" s="123">
        <f>+'3 Regla despesa'!E52</f>
        <v>0</v>
      </c>
      <c r="F51" s="16"/>
      <c r="G51" s="16"/>
      <c r="H51" s="16"/>
      <c r="I51" s="16"/>
      <c r="J51" s="16"/>
    </row>
    <row r="52" spans="2:10" x14ac:dyDescent="0.25">
      <c r="B52" s="16">
        <v>2</v>
      </c>
      <c r="C52" s="44"/>
      <c r="D52" s="16">
        <v>2</v>
      </c>
      <c r="E52" s="123">
        <f>+'3 Regla despesa'!E53</f>
        <v>0</v>
      </c>
      <c r="F52" s="16"/>
      <c r="G52" s="16"/>
      <c r="H52" s="16"/>
      <c r="I52" s="16"/>
      <c r="J52" s="16"/>
    </row>
    <row r="53" spans="2:10" x14ac:dyDescent="0.25">
      <c r="B53" s="16">
        <v>3</v>
      </c>
      <c r="C53" s="45"/>
      <c r="D53" s="16">
        <v>3</v>
      </c>
      <c r="E53" s="123">
        <f>+'3 Regla despesa'!E54</f>
        <v>0</v>
      </c>
      <c r="F53" s="16"/>
      <c r="G53" s="16"/>
      <c r="H53" s="16"/>
      <c r="I53" s="16"/>
      <c r="J53" s="16"/>
    </row>
    <row r="54" spans="2:10" x14ac:dyDescent="0.25">
      <c r="B54" s="16">
        <v>4</v>
      </c>
      <c r="C54" s="45"/>
      <c r="D54" s="16">
        <v>4</v>
      </c>
      <c r="E54" s="123">
        <f>+'3 Regla despesa'!E55</f>
        <v>0</v>
      </c>
      <c r="F54" s="16"/>
      <c r="G54" s="16"/>
      <c r="H54" s="16"/>
      <c r="I54" s="16"/>
      <c r="J54" s="16"/>
    </row>
    <row r="55" spans="2:10" x14ac:dyDescent="0.25">
      <c r="B55" s="16">
        <v>6</v>
      </c>
      <c r="C55" s="45"/>
      <c r="D55" s="16">
        <v>5</v>
      </c>
      <c r="E55" s="123">
        <f>+'3 Regla despesa'!E56</f>
        <v>0</v>
      </c>
      <c r="F55" s="16"/>
      <c r="G55" s="16"/>
      <c r="H55" s="16"/>
      <c r="I55" s="16"/>
      <c r="J55" s="16"/>
    </row>
    <row r="56" spans="2:10" x14ac:dyDescent="0.25">
      <c r="B56" s="16">
        <v>7</v>
      </c>
      <c r="C56" s="45"/>
      <c r="D56" s="16">
        <v>6</v>
      </c>
      <c r="E56" s="123">
        <f>+'3 Regla despesa'!E57</f>
        <v>0</v>
      </c>
      <c r="F56" s="16"/>
      <c r="G56" s="16"/>
      <c r="H56" s="16"/>
      <c r="I56" s="16"/>
      <c r="J56" s="16"/>
    </row>
    <row r="57" spans="2:10" x14ac:dyDescent="0.25">
      <c r="D57" s="10">
        <v>7</v>
      </c>
      <c r="E57" s="123">
        <f>+'3 Regla despesa'!E58</f>
        <v>0</v>
      </c>
    </row>
    <row r="59" spans="2:10" x14ac:dyDescent="0.25">
      <c r="B59" s="46" t="s">
        <v>79</v>
      </c>
      <c r="C59" s="47">
        <f>+(C51+C52+C53+C54+C55+C56-C41-C42-C43-C44-C45-C46)</f>
        <v>0</v>
      </c>
      <c r="D59" s="48"/>
      <c r="E59" s="47">
        <f>+(E51+E52+E53+E54+E55+E56+E57-E41-E42-E43-E44-E45-E46-E47)</f>
        <v>0</v>
      </c>
    </row>
    <row r="60" spans="2:10" x14ac:dyDescent="0.25">
      <c r="B60" s="16"/>
      <c r="C60" s="16"/>
      <c r="D60" s="16"/>
      <c r="E60" s="16"/>
      <c r="F60" s="16"/>
      <c r="G60" s="16"/>
      <c r="H60" s="16"/>
      <c r="I60" s="16"/>
      <c r="J60" s="16"/>
    </row>
    <row r="61" spans="2:10" ht="13" x14ac:dyDescent="0.3">
      <c r="B61" s="17" t="s">
        <v>32</v>
      </c>
      <c r="C61" s="16"/>
      <c r="D61" s="16"/>
      <c r="E61" s="16"/>
      <c r="F61" s="16"/>
      <c r="G61" s="16"/>
      <c r="H61" s="16"/>
      <c r="I61" s="16"/>
      <c r="J61" s="16"/>
    </row>
    <row r="62" spans="2:10" x14ac:dyDescent="0.25">
      <c r="B62" s="16"/>
      <c r="C62" s="16"/>
      <c r="D62" s="16"/>
      <c r="E62" s="16"/>
      <c r="F62" s="16"/>
      <c r="G62" s="16"/>
      <c r="H62" s="16"/>
      <c r="I62" s="16"/>
      <c r="J62" s="16"/>
    </row>
    <row r="63" spans="2:10" ht="12.75" customHeight="1" x14ac:dyDescent="0.25">
      <c r="B63" s="1149" t="s">
        <v>80</v>
      </c>
      <c r="C63" s="1149"/>
      <c r="D63" s="16"/>
      <c r="E63" s="16"/>
      <c r="F63" s="16"/>
      <c r="G63" s="16"/>
      <c r="H63" s="16"/>
      <c r="I63" s="16"/>
      <c r="J63" s="16"/>
    </row>
    <row r="64" spans="2:10" x14ac:dyDescent="0.25">
      <c r="B64" s="16"/>
      <c r="C64" s="16"/>
      <c r="D64" s="16"/>
      <c r="E64" s="16"/>
      <c r="F64" s="16"/>
      <c r="G64" s="16"/>
      <c r="H64" s="16"/>
      <c r="I64" s="16"/>
      <c r="J64" s="16"/>
    </row>
    <row r="65" spans="2:10" ht="13" x14ac:dyDescent="0.3">
      <c r="B65" s="49" t="s">
        <v>349</v>
      </c>
      <c r="C65" s="43">
        <f>+C50</f>
        <v>2014</v>
      </c>
      <c r="D65" s="49" t="s">
        <v>349</v>
      </c>
      <c r="E65" s="43">
        <f>+E50</f>
        <v>2015</v>
      </c>
      <c r="F65" s="16"/>
      <c r="G65" s="16"/>
      <c r="H65" s="16"/>
      <c r="I65" s="16"/>
      <c r="J65" s="16"/>
    </row>
    <row r="66" spans="2:10" x14ac:dyDescent="0.25">
      <c r="B66" s="37">
        <v>2</v>
      </c>
      <c r="C66" s="45"/>
      <c r="D66" s="37">
        <v>2</v>
      </c>
      <c r="E66" s="123">
        <f>+'3 Regla despesa'!E67</f>
        <v>0</v>
      </c>
      <c r="F66" s="16"/>
      <c r="G66" s="16"/>
      <c r="H66" s="16"/>
      <c r="I66" s="16"/>
      <c r="J66" s="16"/>
    </row>
    <row r="67" spans="2:10" x14ac:dyDescent="0.25">
      <c r="B67" s="16">
        <v>6</v>
      </c>
      <c r="C67" s="45"/>
      <c r="D67" s="16">
        <v>6</v>
      </c>
      <c r="E67" s="123">
        <f>+'3 Regla despesa'!E68</f>
        <v>0</v>
      </c>
      <c r="F67" s="16"/>
      <c r="G67" s="16"/>
      <c r="H67" s="16"/>
      <c r="I67" s="16"/>
      <c r="J67" s="16"/>
    </row>
    <row r="68" spans="2:10" x14ac:dyDescent="0.25">
      <c r="B68" s="16"/>
      <c r="C68" s="16"/>
      <c r="D68" s="16"/>
      <c r="E68" s="16"/>
      <c r="F68" s="16"/>
      <c r="G68" s="16"/>
      <c r="H68" s="16"/>
      <c r="I68" s="16"/>
      <c r="J68" s="16"/>
    </row>
    <row r="69" spans="2:10" x14ac:dyDescent="0.25">
      <c r="B69" s="1150" t="s">
        <v>81</v>
      </c>
      <c r="C69" s="1150"/>
      <c r="D69" s="1150"/>
      <c r="E69" s="16"/>
      <c r="F69" s="16"/>
      <c r="G69" s="16"/>
      <c r="H69" s="16"/>
      <c r="I69" s="16"/>
      <c r="J69" s="16"/>
    </row>
    <row r="70" spans="2:10" x14ac:dyDescent="0.25">
      <c r="B70" s="16"/>
      <c r="C70" s="16"/>
      <c r="D70" s="16"/>
      <c r="E70" s="16"/>
      <c r="F70" s="16"/>
      <c r="G70" s="16"/>
      <c r="H70" s="16"/>
      <c r="I70" s="16"/>
      <c r="J70" s="16"/>
    </row>
    <row r="71" spans="2:10" ht="13" x14ac:dyDescent="0.3">
      <c r="B71" s="49" t="s">
        <v>349</v>
      </c>
      <c r="C71" s="43">
        <f>+C65</f>
        <v>2014</v>
      </c>
      <c r="D71" s="49" t="s">
        <v>349</v>
      </c>
      <c r="E71" s="43">
        <f>+E65</f>
        <v>2015</v>
      </c>
      <c r="F71" s="16"/>
      <c r="G71" s="16"/>
      <c r="H71" s="16"/>
      <c r="I71" s="16"/>
      <c r="J71" s="16"/>
    </row>
    <row r="72" spans="2:10" x14ac:dyDescent="0.25">
      <c r="B72" s="37">
        <v>2</v>
      </c>
      <c r="C72" s="45"/>
      <c r="D72" s="37">
        <v>2</v>
      </c>
      <c r="E72" s="123">
        <f>+'3 Regla despesa'!E73</f>
        <v>0</v>
      </c>
      <c r="F72" s="16"/>
      <c r="G72" s="16"/>
      <c r="H72" s="16"/>
      <c r="I72" s="16"/>
      <c r="J72" s="16"/>
    </row>
    <row r="73" spans="2:10" x14ac:dyDescent="0.25">
      <c r="B73" s="16">
        <v>6</v>
      </c>
      <c r="C73" s="45"/>
      <c r="D73" s="16">
        <v>6</v>
      </c>
      <c r="E73" s="123">
        <f>+'3 Regla despesa'!E74</f>
        <v>0</v>
      </c>
      <c r="F73" s="16"/>
      <c r="G73" s="16"/>
      <c r="H73" s="16"/>
      <c r="I73" s="16"/>
      <c r="J73" s="16"/>
    </row>
    <row r="74" spans="2:10" x14ac:dyDescent="0.25">
      <c r="B74" s="16"/>
      <c r="C74" s="16"/>
      <c r="D74" s="16"/>
      <c r="E74" s="16"/>
      <c r="F74" s="16"/>
      <c r="G74" s="16"/>
      <c r="H74" s="16"/>
      <c r="I74" s="16"/>
      <c r="J74" s="16"/>
    </row>
    <row r="75" spans="2:10" x14ac:dyDescent="0.25">
      <c r="B75" s="46" t="s">
        <v>82</v>
      </c>
      <c r="C75" s="47">
        <f>+C66+C67-C72-C73</f>
        <v>0</v>
      </c>
      <c r="D75" s="48"/>
      <c r="E75" s="47">
        <f>+E66+E67-E72-E73</f>
        <v>0</v>
      </c>
      <c r="F75" s="16"/>
      <c r="G75" s="16"/>
      <c r="H75" s="16"/>
      <c r="I75" s="16"/>
      <c r="J75" s="16"/>
    </row>
    <row r="76" spans="2:10" x14ac:dyDescent="0.25">
      <c r="B76" s="16"/>
      <c r="C76" s="16"/>
      <c r="D76" s="16"/>
      <c r="E76" s="16"/>
      <c r="F76" s="16"/>
      <c r="G76" s="16"/>
      <c r="H76" s="16"/>
      <c r="I76" s="16"/>
      <c r="J76" s="16"/>
    </row>
    <row r="77" spans="2:10" ht="13" x14ac:dyDescent="0.3">
      <c r="B77" s="17" t="s">
        <v>33</v>
      </c>
      <c r="C77" s="16"/>
      <c r="D77" s="16"/>
      <c r="E77" s="16"/>
      <c r="F77" s="16"/>
      <c r="G77" s="16"/>
      <c r="H77" s="16"/>
      <c r="I77" s="16"/>
      <c r="J77" s="16"/>
    </row>
    <row r="78" spans="2:10" x14ac:dyDescent="0.25">
      <c r="B78" s="16"/>
      <c r="C78" s="16"/>
      <c r="D78" s="16"/>
      <c r="E78" s="16"/>
      <c r="F78" s="16"/>
      <c r="G78" s="16"/>
      <c r="H78" s="16"/>
      <c r="I78" s="16"/>
      <c r="J78" s="16"/>
    </row>
    <row r="79" spans="2:10" ht="12.75" customHeight="1" x14ac:dyDescent="0.25">
      <c r="B79" s="1149" t="s">
        <v>83</v>
      </c>
      <c r="C79" s="1149"/>
      <c r="D79" s="1149"/>
      <c r="E79" s="1149"/>
      <c r="F79" s="16"/>
      <c r="G79" s="16"/>
      <c r="H79" s="16"/>
      <c r="I79" s="16"/>
      <c r="J79" s="16"/>
    </row>
    <row r="80" spans="2:10" x14ac:dyDescent="0.25">
      <c r="B80" s="16"/>
      <c r="C80" s="16"/>
      <c r="D80" s="16"/>
      <c r="E80" s="16"/>
      <c r="F80" s="16"/>
      <c r="G80" s="16"/>
      <c r="H80" s="16"/>
      <c r="I80" s="16"/>
      <c r="J80" s="16"/>
    </row>
    <row r="81" spans="2:10" ht="13" x14ac:dyDescent="0.3">
      <c r="B81" s="16"/>
      <c r="C81" s="43">
        <f>+C71</f>
        <v>2014</v>
      </c>
      <c r="D81" s="16"/>
      <c r="E81" s="43">
        <f>+E71</f>
        <v>2015</v>
      </c>
      <c r="F81" s="16"/>
      <c r="G81" s="16"/>
      <c r="H81" s="16"/>
      <c r="I81" s="16"/>
      <c r="J81" s="16"/>
    </row>
    <row r="82" spans="2:10" x14ac:dyDescent="0.25">
      <c r="B82" s="16">
        <v>2</v>
      </c>
      <c r="C82" s="45"/>
      <c r="D82" s="16">
        <v>2</v>
      </c>
      <c r="E82" s="123">
        <f>+'3 Regla despesa'!E83</f>
        <v>0</v>
      </c>
      <c r="F82" s="16"/>
      <c r="G82" s="16"/>
      <c r="H82" s="16"/>
      <c r="I82" s="16"/>
      <c r="J82" s="16"/>
    </row>
    <row r="83" spans="2:10" x14ac:dyDescent="0.25">
      <c r="B83" s="16">
        <v>6</v>
      </c>
      <c r="C83" s="45"/>
      <c r="D83" s="16">
        <v>6</v>
      </c>
      <c r="E83" s="123">
        <f>+'3 Regla despesa'!E84</f>
        <v>0</v>
      </c>
      <c r="F83" s="16"/>
      <c r="G83" s="16"/>
      <c r="H83" s="16"/>
      <c r="I83" s="16"/>
      <c r="J83" s="16"/>
    </row>
    <row r="84" spans="2:10" x14ac:dyDescent="0.25">
      <c r="B84" s="16"/>
      <c r="C84" s="16"/>
      <c r="D84" s="16"/>
      <c r="E84" s="16"/>
      <c r="F84" s="16"/>
      <c r="G84" s="16"/>
      <c r="H84" s="16"/>
      <c r="I84" s="16"/>
      <c r="J84" s="16"/>
    </row>
    <row r="85" spans="2:10" ht="12.75" customHeight="1" x14ac:dyDescent="0.25">
      <c r="B85" s="1149" t="s">
        <v>84</v>
      </c>
      <c r="C85" s="1149"/>
      <c r="D85" s="1149"/>
      <c r="E85" s="16"/>
      <c r="F85" s="16"/>
      <c r="G85" s="16"/>
      <c r="H85" s="16"/>
      <c r="I85" s="16"/>
      <c r="J85" s="16"/>
    </row>
    <row r="86" spans="2:10" x14ac:dyDescent="0.25">
      <c r="B86" s="16"/>
      <c r="C86" s="16"/>
      <c r="D86" s="16"/>
      <c r="E86" s="16"/>
      <c r="F86" s="16"/>
      <c r="G86" s="16"/>
      <c r="H86" s="16"/>
      <c r="I86" s="16"/>
      <c r="J86" s="16"/>
    </row>
    <row r="87" spans="2:10" ht="13" x14ac:dyDescent="0.3">
      <c r="B87" s="16"/>
      <c r="C87" s="43">
        <f>+C81</f>
        <v>2014</v>
      </c>
      <c r="D87" s="16"/>
      <c r="E87" s="43">
        <f>+E81</f>
        <v>2015</v>
      </c>
      <c r="F87" s="16"/>
      <c r="G87" s="16"/>
      <c r="H87" s="16"/>
      <c r="I87" s="16"/>
      <c r="J87" s="16"/>
    </row>
    <row r="88" spans="2:10" x14ac:dyDescent="0.25">
      <c r="B88" s="16">
        <v>2</v>
      </c>
      <c r="C88" s="45"/>
      <c r="D88" s="16">
        <v>2</v>
      </c>
      <c r="E88" s="123">
        <f>+'3 Regla despesa'!E89</f>
        <v>0</v>
      </c>
      <c r="F88" s="16"/>
      <c r="G88" s="16"/>
      <c r="H88" s="16"/>
      <c r="I88" s="16"/>
      <c r="J88" s="16"/>
    </row>
    <row r="89" spans="2:10" x14ac:dyDescent="0.25">
      <c r="B89" s="16">
        <v>6</v>
      </c>
      <c r="C89" s="45"/>
      <c r="D89" s="16">
        <v>6</v>
      </c>
      <c r="E89" s="123">
        <f>+'3 Regla despesa'!E90</f>
        <v>0</v>
      </c>
      <c r="F89" s="16"/>
      <c r="G89" s="16"/>
      <c r="H89" s="16"/>
      <c r="I89" s="16"/>
      <c r="J89" s="16"/>
    </row>
    <row r="90" spans="2:10" x14ac:dyDescent="0.25">
      <c r="B90" s="16"/>
      <c r="C90" s="16"/>
      <c r="D90" s="16"/>
      <c r="E90" s="16"/>
      <c r="F90" s="16"/>
      <c r="G90" s="16"/>
      <c r="H90" s="16"/>
      <c r="I90" s="16"/>
      <c r="J90" s="16"/>
    </row>
    <row r="91" spans="2:10" x14ac:dyDescent="0.25">
      <c r="B91" s="46" t="s">
        <v>85</v>
      </c>
      <c r="C91" s="47">
        <f>+C82+C83-C88-C89</f>
        <v>0</v>
      </c>
      <c r="D91" s="48"/>
      <c r="E91" s="47">
        <f>+E82+E83-E88-E89</f>
        <v>0</v>
      </c>
      <c r="F91" s="16"/>
      <c r="G91" s="16"/>
      <c r="H91" s="16"/>
      <c r="I91" s="16"/>
      <c r="J91" s="16"/>
    </row>
    <row r="92" spans="2:10" x14ac:dyDescent="0.25">
      <c r="B92" s="16"/>
      <c r="C92" s="16"/>
      <c r="D92" s="16"/>
      <c r="E92" s="16"/>
      <c r="F92" s="16"/>
      <c r="G92" s="16"/>
      <c r="H92" s="16"/>
      <c r="I92" s="16"/>
      <c r="J92" s="16"/>
    </row>
    <row r="93" spans="2:10" x14ac:dyDescent="0.25">
      <c r="B93" s="16"/>
      <c r="C93" s="16"/>
      <c r="D93" s="16"/>
      <c r="E93" s="16"/>
      <c r="F93" s="16"/>
      <c r="G93" s="16"/>
      <c r="H93" s="16"/>
      <c r="I93" s="16"/>
      <c r="J93" s="16"/>
    </row>
    <row r="94" spans="2:10" x14ac:dyDescent="0.25">
      <c r="B94" s="16"/>
      <c r="C94" s="16"/>
      <c r="D94" s="16"/>
      <c r="E94" s="16"/>
      <c r="F94" s="16"/>
      <c r="G94" s="16"/>
      <c r="H94" s="16"/>
      <c r="I94" s="16"/>
      <c r="J94" s="16"/>
    </row>
    <row r="95" spans="2:10" ht="13" x14ac:dyDescent="0.25">
      <c r="B95" s="355" t="s">
        <v>36</v>
      </c>
      <c r="C95" s="354"/>
      <c r="D95" s="354"/>
      <c r="E95" s="354"/>
      <c r="F95" s="354"/>
      <c r="G95" s="354"/>
      <c r="H95" s="354"/>
      <c r="I95" s="16"/>
      <c r="J95" s="16"/>
    </row>
    <row r="96" spans="2:10" ht="13" x14ac:dyDescent="0.25">
      <c r="B96" s="354"/>
      <c r="C96" s="371">
        <f>+C87</f>
        <v>2014</v>
      </c>
      <c r="D96" s="354"/>
      <c r="E96" s="354"/>
      <c r="F96" s="371">
        <f>+E87</f>
        <v>2015</v>
      </c>
      <c r="G96" s="354"/>
      <c r="H96" s="354"/>
      <c r="I96" s="16"/>
      <c r="J96" s="16"/>
    </row>
    <row r="97" spans="2:10" ht="26" x14ac:dyDescent="0.3">
      <c r="B97" s="364"/>
      <c r="C97" s="352" t="s">
        <v>209</v>
      </c>
      <c r="D97" s="365" t="s">
        <v>210</v>
      </c>
      <c r="E97" s="366" t="s">
        <v>207</v>
      </c>
      <c r="F97" s="352" t="s">
        <v>209</v>
      </c>
      <c r="G97" s="365" t="s">
        <v>210</v>
      </c>
      <c r="H97" s="366" t="s">
        <v>207</v>
      </c>
      <c r="I97" s="16"/>
      <c r="J97" s="16"/>
    </row>
    <row r="98" spans="2:10" ht="13" x14ac:dyDescent="0.3">
      <c r="B98" s="62" t="s">
        <v>211</v>
      </c>
      <c r="C98" s="338"/>
      <c r="D98" s="338"/>
      <c r="E98" s="367">
        <f>+D98-C98</f>
        <v>0</v>
      </c>
      <c r="F98" s="385">
        <f>+'3 Regla despesa'!F98</f>
        <v>0</v>
      </c>
      <c r="G98" s="385">
        <f>+'3 Regla despesa'!G98</f>
        <v>0</v>
      </c>
      <c r="H98" s="367">
        <f>+G98-F98</f>
        <v>0</v>
      </c>
      <c r="I98" s="16"/>
      <c r="J98" s="16"/>
    </row>
    <row r="99" spans="2:10" ht="13" x14ac:dyDescent="0.3">
      <c r="B99" s="62" t="s">
        <v>212</v>
      </c>
      <c r="C99" s="368"/>
      <c r="D99" s="338"/>
      <c r="E99" s="367">
        <f>+D99</f>
        <v>0</v>
      </c>
      <c r="F99" s="368"/>
      <c r="G99" s="385">
        <f>+'3 Regla despesa'!G99</f>
        <v>0</v>
      </c>
      <c r="H99" s="367">
        <f>+G99</f>
        <v>0</v>
      </c>
      <c r="I99" s="16"/>
      <c r="J99" s="16"/>
    </row>
    <row r="100" spans="2:10" ht="13" x14ac:dyDescent="0.3">
      <c r="C100" s="369"/>
      <c r="D100" s="369"/>
      <c r="E100" s="370"/>
      <c r="F100" s="369"/>
      <c r="G100" s="369"/>
      <c r="H100" s="370"/>
      <c r="I100" s="16"/>
      <c r="J100" s="16"/>
    </row>
    <row r="101" spans="2:10" ht="13" x14ac:dyDescent="0.3">
      <c r="B101" s="364"/>
      <c r="D101" s="365" t="s">
        <v>213</v>
      </c>
      <c r="E101" s="366" t="s">
        <v>207</v>
      </c>
      <c r="G101" s="365" t="s">
        <v>213</v>
      </c>
      <c r="H101" s="366" t="s">
        <v>207</v>
      </c>
      <c r="I101" s="16"/>
      <c r="J101" s="16"/>
    </row>
    <row r="102" spans="2:10" ht="13" x14ac:dyDescent="0.3">
      <c r="B102" s="1135" t="s">
        <v>214</v>
      </c>
      <c r="C102" s="1135"/>
      <c r="D102" s="338"/>
      <c r="E102" s="367">
        <f>+D102</f>
        <v>0</v>
      </c>
      <c r="F102" s="354"/>
      <c r="G102" s="385">
        <f>+'3 Regla despesa'!G102</f>
        <v>0</v>
      </c>
      <c r="H102" s="367">
        <f>+G102</f>
        <v>0</v>
      </c>
      <c r="I102" s="16"/>
      <c r="J102" s="16"/>
    </row>
    <row r="103" spans="2:10" ht="13" thickBot="1" x14ac:dyDescent="0.3">
      <c r="B103" s="354"/>
      <c r="C103" s="354"/>
      <c r="D103" s="354"/>
      <c r="E103" s="354"/>
      <c r="F103" s="380"/>
      <c r="G103" s="380"/>
      <c r="H103" s="354"/>
      <c r="I103" s="16"/>
      <c r="J103" s="16"/>
    </row>
    <row r="104" spans="2:10" ht="13.5" thickBot="1" x14ac:dyDescent="0.3">
      <c r="B104" s="356" t="s">
        <v>0</v>
      </c>
      <c r="C104" s="375"/>
      <c r="D104" s="357"/>
      <c r="E104" s="376">
        <f>+E98+E99+E102</f>
        <v>0</v>
      </c>
      <c r="F104" s="378"/>
      <c r="G104" s="379"/>
      <c r="H104" s="377">
        <f>+H98+H99+H102</f>
        <v>0</v>
      </c>
      <c r="I104" s="16"/>
      <c r="J104" s="16"/>
    </row>
    <row r="105" spans="2:10" x14ac:dyDescent="0.25">
      <c r="B105" s="16"/>
      <c r="C105" s="16"/>
      <c r="D105" s="16"/>
      <c r="E105" s="16"/>
      <c r="F105" s="16"/>
      <c r="G105" s="16"/>
      <c r="H105" s="16"/>
      <c r="I105" s="16"/>
      <c r="J105" s="16"/>
    </row>
    <row r="106" spans="2:10" x14ac:dyDescent="0.25">
      <c r="B106" s="16"/>
      <c r="C106" s="16"/>
      <c r="D106" s="16"/>
      <c r="E106" s="16"/>
      <c r="F106" s="16"/>
      <c r="G106" s="16"/>
      <c r="H106" s="16"/>
      <c r="I106" s="16"/>
      <c r="J106" s="16"/>
    </row>
    <row r="107" spans="2:10" ht="13" x14ac:dyDescent="0.3">
      <c r="B107" s="24" t="str">
        <f>+'3 Regla despesa'!B107</f>
        <v>AJUST 6. Aportacions de capital</v>
      </c>
      <c r="F107" s="16"/>
      <c r="G107" s="16"/>
      <c r="H107" s="16"/>
      <c r="I107" s="16"/>
      <c r="J107" s="16"/>
    </row>
    <row r="108" spans="2:10" x14ac:dyDescent="0.25">
      <c r="F108" s="16"/>
      <c r="G108" s="16"/>
      <c r="H108" s="16"/>
      <c r="I108" s="16"/>
      <c r="J108" s="16"/>
    </row>
    <row r="109" spans="2:10" ht="13" x14ac:dyDescent="0.3">
      <c r="C109" s="352">
        <f>+'3 Regla despesa'!C109</f>
        <v>2024</v>
      </c>
      <c r="D109" s="23"/>
      <c r="E109" s="352">
        <f>+'3 Regla despesa'!E109</f>
        <v>2025</v>
      </c>
      <c r="F109" s="16"/>
      <c r="G109" s="16"/>
      <c r="H109" s="16"/>
      <c r="I109" s="16"/>
      <c r="J109" s="16"/>
    </row>
    <row r="110" spans="2:10" x14ac:dyDescent="0.25">
      <c r="B110" s="33" t="str">
        <f>+'3 Regla despesa'!B110</f>
        <v>Import de l'aportació a ens que no consoliden</v>
      </c>
      <c r="C110" s="353"/>
      <c r="E110" s="441">
        <f>+'3 Regla despesa'!E110</f>
        <v>0</v>
      </c>
      <c r="F110" s="16"/>
      <c r="G110" s="16"/>
      <c r="H110" s="16"/>
      <c r="I110" s="16"/>
      <c r="J110" s="16"/>
    </row>
    <row r="111" spans="2:10" ht="13" thickBot="1" x14ac:dyDescent="0.3">
      <c r="B111" s="33"/>
      <c r="F111" s="16"/>
      <c r="G111" s="16"/>
      <c r="H111" s="16"/>
      <c r="I111" s="16"/>
      <c r="J111" s="16"/>
    </row>
    <row r="112" spans="2:10" ht="13" thickBot="1" x14ac:dyDescent="0.3">
      <c r="B112" s="46" t="s">
        <v>302</v>
      </c>
      <c r="C112" s="47">
        <f>+C110</f>
        <v>0</v>
      </c>
      <c r="D112" s="48"/>
      <c r="E112" s="47">
        <f>+E110</f>
        <v>0</v>
      </c>
      <c r="F112" s="16"/>
      <c r="G112" s="16"/>
      <c r="H112" s="16"/>
      <c r="I112" s="16"/>
      <c r="J112" s="16"/>
    </row>
    <row r="113" spans="2:10" x14ac:dyDescent="0.25">
      <c r="B113" s="33"/>
      <c r="F113" s="16"/>
      <c r="G113" s="16"/>
      <c r="H113" s="16"/>
      <c r="I113" s="16"/>
      <c r="J113" s="16"/>
    </row>
    <row r="114" spans="2:10" x14ac:dyDescent="0.25">
      <c r="B114" s="16"/>
      <c r="C114" s="16"/>
      <c r="D114" s="16"/>
      <c r="E114" s="16"/>
      <c r="F114" s="16"/>
      <c r="G114" s="16"/>
      <c r="H114" s="16"/>
      <c r="I114" s="16"/>
      <c r="J114" s="16"/>
    </row>
    <row r="115" spans="2:10" ht="13" x14ac:dyDescent="0.3">
      <c r="B115" s="17" t="s">
        <v>35</v>
      </c>
      <c r="C115" s="15"/>
      <c r="D115" s="16"/>
      <c r="E115" s="16"/>
      <c r="F115" s="16"/>
      <c r="G115" s="16"/>
      <c r="H115" s="16"/>
      <c r="I115" s="16"/>
      <c r="J115" s="16"/>
    </row>
    <row r="116" spans="2:10" ht="13" x14ac:dyDescent="0.3">
      <c r="B116" s="24"/>
      <c r="C116" s="15"/>
    </row>
    <row r="117" spans="2:10" ht="13.5" x14ac:dyDescent="0.25">
      <c r="B117" s="50"/>
      <c r="C117" s="51"/>
      <c r="D117" s="51"/>
      <c r="E117" s="51"/>
    </row>
    <row r="118" spans="2:10" ht="26" x14ac:dyDescent="0.25">
      <c r="B118" s="52">
        <f>+B127-1</f>
        <v>2012</v>
      </c>
      <c r="C118" s="53" t="s">
        <v>86</v>
      </c>
      <c r="D118" s="54" t="s">
        <v>87</v>
      </c>
      <c r="E118" s="53" t="s">
        <v>88</v>
      </c>
    </row>
    <row r="119" spans="2:10" x14ac:dyDescent="0.25">
      <c r="B119" s="55" t="s">
        <v>89</v>
      </c>
      <c r="C119" s="299">
        <f>+'3 Regla despesa'!C119</f>
        <v>128514.71</v>
      </c>
      <c r="D119" s="299">
        <f>+'3 Regla despesa'!D119</f>
        <v>128514.71</v>
      </c>
      <c r="E119" s="300"/>
    </row>
    <row r="120" spans="2:10" x14ac:dyDescent="0.25">
      <c r="B120" s="55" t="s">
        <v>90</v>
      </c>
      <c r="C120" s="299">
        <f>+'3 Regla despesa'!C120</f>
        <v>277342.40999999997</v>
      </c>
      <c r="D120" s="299">
        <f>+'3 Regla despesa'!D120</f>
        <v>277342.40999999997</v>
      </c>
      <c r="E120" s="300"/>
    </row>
    <row r="121" spans="2:10" x14ac:dyDescent="0.25">
      <c r="B121" s="55" t="s">
        <v>91</v>
      </c>
      <c r="C121" s="299">
        <f>+'3 Regla despesa'!C121</f>
        <v>446.13</v>
      </c>
      <c r="D121" s="299">
        <f>+'3 Regla despesa'!D121</f>
        <v>446.13</v>
      </c>
      <c r="E121" s="300"/>
    </row>
    <row r="122" spans="2:10" x14ac:dyDescent="0.25">
      <c r="B122" s="55" t="s">
        <v>92</v>
      </c>
      <c r="C122" s="299">
        <f>+'3 Regla despesa'!C122</f>
        <v>1900</v>
      </c>
      <c r="D122" s="299">
        <f>+'3 Regla despesa'!D122</f>
        <v>1900</v>
      </c>
      <c r="E122" s="300"/>
    </row>
    <row r="123" spans="2:10" x14ac:dyDescent="0.25">
      <c r="B123" s="55" t="s">
        <v>93</v>
      </c>
      <c r="C123" s="299">
        <f>+'3 Regla despesa'!C123</f>
        <v>433196.52</v>
      </c>
      <c r="D123" s="299">
        <f>+'3 Regla despesa'!D123</f>
        <v>158576.85</v>
      </c>
      <c r="E123" s="300"/>
    </row>
    <row r="124" spans="2:10" x14ac:dyDescent="0.25">
      <c r="B124" s="57" t="s">
        <v>94</v>
      </c>
      <c r="C124" s="299">
        <f>+'3 Regla despesa'!C124</f>
        <v>0</v>
      </c>
      <c r="D124" s="299">
        <f>+'3 Regla despesa'!D124</f>
        <v>0</v>
      </c>
      <c r="E124" s="301"/>
    </row>
    <row r="125" spans="2:10" ht="13" x14ac:dyDescent="0.3">
      <c r="B125" s="59" t="s">
        <v>74</v>
      </c>
      <c r="C125" s="60">
        <f>SUM(C119:C124)</f>
        <v>841399.77</v>
      </c>
      <c r="D125" s="60">
        <f>SUM(D119:D124)</f>
        <v>566780.1</v>
      </c>
      <c r="E125" s="61">
        <f>+(D125-C125)/C125</f>
        <v>-0.32638429411503173</v>
      </c>
    </row>
    <row r="126" spans="2:10" x14ac:dyDescent="0.25">
      <c r="B126" s="62"/>
    </row>
    <row r="127" spans="2:10" ht="26" x14ac:dyDescent="0.25">
      <c r="B127" s="52">
        <f>+B136-1</f>
        <v>2013</v>
      </c>
      <c r="C127" s="53" t="s">
        <v>86</v>
      </c>
      <c r="D127" s="54" t="s">
        <v>87</v>
      </c>
      <c r="E127" s="53" t="s">
        <v>88</v>
      </c>
    </row>
    <row r="128" spans="2:10" x14ac:dyDescent="0.25">
      <c r="B128" s="55" t="s">
        <v>89</v>
      </c>
      <c r="C128" s="299">
        <f>+'3 Regla despesa'!C128</f>
        <v>137810</v>
      </c>
      <c r="D128" s="299">
        <f>+'3 Regla despesa'!D128</f>
        <v>137808.73000000001</v>
      </c>
      <c r="E128" s="300"/>
    </row>
    <row r="129" spans="2:5" x14ac:dyDescent="0.25">
      <c r="B129" s="55" t="s">
        <v>90</v>
      </c>
      <c r="C129" s="299">
        <f>+'3 Regla despesa'!C129</f>
        <v>331587.59999999998</v>
      </c>
      <c r="D129" s="299">
        <f>+'3 Regla despesa'!D129</f>
        <v>329686.56</v>
      </c>
      <c r="E129" s="300"/>
    </row>
    <row r="130" spans="2:5" x14ac:dyDescent="0.25">
      <c r="B130" s="55" t="s">
        <v>91</v>
      </c>
      <c r="C130" s="299">
        <f>+'3 Regla despesa'!C130</f>
        <v>7500</v>
      </c>
      <c r="D130" s="299">
        <f>+'3 Regla despesa'!D130</f>
        <v>1334.66</v>
      </c>
      <c r="E130" s="300"/>
    </row>
    <row r="131" spans="2:5" x14ac:dyDescent="0.25">
      <c r="B131" s="55" t="s">
        <v>92</v>
      </c>
      <c r="C131" s="299">
        <f>+'3 Regla despesa'!C131</f>
        <v>5100</v>
      </c>
      <c r="D131" s="299">
        <f>+'3 Regla despesa'!D131</f>
        <v>1713</v>
      </c>
      <c r="E131" s="300"/>
    </row>
    <row r="132" spans="2:5" x14ac:dyDescent="0.25">
      <c r="B132" s="55" t="s">
        <v>93</v>
      </c>
      <c r="C132" s="299">
        <f>+'3 Regla despesa'!C132</f>
        <v>843864.29</v>
      </c>
      <c r="D132" s="299">
        <f>+'3 Regla despesa'!D132</f>
        <v>235679.52</v>
      </c>
      <c r="E132" s="300"/>
    </row>
    <row r="133" spans="2:5" x14ac:dyDescent="0.25">
      <c r="B133" s="57" t="s">
        <v>94</v>
      </c>
      <c r="C133" s="299">
        <f>+'3 Regla despesa'!C133</f>
        <v>0</v>
      </c>
      <c r="D133" s="299">
        <f>+'3 Regla despesa'!D133</f>
        <v>0</v>
      </c>
      <c r="E133" s="301"/>
    </row>
    <row r="134" spans="2:5" ht="13" x14ac:dyDescent="0.3">
      <c r="B134" s="59" t="s">
        <v>74</v>
      </c>
      <c r="C134" s="60">
        <f>SUM(C128:C133)</f>
        <v>1325861.8900000001</v>
      </c>
      <c r="D134" s="60">
        <f>SUM(D128:D133)</f>
        <v>706222.47</v>
      </c>
      <c r="E134" s="63">
        <f>+(D134-C134)/C134</f>
        <v>-0.46734839026107017</v>
      </c>
    </row>
    <row r="135" spans="2:5" x14ac:dyDescent="0.25">
      <c r="B135" s="62"/>
    </row>
    <row r="136" spans="2:5" ht="26" x14ac:dyDescent="0.25">
      <c r="B136" s="52">
        <f>+C5</f>
        <v>2014</v>
      </c>
      <c r="C136" s="53" t="s">
        <v>86</v>
      </c>
      <c r="D136" s="54" t="s">
        <v>331</v>
      </c>
      <c r="E136" s="53" t="s">
        <v>88</v>
      </c>
    </row>
    <row r="137" spans="2:5" x14ac:dyDescent="0.25">
      <c r="B137" s="55" t="s">
        <v>89</v>
      </c>
      <c r="C137" s="299">
        <f>+'3 Regla despesa'!C137</f>
        <v>135397</v>
      </c>
      <c r="D137" s="56"/>
      <c r="E137" s="300"/>
    </row>
    <row r="138" spans="2:5" x14ac:dyDescent="0.25">
      <c r="B138" s="55" t="s">
        <v>90</v>
      </c>
      <c r="C138" s="299">
        <f>+'3 Regla despesa'!C138</f>
        <v>322002.87</v>
      </c>
      <c r="D138" s="56"/>
      <c r="E138" s="300"/>
    </row>
    <row r="139" spans="2:5" x14ac:dyDescent="0.25">
      <c r="B139" s="55" t="s">
        <v>91</v>
      </c>
      <c r="C139" s="299">
        <f>+'3 Regla despesa'!C139</f>
        <v>1160.9400000000005</v>
      </c>
      <c r="D139" s="56"/>
      <c r="E139" s="300"/>
    </row>
    <row r="140" spans="2:5" x14ac:dyDescent="0.25">
      <c r="B140" s="55" t="s">
        <v>92</v>
      </c>
      <c r="C140" s="299">
        <f>+'3 Regla despesa'!C140</f>
        <v>5100</v>
      </c>
      <c r="D140" s="56"/>
      <c r="E140" s="300"/>
    </row>
    <row r="141" spans="2:5" x14ac:dyDescent="0.25">
      <c r="B141" s="55" t="s">
        <v>93</v>
      </c>
      <c r="C141" s="299">
        <f>+'3 Regla despesa'!C141</f>
        <v>272926.13</v>
      </c>
      <c r="D141" s="56"/>
      <c r="E141" s="300"/>
    </row>
    <row r="142" spans="2:5" x14ac:dyDescent="0.25">
      <c r="B142" s="57" t="s">
        <v>94</v>
      </c>
      <c r="C142" s="299">
        <f>+'3 Regla despesa'!C142</f>
        <v>0</v>
      </c>
      <c r="D142" s="58"/>
      <c r="E142" s="301"/>
    </row>
    <row r="143" spans="2:5" ht="13" x14ac:dyDescent="0.3">
      <c r="B143" s="59" t="s">
        <v>74</v>
      </c>
      <c r="C143" s="60">
        <f>SUM(C137:C142)</f>
        <v>736586.94</v>
      </c>
      <c r="D143" s="60">
        <f>SUM(D137:D142)</f>
        <v>0</v>
      </c>
      <c r="E143" s="61">
        <f>+(D143-C143)/C143</f>
        <v>-1</v>
      </c>
    </row>
    <row r="144" spans="2:5" ht="13.5" x14ac:dyDescent="0.25">
      <c r="B144" s="62"/>
      <c r="C144" s="64"/>
      <c r="D144" s="64"/>
      <c r="E144" s="64"/>
    </row>
    <row r="145" spans="2:6" ht="13.5" x14ac:dyDescent="0.3">
      <c r="B145" s="59" t="s">
        <v>96</v>
      </c>
      <c r="C145" s="65">
        <f>+(E125+E134+E143)/3</f>
        <v>-0.59791089479203396</v>
      </c>
      <c r="D145" s="64"/>
      <c r="E145" s="64"/>
    </row>
    <row r="146" spans="2:6" ht="13.5" x14ac:dyDescent="0.3">
      <c r="B146" s="66"/>
      <c r="C146" s="67"/>
      <c r="D146" s="64"/>
      <c r="E146" s="64"/>
    </row>
    <row r="147" spans="2:6" ht="26" x14ac:dyDescent="0.25">
      <c r="B147" s="64"/>
      <c r="C147" s="68" t="s">
        <v>97</v>
      </c>
      <c r="D147" s="69" t="s">
        <v>98</v>
      </c>
      <c r="E147" s="64"/>
    </row>
    <row r="148" spans="2:6" ht="13.5" x14ac:dyDescent="0.25">
      <c r="B148" s="70" t="s">
        <v>99</v>
      </c>
      <c r="C148" s="71"/>
      <c r="D148" s="72">
        <f>+IF(C145&gt;0,IF(C148&gt;=C145,C148,C145),IF(C148&lt;=C145,C148,C145))</f>
        <v>-0.59791089479203396</v>
      </c>
      <c r="E148" s="64"/>
    </row>
    <row r="149" spans="2:6" ht="13.5" x14ac:dyDescent="0.25">
      <c r="B149" s="64"/>
      <c r="C149" s="64"/>
      <c r="D149" s="64"/>
      <c r="E149" s="64"/>
    </row>
    <row r="150" spans="2:6" x14ac:dyDescent="0.25">
      <c r="B150" s="62"/>
    </row>
    <row r="151" spans="2:6" ht="12.75" customHeight="1" x14ac:dyDescent="0.25">
      <c r="B151" s="1154" t="s">
        <v>100</v>
      </c>
      <c r="C151" s="1155">
        <f>+E166</f>
        <v>2015</v>
      </c>
      <c r="D151" s="1156"/>
      <c r="E151" s="1156"/>
    </row>
    <row r="152" spans="2:6" x14ac:dyDescent="0.25">
      <c r="B152" s="1154"/>
      <c r="C152" s="1155"/>
      <c r="D152" s="1156"/>
      <c r="E152" s="1156"/>
    </row>
    <row r="153" spans="2:6" x14ac:dyDescent="0.25">
      <c r="B153" s="74" t="s">
        <v>89</v>
      </c>
      <c r="C153" s="75" t="e">
        <f>+#REF!</f>
        <v>#REF!</v>
      </c>
      <c r="D153" s="76"/>
      <c r="E153" s="77"/>
    </row>
    <row r="154" spans="2:6" x14ac:dyDescent="0.25">
      <c r="B154" s="74" t="s">
        <v>90</v>
      </c>
      <c r="C154" s="75" t="e">
        <f>+#REF!</f>
        <v>#REF!</v>
      </c>
      <c r="D154" s="76"/>
      <c r="E154" s="77"/>
      <c r="F154" s="302"/>
    </row>
    <row r="155" spans="2:6" ht="13" thickBot="1" x14ac:dyDescent="0.3">
      <c r="B155" s="74" t="s">
        <v>101</v>
      </c>
      <c r="C155" s="75" t="e">
        <f>+#REF!-#REF!-#REF!-#REF!-#REF!-#REF!</f>
        <v>#REF!</v>
      </c>
      <c r="D155" s="76"/>
      <c r="E155" s="77"/>
    </row>
    <row r="156" spans="2:6" ht="13" thickBot="1" x14ac:dyDescent="0.3">
      <c r="B156" s="74" t="s">
        <v>92</v>
      </c>
      <c r="C156" s="75" t="e">
        <f>+#REF!</f>
        <v>#REF!</v>
      </c>
      <c r="D156" s="76"/>
      <c r="E156" s="77"/>
    </row>
    <row r="157" spans="2:6" ht="13" thickBot="1" x14ac:dyDescent="0.3">
      <c r="B157" s="74" t="s">
        <v>49</v>
      </c>
      <c r="C157" s="75" t="e">
        <f>+#REF!</f>
        <v>#REF!</v>
      </c>
      <c r="D157" s="76"/>
      <c r="E157" s="77"/>
    </row>
    <row r="158" spans="2:6" ht="13" thickBot="1" x14ac:dyDescent="0.3">
      <c r="B158" s="74" t="s">
        <v>93</v>
      </c>
      <c r="C158" s="75" t="e">
        <f>+#REF!</f>
        <v>#REF!</v>
      </c>
      <c r="D158" s="76"/>
      <c r="E158" s="77"/>
    </row>
    <row r="159" spans="2:6" x14ac:dyDescent="0.25">
      <c r="B159" s="74" t="s">
        <v>94</v>
      </c>
      <c r="C159" s="75" t="e">
        <f>+#REF!</f>
        <v>#REF!</v>
      </c>
      <c r="D159" s="76"/>
      <c r="E159" s="77"/>
      <c r="F159" s="302"/>
    </row>
    <row r="160" spans="2:6" ht="13" x14ac:dyDescent="0.25">
      <c r="B160" s="78"/>
      <c r="C160" s="79"/>
      <c r="D160" s="79"/>
      <c r="E160" s="80"/>
    </row>
    <row r="161" spans="2:11" ht="13" x14ac:dyDescent="0.25">
      <c r="B161" s="73" t="s">
        <v>102</v>
      </c>
      <c r="C161" s="81" t="e">
        <f>SUM(C153:C159)</f>
        <v>#REF!</v>
      </c>
      <c r="D161" s="82">
        <f>+D148</f>
        <v>-0.59791089479203396</v>
      </c>
      <c r="E161" s="83" t="e">
        <f>+(C153+C154+C155+C156+C158+C159)*D161</f>
        <v>#REF!</v>
      </c>
      <c r="F161" s="302"/>
    </row>
    <row r="162" spans="2:11" ht="13" x14ac:dyDescent="0.25">
      <c r="B162" s="78"/>
      <c r="C162" s="84"/>
      <c r="D162" s="85"/>
      <c r="E162" s="80"/>
    </row>
    <row r="163" spans="2:11" ht="13" x14ac:dyDescent="0.25">
      <c r="B163" s="78"/>
      <c r="C163" s="84"/>
      <c r="D163" s="85"/>
      <c r="E163" s="80"/>
    </row>
    <row r="164" spans="2:11" ht="13" x14ac:dyDescent="0.25">
      <c r="B164" s="86" t="s">
        <v>103</v>
      </c>
      <c r="C164" s="84"/>
      <c r="D164" s="85"/>
      <c r="E164" s="80"/>
    </row>
    <row r="165" spans="2:11" ht="13" x14ac:dyDescent="0.3">
      <c r="B165" s="24"/>
      <c r="C165" s="15"/>
    </row>
    <row r="166" spans="2:11" ht="13" x14ac:dyDescent="0.3">
      <c r="B166" s="16"/>
      <c r="C166" s="87">
        <f>+C87</f>
        <v>2014</v>
      </c>
      <c r="D166" s="16"/>
      <c r="E166" s="87">
        <f>+E87</f>
        <v>2015</v>
      </c>
      <c r="F166" s="16"/>
      <c r="G166" s="16"/>
      <c r="H166" s="16"/>
      <c r="I166" s="16"/>
      <c r="J166" s="16"/>
    </row>
    <row r="167" spans="2:11" ht="26" x14ac:dyDescent="0.3">
      <c r="B167" s="88" t="s">
        <v>104</v>
      </c>
      <c r="C167" s="89">
        <f>+C34+C59+C75+C91+E104+C112</f>
        <v>0</v>
      </c>
      <c r="D167" s="88" t="s">
        <v>104</v>
      </c>
      <c r="E167" s="89" t="e">
        <f>+E34+E59+E75+E91+H104+E112+E161</f>
        <v>#REF!</v>
      </c>
      <c r="F167" s="16"/>
      <c r="G167" s="16"/>
      <c r="H167" s="16"/>
      <c r="I167" s="16"/>
      <c r="J167" s="16"/>
    </row>
    <row r="168" spans="2:11" x14ac:dyDescent="0.25">
      <c r="B168" s="16"/>
      <c r="C168" s="16"/>
      <c r="D168" s="16"/>
      <c r="E168" s="16"/>
      <c r="F168" s="16"/>
      <c r="G168" s="16"/>
      <c r="H168" s="16"/>
      <c r="I168" s="16"/>
      <c r="J168" s="16"/>
      <c r="K168" s="16"/>
    </row>
    <row r="169" spans="2:11" x14ac:dyDescent="0.25">
      <c r="B169" s="16"/>
      <c r="C169" s="16"/>
      <c r="D169" s="16"/>
      <c r="E169" s="16"/>
      <c r="F169" s="16"/>
      <c r="G169" s="16"/>
      <c r="H169" s="16"/>
      <c r="I169" s="16"/>
      <c r="J169" s="16"/>
      <c r="K169" s="16"/>
    </row>
    <row r="170" spans="2:11" ht="26" x14ac:dyDescent="0.3">
      <c r="B170" s="27" t="s">
        <v>105</v>
      </c>
      <c r="C170" s="87">
        <f>+C166</f>
        <v>2014</v>
      </c>
      <c r="D170" s="27" t="s">
        <v>106</v>
      </c>
      <c r="E170" s="27" t="s">
        <v>332</v>
      </c>
      <c r="F170" s="16"/>
      <c r="G170" s="16"/>
      <c r="H170" s="16"/>
      <c r="I170" s="16"/>
      <c r="J170" s="16"/>
    </row>
    <row r="171" spans="2:11" ht="13" x14ac:dyDescent="0.3">
      <c r="B171" s="90">
        <v>1</v>
      </c>
      <c r="C171" s="91">
        <f t="shared" ref="C171:C176" si="0">+C13</f>
        <v>0</v>
      </c>
      <c r="D171" s="91">
        <f>+C51-C41</f>
        <v>0</v>
      </c>
      <c r="E171" s="92">
        <f t="shared" ref="E171:E179" si="1">+C171+D171</f>
        <v>0</v>
      </c>
      <c r="F171" s="16"/>
      <c r="G171" s="16"/>
      <c r="H171" s="16"/>
      <c r="I171" s="16"/>
      <c r="J171" s="16"/>
    </row>
    <row r="172" spans="2:11" ht="13" x14ac:dyDescent="0.3">
      <c r="B172" s="93">
        <v>2</v>
      </c>
      <c r="C172" s="94">
        <f t="shared" si="0"/>
        <v>0</v>
      </c>
      <c r="D172" s="94">
        <f>-C42+C52+C66-C72+C82-C88</f>
        <v>0</v>
      </c>
      <c r="E172" s="95">
        <f t="shared" si="1"/>
        <v>0</v>
      </c>
      <c r="F172" s="16"/>
      <c r="G172" s="16"/>
      <c r="H172" s="16"/>
      <c r="I172" s="16"/>
      <c r="J172" s="16"/>
    </row>
    <row r="173" spans="2:11" ht="13" x14ac:dyDescent="0.3">
      <c r="B173" s="96">
        <v>3</v>
      </c>
      <c r="C173" s="94">
        <f t="shared" si="0"/>
        <v>0</v>
      </c>
      <c r="D173" s="94">
        <f>+C53-C43</f>
        <v>0</v>
      </c>
      <c r="E173" s="95">
        <f t="shared" si="1"/>
        <v>0</v>
      </c>
      <c r="F173" s="16"/>
      <c r="G173" s="16"/>
      <c r="H173" s="16"/>
      <c r="I173" s="16"/>
      <c r="J173" s="16"/>
    </row>
    <row r="174" spans="2:11" ht="13" x14ac:dyDescent="0.3">
      <c r="B174" s="93">
        <v>4</v>
      </c>
      <c r="C174" s="94">
        <f t="shared" si="0"/>
        <v>0</v>
      </c>
      <c r="D174" s="94">
        <f>+C54-C44</f>
        <v>0</v>
      </c>
      <c r="E174" s="95">
        <f t="shared" si="1"/>
        <v>0</v>
      </c>
      <c r="F174" s="16"/>
      <c r="G174" s="16"/>
      <c r="H174" s="16"/>
      <c r="I174" s="16"/>
      <c r="J174" s="16"/>
    </row>
    <row r="175" spans="2:11" ht="13" x14ac:dyDescent="0.3">
      <c r="B175" s="96">
        <v>6</v>
      </c>
      <c r="C175" s="94">
        <f t="shared" si="0"/>
        <v>0</v>
      </c>
      <c r="D175" s="94">
        <f>-C32-C45+C55+C67-C73+C83-C89</f>
        <v>0</v>
      </c>
      <c r="E175" s="95">
        <f t="shared" si="1"/>
        <v>0</v>
      </c>
      <c r="F175" s="16"/>
      <c r="G175" s="16"/>
      <c r="H175" s="16"/>
      <c r="I175" s="16"/>
      <c r="J175" s="16"/>
    </row>
    <row r="176" spans="2:11" ht="13" x14ac:dyDescent="0.3">
      <c r="B176" s="93">
        <v>7</v>
      </c>
      <c r="C176" s="94">
        <f t="shared" si="0"/>
        <v>0</v>
      </c>
      <c r="D176" s="94">
        <f>-C46+C56</f>
        <v>0</v>
      </c>
      <c r="E176" s="95">
        <f t="shared" si="1"/>
        <v>0</v>
      </c>
      <c r="F176" s="16"/>
      <c r="G176" s="16"/>
      <c r="H176" s="16"/>
      <c r="I176" s="16"/>
      <c r="J176" s="16"/>
    </row>
    <row r="177" spans="1:16" ht="13" x14ac:dyDescent="0.3">
      <c r="B177" s="96">
        <v>8</v>
      </c>
      <c r="C177" s="94">
        <f>+C20</f>
        <v>0</v>
      </c>
      <c r="D177" s="94"/>
      <c r="E177" s="95">
        <f t="shared" si="1"/>
        <v>0</v>
      </c>
      <c r="F177" s="16"/>
      <c r="G177" s="16"/>
      <c r="H177" s="16"/>
      <c r="I177" s="16"/>
      <c r="J177" s="16"/>
    </row>
    <row r="178" spans="1:16" ht="13" x14ac:dyDescent="0.3">
      <c r="B178" s="303">
        <v>9</v>
      </c>
      <c r="C178" s="94">
        <f>+C21</f>
        <v>0</v>
      </c>
      <c r="D178" s="94"/>
      <c r="E178" s="304">
        <f t="shared" si="1"/>
        <v>0</v>
      </c>
      <c r="F178" s="16"/>
      <c r="G178" s="16"/>
      <c r="H178" s="16"/>
      <c r="I178" s="16"/>
      <c r="J178" s="16"/>
    </row>
    <row r="179" spans="1:16" ht="13" x14ac:dyDescent="0.3">
      <c r="B179" s="165" t="s">
        <v>108</v>
      </c>
      <c r="C179" s="305">
        <f>+C22</f>
        <v>0</v>
      </c>
      <c r="D179" s="305">
        <f>SUM(D171:D176)</f>
        <v>0</v>
      </c>
      <c r="E179" s="145">
        <f t="shared" si="1"/>
        <v>0</v>
      </c>
      <c r="F179" s="16"/>
      <c r="G179" s="16"/>
      <c r="H179" s="16"/>
      <c r="I179" s="16"/>
      <c r="J179" s="16"/>
    </row>
    <row r="180" spans="1:16" x14ac:dyDescent="0.25">
      <c r="B180" s="16"/>
      <c r="C180" s="16"/>
      <c r="D180" s="16"/>
      <c r="E180" s="16"/>
      <c r="F180" s="16"/>
      <c r="G180" s="16"/>
      <c r="H180" s="16"/>
      <c r="I180" s="16"/>
      <c r="J180" s="16"/>
      <c r="K180" s="16"/>
    </row>
    <row r="181" spans="1:16" x14ac:dyDescent="0.25">
      <c r="B181" s="16"/>
      <c r="C181" s="16"/>
      <c r="D181" s="16"/>
      <c r="E181" s="16"/>
      <c r="F181" s="16"/>
      <c r="G181" s="16"/>
      <c r="H181" s="16"/>
      <c r="I181" s="16"/>
      <c r="J181" s="16"/>
      <c r="K181" s="16"/>
      <c r="L181" s="16"/>
    </row>
    <row r="182" spans="1:16" ht="13" x14ac:dyDescent="0.3">
      <c r="B182" s="22" t="s">
        <v>109</v>
      </c>
      <c r="C182" s="16"/>
      <c r="D182" s="16"/>
      <c r="E182" s="16"/>
      <c r="F182" s="16"/>
      <c r="G182" s="16"/>
      <c r="H182" s="16"/>
      <c r="I182" s="16"/>
      <c r="J182" s="16"/>
      <c r="K182" s="16"/>
      <c r="L182" s="16"/>
    </row>
    <row r="184" spans="1:16" ht="37.5" customHeight="1" x14ac:dyDescent="0.3">
      <c r="B184" s="306">
        <f>+C87</f>
        <v>2014</v>
      </c>
      <c r="C184" s="16"/>
      <c r="D184" s="100"/>
      <c r="E184" s="100"/>
      <c r="F184" s="100"/>
      <c r="G184" s="16"/>
      <c r="H184" s="16"/>
      <c r="I184" s="16"/>
      <c r="J184" s="16"/>
      <c r="K184" s="16"/>
    </row>
    <row r="185" spans="1:16" ht="39" x14ac:dyDescent="0.3">
      <c r="B185" s="101" t="s">
        <v>110</v>
      </c>
      <c r="C185" s="102" t="s">
        <v>111</v>
      </c>
      <c r="D185" s="102" t="s">
        <v>112</v>
      </c>
      <c r="E185" s="102" t="s">
        <v>113</v>
      </c>
      <c r="F185" s="102" t="s">
        <v>114</v>
      </c>
      <c r="G185" s="102" t="s">
        <v>115</v>
      </c>
      <c r="H185" s="102" t="s">
        <v>116</v>
      </c>
      <c r="I185" s="102" t="s">
        <v>117</v>
      </c>
      <c r="O185" s="24"/>
      <c r="P185" s="24"/>
    </row>
    <row r="186" spans="1:16" ht="13" x14ac:dyDescent="0.3">
      <c r="A186" s="10">
        <v>1</v>
      </c>
      <c r="B186" s="45"/>
      <c r="C186" s="103"/>
      <c r="D186" s="44"/>
      <c r="E186" s="44"/>
      <c r="F186" s="44"/>
      <c r="G186" s="104" t="str">
        <f t="shared" ref="G186:G210" si="2">IF(E186=0," ",D186/E186)</f>
        <v xml:space="preserve"> </v>
      </c>
      <c r="H186" s="104" t="str">
        <f t="shared" ref="H186:H210" si="3">IF(G186=" "," ",G186*F186)</f>
        <v xml:space="preserve"> </v>
      </c>
      <c r="I186" s="45"/>
      <c r="J186" s="105" t="s">
        <v>118</v>
      </c>
      <c r="K186" s="106">
        <f>+B184</f>
        <v>2014</v>
      </c>
      <c r="L186" s="107"/>
      <c r="N186" s="24"/>
      <c r="O186" s="15"/>
      <c r="P186" s="15"/>
    </row>
    <row r="187" spans="1:16" ht="13" x14ac:dyDescent="0.3">
      <c r="A187" s="10">
        <v>2</v>
      </c>
      <c r="B187" s="45"/>
      <c r="C187" s="103"/>
      <c r="D187" s="44"/>
      <c r="E187" s="44"/>
      <c r="F187" s="44"/>
      <c r="G187" s="104" t="str">
        <f t="shared" si="2"/>
        <v xml:space="preserve"> </v>
      </c>
      <c r="H187" s="104" t="str">
        <f t="shared" si="3"/>
        <v xml:space="preserve"> </v>
      </c>
      <c r="I187" s="45"/>
      <c r="J187" s="108" t="s">
        <v>119</v>
      </c>
      <c r="K187" s="118">
        <f>SUMIF($I$186:$I$210,J187,$H$186:$H$210)</f>
        <v>0</v>
      </c>
      <c r="L187" s="15"/>
      <c r="N187" s="24"/>
      <c r="O187" s="15"/>
      <c r="P187" s="15"/>
    </row>
    <row r="188" spans="1:16" ht="13" x14ac:dyDescent="0.3">
      <c r="A188" s="10">
        <v>3</v>
      </c>
      <c r="B188" s="45"/>
      <c r="C188" s="103"/>
      <c r="D188" s="44"/>
      <c r="E188" s="44"/>
      <c r="F188" s="44"/>
      <c r="G188" s="104" t="str">
        <f t="shared" si="2"/>
        <v xml:space="preserve"> </v>
      </c>
      <c r="H188" s="104" t="str">
        <f t="shared" si="3"/>
        <v xml:space="preserve"> </v>
      </c>
      <c r="I188" s="45"/>
      <c r="J188" s="108" t="s">
        <v>120</v>
      </c>
      <c r="K188" s="118">
        <f>SUMIF($I$186:$I$210,J188,$H$186:$H$210)</f>
        <v>0</v>
      </c>
      <c r="L188" s="15"/>
      <c r="N188" s="24"/>
      <c r="O188" s="15"/>
      <c r="P188" s="15"/>
    </row>
    <row r="189" spans="1:16" ht="13" x14ac:dyDescent="0.3">
      <c r="A189" s="10">
        <v>4</v>
      </c>
      <c r="B189" s="45"/>
      <c r="C189" s="103"/>
      <c r="D189" s="44"/>
      <c r="E189" s="44"/>
      <c r="F189" s="44"/>
      <c r="G189" s="104" t="str">
        <f t="shared" si="2"/>
        <v xml:space="preserve"> </v>
      </c>
      <c r="H189" s="104" t="str">
        <f t="shared" si="3"/>
        <v xml:space="preserve"> </v>
      </c>
      <c r="I189" s="45"/>
      <c r="J189" s="108" t="s">
        <v>121</v>
      </c>
      <c r="K189" s="118">
        <f>SUMIF($I$186:$I$210,J189,$H$186:$H$210)</f>
        <v>0</v>
      </c>
      <c r="L189" s="15"/>
      <c r="N189" s="24"/>
      <c r="O189" s="15"/>
      <c r="P189" s="15"/>
    </row>
    <row r="190" spans="1:16" ht="13" x14ac:dyDescent="0.3">
      <c r="A190" s="10">
        <v>5</v>
      </c>
      <c r="B190" s="45"/>
      <c r="C190" s="103"/>
      <c r="D190" s="44"/>
      <c r="E190" s="44"/>
      <c r="F190" s="44"/>
      <c r="G190" s="104" t="str">
        <f t="shared" si="2"/>
        <v xml:space="preserve"> </v>
      </c>
      <c r="H190" s="104" t="str">
        <f t="shared" si="3"/>
        <v xml:space="preserve"> </v>
      </c>
      <c r="I190" s="45"/>
      <c r="J190" s="108" t="s">
        <v>122</v>
      </c>
      <c r="K190" s="118">
        <f>SUMIF($I$186:$I$210,J190,$H$186:$H$210)</f>
        <v>0</v>
      </c>
      <c r="L190" s="15"/>
      <c r="N190" s="24"/>
      <c r="O190" s="15"/>
      <c r="P190" s="15"/>
    </row>
    <row r="191" spans="1:16" ht="13" x14ac:dyDescent="0.3">
      <c r="A191" s="10">
        <v>6</v>
      </c>
      <c r="B191" s="45"/>
      <c r="C191" s="103"/>
      <c r="D191" s="44"/>
      <c r="E191" s="44"/>
      <c r="F191" s="44"/>
      <c r="G191" s="104" t="str">
        <f t="shared" si="2"/>
        <v xml:space="preserve"> </v>
      </c>
      <c r="H191" s="104" t="str">
        <f t="shared" si="3"/>
        <v xml:space="preserve"> </v>
      </c>
      <c r="I191" s="45"/>
      <c r="J191" s="108" t="s">
        <v>123</v>
      </c>
      <c r="K191" s="118">
        <f>SUMIF($I$186:$I$210,J191,$H$186:$H$210)</f>
        <v>0</v>
      </c>
      <c r="L191" s="15"/>
      <c r="N191" s="24"/>
      <c r="O191" s="15"/>
      <c r="P191" s="15"/>
    </row>
    <row r="192" spans="1:16" ht="13" x14ac:dyDescent="0.3">
      <c r="A192" s="10">
        <v>7</v>
      </c>
      <c r="B192" s="45"/>
      <c r="C192" s="103"/>
      <c r="D192" s="44"/>
      <c r="E192" s="44"/>
      <c r="F192" s="44"/>
      <c r="G192" s="104" t="str">
        <f t="shared" si="2"/>
        <v xml:space="preserve"> </v>
      </c>
      <c r="H192" s="104" t="str">
        <f t="shared" si="3"/>
        <v xml:space="preserve"> </v>
      </c>
      <c r="I192" s="45"/>
      <c r="J192" s="105" t="s">
        <v>124</v>
      </c>
      <c r="K192" s="109">
        <f>+K187+K188+K189+K190+K191</f>
        <v>0</v>
      </c>
      <c r="L192" s="110"/>
      <c r="N192" s="24"/>
      <c r="O192" s="110"/>
      <c r="P192" s="110"/>
    </row>
    <row r="193" spans="1:16" ht="13" x14ac:dyDescent="0.3">
      <c r="A193" s="10">
        <v>8</v>
      </c>
      <c r="B193" s="45"/>
      <c r="C193" s="103"/>
      <c r="D193" s="44"/>
      <c r="E193" s="44"/>
      <c r="F193" s="44"/>
      <c r="G193" s="104" t="str">
        <f t="shared" si="2"/>
        <v xml:space="preserve"> </v>
      </c>
      <c r="H193" s="104" t="str">
        <f t="shared" si="3"/>
        <v xml:space="preserve"> </v>
      </c>
      <c r="I193" s="45"/>
      <c r="N193" s="24"/>
      <c r="O193" s="110"/>
      <c r="P193" s="111"/>
    </row>
    <row r="194" spans="1:16" ht="13" x14ac:dyDescent="0.3">
      <c r="A194" s="10">
        <v>9</v>
      </c>
      <c r="B194" s="45"/>
      <c r="C194" s="103"/>
      <c r="D194" s="112"/>
      <c r="E194" s="112"/>
      <c r="F194" s="112"/>
      <c r="G194" s="104" t="str">
        <f t="shared" si="2"/>
        <v xml:space="preserve"> </v>
      </c>
      <c r="H194" s="104" t="str">
        <f t="shared" si="3"/>
        <v xml:space="preserve"> </v>
      </c>
      <c r="I194" s="45"/>
      <c r="N194" s="24"/>
      <c r="O194" s="15"/>
      <c r="P194" s="15"/>
    </row>
    <row r="195" spans="1:16" ht="13" x14ac:dyDescent="0.3">
      <c r="A195" s="10">
        <v>10</v>
      </c>
      <c r="B195" s="45"/>
      <c r="C195" s="103"/>
      <c r="D195" s="44"/>
      <c r="E195" s="44"/>
      <c r="F195" s="44"/>
      <c r="G195" s="104" t="str">
        <f t="shared" si="2"/>
        <v xml:space="preserve"> </v>
      </c>
      <c r="H195" s="104" t="str">
        <f t="shared" si="3"/>
        <v xml:space="preserve"> </v>
      </c>
      <c r="I195" s="45"/>
      <c r="N195" s="24"/>
      <c r="O195" s="15"/>
      <c r="P195" s="15"/>
    </row>
    <row r="196" spans="1:16" ht="13" x14ac:dyDescent="0.3">
      <c r="A196" s="10">
        <v>11</v>
      </c>
      <c r="B196" s="45"/>
      <c r="C196" s="103"/>
      <c r="D196" s="44"/>
      <c r="E196" s="44"/>
      <c r="F196" s="44"/>
      <c r="G196" s="104" t="str">
        <f t="shared" si="2"/>
        <v xml:space="preserve"> </v>
      </c>
      <c r="H196" s="104" t="str">
        <f t="shared" si="3"/>
        <v xml:space="preserve"> </v>
      </c>
      <c r="I196" s="113"/>
      <c r="J196" s="105" t="s">
        <v>125</v>
      </c>
      <c r="K196" s="114">
        <f>+B184</f>
        <v>2014</v>
      </c>
      <c r="L196" s="107"/>
      <c r="N196" s="24"/>
      <c r="O196" s="15"/>
      <c r="P196" s="15"/>
    </row>
    <row r="197" spans="1:16" ht="13" x14ac:dyDescent="0.3">
      <c r="A197" s="10">
        <v>12</v>
      </c>
      <c r="B197" s="45"/>
      <c r="C197" s="103"/>
      <c r="D197" s="44"/>
      <c r="E197" s="44"/>
      <c r="F197" s="44"/>
      <c r="G197" s="104" t="str">
        <f t="shared" si="2"/>
        <v xml:space="preserve"> </v>
      </c>
      <c r="H197" s="104" t="str">
        <f t="shared" si="3"/>
        <v xml:space="preserve"> </v>
      </c>
      <c r="I197" s="113"/>
      <c r="J197" s="115">
        <v>1</v>
      </c>
      <c r="K197" s="116">
        <f>+SUMIF($C$186:$C$210,J197,$H$186:$H$210)</f>
        <v>0</v>
      </c>
      <c r="L197" s="15"/>
      <c r="N197" s="24"/>
      <c r="O197" s="15"/>
      <c r="P197" s="15"/>
    </row>
    <row r="198" spans="1:16" ht="13" x14ac:dyDescent="0.3">
      <c r="A198" s="10">
        <v>13</v>
      </c>
      <c r="B198" s="45"/>
      <c r="C198" s="103"/>
      <c r="D198" s="44"/>
      <c r="E198" s="44"/>
      <c r="F198" s="44"/>
      <c r="G198" s="104" t="str">
        <f t="shared" si="2"/>
        <v xml:space="preserve"> </v>
      </c>
      <c r="H198" s="104" t="str">
        <f t="shared" si="3"/>
        <v xml:space="preserve"> </v>
      </c>
      <c r="I198" s="113"/>
      <c r="J198" s="117">
        <v>2</v>
      </c>
      <c r="K198" s="118">
        <f t="shared" ref="K198:K205" si="4">+SUMIF($C$186:$C$210,J198,$H$186:$H$210)</f>
        <v>0</v>
      </c>
      <c r="L198" s="15"/>
      <c r="N198" s="24"/>
      <c r="O198" s="23"/>
      <c r="P198" s="23"/>
    </row>
    <row r="199" spans="1:16" ht="13" x14ac:dyDescent="0.3">
      <c r="A199" s="10">
        <v>14</v>
      </c>
      <c r="B199" s="45"/>
      <c r="C199" s="103"/>
      <c r="D199" s="44"/>
      <c r="E199" s="44"/>
      <c r="F199" s="44"/>
      <c r="G199" s="104" t="str">
        <f t="shared" si="2"/>
        <v xml:space="preserve"> </v>
      </c>
      <c r="H199" s="104" t="str">
        <f t="shared" si="3"/>
        <v xml:space="preserve"> </v>
      </c>
      <c r="I199" s="113"/>
      <c r="J199" s="117">
        <v>3</v>
      </c>
      <c r="K199" s="118">
        <f t="shared" si="4"/>
        <v>0</v>
      </c>
      <c r="L199" s="15"/>
      <c r="N199" s="24"/>
      <c r="O199" s="15"/>
      <c r="P199" s="15"/>
    </row>
    <row r="200" spans="1:16" ht="13" x14ac:dyDescent="0.3">
      <c r="A200" s="10">
        <v>15</v>
      </c>
      <c r="B200" s="45"/>
      <c r="C200" s="103"/>
      <c r="D200" s="44"/>
      <c r="E200" s="44"/>
      <c r="F200" s="44"/>
      <c r="G200" s="104" t="str">
        <f t="shared" si="2"/>
        <v xml:space="preserve"> </v>
      </c>
      <c r="H200" s="104" t="str">
        <f t="shared" si="3"/>
        <v xml:space="preserve"> </v>
      </c>
      <c r="I200" s="113"/>
      <c r="J200" s="117">
        <v>4</v>
      </c>
      <c r="K200" s="118">
        <f t="shared" si="4"/>
        <v>0</v>
      </c>
      <c r="L200" s="15"/>
      <c r="N200" s="24"/>
      <c r="O200" s="15"/>
      <c r="P200" s="15"/>
    </row>
    <row r="201" spans="1:16" ht="13" x14ac:dyDescent="0.3">
      <c r="A201" s="10">
        <v>16</v>
      </c>
      <c r="B201" s="45"/>
      <c r="C201" s="103"/>
      <c r="D201" s="44"/>
      <c r="E201" s="44"/>
      <c r="F201" s="44"/>
      <c r="G201" s="104" t="str">
        <f t="shared" si="2"/>
        <v xml:space="preserve"> </v>
      </c>
      <c r="H201" s="104" t="str">
        <f t="shared" si="3"/>
        <v xml:space="preserve"> </v>
      </c>
      <c r="I201" s="113"/>
      <c r="J201" s="117">
        <v>5</v>
      </c>
      <c r="K201" s="118">
        <f>+SUMIF($C$186:$C$210,J201,$H$186:$H$210)</f>
        <v>0</v>
      </c>
      <c r="L201" s="15"/>
      <c r="N201" s="24"/>
      <c r="O201" s="15"/>
      <c r="P201" s="15"/>
    </row>
    <row r="202" spans="1:16" ht="13" x14ac:dyDescent="0.3">
      <c r="A202" s="10">
        <v>17</v>
      </c>
      <c r="B202" s="45"/>
      <c r="C202" s="103"/>
      <c r="D202" s="44"/>
      <c r="E202" s="44"/>
      <c r="F202" s="44"/>
      <c r="G202" s="104" t="str">
        <f t="shared" si="2"/>
        <v xml:space="preserve"> </v>
      </c>
      <c r="H202" s="104" t="str">
        <f t="shared" si="3"/>
        <v xml:space="preserve"> </v>
      </c>
      <c r="I202" s="113"/>
      <c r="J202" s="117">
        <v>6</v>
      </c>
      <c r="K202" s="118">
        <f t="shared" si="4"/>
        <v>0</v>
      </c>
      <c r="L202" s="15"/>
      <c r="N202" s="24"/>
      <c r="O202" s="15"/>
      <c r="P202" s="15"/>
    </row>
    <row r="203" spans="1:16" ht="13" x14ac:dyDescent="0.3">
      <c r="A203" s="10">
        <v>18</v>
      </c>
      <c r="B203" s="45"/>
      <c r="C203" s="103"/>
      <c r="D203" s="44"/>
      <c r="E203" s="44"/>
      <c r="F203" s="44"/>
      <c r="G203" s="104" t="str">
        <f t="shared" si="2"/>
        <v xml:space="preserve"> </v>
      </c>
      <c r="H203" s="104" t="str">
        <f t="shared" si="3"/>
        <v xml:space="preserve"> </v>
      </c>
      <c r="I203" s="113"/>
      <c r="J203" s="117">
        <v>7</v>
      </c>
      <c r="K203" s="118">
        <f t="shared" si="4"/>
        <v>0</v>
      </c>
      <c r="L203" s="15"/>
      <c r="N203" s="24"/>
      <c r="O203" s="15"/>
      <c r="P203" s="15"/>
    </row>
    <row r="204" spans="1:16" ht="13" x14ac:dyDescent="0.3">
      <c r="A204" s="10">
        <v>19</v>
      </c>
      <c r="B204" s="45"/>
      <c r="C204" s="103"/>
      <c r="D204" s="44"/>
      <c r="E204" s="44"/>
      <c r="F204" s="44"/>
      <c r="G204" s="104" t="str">
        <f t="shared" si="2"/>
        <v xml:space="preserve"> </v>
      </c>
      <c r="H204" s="104" t="str">
        <f t="shared" si="3"/>
        <v xml:space="preserve"> </v>
      </c>
      <c r="I204" s="113"/>
      <c r="J204" s="117">
        <v>8</v>
      </c>
      <c r="K204" s="118">
        <f t="shared" si="4"/>
        <v>0</v>
      </c>
      <c r="L204" s="15"/>
      <c r="N204" s="24"/>
      <c r="O204" s="110"/>
      <c r="P204" s="110"/>
    </row>
    <row r="205" spans="1:16" ht="13" x14ac:dyDescent="0.3">
      <c r="A205" s="10">
        <v>20</v>
      </c>
      <c r="B205" s="45"/>
      <c r="C205" s="103"/>
      <c r="D205" s="44"/>
      <c r="E205" s="44"/>
      <c r="F205" s="44"/>
      <c r="G205" s="104" t="str">
        <f t="shared" si="2"/>
        <v xml:space="preserve"> </v>
      </c>
      <c r="H205" s="104" t="str">
        <f t="shared" si="3"/>
        <v xml:space="preserve"> </v>
      </c>
      <c r="I205" s="113"/>
      <c r="J205" s="119">
        <v>9</v>
      </c>
      <c r="K205" s="120">
        <f t="shared" si="4"/>
        <v>0</v>
      </c>
      <c r="L205" s="15"/>
      <c r="N205" s="24"/>
      <c r="O205" s="15"/>
      <c r="P205" s="15"/>
    </row>
    <row r="206" spans="1:16" ht="13" x14ac:dyDescent="0.3">
      <c r="A206" s="10">
        <v>21</v>
      </c>
      <c r="B206" s="45"/>
      <c r="C206" s="103"/>
      <c r="D206" s="44"/>
      <c r="E206" s="44"/>
      <c r="F206" s="44"/>
      <c r="G206" s="104" t="str">
        <f t="shared" si="2"/>
        <v xml:space="preserve"> </v>
      </c>
      <c r="H206" s="104" t="str">
        <f t="shared" si="3"/>
        <v xml:space="preserve"> </v>
      </c>
      <c r="I206" s="45"/>
      <c r="J206" s="105" t="s">
        <v>124</v>
      </c>
      <c r="K206" s="109">
        <f>SUM(K197:K205)</f>
        <v>0</v>
      </c>
      <c r="L206" s="110"/>
      <c r="N206" s="24"/>
      <c r="O206" s="15"/>
      <c r="P206" s="15"/>
    </row>
    <row r="207" spans="1:16" ht="13.5" customHeight="1" x14ac:dyDescent="0.3">
      <c r="A207" s="10">
        <v>22</v>
      </c>
      <c r="B207" s="45"/>
      <c r="C207" s="103"/>
      <c r="D207" s="44"/>
      <c r="E207" s="44"/>
      <c r="F207" s="44"/>
      <c r="G207" s="104" t="str">
        <f t="shared" si="2"/>
        <v xml:space="preserve"> </v>
      </c>
      <c r="H207" s="104" t="str">
        <f t="shared" si="3"/>
        <v xml:space="preserve"> </v>
      </c>
      <c r="I207" s="45"/>
      <c r="N207" s="24"/>
      <c r="O207" s="15"/>
      <c r="P207" s="15"/>
    </row>
    <row r="208" spans="1:16" ht="13.5" customHeight="1" x14ac:dyDescent="0.3">
      <c r="A208" s="10">
        <v>23</v>
      </c>
      <c r="B208" s="45"/>
      <c r="C208" s="103"/>
      <c r="D208" s="44"/>
      <c r="E208" s="44"/>
      <c r="F208" s="44"/>
      <c r="G208" s="104" t="str">
        <f t="shared" si="2"/>
        <v xml:space="preserve"> </v>
      </c>
      <c r="H208" s="104" t="str">
        <f t="shared" si="3"/>
        <v xml:space="preserve"> </v>
      </c>
      <c r="I208" s="45"/>
      <c r="L208" s="16"/>
      <c r="N208" s="17"/>
      <c r="O208" s="41"/>
      <c r="P208" s="41"/>
    </row>
    <row r="209" spans="1:16" ht="13.5" customHeight="1" x14ac:dyDescent="0.3">
      <c r="A209" s="10">
        <v>24</v>
      </c>
      <c r="B209" s="45"/>
      <c r="C209" s="103"/>
      <c r="D209" s="44"/>
      <c r="E209" s="44"/>
      <c r="F209" s="44"/>
      <c r="G209" s="104" t="str">
        <f t="shared" si="2"/>
        <v xml:space="preserve"> </v>
      </c>
      <c r="H209" s="104" t="str">
        <f t="shared" si="3"/>
        <v xml:space="preserve"> </v>
      </c>
      <c r="I209" s="45"/>
      <c r="L209" s="16"/>
      <c r="N209" s="17"/>
      <c r="O209" s="41"/>
      <c r="P209" s="41"/>
    </row>
    <row r="210" spans="1:16" ht="13.5" customHeight="1" x14ac:dyDescent="0.3">
      <c r="A210" s="10">
        <v>25</v>
      </c>
      <c r="B210" s="121"/>
      <c r="C210" s="103"/>
      <c r="D210" s="44"/>
      <c r="E210" s="44"/>
      <c r="F210" s="44"/>
      <c r="G210" s="104" t="str">
        <f t="shared" si="2"/>
        <v xml:space="preserve"> </v>
      </c>
      <c r="H210" s="104" t="str">
        <f t="shared" si="3"/>
        <v xml:space="preserve"> </v>
      </c>
      <c r="I210" s="45"/>
      <c r="L210" s="16"/>
      <c r="N210" s="17"/>
      <c r="O210" s="41"/>
      <c r="P210" s="41"/>
    </row>
    <row r="211" spans="1:16" ht="13.5" customHeight="1" x14ac:dyDescent="0.3">
      <c r="B211" s="122" t="s">
        <v>74</v>
      </c>
      <c r="C211" s="123"/>
      <c r="D211" s="124">
        <f>SUM(D186:D210)</f>
        <v>0</v>
      </c>
      <c r="E211" s="124">
        <f>SUM(E186:E210)</f>
        <v>0</v>
      </c>
      <c r="F211" s="124">
        <f>SUM(F186:F210)</f>
        <v>0</v>
      </c>
      <c r="G211" s="104"/>
      <c r="H211" s="124">
        <f>SUM(H186:H210)</f>
        <v>0</v>
      </c>
      <c r="I211" s="16"/>
      <c r="L211" s="16"/>
      <c r="N211" s="17"/>
      <c r="O211" s="41"/>
      <c r="P211" s="41"/>
    </row>
    <row r="212" spans="1:16" ht="14.25" customHeight="1" x14ac:dyDescent="0.25">
      <c r="B212" s="16"/>
      <c r="C212" s="16"/>
      <c r="D212" s="16"/>
      <c r="E212" s="16"/>
      <c r="F212" s="16"/>
      <c r="K212" s="16"/>
      <c r="L212" s="16"/>
    </row>
    <row r="213" spans="1:16" ht="14.25" customHeight="1" x14ac:dyDescent="0.25">
      <c r="B213" s="16"/>
      <c r="C213" s="16"/>
      <c r="D213" s="16"/>
      <c r="G213" s="16"/>
      <c r="H213" s="16"/>
    </row>
    <row r="214" spans="1:16" ht="14.25" customHeight="1" x14ac:dyDescent="0.3">
      <c r="B214" s="99">
        <f>+E81</f>
        <v>2015</v>
      </c>
      <c r="C214" s="125"/>
      <c r="D214" s="102"/>
      <c r="E214" s="16"/>
      <c r="F214" s="16"/>
      <c r="G214" s="16"/>
    </row>
    <row r="215" spans="1:16" ht="30" customHeight="1" x14ac:dyDescent="0.3">
      <c r="B215" s="101" t="s">
        <v>110</v>
      </c>
      <c r="C215" s="102" t="s">
        <v>111</v>
      </c>
      <c r="D215" s="102" t="s">
        <v>359</v>
      </c>
      <c r="E215" s="102" t="s">
        <v>117</v>
      </c>
    </row>
    <row r="216" spans="1:16" ht="14.25" customHeight="1" x14ac:dyDescent="0.3">
      <c r="B216" s="123" t="str">
        <f>+'3 Regla despesa'!B216</f>
        <v>SUBVENCIÓ JUTJAT DE PAU</v>
      </c>
      <c r="C216" s="307">
        <f>+'3 Regla despesa'!C216</f>
        <v>2</v>
      </c>
      <c r="D216" s="258">
        <f>+'3 Regla despesa'!D216</f>
        <v>400</v>
      </c>
      <c r="E216" s="123" t="str">
        <f>+'3 Regla despesa'!E216</f>
        <v>CA</v>
      </c>
      <c r="F216" s="105" t="s">
        <v>118</v>
      </c>
      <c r="G216" s="106">
        <f>+E87</f>
        <v>2015</v>
      </c>
      <c r="H216" s="107"/>
    </row>
    <row r="217" spans="1:16" ht="14.25" customHeight="1" x14ac:dyDescent="0.3">
      <c r="B217" s="123" t="str">
        <f>+'3 Regla despesa'!B217</f>
        <v xml:space="preserve">SUBVENCIÓ CÀRRECS ELECTES </v>
      </c>
      <c r="C217" s="307">
        <f>+'3 Regla despesa'!C217</f>
        <v>2</v>
      </c>
      <c r="D217" s="258">
        <f>+'3 Regla despesa'!D217</f>
        <v>9997</v>
      </c>
      <c r="E217" s="123" t="str">
        <f>+'3 Regla despesa'!E217</f>
        <v>CA</v>
      </c>
      <c r="F217" s="108" t="s">
        <v>119</v>
      </c>
      <c r="G217" s="118">
        <f>SUMIF($E$216:$E$240,F217,$D$216:$D$240)</f>
        <v>0</v>
      </c>
      <c r="H217" s="15"/>
    </row>
    <row r="218" spans="1:16" ht="14.25" customHeight="1" x14ac:dyDescent="0.3">
      <c r="B218" s="123" t="str">
        <f>+'3 Regla despesa'!B218</f>
        <v>CONSULTORI</v>
      </c>
      <c r="C218" s="307">
        <f>+'3 Regla despesa'!C218</f>
        <v>2</v>
      </c>
      <c r="D218" s="258">
        <f>+'3 Regla despesa'!D218</f>
        <v>3000</v>
      </c>
      <c r="E218" s="123" t="str">
        <f>+'3 Regla despesa'!E218</f>
        <v>CA</v>
      </c>
      <c r="F218" s="108" t="s">
        <v>120</v>
      </c>
      <c r="G218" s="118">
        <f>SUMIF($E$216:$E$240,F218,$D$216:$D$240)</f>
        <v>0</v>
      </c>
      <c r="H218" s="15"/>
    </row>
    <row r="219" spans="1:16" ht="14.25" customHeight="1" x14ac:dyDescent="0.3">
      <c r="B219" s="123" t="str">
        <f>+'3 Regla despesa'!B219</f>
        <v>RETORN CANON</v>
      </c>
      <c r="C219" s="307">
        <f>+'3 Regla despesa'!C219</f>
        <v>2</v>
      </c>
      <c r="D219" s="258">
        <f>+'3 Regla despesa'!D219</f>
        <v>1200</v>
      </c>
      <c r="E219" s="123" t="str">
        <f>+'3 Regla despesa'!E219</f>
        <v>CA</v>
      </c>
      <c r="F219" s="108" t="s">
        <v>121</v>
      </c>
      <c r="G219" s="118">
        <f>SUMIF($E$216:$E$240,F219,$D$216:$D$240)</f>
        <v>44597</v>
      </c>
      <c r="H219" s="15"/>
    </row>
    <row r="220" spans="1:16" ht="14.25" customHeight="1" x14ac:dyDescent="0.3">
      <c r="B220" s="123" t="str">
        <f>+'3 Regla despesa'!B220</f>
        <v>PLA COOPERACIÓ MUNICIPAL</v>
      </c>
      <c r="C220" s="307">
        <f>+'3 Regla despesa'!C220</f>
        <v>2</v>
      </c>
      <c r="D220" s="258">
        <f>+'3 Regla despesa'!D220</f>
        <v>23936</v>
      </c>
      <c r="E220" s="123" t="str">
        <f>+'3 Regla despesa'!E220</f>
        <v>Diputacions</v>
      </c>
      <c r="F220" s="108" t="s">
        <v>122</v>
      </c>
      <c r="G220" s="118">
        <f>SUMIF($E$216:$E$240,F220,$D$216:$D$240)</f>
        <v>170778</v>
      </c>
      <c r="H220" s="15"/>
    </row>
    <row r="221" spans="1:16" ht="14.25" customHeight="1" x14ac:dyDescent="0.3">
      <c r="B221" s="123" t="str">
        <f>+'3 Regla despesa'!B221</f>
        <v>PLA ÀMBIT SALUT</v>
      </c>
      <c r="C221" s="307">
        <f>+'3 Regla despesa'!C221</f>
        <v>2</v>
      </c>
      <c r="D221" s="258">
        <f>+'3 Regla despesa'!D221</f>
        <v>20512</v>
      </c>
      <c r="E221" s="123" t="str">
        <f>+'3 Regla despesa'!E221</f>
        <v>Diputacions</v>
      </c>
      <c r="F221" s="108" t="s">
        <v>123</v>
      </c>
      <c r="G221" s="118">
        <f>SUMIF($E$216:$E$240,F221,$D$216:$D$240)</f>
        <v>600</v>
      </c>
      <c r="H221" s="15"/>
    </row>
    <row r="222" spans="1:16" ht="14.25" customHeight="1" x14ac:dyDescent="0.3">
      <c r="B222" s="123" t="str">
        <f>+'3 Regla despesa'!B222</f>
        <v>IEI CATÀLEG OFERTA CULTURAL</v>
      </c>
      <c r="C222" s="307">
        <f>+'3 Regla despesa'!C222</f>
        <v>2</v>
      </c>
      <c r="D222" s="258">
        <f>+'3 Regla despesa'!D222</f>
        <v>5000</v>
      </c>
      <c r="E222" s="123" t="str">
        <f>+'3 Regla despesa'!E222</f>
        <v>Diputacions</v>
      </c>
      <c r="F222" s="105" t="s">
        <v>124</v>
      </c>
      <c r="G222" s="109">
        <f>+G217+G218+G219+G220+G221</f>
        <v>215975</v>
      </c>
      <c r="H222" s="110"/>
    </row>
    <row r="223" spans="1:16" ht="14.25" customHeight="1" x14ac:dyDescent="0.3">
      <c r="B223" s="123" t="str">
        <f>+'3 Regla despesa'!B223</f>
        <v>SUBVENCIÓ CONSELL COMARCAL MERCAT MEDIEVAL</v>
      </c>
      <c r="C223" s="307">
        <f>+'3 Regla despesa'!C223</f>
        <v>2</v>
      </c>
      <c r="D223" s="258">
        <f>+'3 Regla despesa'!D223</f>
        <v>600</v>
      </c>
      <c r="E223" s="123" t="str">
        <f>+'3 Regla despesa'!E223</f>
        <v>Altres AAPP</v>
      </c>
    </row>
    <row r="224" spans="1:16" ht="14.25" customHeight="1" x14ac:dyDescent="0.3">
      <c r="B224" s="123" t="str">
        <f>+'3 Regla despesa'!B224</f>
        <v>Guarderia</v>
      </c>
      <c r="C224" s="307">
        <f>+'3 Regla despesa'!C224</f>
        <v>6</v>
      </c>
      <c r="D224" s="258">
        <f>+'3 Regla despesa'!D224</f>
        <v>30000</v>
      </c>
      <c r="E224" s="123" t="str">
        <f>+'3 Regla despesa'!E224</f>
        <v>CA</v>
      </c>
    </row>
    <row r="225" spans="2:8" ht="14.25" customHeight="1" x14ac:dyDescent="0.3">
      <c r="B225" s="123" t="str">
        <f>+'3 Regla despesa'!B225</f>
        <v>Pla salut 2023-2025</v>
      </c>
      <c r="C225" s="307">
        <f>+'3 Regla despesa'!C225</f>
        <v>6</v>
      </c>
      <c r="D225" s="258">
        <f>+'3 Regla despesa'!D225</f>
        <v>72290</v>
      </c>
      <c r="E225" s="123" t="str">
        <f>+'3 Regla despesa'!E225</f>
        <v>Diputacions</v>
      </c>
    </row>
    <row r="226" spans="2:8" ht="14.25" customHeight="1" x14ac:dyDescent="0.3">
      <c r="B226" s="123" t="str">
        <f>+'3 Regla despesa'!B226</f>
        <v>Repte demogràfic</v>
      </c>
      <c r="C226" s="307">
        <f>+'3 Regla despesa'!C226</f>
        <v>6</v>
      </c>
      <c r="D226" s="258">
        <f>+'3 Regla despesa'!D226</f>
        <v>22142</v>
      </c>
      <c r="E226" s="123" t="str">
        <f>+'3 Regla despesa'!E226</f>
        <v>Diputacions</v>
      </c>
      <c r="F226" s="105" t="s">
        <v>125</v>
      </c>
      <c r="G226" s="106">
        <f>+G216</f>
        <v>2015</v>
      </c>
      <c r="H226" s="107"/>
    </row>
    <row r="227" spans="2:8" ht="14.25" customHeight="1" x14ac:dyDescent="0.3">
      <c r="B227" s="123" t="str">
        <f>+'3 Regla despesa'!B227</f>
        <v>Pla inversions diputació 2025</v>
      </c>
      <c r="C227" s="307">
        <f>+'3 Regla despesa'!C227</f>
        <v>6</v>
      </c>
      <c r="D227" s="258">
        <f>+'3 Regla despesa'!D227</f>
        <v>26898</v>
      </c>
      <c r="E227" s="123" t="str">
        <f>+'3 Regla despesa'!E227</f>
        <v>Diputacions</v>
      </c>
      <c r="F227" s="126">
        <v>1</v>
      </c>
      <c r="G227" s="116">
        <f t="shared" ref="G227:G235" si="5">+SUMIF($C$216:$C$240,F227,$D$216:$D$240)</f>
        <v>0</v>
      </c>
      <c r="H227" s="15"/>
    </row>
    <row r="228" spans="2:8" ht="14.25" customHeight="1" x14ac:dyDescent="0.3">
      <c r="B228" s="123">
        <f>+'3 Regla despesa'!B228</f>
        <v>0</v>
      </c>
      <c r="C228" s="307">
        <f>+'3 Regla despesa'!C228</f>
        <v>0</v>
      </c>
      <c r="D228" s="258">
        <f>+'3 Regla despesa'!D228</f>
        <v>0</v>
      </c>
      <c r="E228" s="123">
        <f>+'3 Regla despesa'!E228</f>
        <v>0</v>
      </c>
      <c r="F228" s="127">
        <v>2</v>
      </c>
      <c r="G228" s="118">
        <f t="shared" si="5"/>
        <v>64645</v>
      </c>
      <c r="H228" s="15"/>
    </row>
    <row r="229" spans="2:8" ht="14.25" customHeight="1" x14ac:dyDescent="0.3">
      <c r="B229" s="123">
        <f>+'3 Regla despesa'!B229</f>
        <v>0</v>
      </c>
      <c r="C229" s="307">
        <f>+'3 Regla despesa'!C229</f>
        <v>0</v>
      </c>
      <c r="D229" s="258">
        <f>+'3 Regla despesa'!D229</f>
        <v>0</v>
      </c>
      <c r="E229" s="123">
        <f>+'3 Regla despesa'!E229</f>
        <v>0</v>
      </c>
      <c r="F229" s="127">
        <v>3</v>
      </c>
      <c r="G229" s="118">
        <f t="shared" si="5"/>
        <v>0</v>
      </c>
      <c r="H229" s="15"/>
    </row>
    <row r="230" spans="2:8" ht="14.25" customHeight="1" x14ac:dyDescent="0.3">
      <c r="B230" s="123">
        <f>+'3 Regla despesa'!B230</f>
        <v>0</v>
      </c>
      <c r="C230" s="307">
        <f>+'3 Regla despesa'!C230</f>
        <v>0</v>
      </c>
      <c r="D230" s="258">
        <f>+'3 Regla despesa'!D230</f>
        <v>0</v>
      </c>
      <c r="E230" s="123">
        <f>+'3 Regla despesa'!E230</f>
        <v>0</v>
      </c>
      <c r="F230" s="127">
        <v>4</v>
      </c>
      <c r="G230" s="118">
        <f t="shared" si="5"/>
        <v>0</v>
      </c>
      <c r="H230" s="15"/>
    </row>
    <row r="231" spans="2:8" ht="14.25" customHeight="1" x14ac:dyDescent="0.3">
      <c r="B231" s="123">
        <f>+'3 Regla despesa'!B231</f>
        <v>0</v>
      </c>
      <c r="C231" s="307">
        <f>+'3 Regla despesa'!C231</f>
        <v>0</v>
      </c>
      <c r="D231" s="258">
        <f>+'3 Regla despesa'!D231</f>
        <v>0</v>
      </c>
      <c r="E231" s="123">
        <f>+'3 Regla despesa'!E231</f>
        <v>0</v>
      </c>
      <c r="F231" s="127">
        <v>5</v>
      </c>
      <c r="G231" s="118">
        <f t="shared" si="5"/>
        <v>0</v>
      </c>
      <c r="H231" s="15"/>
    </row>
    <row r="232" spans="2:8" ht="14.25" customHeight="1" x14ac:dyDescent="0.3">
      <c r="B232" s="123">
        <f>+'3 Regla despesa'!B232</f>
        <v>0</v>
      </c>
      <c r="C232" s="307">
        <f>+'3 Regla despesa'!C232</f>
        <v>0</v>
      </c>
      <c r="D232" s="258">
        <f>+'3 Regla despesa'!D232</f>
        <v>0</v>
      </c>
      <c r="E232" s="123">
        <f>+'3 Regla despesa'!E232</f>
        <v>0</v>
      </c>
      <c r="F232" s="127">
        <v>6</v>
      </c>
      <c r="G232" s="118">
        <f t="shared" si="5"/>
        <v>151330</v>
      </c>
      <c r="H232" s="15"/>
    </row>
    <row r="233" spans="2:8" ht="14.25" customHeight="1" x14ac:dyDescent="0.3">
      <c r="B233" s="123">
        <f>+'3 Regla despesa'!B233</f>
        <v>0</v>
      </c>
      <c r="C233" s="307">
        <f>+'3 Regla despesa'!C233</f>
        <v>0</v>
      </c>
      <c r="D233" s="258">
        <f>+'3 Regla despesa'!D233</f>
        <v>0</v>
      </c>
      <c r="E233" s="123">
        <f>+'3 Regla despesa'!E233</f>
        <v>0</v>
      </c>
      <c r="F233" s="127">
        <v>7</v>
      </c>
      <c r="G233" s="118">
        <f t="shared" si="5"/>
        <v>0</v>
      </c>
      <c r="H233" s="15"/>
    </row>
    <row r="234" spans="2:8" ht="14.25" customHeight="1" x14ac:dyDescent="0.3">
      <c r="B234" s="123">
        <f>+'3 Regla despesa'!B234</f>
        <v>0</v>
      </c>
      <c r="C234" s="307">
        <f>+'3 Regla despesa'!C234</f>
        <v>0</v>
      </c>
      <c r="D234" s="258">
        <f>+'3 Regla despesa'!D234</f>
        <v>0</v>
      </c>
      <c r="E234" s="123">
        <f>+'3 Regla despesa'!E234</f>
        <v>0</v>
      </c>
      <c r="F234" s="127">
        <v>8</v>
      </c>
      <c r="G234" s="118">
        <f t="shared" si="5"/>
        <v>0</v>
      </c>
      <c r="H234" s="15"/>
    </row>
    <row r="235" spans="2:8" ht="14.25" customHeight="1" x14ac:dyDescent="0.3">
      <c r="B235" s="123">
        <f>+'3 Regla despesa'!B235</f>
        <v>0</v>
      </c>
      <c r="C235" s="307">
        <f>+'3 Regla despesa'!C235</f>
        <v>0</v>
      </c>
      <c r="D235" s="258">
        <f>+'3 Regla despesa'!D235</f>
        <v>0</v>
      </c>
      <c r="E235" s="123">
        <f>+'3 Regla despesa'!E235</f>
        <v>0</v>
      </c>
      <c r="F235" s="128">
        <v>9</v>
      </c>
      <c r="G235" s="120">
        <f t="shared" si="5"/>
        <v>0</v>
      </c>
      <c r="H235" s="15"/>
    </row>
    <row r="236" spans="2:8" ht="14.25" customHeight="1" x14ac:dyDescent="0.3">
      <c r="B236" s="123">
        <f>+'3 Regla despesa'!B236</f>
        <v>0</v>
      </c>
      <c r="C236" s="307">
        <f>+'3 Regla despesa'!C236</f>
        <v>0</v>
      </c>
      <c r="D236" s="258">
        <f>+'3 Regla despesa'!D236</f>
        <v>0</v>
      </c>
      <c r="E236" s="123">
        <f>+'3 Regla despesa'!E236</f>
        <v>0</v>
      </c>
      <c r="F236" s="105" t="s">
        <v>124</v>
      </c>
      <c r="G236" s="129">
        <f>SUM(G227:G235)</f>
        <v>215975</v>
      </c>
      <c r="H236" s="110"/>
    </row>
    <row r="237" spans="2:8" ht="14.25" customHeight="1" x14ac:dyDescent="0.3">
      <c r="B237" s="123">
        <f>+'3 Regla despesa'!B237</f>
        <v>0</v>
      </c>
      <c r="C237" s="307">
        <f>+'3 Regla despesa'!C237</f>
        <v>0</v>
      </c>
      <c r="D237" s="258">
        <f>+'3 Regla despesa'!D237</f>
        <v>0</v>
      </c>
      <c r="E237" s="123">
        <f>+'3 Regla despesa'!E237</f>
        <v>0</v>
      </c>
      <c r="H237" s="16"/>
    </row>
    <row r="238" spans="2:8" ht="14.25" customHeight="1" x14ac:dyDescent="0.3">
      <c r="B238" s="123">
        <f>+'3 Regla despesa'!B238</f>
        <v>0</v>
      </c>
      <c r="C238" s="307">
        <f>+'3 Regla despesa'!C238</f>
        <v>0</v>
      </c>
      <c r="D238" s="258">
        <f>+'3 Regla despesa'!D238</f>
        <v>0</v>
      </c>
      <c r="E238" s="123">
        <f>+'3 Regla despesa'!E238</f>
        <v>0</v>
      </c>
      <c r="H238" s="16"/>
    </row>
    <row r="239" spans="2:8" ht="14.25" customHeight="1" x14ac:dyDescent="0.3">
      <c r="B239" s="123">
        <f>+'3 Regla despesa'!B239</f>
        <v>0</v>
      </c>
      <c r="C239" s="307">
        <f>+'3 Regla despesa'!C239</f>
        <v>0</v>
      </c>
      <c r="D239" s="258">
        <f>+'3 Regla despesa'!D239</f>
        <v>0</v>
      </c>
      <c r="E239" s="123">
        <f>+'3 Regla despesa'!E239</f>
        <v>0</v>
      </c>
      <c r="H239" s="16"/>
    </row>
    <row r="240" spans="2:8" ht="14.25" customHeight="1" x14ac:dyDescent="0.3">
      <c r="B240" s="123">
        <f>+'3 Regla despesa'!B240</f>
        <v>0</v>
      </c>
      <c r="C240" s="307">
        <f>+'3 Regla despesa'!C240</f>
        <v>0</v>
      </c>
      <c r="D240" s="258">
        <f>+'3 Regla despesa'!D240</f>
        <v>0</v>
      </c>
      <c r="E240" s="123">
        <f>+'3 Regla despesa'!E240</f>
        <v>0</v>
      </c>
      <c r="H240" s="16"/>
    </row>
    <row r="241" spans="2:12" ht="14.25" customHeight="1" x14ac:dyDescent="0.3">
      <c r="B241" s="122" t="s">
        <v>74</v>
      </c>
      <c r="C241" s="123"/>
      <c r="D241" s="124">
        <f>SUM(D216:D240)</f>
        <v>215975</v>
      </c>
      <c r="E241" s="16"/>
      <c r="H241" s="16"/>
    </row>
    <row r="242" spans="2:12" ht="14.25" customHeight="1" x14ac:dyDescent="0.25">
      <c r="B242" s="16"/>
      <c r="C242" s="16"/>
      <c r="D242" s="16"/>
      <c r="I242" s="16"/>
      <c r="J242" s="16"/>
    </row>
    <row r="243" spans="2:12" ht="13" x14ac:dyDescent="0.3">
      <c r="B243" s="22" t="s">
        <v>51</v>
      </c>
      <c r="C243" s="16"/>
      <c r="D243" s="16"/>
      <c r="E243" s="16"/>
      <c r="F243" s="16"/>
      <c r="G243" s="16"/>
      <c r="H243" s="16"/>
      <c r="I243" s="16"/>
      <c r="J243" s="16"/>
      <c r="K243" s="16"/>
      <c r="L243" s="16"/>
    </row>
    <row r="244" spans="2:12" x14ac:dyDescent="0.25">
      <c r="B244" s="16"/>
      <c r="C244" s="16"/>
      <c r="D244" s="16"/>
      <c r="E244" s="16"/>
      <c r="F244" s="16"/>
      <c r="G244" s="16"/>
      <c r="H244" s="16"/>
      <c r="I244" s="16"/>
      <c r="J244" s="16"/>
      <c r="K244" s="16"/>
      <c r="L244" s="16"/>
    </row>
    <row r="245" spans="2:12" ht="13" x14ac:dyDescent="0.3">
      <c r="B245" s="90" t="s">
        <v>126</v>
      </c>
      <c r="C245" s="130" t="s">
        <v>127</v>
      </c>
      <c r="D245" s="131">
        <f>+K186</f>
        <v>2014</v>
      </c>
      <c r="E245" s="132">
        <f>+G226</f>
        <v>2015</v>
      </c>
      <c r="F245" s="16"/>
      <c r="H245" s="24"/>
      <c r="I245" s="24"/>
      <c r="J245" s="24"/>
      <c r="K245" s="16"/>
      <c r="L245" s="16"/>
    </row>
    <row r="246" spans="2:12" ht="13" x14ac:dyDescent="0.3">
      <c r="B246" s="123" t="str">
        <f>+'3 Regla despesa'!B248</f>
        <v>Operació de tresoreria</v>
      </c>
      <c r="C246" s="123">
        <f>+'3 Regla despesa'!C248</f>
        <v>3</v>
      </c>
      <c r="D246" s="44"/>
      <c r="E246" s="258">
        <f>+'3 Regla despesa'!E248</f>
        <v>0</v>
      </c>
      <c r="F246" s="16"/>
      <c r="G246" s="24"/>
      <c r="H246" s="24"/>
      <c r="I246" s="24"/>
      <c r="J246" s="24"/>
      <c r="K246" s="16"/>
      <c r="L246" s="16"/>
    </row>
    <row r="247" spans="2:12" ht="13" x14ac:dyDescent="0.3">
      <c r="B247" s="123" t="str">
        <f>+'3 Regla despesa'!B249</f>
        <v>Préstec 1</v>
      </c>
      <c r="C247" s="344">
        <f>+'3 Regla despesa'!C249</f>
        <v>3</v>
      </c>
      <c r="D247" s="44"/>
      <c r="E247" s="258">
        <f>+'3 Regla despesa'!E249</f>
        <v>10000</v>
      </c>
      <c r="F247" s="16"/>
      <c r="H247" s="23"/>
      <c r="I247" s="23"/>
      <c r="J247" s="23"/>
      <c r="K247" s="16"/>
      <c r="L247" s="16"/>
    </row>
    <row r="248" spans="2:12" ht="13" x14ac:dyDescent="0.3">
      <c r="B248" s="123" t="str">
        <f>+'3 Regla despesa'!B250</f>
        <v>Préstec 2</v>
      </c>
      <c r="C248" s="123">
        <f>+'3 Regla despesa'!C250</f>
        <v>3</v>
      </c>
      <c r="D248" s="44"/>
      <c r="E248" s="258">
        <f>+'3 Regla despesa'!E250</f>
        <v>0</v>
      </c>
      <c r="F248" s="16"/>
      <c r="G248" s="24"/>
      <c r="H248" s="15"/>
      <c r="I248" s="133"/>
      <c r="J248" s="133"/>
      <c r="K248" s="16"/>
      <c r="L248" s="16"/>
    </row>
    <row r="249" spans="2:12" x14ac:dyDescent="0.25">
      <c r="B249" s="123" t="str">
        <f>+'3 Regla despesa'!B251</f>
        <v>Préstec 3</v>
      </c>
      <c r="C249" s="123">
        <f>+'3 Regla despesa'!C251</f>
        <v>3</v>
      </c>
      <c r="D249" s="44"/>
      <c r="E249" s="258">
        <f>+'3 Regla despesa'!E251</f>
        <v>0</v>
      </c>
      <c r="F249" s="16"/>
      <c r="H249" s="15"/>
      <c r="I249" s="133"/>
      <c r="J249" s="133"/>
      <c r="K249" s="16"/>
      <c r="L249" s="16"/>
    </row>
    <row r="250" spans="2:12" x14ac:dyDescent="0.25">
      <c r="B250" s="123" t="str">
        <f>+'3 Regla despesa'!B252</f>
        <v>Préstec 4</v>
      </c>
      <c r="C250" s="123">
        <f>+'3 Regla despesa'!C252</f>
        <v>3</v>
      </c>
      <c r="D250" s="44"/>
      <c r="E250" s="258">
        <f>+'3 Regla despesa'!E252</f>
        <v>0</v>
      </c>
      <c r="F250" s="16"/>
      <c r="K250" s="16"/>
      <c r="L250" s="16"/>
    </row>
    <row r="251" spans="2:12" ht="13" x14ac:dyDescent="0.3">
      <c r="B251" s="122" t="s">
        <v>74</v>
      </c>
      <c r="C251" s="134"/>
      <c r="D251" s="135">
        <f>SUM(D246:D250)</f>
        <v>0</v>
      </c>
      <c r="E251" s="97">
        <f>SUM(E246:E250)</f>
        <v>10000</v>
      </c>
      <c r="F251" s="16"/>
      <c r="H251" s="136"/>
      <c r="I251" s="136"/>
      <c r="J251" s="136"/>
      <c r="K251" s="16"/>
      <c r="L251" s="16"/>
    </row>
    <row r="252" spans="2:12" x14ac:dyDescent="0.25">
      <c r="B252" s="308" t="s">
        <v>132</v>
      </c>
      <c r="C252" s="137"/>
      <c r="D252" s="44"/>
      <c r="E252" s="258">
        <f>+'3 Regla despesa'!E254</f>
        <v>0</v>
      </c>
      <c r="F252" s="16"/>
      <c r="H252" s="136"/>
      <c r="I252" s="136"/>
      <c r="J252" s="136"/>
      <c r="K252" s="16"/>
      <c r="L252" s="16"/>
    </row>
    <row r="253" spans="2:12" x14ac:dyDescent="0.25">
      <c r="B253" s="16"/>
      <c r="C253" s="16"/>
      <c r="D253" s="138"/>
      <c r="E253" s="138"/>
      <c r="F253" s="16"/>
      <c r="G253" s="16"/>
      <c r="H253" s="16"/>
      <c r="I253" s="16"/>
      <c r="J253" s="16"/>
      <c r="K253" s="16"/>
      <c r="L253" s="16"/>
    </row>
    <row r="254" spans="2:12" ht="13" x14ac:dyDescent="0.3">
      <c r="B254" s="22" t="s">
        <v>133</v>
      </c>
      <c r="C254" s="42"/>
      <c r="D254" s="139"/>
      <c r="E254" s="138"/>
      <c r="F254" s="16"/>
      <c r="G254" s="16"/>
      <c r="H254" s="16"/>
      <c r="I254" s="16"/>
      <c r="J254" s="16"/>
      <c r="K254" s="16"/>
      <c r="L254" s="16"/>
    </row>
    <row r="255" spans="2:12" x14ac:dyDescent="0.25">
      <c r="B255" s="16"/>
      <c r="C255" s="16"/>
      <c r="D255" s="138"/>
      <c r="E255" s="138"/>
      <c r="F255" s="16"/>
      <c r="G255" s="16"/>
      <c r="H255" s="16"/>
      <c r="I255" s="16"/>
      <c r="J255" s="16"/>
      <c r="K255" s="16"/>
      <c r="L255" s="16"/>
    </row>
    <row r="256" spans="2:12" ht="13" thickBot="1" x14ac:dyDescent="0.3">
      <c r="B256" s="16"/>
      <c r="C256" s="16"/>
      <c r="D256" s="138"/>
      <c r="E256" s="138"/>
      <c r="F256" s="16"/>
      <c r="G256" s="16"/>
      <c r="H256" s="16"/>
      <c r="I256" s="16"/>
      <c r="J256" s="16"/>
      <c r="K256" s="16"/>
      <c r="L256" s="16"/>
    </row>
    <row r="257" spans="2:12" ht="13" x14ac:dyDescent="0.3">
      <c r="B257" s="418" t="s">
        <v>134</v>
      </c>
      <c r="C257" s="421">
        <f>+D245</f>
        <v>2014</v>
      </c>
      <c r="D257" s="138"/>
      <c r="E257" s="138"/>
      <c r="F257" s="16"/>
      <c r="G257" s="16"/>
      <c r="H257" s="16"/>
      <c r="I257" s="16"/>
      <c r="J257" s="16"/>
      <c r="K257" s="16"/>
      <c r="L257" s="16"/>
    </row>
    <row r="258" spans="2:12" ht="13" thickBot="1" x14ac:dyDescent="0.3">
      <c r="B258" s="419">
        <v>6</v>
      </c>
      <c r="C258" s="423">
        <f>+'3 Regla despesa'!C260</f>
        <v>0</v>
      </c>
      <c r="D258" s="138"/>
      <c r="E258" s="138"/>
      <c r="F258" s="16"/>
      <c r="G258" s="16"/>
      <c r="H258" s="16"/>
      <c r="I258" s="16"/>
      <c r="J258" s="16"/>
      <c r="K258" s="16"/>
      <c r="L258" s="16"/>
    </row>
    <row r="259" spans="2:12" ht="13.5" customHeight="1" thickBot="1" x14ac:dyDescent="0.35">
      <c r="B259" s="420" t="s">
        <v>124</v>
      </c>
      <c r="C259" s="422">
        <f>SUM(C258:C258)</f>
        <v>0</v>
      </c>
      <c r="D259" s="138"/>
      <c r="E259" s="138"/>
      <c r="F259" s="16"/>
      <c r="G259" s="16"/>
      <c r="H259" s="16"/>
      <c r="I259" s="16"/>
      <c r="J259" s="16"/>
      <c r="K259" s="16"/>
      <c r="L259" s="16"/>
    </row>
    <row r="260" spans="2:12" ht="13.5" customHeight="1" x14ac:dyDescent="0.25">
      <c r="B260" s="16"/>
      <c r="C260" s="16"/>
      <c r="D260" s="138"/>
      <c r="E260" s="138"/>
      <c r="F260" s="16"/>
      <c r="G260" s="16"/>
      <c r="H260" s="16"/>
      <c r="I260" s="16"/>
      <c r="J260" s="16"/>
      <c r="K260" s="16"/>
      <c r="L260" s="16"/>
    </row>
    <row r="261" spans="2:12" ht="13" x14ac:dyDescent="0.3">
      <c r="B261" s="22" t="s">
        <v>135</v>
      </c>
      <c r="C261" s="16"/>
      <c r="D261" s="138"/>
      <c r="E261" s="138"/>
      <c r="F261" s="16"/>
      <c r="G261" s="16"/>
      <c r="H261" s="16"/>
      <c r="I261" s="16"/>
      <c r="J261" s="16"/>
      <c r="K261" s="16"/>
      <c r="L261" s="16"/>
    </row>
    <row r="262" spans="2:12" x14ac:dyDescent="0.25">
      <c r="B262" s="16"/>
      <c r="C262" s="16"/>
      <c r="D262" s="138"/>
      <c r="E262" s="138"/>
      <c r="F262" s="16"/>
      <c r="G262" s="16"/>
      <c r="H262" s="16"/>
      <c r="I262" s="16"/>
      <c r="J262" s="16"/>
      <c r="K262" s="16"/>
      <c r="L262" s="16"/>
    </row>
    <row r="263" spans="2:12" ht="13" x14ac:dyDescent="0.3">
      <c r="B263" s="25" t="s">
        <v>136</v>
      </c>
      <c r="C263" s="166">
        <v>2014</v>
      </c>
      <c r="D263" s="16"/>
      <c r="E263" s="138"/>
      <c r="F263" s="16"/>
      <c r="G263" s="16"/>
      <c r="H263" s="16"/>
      <c r="I263" s="16"/>
      <c r="J263" s="16"/>
      <c r="K263" s="16"/>
      <c r="L263" s="16"/>
    </row>
    <row r="264" spans="2:12" x14ac:dyDescent="0.25">
      <c r="B264" s="309" t="s">
        <v>333</v>
      </c>
      <c r="C264" s="229"/>
      <c r="D264" s="16"/>
      <c r="E264" s="138"/>
      <c r="F264" s="16"/>
      <c r="G264" s="16"/>
      <c r="H264" s="16"/>
      <c r="I264" s="16"/>
      <c r="J264" s="16"/>
      <c r="K264" s="16"/>
      <c r="L264" s="16"/>
    </row>
    <row r="265" spans="2:12" x14ac:dyDescent="0.25">
      <c r="B265" s="141"/>
      <c r="C265" s="142"/>
      <c r="D265" s="16"/>
      <c r="E265" s="138"/>
      <c r="F265" s="41"/>
      <c r="G265" s="16"/>
      <c r="H265" s="16"/>
      <c r="I265" s="16"/>
      <c r="J265" s="16"/>
      <c r="K265" s="16"/>
      <c r="L265" s="16"/>
    </row>
    <row r="266" spans="2:12" x14ac:dyDescent="0.25">
      <c r="B266" s="141"/>
      <c r="C266" s="142"/>
      <c r="D266" s="16"/>
      <c r="E266" s="138"/>
      <c r="F266" s="16"/>
      <c r="G266" s="16"/>
      <c r="H266" s="16"/>
      <c r="I266" s="16"/>
      <c r="J266" s="16"/>
      <c r="K266" s="16"/>
      <c r="L266" s="16"/>
    </row>
    <row r="267" spans="2:12" x14ac:dyDescent="0.25">
      <c r="B267" s="141"/>
      <c r="C267" s="142"/>
      <c r="D267" s="16"/>
      <c r="E267" s="138"/>
      <c r="F267" s="16"/>
      <c r="G267" s="16"/>
      <c r="H267" s="16"/>
      <c r="I267" s="16"/>
      <c r="J267" s="16"/>
      <c r="K267" s="16"/>
      <c r="L267" s="16"/>
    </row>
    <row r="268" spans="2:12" x14ac:dyDescent="0.25">
      <c r="B268" s="143"/>
      <c r="C268" s="144"/>
      <c r="D268" s="16"/>
      <c r="E268" s="138"/>
      <c r="F268" s="16"/>
      <c r="G268" s="16"/>
      <c r="H268" s="16"/>
      <c r="I268" s="16"/>
      <c r="J268" s="16"/>
      <c r="K268" s="16"/>
      <c r="L268" s="16"/>
    </row>
    <row r="269" spans="2:12" ht="13" x14ac:dyDescent="0.3">
      <c r="B269" s="25" t="s">
        <v>74</v>
      </c>
      <c r="C269" s="145">
        <f>SUM(C264:C268)</f>
        <v>0</v>
      </c>
      <c r="D269" s="16"/>
      <c r="E269" s="138"/>
      <c r="F269" s="16"/>
      <c r="G269" s="16"/>
      <c r="H269" s="16"/>
      <c r="I269" s="16"/>
      <c r="J269" s="16"/>
      <c r="K269" s="16"/>
      <c r="L269" s="16"/>
    </row>
    <row r="270" spans="2:12" ht="12" customHeight="1" x14ac:dyDescent="0.3">
      <c r="B270" s="17"/>
      <c r="C270" s="16"/>
      <c r="D270" s="16"/>
      <c r="E270" s="16"/>
      <c r="F270" s="16"/>
      <c r="G270" s="16"/>
      <c r="H270" s="16"/>
      <c r="I270" s="16"/>
      <c r="J270" s="16"/>
      <c r="K270" s="16"/>
      <c r="L270" s="16"/>
    </row>
    <row r="271" spans="2:12" ht="13" x14ac:dyDescent="0.3">
      <c r="B271" s="22" t="s">
        <v>137</v>
      </c>
      <c r="C271" s="23"/>
      <c r="D271" s="146"/>
      <c r="E271" s="16"/>
      <c r="F271" s="16"/>
      <c r="G271" s="16"/>
      <c r="H271" s="16"/>
      <c r="I271" s="16"/>
      <c r="J271" s="16"/>
      <c r="K271" s="16"/>
      <c r="L271" s="16"/>
    </row>
    <row r="272" spans="2:12" ht="13" x14ac:dyDescent="0.3">
      <c r="B272" s="147"/>
      <c r="C272" s="148"/>
      <c r="D272" s="146"/>
      <c r="E272" s="16"/>
      <c r="F272" s="16"/>
      <c r="G272" s="16"/>
      <c r="H272" s="16"/>
      <c r="I272" s="16"/>
      <c r="J272" s="16"/>
      <c r="K272" s="16"/>
      <c r="L272" s="16"/>
    </row>
    <row r="273" spans="2:12" ht="13" x14ac:dyDescent="0.3">
      <c r="B273" s="17" t="s">
        <v>138</v>
      </c>
      <c r="C273" s="148"/>
      <c r="D273" s="146"/>
      <c r="E273" s="16"/>
      <c r="F273" s="16"/>
      <c r="G273" s="16"/>
      <c r="H273" s="16"/>
      <c r="I273" s="16"/>
      <c r="J273" s="16"/>
      <c r="K273" s="16"/>
      <c r="L273" s="16"/>
    </row>
    <row r="274" spans="2:12" x14ac:dyDescent="0.25">
      <c r="G274" s="149"/>
      <c r="I274" s="16"/>
      <c r="J274" s="16"/>
      <c r="K274" s="16"/>
      <c r="L274" s="16"/>
    </row>
    <row r="276" spans="2:12" ht="13" x14ac:dyDescent="0.3">
      <c r="B276" s="310" t="s">
        <v>139</v>
      </c>
      <c r="C276" s="150">
        <f>+C19-H211-D251+D252+C167</f>
        <v>0</v>
      </c>
      <c r="D276" s="16"/>
      <c r="E276" s="41"/>
      <c r="F276" s="16"/>
      <c r="G276" s="16"/>
      <c r="H276" s="16"/>
      <c r="I276" s="16"/>
      <c r="J276" s="16"/>
      <c r="K276" s="16"/>
      <c r="L276" s="16"/>
    </row>
    <row r="277" spans="2:12" ht="13" x14ac:dyDescent="0.3">
      <c r="B277" s="311" t="s">
        <v>141</v>
      </c>
      <c r="C277" s="151">
        <f>+C259</f>
        <v>0</v>
      </c>
      <c r="D277" s="16"/>
      <c r="E277" s="41"/>
      <c r="F277" s="16"/>
      <c r="G277" s="16"/>
      <c r="H277" s="16"/>
      <c r="I277" s="16"/>
      <c r="J277" s="16"/>
      <c r="K277" s="16"/>
      <c r="L277" s="16"/>
    </row>
    <row r="278" spans="2:12" ht="13" x14ac:dyDescent="0.3">
      <c r="B278" s="312" t="s">
        <v>142</v>
      </c>
      <c r="C278" s="152">
        <f>+(C276-C277)*C10</f>
        <v>0</v>
      </c>
      <c r="E278" s="15"/>
    </row>
    <row r="279" spans="2:12" ht="13" x14ac:dyDescent="0.3">
      <c r="B279" s="313" t="s">
        <v>143</v>
      </c>
      <c r="C279" s="153">
        <f>+C269</f>
        <v>0</v>
      </c>
      <c r="E279" s="15"/>
    </row>
    <row r="280" spans="2:12" ht="13" x14ac:dyDescent="0.3">
      <c r="B280" s="154" t="s">
        <v>144</v>
      </c>
      <c r="C280" s="155">
        <f>+C278+C279</f>
        <v>0</v>
      </c>
      <c r="E280" s="15"/>
    </row>
    <row r="281" spans="2:12" ht="13" x14ac:dyDescent="0.3">
      <c r="B281" s="24"/>
      <c r="C281" s="156"/>
      <c r="E281" s="15"/>
    </row>
    <row r="282" spans="2:12" ht="13" x14ac:dyDescent="0.3">
      <c r="B282" s="17"/>
      <c r="C282" s="36" t="s">
        <v>145</v>
      </c>
      <c r="D282" s="16"/>
      <c r="E282" s="16"/>
      <c r="F282" s="16"/>
      <c r="G282" s="16"/>
      <c r="H282" s="16"/>
      <c r="I282" s="16"/>
      <c r="J282" s="16"/>
      <c r="K282" s="16"/>
      <c r="L282" s="16"/>
    </row>
    <row r="283" spans="2:12" ht="13" x14ac:dyDescent="0.3">
      <c r="B283" s="24" t="s">
        <v>146</v>
      </c>
    </row>
    <row r="285" spans="2:12" ht="13" x14ac:dyDescent="0.3">
      <c r="B285" s="157" t="s">
        <v>147</v>
      </c>
      <c r="C285" s="106">
        <f>+C275+1</f>
        <v>1</v>
      </c>
      <c r="D285" s="16"/>
      <c r="E285" s="16"/>
      <c r="F285" s="16"/>
      <c r="G285" s="16"/>
      <c r="H285" s="16"/>
      <c r="I285" s="16"/>
      <c r="J285" s="16"/>
      <c r="K285" s="16"/>
      <c r="L285" s="16"/>
    </row>
    <row r="286" spans="2:12" x14ac:dyDescent="0.25">
      <c r="B286" s="167" t="s">
        <v>148</v>
      </c>
      <c r="C286" s="159" t="e">
        <f>+#REF!-G227</f>
        <v>#REF!</v>
      </c>
      <c r="D286" s="16"/>
      <c r="E286" s="16"/>
      <c r="F286" s="41"/>
      <c r="G286" s="16"/>
      <c r="H286" s="16"/>
      <c r="I286" s="16"/>
      <c r="J286" s="16"/>
      <c r="K286" s="16"/>
      <c r="L286" s="16"/>
    </row>
    <row r="287" spans="2:12" x14ac:dyDescent="0.25">
      <c r="B287" s="169" t="s">
        <v>149</v>
      </c>
      <c r="C287" s="160" t="e">
        <f>+#REF!-G228</f>
        <v>#REF!</v>
      </c>
      <c r="D287" s="16"/>
      <c r="F287" s="16"/>
      <c r="G287" s="16"/>
      <c r="H287" s="16"/>
      <c r="I287" s="16"/>
      <c r="J287" s="16"/>
      <c r="L287" s="16"/>
    </row>
    <row r="288" spans="2:12" x14ac:dyDescent="0.25">
      <c r="B288" s="314" t="s">
        <v>61</v>
      </c>
      <c r="C288" s="161" t="e">
        <f>#REF!-E251</f>
        <v>#REF!</v>
      </c>
      <c r="D288" s="41"/>
      <c r="E288" s="41"/>
      <c r="F288" s="16"/>
      <c r="G288" s="16"/>
      <c r="H288" s="16"/>
      <c r="I288" s="16"/>
      <c r="J288" s="16"/>
      <c r="K288" s="16"/>
      <c r="L288" s="16"/>
    </row>
    <row r="289" spans="2:12" x14ac:dyDescent="0.25">
      <c r="B289" s="169" t="s">
        <v>150</v>
      </c>
      <c r="C289" s="160" t="e">
        <f>+#REF!-G230</f>
        <v>#REF!</v>
      </c>
      <c r="D289" s="16"/>
      <c r="E289" s="16"/>
      <c r="F289" s="16"/>
      <c r="G289" s="16"/>
      <c r="H289" s="16"/>
      <c r="I289" s="16"/>
      <c r="J289" s="16"/>
      <c r="K289" s="16"/>
      <c r="L289" s="16"/>
    </row>
    <row r="290" spans="2:12" x14ac:dyDescent="0.25">
      <c r="B290" s="169" t="s">
        <v>53</v>
      </c>
      <c r="C290" s="160" t="e">
        <f>+#REF!-G231</f>
        <v>#REF!</v>
      </c>
      <c r="D290" s="16"/>
      <c r="E290" s="16"/>
      <c r="F290" s="16"/>
      <c r="G290" s="16"/>
      <c r="H290" s="16"/>
      <c r="I290" s="16"/>
      <c r="J290" s="16"/>
      <c r="K290" s="16"/>
      <c r="L290" s="16"/>
    </row>
    <row r="291" spans="2:12" x14ac:dyDescent="0.25">
      <c r="B291" s="169" t="s">
        <v>151</v>
      </c>
      <c r="C291" s="160" t="e">
        <f>+#REF!-G232</f>
        <v>#REF!</v>
      </c>
      <c r="D291" s="16"/>
      <c r="E291" s="16"/>
      <c r="F291" s="41"/>
      <c r="G291" s="16"/>
      <c r="H291" s="16"/>
      <c r="I291" s="16"/>
      <c r="J291" s="16"/>
      <c r="K291" s="16"/>
      <c r="L291" s="16"/>
    </row>
    <row r="292" spans="2:12" x14ac:dyDescent="0.25">
      <c r="B292" s="315" t="s">
        <v>152</v>
      </c>
      <c r="C292" s="160" t="e">
        <f>+#REF!-G233</f>
        <v>#REF!</v>
      </c>
      <c r="D292" s="16"/>
      <c r="E292" s="41"/>
      <c r="F292" s="16"/>
      <c r="G292" s="149"/>
      <c r="K292" s="16"/>
      <c r="L292" s="16"/>
    </row>
    <row r="293" spans="2:12" ht="26" x14ac:dyDescent="0.3">
      <c r="B293" s="316" t="s">
        <v>153</v>
      </c>
      <c r="C293" s="162" t="e">
        <f>SUM(C286:C292)</f>
        <v>#REF!</v>
      </c>
      <c r="D293" s="16"/>
      <c r="E293" s="41"/>
      <c r="F293" s="16"/>
      <c r="G293" s="16"/>
      <c r="H293" s="16"/>
      <c r="I293" s="16"/>
      <c r="J293" s="16"/>
      <c r="K293" s="16"/>
      <c r="L293" s="16"/>
    </row>
    <row r="294" spans="2:12" ht="13" x14ac:dyDescent="0.3">
      <c r="B294" s="317" t="s">
        <v>334</v>
      </c>
      <c r="C294" s="262" t="e">
        <f>+E167</f>
        <v>#REF!</v>
      </c>
      <c r="D294" s="16"/>
      <c r="E294" s="41"/>
      <c r="F294" s="16"/>
      <c r="G294" s="16"/>
      <c r="H294" s="16"/>
      <c r="I294" s="16"/>
      <c r="J294" s="16"/>
      <c r="K294" s="16"/>
      <c r="L294" s="16"/>
    </row>
    <row r="295" spans="2:12" ht="13" x14ac:dyDescent="0.3">
      <c r="B295" s="25" t="s">
        <v>154</v>
      </c>
      <c r="C295" s="109" t="e">
        <f>+C293+C294</f>
        <v>#REF!</v>
      </c>
      <c r="D295" s="16"/>
      <c r="E295" s="41"/>
      <c r="F295" s="16"/>
      <c r="G295" s="16"/>
      <c r="H295" s="16"/>
      <c r="I295" s="16"/>
      <c r="J295" s="16"/>
      <c r="K295" s="16"/>
      <c r="L295" s="16"/>
    </row>
    <row r="296" spans="2:12" ht="13" x14ac:dyDescent="0.3">
      <c r="B296" s="17"/>
      <c r="C296" s="38"/>
      <c r="D296" s="16"/>
      <c r="E296" s="41"/>
      <c r="F296" s="16"/>
      <c r="G296" s="16"/>
      <c r="H296" s="16"/>
      <c r="I296" s="16"/>
      <c r="J296" s="16"/>
      <c r="K296" s="16"/>
      <c r="L296" s="16"/>
    </row>
    <row r="297" spans="2:12" ht="13" x14ac:dyDescent="0.3">
      <c r="B297" s="17"/>
      <c r="C297" s="38"/>
      <c r="D297" s="16"/>
      <c r="E297" s="41"/>
      <c r="F297" s="16"/>
      <c r="G297" s="16"/>
      <c r="H297" s="16"/>
      <c r="I297" s="16"/>
      <c r="J297" s="16"/>
      <c r="K297" s="16"/>
      <c r="L297" s="16"/>
    </row>
    <row r="298" spans="2:12" ht="13" x14ac:dyDescent="0.3">
      <c r="B298" s="22" t="s">
        <v>155</v>
      </c>
      <c r="C298" s="38"/>
      <c r="D298" s="16"/>
      <c r="E298" s="41"/>
      <c r="F298" s="16"/>
      <c r="G298" s="16"/>
      <c r="H298" s="16"/>
      <c r="I298" s="16"/>
      <c r="J298" s="16"/>
      <c r="K298" s="16"/>
      <c r="L298" s="16"/>
    </row>
    <row r="299" spans="2:12" ht="13" x14ac:dyDescent="0.3">
      <c r="B299" s="17"/>
      <c r="C299" s="38"/>
      <c r="D299" s="16"/>
      <c r="E299" s="41"/>
      <c r="F299" s="16"/>
      <c r="G299" s="16"/>
      <c r="H299" s="16"/>
      <c r="I299" s="16"/>
      <c r="J299" s="16"/>
      <c r="K299" s="16"/>
      <c r="L299" s="16"/>
    </row>
    <row r="300" spans="2:12" ht="13" x14ac:dyDescent="0.3">
      <c r="B300" s="163" t="s">
        <v>156</v>
      </c>
      <c r="C300" s="164">
        <f>+C280</f>
        <v>0</v>
      </c>
      <c r="D300" s="16"/>
      <c r="E300" s="41"/>
      <c r="F300" s="16"/>
      <c r="G300" s="16"/>
      <c r="H300" s="16"/>
      <c r="I300" s="16"/>
      <c r="J300" s="16"/>
      <c r="K300" s="16"/>
      <c r="L300" s="16"/>
    </row>
    <row r="301" spans="2:12" ht="13" x14ac:dyDescent="0.3">
      <c r="B301" s="163" t="s">
        <v>157</v>
      </c>
      <c r="C301" s="164" t="e">
        <f>+C295</f>
        <v>#REF!</v>
      </c>
      <c r="D301" s="16"/>
      <c r="E301" s="41"/>
      <c r="F301" s="16"/>
      <c r="G301" s="16"/>
      <c r="H301" s="16"/>
      <c r="I301" s="16"/>
      <c r="J301" s="16"/>
      <c r="K301" s="16"/>
      <c r="L301" s="16"/>
    </row>
    <row r="302" spans="2:12" ht="13.5" thickBot="1" x14ac:dyDescent="0.35">
      <c r="B302" s="17"/>
      <c r="C302" s="38"/>
      <c r="D302" s="16"/>
      <c r="E302" s="41"/>
      <c r="F302" s="16"/>
      <c r="G302" s="16"/>
      <c r="H302" s="16"/>
      <c r="I302" s="16"/>
      <c r="J302" s="16"/>
      <c r="K302" s="16"/>
      <c r="L302" s="16"/>
    </row>
    <row r="303" spans="2:12" ht="39" customHeight="1" thickBot="1" x14ac:dyDescent="0.3">
      <c r="B303" s="467" t="s">
        <v>158</v>
      </c>
      <c r="C303" s="1151" t="e">
        <f>+IF(C301&gt;C300,"No es compleix amb la regla de la despesa, durant l'exercici l'ajuntament haurà de prendre les mesures necessàries a fi que en la liquidació es compleixi amb la regla de la despesa.","Es compleix amb la regla de la despesa")</f>
        <v>#REF!</v>
      </c>
      <c r="D303" s="1152"/>
      <c r="E303" s="1153"/>
    </row>
    <row r="304" spans="2:12" ht="39" customHeight="1" thickBot="1" x14ac:dyDescent="0.35">
      <c r="B304" s="3"/>
      <c r="C304" s="468" t="e">
        <f>+IF(D304&gt;0,"Marge d'incompliment","Marge de compliment")</f>
        <v>#REF!</v>
      </c>
      <c r="D304" s="469" t="e">
        <f>+C301-C300</f>
        <v>#REF!</v>
      </c>
      <c r="E304" s="470"/>
    </row>
    <row r="305" spans="2:4" ht="25.5" customHeight="1" x14ac:dyDescent="0.25"/>
    <row r="307" spans="2:4" ht="13" x14ac:dyDescent="0.3">
      <c r="B307" s="24" t="s">
        <v>159</v>
      </c>
    </row>
    <row r="308" spans="2:4" ht="13.5" thickBot="1" x14ac:dyDescent="0.35">
      <c r="B308" s="24"/>
    </row>
    <row r="309" spans="2:4" ht="13.5" thickBot="1" x14ac:dyDescent="0.35">
      <c r="B309" s="24"/>
      <c r="C309" s="165">
        <f>+'3 Regla despesa'!C311</f>
        <v>2024</v>
      </c>
      <c r="D309" s="166">
        <f>+C309+1</f>
        <v>2025</v>
      </c>
    </row>
    <row r="310" spans="2:4" x14ac:dyDescent="0.25">
      <c r="B310" s="167" t="s">
        <v>62</v>
      </c>
      <c r="C310" s="168">
        <f>+C19</f>
        <v>0</v>
      </c>
      <c r="D310" s="92">
        <f>+'7_PREV LIQ i LIQ_equilibri'!F5+'7_PREV LIQ i LIQ_equilibri'!F6+'7_PREV LIQ i LIQ_equilibri'!F7+'7_PREV LIQ i LIQ_equilibri'!F8+'7_PREV LIQ i LIQ_equilibri'!F10+'7_PREV LIQ i LIQ_equilibri'!F12+'7_PREV LIQ i LIQ_equilibri'!F13</f>
        <v>604893</v>
      </c>
    </row>
    <row r="311" spans="2:4" x14ac:dyDescent="0.25">
      <c r="B311" s="169" t="s">
        <v>161</v>
      </c>
      <c r="C311" s="170">
        <f>+D251</f>
        <v>0</v>
      </c>
      <c r="D311" s="95">
        <f>+E251</f>
        <v>10000</v>
      </c>
    </row>
    <row r="312" spans="2:4" x14ac:dyDescent="0.25">
      <c r="B312" s="169" t="s">
        <v>303</v>
      </c>
      <c r="C312" s="170">
        <f>+C310-C311</f>
        <v>0</v>
      </c>
      <c r="D312" s="95">
        <f>+D310-D311</f>
        <v>594893</v>
      </c>
    </row>
    <row r="313" spans="2:4" ht="13" x14ac:dyDescent="0.3">
      <c r="B313" s="359" t="s">
        <v>5</v>
      </c>
      <c r="C313" s="171">
        <f>SUM(C314:C328)</f>
        <v>0</v>
      </c>
      <c r="D313" s="98" t="e">
        <f>SUM(D314:D327)</f>
        <v>#REF!</v>
      </c>
    </row>
    <row r="314" spans="2:4" x14ac:dyDescent="0.25">
      <c r="B314" s="360" t="s">
        <v>6</v>
      </c>
      <c r="C314" s="170">
        <f>+C34</f>
        <v>0</v>
      </c>
      <c r="D314" s="95">
        <f>+E34</f>
        <v>0</v>
      </c>
    </row>
    <row r="315" spans="2:4" ht="25" x14ac:dyDescent="0.25">
      <c r="B315" s="360" t="s">
        <v>7</v>
      </c>
      <c r="C315" s="170" t="s">
        <v>39</v>
      </c>
      <c r="D315" s="172" t="s">
        <v>39</v>
      </c>
    </row>
    <row r="316" spans="2:4" x14ac:dyDescent="0.25">
      <c r="B316" s="360" t="s">
        <v>8</v>
      </c>
      <c r="C316" s="170">
        <f>+E104</f>
        <v>0</v>
      </c>
      <c r="D316" s="95">
        <f>+H104</f>
        <v>0</v>
      </c>
    </row>
    <row r="317" spans="2:4" x14ac:dyDescent="0.25">
      <c r="B317" s="360" t="s">
        <v>9</v>
      </c>
      <c r="C317" s="170">
        <f>+C112</f>
        <v>0</v>
      </c>
      <c r="D317" s="95">
        <f>+E112</f>
        <v>0</v>
      </c>
    </row>
    <row r="318" spans="2:4" x14ac:dyDescent="0.25">
      <c r="B318" s="360" t="s">
        <v>10</v>
      </c>
      <c r="C318" s="170" t="s">
        <v>39</v>
      </c>
      <c r="D318" s="172" t="s">
        <v>39</v>
      </c>
    </row>
    <row r="319" spans="2:4" ht="25" x14ac:dyDescent="0.25">
      <c r="B319" s="360" t="s">
        <v>11</v>
      </c>
      <c r="C319" s="170">
        <f>+C59</f>
        <v>0</v>
      </c>
      <c r="D319" s="95">
        <f>+E59</f>
        <v>0</v>
      </c>
    </row>
    <row r="320" spans="2:4" ht="25" x14ac:dyDescent="0.25">
      <c r="B320" s="360" t="s">
        <v>12</v>
      </c>
      <c r="C320" s="170" t="s">
        <v>39</v>
      </c>
      <c r="D320" s="172" t="s">
        <v>39</v>
      </c>
    </row>
    <row r="321" spans="2:4" x14ac:dyDescent="0.25">
      <c r="B321" s="360" t="s">
        <v>13</v>
      </c>
      <c r="C321" s="170">
        <f>+C75</f>
        <v>0</v>
      </c>
      <c r="D321" s="95">
        <f>+E75</f>
        <v>0</v>
      </c>
    </row>
    <row r="322" spans="2:4" x14ac:dyDescent="0.25">
      <c r="B322" s="360" t="s">
        <v>14</v>
      </c>
      <c r="C322" s="170">
        <f>+C91</f>
        <v>0</v>
      </c>
      <c r="D322" s="95">
        <f>+E91</f>
        <v>0</v>
      </c>
    </row>
    <row r="323" spans="2:4" x14ac:dyDescent="0.25">
      <c r="B323" s="360" t="s">
        <v>15</v>
      </c>
      <c r="C323" s="170" t="s">
        <v>39</v>
      </c>
      <c r="D323" s="172" t="s">
        <v>39</v>
      </c>
    </row>
    <row r="324" spans="2:4" x14ac:dyDescent="0.25">
      <c r="B324" s="360" t="s">
        <v>16</v>
      </c>
      <c r="C324" s="170" t="s">
        <v>39</v>
      </c>
      <c r="D324" s="95" t="s">
        <v>39</v>
      </c>
    </row>
    <row r="325" spans="2:4" ht="25" x14ac:dyDescent="0.25">
      <c r="B325" s="360" t="s">
        <v>17</v>
      </c>
      <c r="C325" s="170" t="s">
        <v>39</v>
      </c>
      <c r="D325" s="172" t="s">
        <v>39</v>
      </c>
    </row>
    <row r="326" spans="2:4" x14ac:dyDescent="0.25">
      <c r="B326" s="360" t="s">
        <v>18</v>
      </c>
      <c r="C326" s="363"/>
      <c r="D326" s="173" t="e">
        <f>+E161</f>
        <v>#REF!</v>
      </c>
    </row>
    <row r="327" spans="2:4" x14ac:dyDescent="0.25">
      <c r="B327" s="360" t="s">
        <v>19</v>
      </c>
      <c r="C327" s="170" t="s">
        <v>39</v>
      </c>
      <c r="D327" s="172" t="s">
        <v>39</v>
      </c>
    </row>
    <row r="328" spans="2:4" x14ac:dyDescent="0.25">
      <c r="B328" s="360" t="s">
        <v>66</v>
      </c>
      <c r="C328" s="170">
        <f>-C259</f>
        <v>0</v>
      </c>
      <c r="D328" s="174"/>
    </row>
    <row r="329" spans="2:4" ht="26" x14ac:dyDescent="0.3">
      <c r="B329" s="359" t="s">
        <v>20</v>
      </c>
      <c r="C329" s="171">
        <f>+C312+C313</f>
        <v>0</v>
      </c>
      <c r="D329" s="98" t="e">
        <f>+D312+D313</f>
        <v>#REF!</v>
      </c>
    </row>
    <row r="330" spans="2:4" ht="34.5" customHeight="1" x14ac:dyDescent="0.25">
      <c r="B330" s="360" t="s">
        <v>21</v>
      </c>
      <c r="C330" s="175"/>
      <c r="D330" s="140"/>
    </row>
    <row r="331" spans="2:4" ht="25" x14ac:dyDescent="0.25">
      <c r="B331" s="360" t="s">
        <v>22</v>
      </c>
      <c r="C331" s="170">
        <f>-C332-C333-C334-C335-C336</f>
        <v>0</v>
      </c>
      <c r="D331" s="95">
        <f>-D332-D333-D334-D335-D336</f>
        <v>-215975</v>
      </c>
    </row>
    <row r="332" spans="2:4" x14ac:dyDescent="0.25">
      <c r="B332" s="360" t="s">
        <v>23</v>
      </c>
      <c r="C332" s="170">
        <f>+K187</f>
        <v>0</v>
      </c>
      <c r="D332" s="95">
        <f>+G217</f>
        <v>0</v>
      </c>
    </row>
    <row r="333" spans="2:4" x14ac:dyDescent="0.25">
      <c r="B333" s="360" t="s">
        <v>24</v>
      </c>
      <c r="C333" s="170">
        <f>+K188</f>
        <v>0</v>
      </c>
      <c r="D333" s="95">
        <f>+G218</f>
        <v>0</v>
      </c>
    </row>
    <row r="334" spans="2:4" x14ac:dyDescent="0.25">
      <c r="B334" s="360" t="s">
        <v>25</v>
      </c>
      <c r="C334" s="170">
        <f>+K189</f>
        <v>0</v>
      </c>
      <c r="D334" s="95">
        <f>+G219</f>
        <v>44597</v>
      </c>
    </row>
    <row r="335" spans="2:4" x14ac:dyDescent="0.25">
      <c r="B335" s="360" t="s">
        <v>26</v>
      </c>
      <c r="C335" s="170">
        <f>+K190-D252</f>
        <v>0</v>
      </c>
      <c r="D335" s="95">
        <f>+G220-E252</f>
        <v>170778</v>
      </c>
    </row>
    <row r="336" spans="2:4" x14ac:dyDescent="0.25">
      <c r="B336" s="360" t="s">
        <v>27</v>
      </c>
      <c r="C336" s="170">
        <f>+K191</f>
        <v>0</v>
      </c>
      <c r="D336" s="95">
        <f>+G221</f>
        <v>600</v>
      </c>
    </row>
    <row r="337" spans="2:4" x14ac:dyDescent="0.25">
      <c r="B337" s="362" t="s">
        <v>28</v>
      </c>
      <c r="C337" s="176"/>
      <c r="D337" s="177"/>
    </row>
    <row r="338" spans="2:4" ht="13.5" thickBot="1" x14ac:dyDescent="0.35">
      <c r="B338" s="359" t="s">
        <v>29</v>
      </c>
      <c r="C338" s="178">
        <f>+C312+C313-C330+C331</f>
        <v>0</v>
      </c>
      <c r="D338" s="178" t="e">
        <f>+D312+D313-D330+D331</f>
        <v>#REF!</v>
      </c>
    </row>
    <row r="339" spans="2:4" x14ac:dyDescent="0.25">
      <c r="B339" s="360" t="s">
        <v>163</v>
      </c>
      <c r="C339" s="159">
        <f>+C338*C10</f>
        <v>0</v>
      </c>
    </row>
    <row r="340" spans="2:4" x14ac:dyDescent="0.25">
      <c r="B340" s="360" t="s">
        <v>143</v>
      </c>
      <c r="C340" s="160">
        <f>+C269</f>
        <v>0</v>
      </c>
    </row>
    <row r="341" spans="2:4" ht="13.5" thickBot="1" x14ac:dyDescent="0.35">
      <c r="B341" s="361" t="s">
        <v>164</v>
      </c>
      <c r="C341" s="179">
        <f>+C339+C340</f>
        <v>0</v>
      </c>
    </row>
    <row r="342" spans="2:4" ht="13" thickBot="1" x14ac:dyDescent="0.3">
      <c r="B342" s="429" t="e">
        <f>+IF(D342&gt;0,"Marge de compliment","Marge d'incompliment")</f>
        <v>#REF!</v>
      </c>
      <c r="C342" s="430"/>
      <c r="D342" s="431" t="e">
        <f>+D338-C341</f>
        <v>#REF!</v>
      </c>
    </row>
  </sheetData>
  <mergeCells count="11">
    <mergeCell ref="B38:C38"/>
    <mergeCell ref="B63:C63"/>
    <mergeCell ref="B69:D69"/>
    <mergeCell ref="C303:E303"/>
    <mergeCell ref="B79:E79"/>
    <mergeCell ref="B85:D85"/>
    <mergeCell ref="B151:B152"/>
    <mergeCell ref="C151:C152"/>
    <mergeCell ref="D151:D152"/>
    <mergeCell ref="E151:E152"/>
    <mergeCell ref="B102:C102"/>
  </mergeCells>
  <phoneticPr fontId="0" type="noConversion"/>
  <conditionalFormatting sqref="C341">
    <cfRule type="cellIs" dxfId="4" priority="1" stopIfTrue="1" operator="notEqual">
      <formula>$C$283</formula>
    </cfRule>
  </conditionalFormatting>
  <pageMargins left="0.74791666666666667" right="0.74791666666666667" top="0.98402777777777772" bottom="0.98402777777777772" header="0.51180555555555551" footer="0.51180555555555551"/>
  <pageSetup paperSize="9" scale="49" firstPageNumber="0" orientation="portrait" horizontalDpi="300"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8"/>
  <dimension ref="A2:T159"/>
  <sheetViews>
    <sheetView topLeftCell="A4" workbookViewId="0"/>
  </sheetViews>
  <sheetFormatPr baseColWidth="10" defaultColWidth="11.36328125" defaultRowHeight="12.5" x14ac:dyDescent="0.25"/>
  <cols>
    <col min="1" max="1" width="10.26953125" style="10" customWidth="1"/>
    <col min="2" max="2" width="16.26953125" style="10" customWidth="1"/>
    <col min="3" max="4" width="11.36328125" style="10"/>
    <col min="5" max="5" width="15.36328125" style="10" customWidth="1"/>
    <col min="6" max="6" width="23.08984375" style="10" customWidth="1"/>
    <col min="7" max="7" width="12.81640625" style="10" customWidth="1"/>
    <col min="8" max="8" width="11.36328125" style="10" customWidth="1"/>
    <col min="9" max="9" width="19.7265625" style="10" customWidth="1"/>
    <col min="10" max="10" width="20.08984375" style="10" customWidth="1"/>
    <col min="11" max="11" width="23.36328125" style="10" customWidth="1"/>
    <col min="12" max="12" width="23.08984375" style="10" customWidth="1"/>
    <col min="13" max="13" width="16.26953125" style="10" customWidth="1"/>
    <col min="14" max="14" width="11.36328125" style="10"/>
    <col min="15" max="15" width="53.08984375" style="10" customWidth="1"/>
    <col min="16" max="16" width="15.36328125" style="10" customWidth="1"/>
    <col min="17" max="18" width="11.36328125" style="10"/>
    <col min="19" max="19" width="22.26953125" style="10" customWidth="1"/>
    <col min="20" max="16384" width="11.36328125" style="10"/>
  </cols>
  <sheetData>
    <row r="2" spans="1:6" ht="13" x14ac:dyDescent="0.3">
      <c r="A2" s="24" t="s">
        <v>165</v>
      </c>
    </row>
    <row r="4" spans="1:6" ht="13" x14ac:dyDescent="0.3">
      <c r="A4" s="187" t="s">
        <v>166</v>
      </c>
      <c r="B4" s="318">
        <f>+'3 Regla despesa'!C4</f>
        <v>2025</v>
      </c>
      <c r="D4" s="187" t="s">
        <v>167</v>
      </c>
      <c r="E4" s="318">
        <f>+B4</f>
        <v>2025</v>
      </c>
    </row>
    <row r="5" spans="1:6" x14ac:dyDescent="0.25">
      <c r="A5" s="182" t="s">
        <v>168</v>
      </c>
      <c r="B5" s="92" t="e">
        <f>+#REF!</f>
        <v>#REF!</v>
      </c>
      <c r="D5" s="182" t="s">
        <v>168</v>
      </c>
      <c r="E5" s="92" t="e">
        <f>+#REF!</f>
        <v>#REF!</v>
      </c>
    </row>
    <row r="6" spans="1:6" x14ac:dyDescent="0.25">
      <c r="A6" s="183" t="s">
        <v>169</v>
      </c>
      <c r="B6" s="95" t="e">
        <f>+#REF!</f>
        <v>#REF!</v>
      </c>
      <c r="D6" s="183" t="s">
        <v>169</v>
      </c>
      <c r="E6" s="95" t="e">
        <f>+#REF!</f>
        <v>#REF!</v>
      </c>
    </row>
    <row r="7" spans="1:6" x14ac:dyDescent="0.25">
      <c r="A7" s="183" t="s">
        <v>170</v>
      </c>
      <c r="B7" s="95" t="e">
        <f>+#REF!</f>
        <v>#REF!</v>
      </c>
      <c r="D7" s="183" t="s">
        <v>170</v>
      </c>
      <c r="E7" s="95" t="e">
        <f>+#REF!</f>
        <v>#REF!</v>
      </c>
    </row>
    <row r="8" spans="1:6" x14ac:dyDescent="0.25">
      <c r="A8" s="183" t="s">
        <v>171</v>
      </c>
      <c r="B8" s="95" t="e">
        <f>+#REF!</f>
        <v>#REF!</v>
      </c>
      <c r="D8" s="183" t="s">
        <v>171</v>
      </c>
      <c r="E8" s="95" t="e">
        <f>+#REF!</f>
        <v>#REF!</v>
      </c>
      <c r="F8" s="184"/>
    </row>
    <row r="9" spans="1:6" x14ac:dyDescent="0.25">
      <c r="A9" s="183" t="s">
        <v>172</v>
      </c>
      <c r="B9" s="95" t="e">
        <f>+#REF!</f>
        <v>#REF!</v>
      </c>
      <c r="D9" s="183" t="s">
        <v>172</v>
      </c>
      <c r="E9" s="95" t="e">
        <f>+#REF!</f>
        <v>#REF!</v>
      </c>
    </row>
    <row r="10" spans="1:6" x14ac:dyDescent="0.25">
      <c r="A10" s="183" t="s">
        <v>173</v>
      </c>
      <c r="B10" s="95" t="e">
        <f>+#REF!</f>
        <v>#REF!</v>
      </c>
      <c r="D10" s="183" t="s">
        <v>173</v>
      </c>
      <c r="E10" s="95" t="e">
        <f>+#REF!</f>
        <v>#REF!</v>
      </c>
    </row>
    <row r="11" spans="1:6" ht="13" thickBot="1" x14ac:dyDescent="0.3">
      <c r="A11" s="185" t="s">
        <v>174</v>
      </c>
      <c r="B11" s="186" t="e">
        <f>+#REF!</f>
        <v>#REF!</v>
      </c>
      <c r="D11" s="185" t="s">
        <v>174</v>
      </c>
      <c r="E11" s="186" t="e">
        <f>+#REF!</f>
        <v>#REF!</v>
      </c>
    </row>
    <row r="12" spans="1:6" ht="13.5" thickBot="1" x14ac:dyDescent="0.35">
      <c r="A12" s="187" t="s">
        <v>74</v>
      </c>
      <c r="B12" s="145" t="e">
        <f>SUM(B5:B11)</f>
        <v>#REF!</v>
      </c>
      <c r="D12" s="187" t="s">
        <v>74</v>
      </c>
      <c r="E12" s="145" t="e">
        <f>SUM(E5:E11)</f>
        <v>#REF!</v>
      </c>
    </row>
    <row r="13" spans="1:6" ht="13" thickBot="1" x14ac:dyDescent="0.3"/>
    <row r="14" spans="1:6" ht="13" x14ac:dyDescent="0.3">
      <c r="D14" s="90" t="s">
        <v>175</v>
      </c>
      <c r="E14" s="188" t="s">
        <v>176</v>
      </c>
    </row>
    <row r="15" spans="1:6" ht="13" x14ac:dyDescent="0.3">
      <c r="A15" s="189" t="e">
        <f>+IF(B15&lt;0,"Dèficit no financer","Superàvit no financer")</f>
        <v>#REF!</v>
      </c>
      <c r="B15" s="145" t="e">
        <f>+B12-E12</f>
        <v>#REF!</v>
      </c>
      <c r="D15" s="190"/>
      <c r="E15" s="191"/>
    </row>
    <row r="17" spans="4:10" ht="13" x14ac:dyDescent="0.3">
      <c r="F17" s="24" t="s">
        <v>177</v>
      </c>
    </row>
    <row r="19" spans="4:10" ht="13" x14ac:dyDescent="0.3">
      <c r="F19" s="24" t="s">
        <v>178</v>
      </c>
    </row>
    <row r="21" spans="4:10" ht="13" x14ac:dyDescent="0.3">
      <c r="F21" s="24" t="s">
        <v>179</v>
      </c>
    </row>
    <row r="24" spans="4:10" ht="13" x14ac:dyDescent="0.3">
      <c r="D24" s="184"/>
      <c r="F24" s="187">
        <f>+B4-3</f>
        <v>2022</v>
      </c>
      <c r="G24" s="319" t="s">
        <v>180</v>
      </c>
      <c r="H24" s="319" t="s">
        <v>181</v>
      </c>
      <c r="I24" s="320" t="s">
        <v>182</v>
      </c>
      <c r="J24" s="321" t="s">
        <v>183</v>
      </c>
    </row>
    <row r="25" spans="4:10" x14ac:dyDescent="0.25">
      <c r="F25" s="322">
        <v>1</v>
      </c>
      <c r="G25" s="212">
        <f>+'4_CF_NF'!G30</f>
        <v>108257.65</v>
      </c>
      <c r="H25" s="212">
        <f>+'4_CF_NF'!H30</f>
        <v>103695.56</v>
      </c>
      <c r="I25" s="323">
        <f>+'4_CF_NF'!I30</f>
        <v>3708.61</v>
      </c>
      <c r="J25" s="198">
        <f>+'4_CF_NF'!J30</f>
        <v>0.99211621534367322</v>
      </c>
    </row>
    <row r="26" spans="4:10" x14ac:dyDescent="0.25">
      <c r="F26" s="183">
        <v>2</v>
      </c>
      <c r="G26" s="212">
        <f>+'4_CF_NF'!G31</f>
        <v>2185.67</v>
      </c>
      <c r="H26" s="212">
        <f>+'4_CF_NF'!H31</f>
        <v>2185.67</v>
      </c>
      <c r="I26" s="323">
        <f>+'4_CF_NF'!I31</f>
        <v>0</v>
      </c>
      <c r="J26" s="198">
        <f>+'4_CF_NF'!J31</f>
        <v>1</v>
      </c>
    </row>
    <row r="27" spans="4:10" x14ac:dyDescent="0.25">
      <c r="F27" s="324" t="s">
        <v>184</v>
      </c>
      <c r="G27" s="212">
        <f>+'4_CF_NF'!G32</f>
        <v>148021.9</v>
      </c>
      <c r="H27" s="212">
        <f>+'4_CF_NF'!H32</f>
        <v>147578.34</v>
      </c>
      <c r="I27" s="323">
        <f>+'4_CF_NF'!I32</f>
        <v>0</v>
      </c>
      <c r="J27" s="198">
        <f>+'4_CF_NF'!J32</f>
        <v>0.99700341638635903</v>
      </c>
    </row>
    <row r="29" spans="4:10" ht="13" x14ac:dyDescent="0.3">
      <c r="F29" s="187">
        <f>+F24+1</f>
        <v>2023</v>
      </c>
      <c r="G29" s="319" t="s">
        <v>180</v>
      </c>
      <c r="H29" s="319" t="s">
        <v>181</v>
      </c>
      <c r="I29" s="320" t="s">
        <v>182</v>
      </c>
      <c r="J29" s="321" t="s">
        <v>183</v>
      </c>
    </row>
    <row r="30" spans="4:10" x14ac:dyDescent="0.25">
      <c r="F30" s="322">
        <v>1</v>
      </c>
      <c r="G30" s="212">
        <f>+'4_CF_NF'!G36</f>
        <v>108716.31</v>
      </c>
      <c r="H30" s="212">
        <f>+'4_CF_NF'!H36</f>
        <v>102786.46</v>
      </c>
      <c r="I30" s="212">
        <f>+'4_CF_NF'!I36</f>
        <v>574.35</v>
      </c>
      <c r="J30" s="198">
        <f>+'4_CF_NF'!J36</f>
        <v>0.95073876219676712</v>
      </c>
    </row>
    <row r="31" spans="4:10" x14ac:dyDescent="0.25">
      <c r="F31" s="183">
        <v>2</v>
      </c>
      <c r="G31" s="212">
        <f>+'4_CF_NF'!G37</f>
        <v>14098.16</v>
      </c>
      <c r="H31" s="212">
        <f>+'4_CF_NF'!H37</f>
        <v>14098.16</v>
      </c>
      <c r="I31" s="212">
        <f>+'4_CF_NF'!I37</f>
        <v>0</v>
      </c>
      <c r="J31" s="198">
        <f>+'4_CF_NF'!J37</f>
        <v>1</v>
      </c>
    </row>
    <row r="32" spans="4:10" x14ac:dyDescent="0.25">
      <c r="F32" s="324" t="s">
        <v>184</v>
      </c>
      <c r="G32" s="212">
        <f>+'4_CF_NF'!G38</f>
        <v>156703.70000000001</v>
      </c>
      <c r="H32" s="212">
        <f>+'4_CF_NF'!H38</f>
        <v>156703.70000000001</v>
      </c>
      <c r="I32" s="212">
        <f>+'4_CF_NF'!I38</f>
        <v>443.56</v>
      </c>
      <c r="J32" s="198">
        <f>+'4_CF_NF'!J38</f>
        <v>1.0028305649451799</v>
      </c>
    </row>
    <row r="35" spans="6:10" ht="13" x14ac:dyDescent="0.3">
      <c r="F35" s="180">
        <f>+F29+1</f>
        <v>2024</v>
      </c>
      <c r="G35" s="192" t="s">
        <v>180</v>
      </c>
      <c r="H35" s="192" t="s">
        <v>181</v>
      </c>
      <c r="I35" s="193" t="s">
        <v>182</v>
      </c>
      <c r="J35" s="194" t="s">
        <v>183</v>
      </c>
    </row>
    <row r="36" spans="6:10" x14ac:dyDescent="0.25">
      <c r="F36" s="195">
        <v>1</v>
      </c>
      <c r="G36" s="196"/>
      <c r="H36" s="196"/>
      <c r="I36" s="197"/>
      <c r="J36" s="198" t="str">
        <f>+IF(G36&gt;0,(H36+I36)/G36,"")</f>
        <v/>
      </c>
    </row>
    <row r="37" spans="6:10" x14ac:dyDescent="0.25">
      <c r="F37" s="199">
        <v>2</v>
      </c>
      <c r="G37" s="44"/>
      <c r="H37" s="44"/>
      <c r="I37" s="200"/>
      <c r="J37" s="198" t="str">
        <f>+IF(G37&gt;0,(H37+I37)/G37,"")</f>
        <v/>
      </c>
    </row>
    <row r="38" spans="6:10" x14ac:dyDescent="0.25">
      <c r="F38" s="201" t="s">
        <v>184</v>
      </c>
      <c r="G38" s="202"/>
      <c r="H38" s="202"/>
      <c r="I38" s="203"/>
      <c r="J38" s="198" t="str">
        <f>+IF(G38&gt;0,(H38+I38)/G38,"")</f>
        <v/>
      </c>
    </row>
    <row r="42" spans="6:10" ht="39" x14ac:dyDescent="0.3">
      <c r="F42" s="204" t="s">
        <v>185</v>
      </c>
      <c r="G42" s="205" t="s">
        <v>186</v>
      </c>
      <c r="H42" s="206" t="s">
        <v>54</v>
      </c>
      <c r="I42" s="205" t="s">
        <v>55</v>
      </c>
      <c r="J42" s="166" t="s">
        <v>56</v>
      </c>
    </row>
    <row r="43" spans="6:10" x14ac:dyDescent="0.25">
      <c r="F43" s="207">
        <v>1</v>
      </c>
      <c r="G43" s="208">
        <f>AVERAGE(J25,J30,J36)</f>
        <v>0.97142748877022012</v>
      </c>
      <c r="H43" s="209" t="e">
        <f>+B5</f>
        <v>#REF!</v>
      </c>
      <c r="I43" s="92" t="e">
        <f>+G43*H43</f>
        <v>#REF!</v>
      </c>
      <c r="J43" s="210" t="e">
        <f>+I43-H43</f>
        <v>#REF!</v>
      </c>
    </row>
    <row r="44" spans="6:10" x14ac:dyDescent="0.25">
      <c r="F44" s="207">
        <v>2</v>
      </c>
      <c r="G44" s="211">
        <f>AVERAGE(J26,J31,J37)</f>
        <v>1</v>
      </c>
      <c r="H44" s="212" t="e">
        <f>+B6</f>
        <v>#REF!</v>
      </c>
      <c r="I44" s="210" t="e">
        <f>+G44*H44</f>
        <v>#REF!</v>
      </c>
      <c r="J44" s="95" t="e">
        <f>+I44-H44</f>
        <v>#REF!</v>
      </c>
    </row>
    <row r="45" spans="6:10" x14ac:dyDescent="0.25">
      <c r="F45" s="213">
        <v>3</v>
      </c>
      <c r="G45" s="214">
        <f>AVERAGE(J27,J32,J38)</f>
        <v>0.99991699066576945</v>
      </c>
      <c r="H45" s="215" t="e">
        <f>+B7-D15-E15</f>
        <v>#REF!</v>
      </c>
      <c r="I45" s="216" t="e">
        <f>+G45*H45</f>
        <v>#REF!</v>
      </c>
      <c r="J45" s="186" t="e">
        <f>+I45-H45</f>
        <v>#REF!</v>
      </c>
    </row>
    <row r="47" spans="6:10" ht="13" x14ac:dyDescent="0.3">
      <c r="F47" s="24" t="s">
        <v>187</v>
      </c>
    </row>
    <row r="49" spans="6:9" ht="13" x14ac:dyDescent="0.3">
      <c r="G49" s="217">
        <f>+E4</f>
        <v>2025</v>
      </c>
    </row>
    <row r="50" spans="6:9" ht="26" x14ac:dyDescent="0.3">
      <c r="F50" s="218" t="s">
        <v>188</v>
      </c>
      <c r="G50" s="325">
        <f>+'4_CF_NF'!G50</f>
        <v>0</v>
      </c>
    </row>
    <row r="51" spans="6:9" ht="26" x14ac:dyDescent="0.3">
      <c r="F51" s="219" t="s">
        <v>189</v>
      </c>
      <c r="G51" s="326">
        <f>+'4_CF_NF'!G51</f>
        <v>0</v>
      </c>
    </row>
    <row r="52" spans="6:9" ht="26" x14ac:dyDescent="0.3">
      <c r="F52" s="219" t="s">
        <v>190</v>
      </c>
      <c r="G52" s="327">
        <f>+'4_CF_NF'!G52</f>
        <v>0</v>
      </c>
    </row>
    <row r="53" spans="6:9" ht="13" x14ac:dyDescent="0.3">
      <c r="F53" s="220" t="s">
        <v>191</v>
      </c>
      <c r="G53" s="221">
        <f>+G50+G51+G52</f>
        <v>0</v>
      </c>
    </row>
    <row r="55" spans="6:9" ht="13" x14ac:dyDescent="0.3">
      <c r="F55" s="24" t="s">
        <v>192</v>
      </c>
    </row>
    <row r="57" spans="6:9" ht="26" x14ac:dyDescent="0.3">
      <c r="F57" s="222" t="s">
        <v>193</v>
      </c>
      <c r="G57" s="223" t="s">
        <v>194</v>
      </c>
      <c r="H57" s="224" t="s">
        <v>195</v>
      </c>
      <c r="I57" s="181" t="s">
        <v>196</v>
      </c>
    </row>
    <row r="58" spans="6:9" ht="13" x14ac:dyDescent="0.3">
      <c r="F58" s="225">
        <f>+G49</f>
        <v>2025</v>
      </c>
      <c r="G58" s="328">
        <f>+'4_CF_NF'!G58</f>
        <v>0</v>
      </c>
      <c r="H58" s="328">
        <f>+'4_CF_NF'!H58</f>
        <v>0</v>
      </c>
      <c r="I58" s="186">
        <f>+H58-G58</f>
        <v>0</v>
      </c>
    </row>
    <row r="60" spans="6:9" ht="13" x14ac:dyDescent="0.3">
      <c r="F60" s="24" t="s">
        <v>197</v>
      </c>
    </row>
    <row r="62" spans="6:9" ht="13" x14ac:dyDescent="0.3">
      <c r="F62" s="24" t="s">
        <v>198</v>
      </c>
    </row>
    <row r="64" spans="6:9" ht="13" x14ac:dyDescent="0.3">
      <c r="F64" s="222" t="s">
        <v>199</v>
      </c>
      <c r="G64" s="227">
        <f>+F58</f>
        <v>2025</v>
      </c>
      <c r="H64" s="181" t="s">
        <v>196</v>
      </c>
    </row>
    <row r="65" spans="6:19" ht="13" x14ac:dyDescent="0.3">
      <c r="F65" s="228" t="s">
        <v>200</v>
      </c>
      <c r="G65" s="210">
        <f>+'4_CF_NF'!G65</f>
        <v>0</v>
      </c>
      <c r="H65" s="329"/>
      <c r="I65" s="24"/>
    </row>
    <row r="66" spans="6:19" ht="26" x14ac:dyDescent="0.3">
      <c r="F66" s="231" t="s">
        <v>201</v>
      </c>
      <c r="G66" s="210">
        <f>+'4_CF_NF'!G66</f>
        <v>0</v>
      </c>
      <c r="H66" s="232">
        <f>G66-G65</f>
        <v>0</v>
      </c>
      <c r="I66" s="24"/>
    </row>
    <row r="68" spans="6:19" ht="13.9" customHeight="1" x14ac:dyDescent="0.3">
      <c r="F68" s="24" t="s">
        <v>202</v>
      </c>
    </row>
    <row r="70" spans="6:19" ht="26" x14ac:dyDescent="0.3">
      <c r="F70" s="222" t="s">
        <v>203</v>
      </c>
      <c r="G70" s="223" t="s">
        <v>194</v>
      </c>
      <c r="H70" s="233" t="s">
        <v>195</v>
      </c>
      <c r="I70" s="105" t="s">
        <v>196</v>
      </c>
    </row>
    <row r="71" spans="6:19" ht="13" x14ac:dyDescent="0.3">
      <c r="F71" s="225">
        <v>2014</v>
      </c>
      <c r="G71" s="328">
        <f>+'4_CF_NF'!G71</f>
        <v>0</v>
      </c>
      <c r="H71" s="328">
        <f>+'4_CF_NF'!H71</f>
        <v>0</v>
      </c>
      <c r="I71" s="179">
        <f>+H71-G71</f>
        <v>0</v>
      </c>
    </row>
    <row r="73" spans="6:19" ht="13" x14ac:dyDescent="0.3">
      <c r="F73" s="24" t="s">
        <v>204</v>
      </c>
    </row>
    <row r="75" spans="6:19" ht="13" x14ac:dyDescent="0.3">
      <c r="F75" s="15"/>
      <c r="G75" s="234">
        <f>+G64</f>
        <v>2025</v>
      </c>
    </row>
    <row r="76" spans="6:19" ht="13" x14ac:dyDescent="0.3">
      <c r="F76" s="235" t="s">
        <v>205</v>
      </c>
      <c r="G76" s="330">
        <f>+'4_CF_NF'!G76</f>
        <v>0</v>
      </c>
    </row>
    <row r="77" spans="6:19" ht="13" x14ac:dyDescent="0.3">
      <c r="F77" s="236" t="s">
        <v>206</v>
      </c>
      <c r="G77" s="330">
        <f>+'4_CF_NF'!G77</f>
        <v>0</v>
      </c>
      <c r="Q77" s="16"/>
    </row>
    <row r="78" spans="6:19" ht="13" x14ac:dyDescent="0.3">
      <c r="F78" s="237" t="s">
        <v>207</v>
      </c>
      <c r="G78" s="145">
        <f>+G76-G77</f>
        <v>0</v>
      </c>
    </row>
    <row r="80" spans="6:19" ht="13" x14ac:dyDescent="0.3">
      <c r="F80" s="24" t="s">
        <v>208</v>
      </c>
      <c r="S80" s="23"/>
    </row>
    <row r="81" spans="6:20" ht="13" x14ac:dyDescent="0.3">
      <c r="Q81" s="24"/>
      <c r="R81" s="23"/>
      <c r="S81" s="23"/>
      <c r="T81" s="148"/>
    </row>
    <row r="82" spans="6:20" ht="13" x14ac:dyDescent="0.3">
      <c r="I82" s="24"/>
      <c r="Q82" s="24"/>
      <c r="R82" s="23"/>
      <c r="S82" s="23"/>
      <c r="T82" s="148"/>
    </row>
    <row r="83" spans="6:20" ht="26" x14ac:dyDescent="0.3">
      <c r="F83" s="238">
        <f>+G75</f>
        <v>2025</v>
      </c>
      <c r="G83" s="206" t="s">
        <v>209</v>
      </c>
      <c r="H83" s="239" t="s">
        <v>210</v>
      </c>
      <c r="I83" s="240" t="s">
        <v>207</v>
      </c>
      <c r="Q83" s="24"/>
      <c r="R83" s="23"/>
      <c r="S83" s="23"/>
      <c r="T83" s="148"/>
    </row>
    <row r="84" spans="6:20" ht="13" x14ac:dyDescent="0.3">
      <c r="F84" s="241" t="s">
        <v>211</v>
      </c>
      <c r="G84" s="331">
        <f>+'4_CF_NF'!G83</f>
        <v>0</v>
      </c>
      <c r="H84" s="332">
        <f>+'4_CF_NF'!H83</f>
        <v>0</v>
      </c>
      <c r="I84" s="242">
        <f>+H84-G84</f>
        <v>0</v>
      </c>
      <c r="Q84" s="24"/>
      <c r="R84" s="23"/>
      <c r="S84" s="23"/>
      <c r="T84" s="148"/>
    </row>
    <row r="85" spans="6:20" ht="13" x14ac:dyDescent="0.3">
      <c r="F85" s="243" t="s">
        <v>212</v>
      </c>
      <c r="G85" s="333"/>
      <c r="H85" s="332">
        <f>+'4_CF_NF'!H84</f>
        <v>0</v>
      </c>
      <c r="I85" s="245">
        <f>+H85</f>
        <v>0</v>
      </c>
      <c r="Q85" s="24"/>
      <c r="R85" s="23"/>
      <c r="S85" s="23"/>
      <c r="T85" s="148"/>
    </row>
    <row r="86" spans="6:20" ht="13" x14ac:dyDescent="0.3">
      <c r="F86" s="246"/>
      <c r="I86" s="108"/>
      <c r="Q86" s="24"/>
      <c r="R86" s="23"/>
      <c r="S86" s="23"/>
      <c r="T86" s="148"/>
    </row>
    <row r="87" spans="6:20" ht="26" x14ac:dyDescent="0.3">
      <c r="F87" s="238">
        <f>+G75</f>
        <v>2025</v>
      </c>
      <c r="G87" s="247"/>
      <c r="H87" s="239" t="s">
        <v>213</v>
      </c>
      <c r="I87" s="240" t="s">
        <v>207</v>
      </c>
      <c r="Q87" s="24"/>
      <c r="R87" s="23"/>
      <c r="T87" s="148"/>
    </row>
    <row r="88" spans="6:20" ht="66" customHeight="1" x14ac:dyDescent="0.3">
      <c r="F88" s="1134" t="s">
        <v>214</v>
      </c>
      <c r="G88" s="1134"/>
      <c r="H88" s="334">
        <f>+'4_CF_NF'!H87</f>
        <v>0</v>
      </c>
      <c r="I88" s="248">
        <f>+H88</f>
        <v>0</v>
      </c>
      <c r="Q88" s="24"/>
      <c r="R88" s="23"/>
      <c r="T88" s="148"/>
    </row>
    <row r="89" spans="6:20" ht="13" x14ac:dyDescent="0.3">
      <c r="Q89" s="24"/>
      <c r="R89" s="23"/>
      <c r="T89" s="148"/>
    </row>
    <row r="90" spans="6:20" ht="13" x14ac:dyDescent="0.3">
      <c r="F90" s="24" t="s">
        <v>215</v>
      </c>
      <c r="Q90" s="24"/>
      <c r="R90" s="23"/>
      <c r="T90" s="148"/>
    </row>
    <row r="91" spans="6:20" ht="13" x14ac:dyDescent="0.3">
      <c r="O91" s="24"/>
      <c r="P91" s="23"/>
      <c r="R91" s="148"/>
    </row>
    <row r="92" spans="6:20" ht="13" x14ac:dyDescent="0.3">
      <c r="F92" s="180"/>
      <c r="G92" s="227">
        <f>+F83</f>
        <v>2025</v>
      </c>
      <c r="O92" s="24"/>
      <c r="P92" s="23"/>
      <c r="R92" s="148"/>
    </row>
    <row r="93" spans="6:20" ht="25" x14ac:dyDescent="0.25">
      <c r="F93" s="13" t="s">
        <v>216</v>
      </c>
      <c r="G93" s="335">
        <f>+'4_CF_NF'!G92</f>
        <v>0</v>
      </c>
    </row>
    <row r="94" spans="6:20" x14ac:dyDescent="0.25">
      <c r="F94" s="13" t="s">
        <v>207</v>
      </c>
      <c r="G94" s="249">
        <f>+G93</f>
        <v>0</v>
      </c>
    </row>
    <row r="96" spans="6:20" ht="13" x14ac:dyDescent="0.3">
      <c r="F96" s="24" t="s">
        <v>217</v>
      </c>
    </row>
    <row r="97" spans="6:10" ht="13" x14ac:dyDescent="0.3">
      <c r="G97" s="250">
        <f>+G110</f>
        <v>2025</v>
      </c>
    </row>
    <row r="98" spans="6:10" ht="13" x14ac:dyDescent="0.3">
      <c r="F98" s="251" t="s">
        <v>207</v>
      </c>
      <c r="G98" s="252" t="e">
        <f>('8_LIQ_Regla despesa'!C153+'8_LIQ_Regla despesa'!C154+'8_LIQ_Regla despesa'!C155+'8_LIQ_Regla despesa'!C156+'8_LIQ_Regla despesa'!C158+'8_LIQ_Regla despesa'!C159)*'8_LIQ_Regla despesa'!D161</f>
        <v>#REF!</v>
      </c>
      <c r="H98" s="336"/>
    </row>
    <row r="100" spans="6:10" ht="13" x14ac:dyDescent="0.3">
      <c r="F100" s="24" t="s">
        <v>219</v>
      </c>
      <c r="G100" s="15"/>
      <c r="H100" s="184"/>
    </row>
    <row r="102" spans="6:10" ht="13" x14ac:dyDescent="0.3">
      <c r="F102" s="15"/>
      <c r="G102" s="254">
        <f>+G97</f>
        <v>2025</v>
      </c>
    </row>
    <row r="103" spans="6:10" ht="25" x14ac:dyDescent="0.25">
      <c r="F103" s="255" t="s">
        <v>220</v>
      </c>
      <c r="G103" s="337">
        <f>+'4_CF_NF'!G102</f>
        <v>0</v>
      </c>
    </row>
    <row r="104" spans="6:10" x14ac:dyDescent="0.25">
      <c r="F104" s="256" t="s">
        <v>206</v>
      </c>
      <c r="G104" s="337">
        <f>+'4_CF_NF'!G103</f>
        <v>0</v>
      </c>
    </row>
    <row r="105" spans="6:10" ht="13" x14ac:dyDescent="0.3">
      <c r="F105" s="237" t="s">
        <v>207</v>
      </c>
      <c r="G105" s="145">
        <f>+G103-G104</f>
        <v>0</v>
      </c>
    </row>
    <row r="108" spans="6:10" ht="13" x14ac:dyDescent="0.3">
      <c r="F108" s="24" t="s">
        <v>221</v>
      </c>
    </row>
    <row r="110" spans="6:10" ht="13" x14ac:dyDescent="0.3">
      <c r="F110" s="11" t="s">
        <v>222</v>
      </c>
      <c r="G110" s="14">
        <f>+G92</f>
        <v>2025</v>
      </c>
      <c r="I110" s="257" t="s">
        <v>223</v>
      </c>
      <c r="J110" s="14">
        <f>+G92</f>
        <v>2025</v>
      </c>
    </row>
    <row r="111" spans="6:10" x14ac:dyDescent="0.25">
      <c r="F111" s="12" t="s">
        <v>224</v>
      </c>
      <c r="G111" s="258" t="e">
        <f>+J43+J44+J45</f>
        <v>#REF!</v>
      </c>
      <c r="I111" s="12" t="s">
        <v>225</v>
      </c>
      <c r="J111" s="258">
        <f>+H66</f>
        <v>0</v>
      </c>
    </row>
    <row r="112" spans="6:10" x14ac:dyDescent="0.25">
      <c r="F112" s="12" t="s">
        <v>226</v>
      </c>
      <c r="G112" s="258">
        <f>+G53</f>
        <v>0</v>
      </c>
      <c r="I112" s="12" t="s">
        <v>227</v>
      </c>
      <c r="J112" s="258">
        <f>+I71</f>
        <v>0</v>
      </c>
    </row>
    <row r="113" spans="6:13" x14ac:dyDescent="0.25">
      <c r="F113" s="12" t="s">
        <v>228</v>
      </c>
      <c r="G113" s="258">
        <f>+I58</f>
        <v>0</v>
      </c>
      <c r="I113" s="12" t="s">
        <v>229</v>
      </c>
      <c r="J113" s="258">
        <f>+G78</f>
        <v>0</v>
      </c>
    </row>
    <row r="114" spans="6:13" x14ac:dyDescent="0.25">
      <c r="F114" s="244"/>
      <c r="G114" s="259"/>
      <c r="I114" s="12" t="s">
        <v>230</v>
      </c>
      <c r="J114" s="258">
        <f>+I84+I85+I88</f>
        <v>0</v>
      </c>
    </row>
    <row r="115" spans="6:13" x14ac:dyDescent="0.25">
      <c r="F115" s="244"/>
      <c r="G115" s="259"/>
      <c r="I115" s="12" t="s">
        <v>231</v>
      </c>
      <c r="J115" s="258">
        <f>+G94</f>
        <v>0</v>
      </c>
    </row>
    <row r="116" spans="6:13" ht="13" x14ac:dyDescent="0.3">
      <c r="F116" s="11" t="s">
        <v>124</v>
      </c>
      <c r="G116" s="164" t="e">
        <f>+G111+G112+G113</f>
        <v>#REF!</v>
      </c>
      <c r="I116" s="12" t="s">
        <v>232</v>
      </c>
      <c r="J116" s="258" t="e">
        <f>+G98</f>
        <v>#REF!</v>
      </c>
    </row>
    <row r="117" spans="6:13" ht="13" x14ac:dyDescent="0.3">
      <c r="F117" s="24"/>
      <c r="G117" s="339"/>
      <c r="I117" s="12" t="s">
        <v>233</v>
      </c>
      <c r="J117" s="258">
        <f>+G105</f>
        <v>0</v>
      </c>
    </row>
    <row r="118" spans="6:13" ht="13" x14ac:dyDescent="0.3">
      <c r="I118" s="11" t="s">
        <v>124</v>
      </c>
      <c r="J118" s="164" t="e">
        <f>SUM(J111:J116)</f>
        <v>#REF!</v>
      </c>
    </row>
    <row r="119" spans="6:13" ht="13" x14ac:dyDescent="0.3">
      <c r="L119" s="24" t="s">
        <v>234</v>
      </c>
    </row>
    <row r="120" spans="6:13" ht="13" x14ac:dyDescent="0.3">
      <c r="L120" s="24"/>
    </row>
    <row r="121" spans="6:13" ht="13" x14ac:dyDescent="0.3">
      <c r="M121" s="254">
        <f>+J110</f>
        <v>2025</v>
      </c>
    </row>
    <row r="122" spans="6:13" x14ac:dyDescent="0.25">
      <c r="L122" s="158" t="s">
        <v>235</v>
      </c>
      <c r="M122" s="260" t="e">
        <f>+B12</f>
        <v>#REF!</v>
      </c>
    </row>
    <row r="123" spans="6:13" x14ac:dyDescent="0.25">
      <c r="L123" s="261" t="s">
        <v>236</v>
      </c>
      <c r="M123" s="262" t="e">
        <f>+G116</f>
        <v>#REF!</v>
      </c>
    </row>
    <row r="124" spans="6:13" ht="13" x14ac:dyDescent="0.3">
      <c r="L124" s="25" t="s">
        <v>237</v>
      </c>
      <c r="M124" s="109" t="e">
        <f>+M122+M123</f>
        <v>#REF!</v>
      </c>
    </row>
    <row r="125" spans="6:13" x14ac:dyDescent="0.25">
      <c r="J125" s="15"/>
      <c r="L125" s="158" t="s">
        <v>238</v>
      </c>
      <c r="M125" s="160" t="e">
        <f>+E12</f>
        <v>#REF!</v>
      </c>
    </row>
    <row r="126" spans="6:13" x14ac:dyDescent="0.25">
      <c r="L126" s="261" t="s">
        <v>239</v>
      </c>
      <c r="M126" s="262" t="e">
        <f>+J118</f>
        <v>#REF!</v>
      </c>
    </row>
    <row r="127" spans="6:13" ht="13" x14ac:dyDescent="0.3">
      <c r="L127" s="25" t="s">
        <v>240</v>
      </c>
      <c r="M127" s="109" t="e">
        <f>+M125+M126</f>
        <v>#REF!</v>
      </c>
    </row>
    <row r="128" spans="6:13" x14ac:dyDescent="0.25">
      <c r="L128" s="263" t="e">
        <f>+IF(M128&lt;0,"Dèficit no financer","Superàvit no financer")</f>
        <v>#REF!</v>
      </c>
      <c r="M128" s="159" t="e">
        <f>M122-M125</f>
        <v>#REF!</v>
      </c>
    </row>
    <row r="129" spans="9:19" x14ac:dyDescent="0.25">
      <c r="L129" s="264" t="s">
        <v>241</v>
      </c>
      <c r="M129" s="262" t="e">
        <f>+M123-M126</f>
        <v>#REF!</v>
      </c>
    </row>
    <row r="130" spans="9:19" ht="13" x14ac:dyDescent="0.3">
      <c r="I130" s="15"/>
      <c r="L130" s="88" t="e">
        <f>+IF(M130&lt;0,"Necessitat de finançament","Capacitat de finançament")</f>
        <v>#REF!</v>
      </c>
      <c r="M130" s="109" t="e">
        <f>+M128+M129</f>
        <v>#REF!</v>
      </c>
    </row>
    <row r="133" spans="9:19" ht="52.5" customHeight="1" x14ac:dyDescent="0.3">
      <c r="O133" s="1157" t="s">
        <v>242</v>
      </c>
      <c r="P133" s="1157"/>
      <c r="Q133" s="1157"/>
      <c r="R133" s="62"/>
      <c r="S133" s="62"/>
    </row>
    <row r="135" spans="9:19" x14ac:dyDescent="0.25">
      <c r="O135" s="12" t="s">
        <v>243</v>
      </c>
      <c r="P135" s="258" t="e">
        <f>+J43</f>
        <v>#REF!</v>
      </c>
    </row>
    <row r="136" spans="9:19" x14ac:dyDescent="0.25">
      <c r="O136" s="12" t="s">
        <v>244</v>
      </c>
      <c r="P136" s="258" t="e">
        <f>+J44</f>
        <v>#REF!</v>
      </c>
    </row>
    <row r="137" spans="9:19" x14ac:dyDescent="0.25">
      <c r="O137" s="12" t="s">
        <v>245</v>
      </c>
      <c r="P137" s="258" t="e">
        <f>+J45</f>
        <v>#REF!</v>
      </c>
    </row>
    <row r="138" spans="9:19" x14ac:dyDescent="0.25">
      <c r="O138" s="12" t="s">
        <v>246</v>
      </c>
      <c r="P138" s="123">
        <f>+G50</f>
        <v>0</v>
      </c>
    </row>
    <row r="139" spans="9:19" x14ac:dyDescent="0.25">
      <c r="O139" s="12" t="s">
        <v>247</v>
      </c>
      <c r="P139" s="123">
        <f>+G51</f>
        <v>0</v>
      </c>
    </row>
    <row r="140" spans="9:19" x14ac:dyDescent="0.25">
      <c r="O140" s="12" t="s">
        <v>248</v>
      </c>
      <c r="P140" s="123">
        <f>+G52</f>
        <v>0</v>
      </c>
    </row>
    <row r="141" spans="9:19" x14ac:dyDescent="0.25">
      <c r="O141" s="12" t="s">
        <v>249</v>
      </c>
      <c r="P141" s="258">
        <f>+G113-J112</f>
        <v>0</v>
      </c>
    </row>
    <row r="142" spans="9:19" x14ac:dyDescent="0.25">
      <c r="O142" s="12" t="s">
        <v>250</v>
      </c>
      <c r="P142" s="123" t="s">
        <v>39</v>
      </c>
    </row>
    <row r="143" spans="9:19" x14ac:dyDescent="0.25">
      <c r="O143" s="12" t="s">
        <v>335</v>
      </c>
      <c r="P143" s="265" t="e">
        <f>-J116</f>
        <v>#REF!</v>
      </c>
    </row>
    <row r="144" spans="9:19" x14ac:dyDescent="0.25">
      <c r="O144" s="12" t="s">
        <v>252</v>
      </c>
      <c r="P144" s="123" t="s">
        <v>39</v>
      </c>
    </row>
    <row r="145" spans="15:16" x14ac:dyDescent="0.25">
      <c r="O145" s="12" t="s">
        <v>253</v>
      </c>
      <c r="P145" s="123" t="s">
        <v>39</v>
      </c>
    </row>
    <row r="146" spans="15:16" x14ac:dyDescent="0.25">
      <c r="O146" s="12" t="s">
        <v>254</v>
      </c>
      <c r="P146" s="123" t="s">
        <v>39</v>
      </c>
    </row>
    <row r="147" spans="15:16" x14ac:dyDescent="0.25">
      <c r="O147" s="12" t="s">
        <v>255</v>
      </c>
      <c r="P147" s="123" t="s">
        <v>39</v>
      </c>
    </row>
    <row r="148" spans="15:16" x14ac:dyDescent="0.25">
      <c r="O148" s="12" t="s">
        <v>256</v>
      </c>
      <c r="P148" s="123" t="s">
        <v>39</v>
      </c>
    </row>
    <row r="149" spans="15:16" x14ac:dyDescent="0.25">
      <c r="O149" s="12" t="s">
        <v>257</v>
      </c>
      <c r="P149" s="258">
        <f>-J114</f>
        <v>0</v>
      </c>
    </row>
    <row r="150" spans="15:16" x14ac:dyDescent="0.25">
      <c r="O150" s="12" t="s">
        <v>258</v>
      </c>
      <c r="P150" s="258">
        <f>-J115</f>
        <v>0</v>
      </c>
    </row>
    <row r="151" spans="15:16" x14ac:dyDescent="0.25">
      <c r="O151" s="12" t="s">
        <v>259</v>
      </c>
      <c r="P151" s="123" t="s">
        <v>39</v>
      </c>
    </row>
    <row r="152" spans="15:16" x14ac:dyDescent="0.25">
      <c r="O152" s="12" t="s">
        <v>260</v>
      </c>
      <c r="P152" s="258">
        <f>-J111</f>
        <v>0</v>
      </c>
    </row>
    <row r="153" spans="15:16" x14ac:dyDescent="0.25">
      <c r="O153" s="12" t="s">
        <v>261</v>
      </c>
      <c r="P153" s="258">
        <f>-J117</f>
        <v>0</v>
      </c>
    </row>
    <row r="154" spans="15:16" x14ac:dyDescent="0.25">
      <c r="O154" s="12" t="s">
        <v>262</v>
      </c>
      <c r="P154" s="258">
        <f>-J113</f>
        <v>0</v>
      </c>
    </row>
    <row r="155" spans="15:16" x14ac:dyDescent="0.25">
      <c r="O155" s="12" t="s">
        <v>263</v>
      </c>
      <c r="P155" s="123" t="s">
        <v>39</v>
      </c>
    </row>
    <row r="156" spans="15:16" x14ac:dyDescent="0.25">
      <c r="O156" s="12" t="s">
        <v>264</v>
      </c>
      <c r="P156" s="123" t="s">
        <v>39</v>
      </c>
    </row>
    <row r="157" spans="15:16" x14ac:dyDescent="0.25">
      <c r="O157" s="12" t="s">
        <v>265</v>
      </c>
      <c r="P157" s="123" t="s">
        <v>39</v>
      </c>
    </row>
    <row r="158" spans="15:16" x14ac:dyDescent="0.25">
      <c r="O158" s="12" t="s">
        <v>266</v>
      </c>
      <c r="P158" s="123" t="s">
        <v>39</v>
      </c>
    </row>
    <row r="159" spans="15:16" ht="13" x14ac:dyDescent="0.3">
      <c r="O159" s="11" t="s">
        <v>267</v>
      </c>
      <c r="P159" s="164" t="e">
        <f>SUM(P135:P158)</f>
        <v>#REF!</v>
      </c>
    </row>
  </sheetData>
  <mergeCells count="2">
    <mergeCell ref="F88:G88"/>
    <mergeCell ref="O133:Q133"/>
  </mergeCells>
  <phoneticPr fontId="0" type="noConversion"/>
  <pageMargins left="0.74791666666666667" right="0.74791666666666667" top="0.98402777777777772" bottom="0.98402777777777772" header="0.51180555555555551" footer="0.51180555555555551"/>
  <pageSetup paperSize="9" scale="75" firstPageNumber="0" orientation="portrait" horizontalDpi="300" verticalDpi="300"/>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9">
    <pageSetUpPr fitToPage="1"/>
  </sheetPr>
  <dimension ref="A3:K34"/>
  <sheetViews>
    <sheetView zoomScale="80" zoomScaleNormal="80" zoomScalePageLayoutView="80" workbookViewId="0"/>
  </sheetViews>
  <sheetFormatPr baseColWidth="10" defaultColWidth="11.36328125" defaultRowHeight="12.5" x14ac:dyDescent="0.25"/>
  <cols>
    <col min="1" max="1" width="33.81640625" style="10" customWidth="1"/>
    <col min="2" max="2" width="18.26953125" style="10" customWidth="1"/>
    <col min="3" max="3" width="5.36328125" style="10" customWidth="1"/>
    <col min="4" max="4" width="26.36328125" style="10" customWidth="1"/>
    <col min="5" max="5" width="11.36328125" style="10"/>
    <col min="6" max="6" width="6.36328125" style="10" customWidth="1"/>
    <col min="7" max="16384" width="11.36328125" style="10"/>
  </cols>
  <sheetData>
    <row r="3" spans="1:5" ht="13" x14ac:dyDescent="0.3">
      <c r="A3" s="3" t="s">
        <v>288</v>
      </c>
      <c r="B3"/>
    </row>
    <row r="4" spans="1:5" x14ac:dyDescent="0.25">
      <c r="A4"/>
      <c r="B4"/>
    </row>
    <row r="5" spans="1:5" ht="26.25" customHeight="1" x14ac:dyDescent="0.25">
      <c r="A5" s="1136" t="s">
        <v>289</v>
      </c>
      <c r="B5" s="1136"/>
    </row>
    <row r="7" spans="1:5" ht="13.5" thickBot="1" x14ac:dyDescent="0.35">
      <c r="A7" s="270" t="s">
        <v>59</v>
      </c>
      <c r="B7" s="271">
        <f>+'3 Regla despesa'!C4</f>
        <v>2025</v>
      </c>
    </row>
    <row r="8" spans="1:5" x14ac:dyDescent="0.25">
      <c r="A8" s="272" t="s">
        <v>310</v>
      </c>
      <c r="B8" s="273"/>
    </row>
    <row r="9" spans="1:5" x14ac:dyDescent="0.25">
      <c r="A9" s="274" t="s">
        <v>311</v>
      </c>
      <c r="B9" s="273"/>
    </row>
    <row r="10" spans="1:5" x14ac:dyDescent="0.25">
      <c r="A10" s="274" t="s">
        <v>312</v>
      </c>
      <c r="B10" s="273"/>
      <c r="C10" s="10" t="s">
        <v>48</v>
      </c>
    </row>
    <row r="11" spans="1:5" x14ac:dyDescent="0.25">
      <c r="A11" s="274" t="s">
        <v>313</v>
      </c>
      <c r="B11" s="273"/>
    </row>
    <row r="12" spans="1:5" ht="13" thickBot="1" x14ac:dyDescent="0.3">
      <c r="A12" s="275" t="s">
        <v>314</v>
      </c>
      <c r="B12" s="273"/>
    </row>
    <row r="13" spans="1:5" ht="13.5" thickBot="1" x14ac:dyDescent="0.35">
      <c r="A13" s="276" t="s">
        <v>315</v>
      </c>
      <c r="B13" s="277">
        <f>SUM(B8:B12)</f>
        <v>0</v>
      </c>
    </row>
    <row r="15" spans="1:5" ht="13" x14ac:dyDescent="0.3">
      <c r="D15" s="3" t="s">
        <v>316</v>
      </c>
      <c r="E15"/>
    </row>
    <row r="16" spans="1:5" ht="13" thickBot="1" x14ac:dyDescent="0.3">
      <c r="D16" s="278"/>
      <c r="E16" s="278"/>
    </row>
    <row r="17" spans="2:11" ht="13.5" thickBot="1" x14ac:dyDescent="0.35">
      <c r="D17" s="279" t="s">
        <v>317</v>
      </c>
      <c r="E17" s="280">
        <v>2014</v>
      </c>
      <c r="G17" s="343"/>
    </row>
    <row r="18" spans="2:11" x14ac:dyDescent="0.25">
      <c r="D18" s="281" t="s">
        <v>318</v>
      </c>
      <c r="E18" s="282"/>
    </row>
    <row r="19" spans="2:11" ht="13" x14ac:dyDescent="0.3">
      <c r="B19" s="283"/>
      <c r="D19" s="274" t="s">
        <v>319</v>
      </c>
      <c r="E19" s="282"/>
    </row>
    <row r="20" spans="2:11" x14ac:dyDescent="0.25">
      <c r="D20" s="274" t="s">
        <v>320</v>
      </c>
      <c r="E20" s="282"/>
    </row>
    <row r="21" spans="2:11" x14ac:dyDescent="0.25">
      <c r="D21" s="274" t="s">
        <v>274</v>
      </c>
      <c r="E21" s="282"/>
    </row>
    <row r="22" spans="2:11" ht="13" thickBot="1" x14ac:dyDescent="0.3">
      <c r="D22" s="275" t="s">
        <v>321</v>
      </c>
      <c r="E22" s="282"/>
    </row>
    <row r="23" spans="2:11" ht="26.5" thickBot="1" x14ac:dyDescent="0.35">
      <c r="D23" s="284" t="s">
        <v>322</v>
      </c>
      <c r="E23" s="285">
        <f>E18+E19+E20+E21+E22</f>
        <v>0</v>
      </c>
    </row>
    <row r="24" spans="2:11" x14ac:dyDescent="0.25">
      <c r="D24" s="286" t="s">
        <v>176</v>
      </c>
      <c r="E24" s="287"/>
    </row>
    <row r="25" spans="2:11" x14ac:dyDescent="0.25">
      <c r="D25" s="288" t="s">
        <v>175</v>
      </c>
      <c r="E25" s="289"/>
    </row>
    <row r="26" spans="2:11" ht="13" thickBot="1" x14ac:dyDescent="0.3">
      <c r="D26" s="290" t="s">
        <v>323</v>
      </c>
      <c r="E26" s="291"/>
    </row>
    <row r="27" spans="2:11" ht="27.75" customHeight="1" thickBot="1" x14ac:dyDescent="0.35">
      <c r="D27" s="284" t="s">
        <v>324</v>
      </c>
      <c r="E27" s="292">
        <f>+E23-E24-E25-E26</f>
        <v>0</v>
      </c>
    </row>
    <row r="29" spans="2:11" ht="13" x14ac:dyDescent="0.3">
      <c r="G29" s="3" t="s">
        <v>325</v>
      </c>
      <c r="H29"/>
      <c r="I29"/>
      <c r="J29"/>
      <c r="K29"/>
    </row>
    <row r="30" spans="2:11" ht="13" thickBot="1" x14ac:dyDescent="0.3">
      <c r="G30"/>
      <c r="H30"/>
    </row>
    <row r="31" spans="2:11" ht="13.5" thickBot="1" x14ac:dyDescent="0.35">
      <c r="G31"/>
      <c r="H31" s="293">
        <v>42369</v>
      </c>
    </row>
    <row r="32" spans="2:11" x14ac:dyDescent="0.25">
      <c r="G32" s="286" t="s">
        <v>326</v>
      </c>
      <c r="H32" s="294">
        <f>+B13</f>
        <v>0</v>
      </c>
    </row>
    <row r="33" spans="7:8" ht="38" thickBot="1" x14ac:dyDescent="0.3">
      <c r="G33" s="295" t="s">
        <v>324</v>
      </c>
      <c r="H33" s="296">
        <f>+E27</f>
        <v>0</v>
      </c>
    </row>
    <row r="34" spans="7:8" ht="26.5" thickBot="1" x14ac:dyDescent="0.35">
      <c r="G34" s="297" t="s">
        <v>327</v>
      </c>
      <c r="H34" s="298" t="e">
        <f>+H32/H33</f>
        <v>#DIV/0!</v>
      </c>
    </row>
  </sheetData>
  <mergeCells count="1">
    <mergeCell ref="A5:B5"/>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
    <pageSetUpPr fitToPage="1"/>
  </sheetPr>
  <dimension ref="A3:J88"/>
  <sheetViews>
    <sheetView workbookViewId="0">
      <selection activeCell="D2" sqref="D2"/>
    </sheetView>
  </sheetViews>
  <sheetFormatPr baseColWidth="10" defaultColWidth="11.36328125" defaultRowHeight="12.5" x14ac:dyDescent="0.25"/>
  <cols>
    <col min="1" max="1" width="13.26953125" style="388" customWidth="1"/>
    <col min="2" max="2" width="13.36328125" style="388" bestFit="1" customWidth="1"/>
    <col min="3" max="3" width="24.36328125" style="388" customWidth="1"/>
    <col min="4" max="4" width="8.36328125" style="388" customWidth="1"/>
    <col min="5" max="5" width="0" style="388" hidden="1" customWidth="1"/>
    <col min="6" max="6" width="15" style="388" customWidth="1"/>
    <col min="7" max="7" width="19.08984375" style="388" customWidth="1"/>
    <col min="8" max="8" width="11.36328125" style="388"/>
    <col min="9" max="10" width="11.7265625" style="388" bestFit="1" customWidth="1"/>
    <col min="11" max="16384" width="11.36328125" style="388"/>
  </cols>
  <sheetData>
    <row r="3" spans="1:7" ht="13" x14ac:dyDescent="0.25">
      <c r="A3" s="387" t="s">
        <v>304</v>
      </c>
    </row>
    <row r="6" spans="1:7" ht="13" x14ac:dyDescent="0.25">
      <c r="A6" s="387" t="s">
        <v>290</v>
      </c>
    </row>
    <row r="8" spans="1:7" ht="27" customHeight="1" x14ac:dyDescent="0.25">
      <c r="A8" s="1159" t="s">
        <v>301</v>
      </c>
      <c r="B8" s="1159"/>
      <c r="C8" s="1159"/>
      <c r="D8" s="1159"/>
      <c r="E8" s="1159"/>
      <c r="F8" s="1159"/>
      <c r="G8" s="1159"/>
    </row>
    <row r="10" spans="1:7" ht="25.5" customHeight="1" x14ac:dyDescent="0.25">
      <c r="A10" s="1158" t="s">
        <v>305</v>
      </c>
      <c r="B10" s="1158"/>
      <c r="C10" s="1158"/>
      <c r="D10" s="1158"/>
      <c r="E10" s="1158"/>
      <c r="F10" s="1158"/>
      <c r="G10" s="1158"/>
    </row>
    <row r="14" spans="1:7" ht="13" x14ac:dyDescent="0.25">
      <c r="A14" s="387" t="s">
        <v>306</v>
      </c>
      <c r="B14" s="389">
        <f>+'3 Regla despesa'!C4</f>
        <v>2025</v>
      </c>
      <c r="C14" s="390"/>
    </row>
    <row r="16" spans="1:7" x14ac:dyDescent="0.25">
      <c r="A16" s="391" t="s">
        <v>291</v>
      </c>
    </row>
    <row r="18" spans="2:7" ht="25.5" customHeight="1" x14ac:dyDescent="0.25">
      <c r="B18" s="372" t="s">
        <v>292</v>
      </c>
      <c r="C18" s="386" t="s">
        <v>307</v>
      </c>
      <c r="D18" s="373"/>
      <c r="E18" s="374"/>
      <c r="F18" s="372" t="s">
        <v>292</v>
      </c>
      <c r="G18" s="386" t="s">
        <v>308</v>
      </c>
    </row>
    <row r="19" spans="2:7" ht="12.75" customHeight="1" x14ac:dyDescent="0.25">
      <c r="B19" s="392" t="s">
        <v>318</v>
      </c>
      <c r="C19" s="393"/>
      <c r="D19" s="373"/>
      <c r="E19" s="374"/>
      <c r="F19" s="392" t="s">
        <v>318</v>
      </c>
      <c r="G19" s="394"/>
    </row>
    <row r="20" spans="2:7" ht="12.75" customHeight="1" x14ac:dyDescent="0.25">
      <c r="B20" s="392" t="s">
        <v>319</v>
      </c>
      <c r="C20" s="393"/>
      <c r="D20" s="373"/>
      <c r="E20" s="374"/>
      <c r="F20" s="392" t="s">
        <v>319</v>
      </c>
      <c r="G20" s="394"/>
    </row>
    <row r="21" spans="2:7" ht="12.75" customHeight="1" x14ac:dyDescent="0.25">
      <c r="B21" s="392" t="s">
        <v>320</v>
      </c>
      <c r="C21" s="395"/>
      <c r="D21" s="373"/>
      <c r="E21" s="374"/>
      <c r="F21" s="392" t="s">
        <v>320</v>
      </c>
      <c r="G21" s="395"/>
    </row>
    <row r="22" spans="2:7" ht="12.75" customHeight="1" x14ac:dyDescent="0.25">
      <c r="B22" s="392" t="s">
        <v>274</v>
      </c>
      <c r="C22" s="395"/>
      <c r="D22" s="373"/>
      <c r="E22" s="374"/>
      <c r="F22" s="392" t="s">
        <v>274</v>
      </c>
      <c r="G22" s="395"/>
    </row>
    <row r="23" spans="2:7" ht="12.75" customHeight="1" x14ac:dyDescent="0.25">
      <c r="B23" s="392" t="s">
        <v>321</v>
      </c>
      <c r="C23" s="395"/>
      <c r="D23" s="373"/>
      <c r="E23" s="374"/>
      <c r="F23" s="392" t="s">
        <v>321</v>
      </c>
      <c r="G23" s="395"/>
    </row>
    <row r="24" spans="2:7" ht="12.75" customHeight="1" x14ac:dyDescent="0.25">
      <c r="B24" s="392" t="s">
        <v>293</v>
      </c>
      <c r="C24" s="395"/>
      <c r="D24" s="373"/>
      <c r="E24" s="374"/>
      <c r="F24" s="392" t="s">
        <v>293</v>
      </c>
      <c r="G24" s="395"/>
    </row>
    <row r="25" spans="2:7" ht="12.75" customHeight="1" x14ac:dyDescent="0.25">
      <c r="B25" s="392" t="s">
        <v>276</v>
      </c>
      <c r="C25" s="395"/>
      <c r="D25" s="373"/>
      <c r="E25" s="374"/>
      <c r="F25" s="392" t="s">
        <v>276</v>
      </c>
      <c r="G25" s="395"/>
    </row>
    <row r="26" spans="2:7" ht="12.75" customHeight="1" x14ac:dyDescent="0.25">
      <c r="B26" s="392" t="s">
        <v>294</v>
      </c>
      <c r="C26" s="395"/>
      <c r="D26" s="373"/>
      <c r="E26" s="374"/>
      <c r="F26" s="392" t="s">
        <v>294</v>
      </c>
      <c r="G26" s="395"/>
    </row>
    <row r="27" spans="2:7" ht="12.75" customHeight="1" x14ac:dyDescent="0.25">
      <c r="B27" s="392" t="s">
        <v>295</v>
      </c>
      <c r="C27" s="395"/>
      <c r="D27" s="373"/>
      <c r="E27" s="374"/>
      <c r="F27" s="392" t="s">
        <v>295</v>
      </c>
      <c r="G27" s="395"/>
    </row>
    <row r="28" spans="2:7" ht="12.75" customHeight="1" x14ac:dyDescent="0.25">
      <c r="B28" s="396" t="s">
        <v>124</v>
      </c>
      <c r="C28" s="397">
        <f>SUM(C19:C27)</f>
        <v>0</v>
      </c>
      <c r="D28" s="373"/>
      <c r="E28" s="374"/>
      <c r="F28" s="396" t="s">
        <v>124</v>
      </c>
      <c r="G28" s="397">
        <f>SUM(G19:G27)</f>
        <v>0</v>
      </c>
    </row>
    <row r="29" spans="2:7" ht="12.75" customHeight="1" x14ac:dyDescent="0.25">
      <c r="D29" s="398"/>
      <c r="E29" s="399"/>
      <c r="F29" s="398"/>
      <c r="G29" s="398"/>
    </row>
    <row r="30" spans="2:7" ht="12.75" customHeight="1" x14ac:dyDescent="0.25">
      <c r="B30" s="391" t="s">
        <v>296</v>
      </c>
      <c r="D30" s="398"/>
      <c r="E30" s="399"/>
      <c r="F30" s="398"/>
      <c r="G30" s="398"/>
    </row>
    <row r="31" spans="2:7" ht="12.75" customHeight="1" x14ac:dyDescent="0.25">
      <c r="B31" s="400"/>
      <c r="C31" s="401" t="s">
        <v>40</v>
      </c>
      <c r="D31" s="398"/>
      <c r="E31" s="399"/>
      <c r="F31" s="398"/>
      <c r="G31" s="417"/>
    </row>
    <row r="32" spans="2:7" ht="12.75" customHeight="1" x14ac:dyDescent="0.25">
      <c r="B32" s="400"/>
      <c r="C32" s="401" t="s">
        <v>41</v>
      </c>
      <c r="D32" s="398"/>
      <c r="E32" s="399"/>
      <c r="F32" s="398"/>
      <c r="G32" s="417"/>
    </row>
    <row r="33" spans="2:7" ht="12.75" customHeight="1" x14ac:dyDescent="0.25">
      <c r="B33" s="400"/>
      <c r="C33" s="401" t="s">
        <v>46</v>
      </c>
      <c r="D33" s="398"/>
      <c r="E33" s="399"/>
      <c r="F33" s="398"/>
      <c r="G33" s="417"/>
    </row>
    <row r="34" spans="2:7" ht="12.75" customHeight="1" x14ac:dyDescent="0.25">
      <c r="D34" s="398"/>
      <c r="E34" s="399"/>
      <c r="F34" s="398"/>
      <c r="G34" s="398"/>
    </row>
    <row r="35" spans="2:7" ht="26" x14ac:dyDescent="0.25">
      <c r="B35" s="372" t="s">
        <v>297</v>
      </c>
      <c r="C35" s="386" t="s">
        <v>307</v>
      </c>
      <c r="D35" s="373"/>
      <c r="E35" s="374"/>
      <c r="F35" s="372" t="s">
        <v>297</v>
      </c>
      <c r="G35" s="386" t="s">
        <v>308</v>
      </c>
    </row>
    <row r="36" spans="2:7" ht="12.75" customHeight="1" x14ac:dyDescent="0.25">
      <c r="B36" s="392" t="s">
        <v>318</v>
      </c>
      <c r="C36" s="393"/>
      <c r="D36" s="373"/>
      <c r="E36" s="374"/>
      <c r="F36" s="392" t="s">
        <v>318</v>
      </c>
      <c r="G36" s="394"/>
    </row>
    <row r="37" spans="2:7" ht="12.75" customHeight="1" x14ac:dyDescent="0.25">
      <c r="B37" s="392" t="s">
        <v>319</v>
      </c>
      <c r="C37" s="393"/>
      <c r="D37" s="373"/>
      <c r="E37" s="374"/>
      <c r="F37" s="392" t="s">
        <v>319</v>
      </c>
      <c r="G37" s="394"/>
    </row>
    <row r="38" spans="2:7" ht="12.75" customHeight="1" x14ac:dyDescent="0.25">
      <c r="B38" s="392" t="s">
        <v>320</v>
      </c>
      <c r="C38" s="395"/>
      <c r="D38" s="373"/>
      <c r="E38" s="374"/>
      <c r="F38" s="392" t="s">
        <v>320</v>
      </c>
      <c r="G38" s="395"/>
    </row>
    <row r="39" spans="2:7" ht="12.75" customHeight="1" x14ac:dyDescent="0.25">
      <c r="B39" s="392" t="s">
        <v>274</v>
      </c>
      <c r="C39" s="395"/>
      <c r="D39" s="373"/>
      <c r="E39" s="374"/>
      <c r="F39" s="392" t="s">
        <v>274</v>
      </c>
      <c r="G39" s="395"/>
    </row>
    <row r="40" spans="2:7" ht="12.75" customHeight="1" x14ac:dyDescent="0.25">
      <c r="B40" s="392" t="s">
        <v>321</v>
      </c>
      <c r="C40" s="395"/>
      <c r="D40" s="373"/>
      <c r="E40" s="374"/>
      <c r="F40" s="392" t="s">
        <v>321</v>
      </c>
      <c r="G40" s="395"/>
    </row>
    <row r="41" spans="2:7" ht="12.75" customHeight="1" x14ac:dyDescent="0.25">
      <c r="B41" s="392" t="s">
        <v>293</v>
      </c>
      <c r="C41" s="395"/>
      <c r="D41" s="373"/>
      <c r="E41" s="374"/>
      <c r="F41" s="392" t="s">
        <v>293</v>
      </c>
      <c r="G41" s="395"/>
    </row>
    <row r="42" spans="2:7" ht="12.75" customHeight="1" x14ac:dyDescent="0.25">
      <c r="B42" s="392" t="s">
        <v>276</v>
      </c>
      <c r="C42" s="395"/>
      <c r="D42" s="373"/>
      <c r="E42" s="374"/>
      <c r="F42" s="392" t="s">
        <v>276</v>
      </c>
      <c r="G42" s="395"/>
    </row>
    <row r="43" spans="2:7" ht="12.75" customHeight="1" x14ac:dyDescent="0.25">
      <c r="B43" s="392" t="s">
        <v>294</v>
      </c>
      <c r="C43" s="395"/>
      <c r="D43" s="373"/>
      <c r="E43" s="374"/>
      <c r="F43" s="392" t="s">
        <v>294</v>
      </c>
      <c r="G43" s="395"/>
    </row>
    <row r="44" spans="2:7" ht="12.75" customHeight="1" x14ac:dyDescent="0.25">
      <c r="B44" s="392" t="s">
        <v>295</v>
      </c>
      <c r="C44" s="395"/>
      <c r="D44" s="373"/>
      <c r="E44" s="374"/>
      <c r="F44" s="392" t="s">
        <v>295</v>
      </c>
      <c r="G44" s="395"/>
    </row>
    <row r="45" spans="2:7" ht="12.75" customHeight="1" x14ac:dyDescent="0.25">
      <c r="B45" s="396" t="s">
        <v>124</v>
      </c>
      <c r="C45" s="397">
        <f>SUM(C36:C44)</f>
        <v>0</v>
      </c>
      <c r="D45" s="373"/>
      <c r="E45" s="374"/>
      <c r="F45" s="396" t="s">
        <v>124</v>
      </c>
      <c r="G45" s="397">
        <f>SUM(G36:G44)</f>
        <v>0</v>
      </c>
    </row>
    <row r="46" spans="2:7" ht="12.75" customHeight="1" x14ac:dyDescent="0.25">
      <c r="B46" s="402"/>
      <c r="C46" s="403"/>
      <c r="D46" s="404"/>
      <c r="E46" s="405"/>
      <c r="F46" s="402"/>
    </row>
    <row r="47" spans="2:7" ht="12.75" customHeight="1" x14ac:dyDescent="0.25">
      <c r="D47" s="398"/>
      <c r="E47" s="399"/>
      <c r="F47" s="398"/>
      <c r="G47" s="398"/>
    </row>
    <row r="48" spans="2:7" ht="12.75" customHeight="1" x14ac:dyDescent="0.25">
      <c r="B48" s="391" t="s">
        <v>296</v>
      </c>
      <c r="D48" s="398"/>
      <c r="E48" s="399"/>
      <c r="F48" s="398"/>
      <c r="G48" s="398"/>
    </row>
    <row r="49" spans="1:9" ht="12.75" customHeight="1" x14ac:dyDescent="0.25">
      <c r="B49" s="400"/>
      <c r="C49" s="401" t="s">
        <v>40</v>
      </c>
      <c r="D49" s="398"/>
      <c r="E49" s="399"/>
      <c r="F49" s="398"/>
      <c r="G49" s="417"/>
    </row>
    <row r="50" spans="1:9" ht="12.75" customHeight="1" x14ac:dyDescent="0.25">
      <c r="B50" s="400"/>
      <c r="C50" s="401" t="s">
        <v>41</v>
      </c>
      <c r="D50" s="398"/>
      <c r="E50" s="399"/>
      <c r="F50" s="398"/>
      <c r="G50" s="398"/>
    </row>
    <row r="51" spans="1:9" ht="12.75" customHeight="1" x14ac:dyDescent="0.25">
      <c r="B51" s="400"/>
      <c r="C51" s="401" t="s">
        <v>46</v>
      </c>
      <c r="D51" s="398"/>
      <c r="E51" s="399"/>
      <c r="F51" s="398"/>
      <c r="G51" s="398"/>
    </row>
    <row r="52" spans="1:9" ht="12.75" customHeight="1" x14ac:dyDescent="0.25">
      <c r="B52" s="424"/>
      <c r="C52" s="401"/>
      <c r="D52" s="398"/>
      <c r="E52" s="398"/>
      <c r="F52" s="398"/>
      <c r="G52" s="398"/>
    </row>
    <row r="53" spans="1:9" ht="12.75" customHeight="1" x14ac:dyDescent="0.25">
      <c r="A53" s="391" t="s">
        <v>298</v>
      </c>
      <c r="D53" s="398"/>
      <c r="E53" s="399"/>
      <c r="F53" s="398"/>
      <c r="G53" s="398"/>
    </row>
    <row r="54" spans="1:9" ht="12.75" customHeight="1" x14ac:dyDescent="0.25">
      <c r="D54" s="398"/>
      <c r="E54" s="399"/>
      <c r="F54" s="398"/>
      <c r="G54" s="398"/>
    </row>
    <row r="55" spans="1:9" ht="26" x14ac:dyDescent="0.25">
      <c r="B55" s="406" t="s">
        <v>299</v>
      </c>
      <c r="C55" s="386" t="s">
        <v>307</v>
      </c>
      <c r="D55" s="392"/>
      <c r="E55" s="392"/>
      <c r="F55" s="406" t="s">
        <v>299</v>
      </c>
      <c r="G55" s="386" t="s">
        <v>308</v>
      </c>
    </row>
    <row r="56" spans="1:9" x14ac:dyDescent="0.25">
      <c r="B56" s="407" t="s">
        <v>318</v>
      </c>
      <c r="C56" s="395">
        <f>+RESUM_PRESSUPOST!E11</f>
        <v>107600</v>
      </c>
      <c r="D56" s="392"/>
      <c r="E56" s="392"/>
      <c r="F56" s="407" t="s">
        <v>318</v>
      </c>
      <c r="G56" s="395">
        <f>+RESUM_PRESSUPOST!E27</f>
        <v>155889</v>
      </c>
    </row>
    <row r="57" spans="1:9" x14ac:dyDescent="0.25">
      <c r="B57" s="407" t="s">
        <v>319</v>
      </c>
      <c r="C57" s="395">
        <f>+RESUM_PRESSUPOST!E12</f>
        <v>5000</v>
      </c>
      <c r="D57" s="392"/>
      <c r="E57" s="392"/>
      <c r="F57" s="407" t="s">
        <v>319</v>
      </c>
      <c r="G57" s="395">
        <f>+RESUM_PRESSUPOST!E28</f>
        <v>274514</v>
      </c>
    </row>
    <row r="58" spans="1:9" x14ac:dyDescent="0.25">
      <c r="B58" s="407" t="s">
        <v>320</v>
      </c>
      <c r="C58" s="395">
        <f>+RESUM_PRESSUPOST!E13</f>
        <v>174842</v>
      </c>
      <c r="D58" s="392"/>
      <c r="E58" s="392"/>
      <c r="F58" s="407" t="s">
        <v>320</v>
      </c>
      <c r="G58" s="395">
        <f>+RESUM_PRESSUPOST!E29</f>
        <v>11000</v>
      </c>
    </row>
    <row r="59" spans="1:9" x14ac:dyDescent="0.25">
      <c r="B59" s="407" t="s">
        <v>274</v>
      </c>
      <c r="C59" s="395">
        <f>+RESUM_PRESSUPOST!E14</f>
        <v>174621</v>
      </c>
      <c r="D59" s="392"/>
      <c r="E59" s="392"/>
      <c r="F59" s="407" t="s">
        <v>274</v>
      </c>
      <c r="G59" s="395">
        <f>+RESUM_PRESSUPOST!E30</f>
        <v>5100</v>
      </c>
    </row>
    <row r="60" spans="1:9" x14ac:dyDescent="0.25">
      <c r="B60" s="407" t="s">
        <v>321</v>
      </c>
      <c r="C60" s="395">
        <f>+RESUM_PRESSUPOST!E15</f>
        <v>14000</v>
      </c>
      <c r="D60" s="392"/>
      <c r="E60" s="392"/>
      <c r="F60" s="407" t="s">
        <v>321</v>
      </c>
      <c r="G60" s="395">
        <f>+RESUM_PRESSUPOST!E31</f>
        <v>500</v>
      </c>
    </row>
    <row r="61" spans="1:9" x14ac:dyDescent="0.25">
      <c r="B61" s="407" t="s">
        <v>293</v>
      </c>
      <c r="C61" s="395">
        <f>+RESUM_PRESSUPOST!E16</f>
        <v>0</v>
      </c>
      <c r="D61" s="392"/>
      <c r="E61" s="392"/>
      <c r="F61" s="407" t="s">
        <v>293</v>
      </c>
      <c r="G61" s="395">
        <f>+RESUM_PRESSUPOST!E32</f>
        <v>157890</v>
      </c>
    </row>
    <row r="62" spans="1:9" x14ac:dyDescent="0.25">
      <c r="B62" s="407" t="s">
        <v>276</v>
      </c>
      <c r="C62" s="395">
        <f>+RESUM_PRESSUPOST!E17</f>
        <v>151330</v>
      </c>
      <c r="D62" s="392"/>
      <c r="E62" s="392"/>
      <c r="F62" s="407" t="s">
        <v>276</v>
      </c>
      <c r="G62" s="395">
        <f>+RESUM_PRESSUPOST!E33</f>
        <v>0</v>
      </c>
      <c r="I62" s="408"/>
    </row>
    <row r="63" spans="1:9" x14ac:dyDescent="0.25">
      <c r="B63" s="407" t="s">
        <v>294</v>
      </c>
      <c r="C63" s="395">
        <f>+RESUM_PRESSUPOST!E18</f>
        <v>0</v>
      </c>
      <c r="D63" s="392"/>
      <c r="E63" s="392"/>
      <c r="F63" s="407" t="s">
        <v>294</v>
      </c>
      <c r="G63" s="394">
        <f>+RESUM_PRESSUPOST!E34</f>
        <v>0</v>
      </c>
    </row>
    <row r="64" spans="1:9" x14ac:dyDescent="0.25">
      <c r="B64" s="407" t="s">
        <v>295</v>
      </c>
      <c r="C64" s="395">
        <f>+RESUM_PRESSUPOST!E19</f>
        <v>0</v>
      </c>
      <c r="D64" s="392"/>
      <c r="E64" s="392"/>
      <c r="F64" s="407" t="s">
        <v>295</v>
      </c>
      <c r="G64" s="395">
        <f>+RESUM_PRESSUPOST!E35</f>
        <v>22500</v>
      </c>
    </row>
    <row r="65" spans="1:10" ht="13" x14ac:dyDescent="0.25">
      <c r="B65" s="396" t="s">
        <v>124</v>
      </c>
      <c r="C65" s="397">
        <f>SUM(C56:C64)</f>
        <v>627393</v>
      </c>
      <c r="D65" s="392"/>
      <c r="E65" s="392"/>
      <c r="F65" s="396" t="s">
        <v>124</v>
      </c>
      <c r="G65" s="397">
        <f>SUM(G56:G64)</f>
        <v>627393</v>
      </c>
    </row>
    <row r="66" spans="1:10" x14ac:dyDescent="0.25">
      <c r="C66" s="409"/>
    </row>
    <row r="67" spans="1:10" ht="13" x14ac:dyDescent="0.25">
      <c r="B67" s="400"/>
      <c r="C67" s="401" t="s">
        <v>46</v>
      </c>
      <c r="J67" s="408"/>
    </row>
    <row r="68" spans="1:10" ht="13" x14ac:dyDescent="0.25">
      <c r="B68" s="424"/>
      <c r="C68" s="401"/>
      <c r="J68" s="408"/>
    </row>
    <row r="69" spans="1:10" x14ac:dyDescent="0.25">
      <c r="A69" s="391" t="s">
        <v>309</v>
      </c>
      <c r="J69" s="408"/>
    </row>
    <row r="70" spans="1:10" x14ac:dyDescent="0.25">
      <c r="J70" s="408"/>
    </row>
    <row r="71" spans="1:10" ht="26" x14ac:dyDescent="0.25">
      <c r="B71" s="406" t="s">
        <v>300</v>
      </c>
      <c r="C71" s="386" t="s">
        <v>307</v>
      </c>
      <c r="D71" s="392"/>
      <c r="E71" s="392"/>
      <c r="F71" s="406" t="s">
        <v>300</v>
      </c>
      <c r="G71" s="386" t="s">
        <v>308</v>
      </c>
    </row>
    <row r="72" spans="1:10" x14ac:dyDescent="0.25">
      <c r="B72" s="407" t="s">
        <v>318</v>
      </c>
      <c r="C72" s="410">
        <f>+C19+C36+C56</f>
        <v>107600</v>
      </c>
      <c r="D72" s="392"/>
      <c r="E72" s="392"/>
      <c r="F72" s="407" t="s">
        <v>318</v>
      </c>
      <c r="G72" s="410">
        <f>+G19+G36+G56</f>
        <v>155889</v>
      </c>
      <c r="I72" s="408"/>
    </row>
    <row r="73" spans="1:10" x14ac:dyDescent="0.25">
      <c r="B73" s="407" t="s">
        <v>319</v>
      </c>
      <c r="C73" s="410">
        <f>+C20+C37+C57</f>
        <v>5000</v>
      </c>
      <c r="D73" s="392"/>
      <c r="E73" s="392"/>
      <c r="F73" s="407" t="s">
        <v>319</v>
      </c>
      <c r="G73" s="410">
        <f>+G20+G37+G57</f>
        <v>274514</v>
      </c>
      <c r="I73" s="408"/>
    </row>
    <row r="74" spans="1:10" x14ac:dyDescent="0.25">
      <c r="B74" s="407" t="s">
        <v>320</v>
      </c>
      <c r="C74" s="410">
        <f>+C21+C38+C58</f>
        <v>174842</v>
      </c>
      <c r="D74" s="392"/>
      <c r="E74" s="392"/>
      <c r="F74" s="407" t="s">
        <v>320</v>
      </c>
      <c r="G74" s="410">
        <f>G21+G38+G58</f>
        <v>11000</v>
      </c>
    </row>
    <row r="75" spans="1:10" x14ac:dyDescent="0.25">
      <c r="B75" s="407" t="s">
        <v>274</v>
      </c>
      <c r="C75" s="410">
        <f>+C22+C39+C59-B31-B49</f>
        <v>174621</v>
      </c>
      <c r="D75" s="392"/>
      <c r="E75" s="392"/>
      <c r="F75" s="407" t="s">
        <v>274</v>
      </c>
      <c r="G75" s="410">
        <f>+G22+G39+G59-B31-B49</f>
        <v>5100</v>
      </c>
    </row>
    <row r="76" spans="1:10" x14ac:dyDescent="0.25">
      <c r="B76" s="407" t="s">
        <v>321</v>
      </c>
      <c r="C76" s="410">
        <f>+C23+C40+C60</f>
        <v>14000</v>
      </c>
      <c r="D76" s="392"/>
      <c r="E76" s="392"/>
      <c r="F76" s="407" t="s">
        <v>321</v>
      </c>
      <c r="G76" s="410">
        <f>G23+G40+G60</f>
        <v>500</v>
      </c>
    </row>
    <row r="77" spans="1:10" x14ac:dyDescent="0.25">
      <c r="B77" s="407" t="s">
        <v>293</v>
      </c>
      <c r="C77" s="410">
        <f>+C24+C41+C61</f>
        <v>0</v>
      </c>
      <c r="D77" s="392"/>
      <c r="E77" s="392"/>
      <c r="F77" s="407" t="s">
        <v>293</v>
      </c>
      <c r="G77" s="410">
        <f>+G24+G41+G61</f>
        <v>157890</v>
      </c>
    </row>
    <row r="78" spans="1:10" x14ac:dyDescent="0.25">
      <c r="B78" s="407" t="s">
        <v>276</v>
      </c>
      <c r="C78" s="410">
        <f>+C25+C42+C62-B50-B32</f>
        <v>151330</v>
      </c>
      <c r="D78" s="392"/>
      <c r="E78" s="392"/>
      <c r="F78" s="407" t="s">
        <v>276</v>
      </c>
      <c r="G78" s="410">
        <f>+G25+G42+G62-B50-B32</f>
        <v>0</v>
      </c>
    </row>
    <row r="79" spans="1:10" x14ac:dyDescent="0.25">
      <c r="B79" s="407" t="s">
        <v>294</v>
      </c>
      <c r="C79" s="410">
        <f>+C26+C43+C63</f>
        <v>0</v>
      </c>
      <c r="D79" s="392"/>
      <c r="E79" s="392"/>
      <c r="F79" s="407" t="s">
        <v>294</v>
      </c>
      <c r="G79" s="410">
        <f>+G26+G43+G63</f>
        <v>0</v>
      </c>
    </row>
    <row r="80" spans="1:10" ht="13" thickBot="1" x14ac:dyDescent="0.3">
      <c r="B80" s="411" t="s">
        <v>295</v>
      </c>
      <c r="C80" s="412">
        <f>+C27+C44+C64</f>
        <v>0</v>
      </c>
      <c r="D80" s="392"/>
      <c r="E80" s="392"/>
      <c r="F80" s="411" t="s">
        <v>295</v>
      </c>
      <c r="G80" s="412">
        <f>+G27+G44+G64</f>
        <v>22500</v>
      </c>
    </row>
    <row r="81" spans="2:9" ht="15.75" customHeight="1" thickBot="1" x14ac:dyDescent="0.3">
      <c r="B81" s="413" t="s">
        <v>124</v>
      </c>
      <c r="C81" s="414">
        <f>SUM(C72:C80)</f>
        <v>627393</v>
      </c>
      <c r="D81" s="415"/>
      <c r="E81" s="416"/>
      <c r="F81" s="413" t="s">
        <v>124</v>
      </c>
      <c r="G81" s="414">
        <f>SUM(G72:G80)</f>
        <v>627393</v>
      </c>
      <c r="I81" s="408"/>
    </row>
    <row r="82" spans="2:9" x14ac:dyDescent="0.25">
      <c r="I82" s="408"/>
    </row>
    <row r="83" spans="2:9" ht="13" thickBot="1" x14ac:dyDescent="0.3">
      <c r="C83" s="408"/>
    </row>
    <row r="84" spans="2:9" ht="13.5" thickBot="1" x14ac:dyDescent="0.3">
      <c r="C84" s="425" t="s">
        <v>47</v>
      </c>
    </row>
    <row r="85" spans="2:9" x14ac:dyDescent="0.25">
      <c r="B85" s="426" t="s">
        <v>42</v>
      </c>
      <c r="C85" s="434">
        <f>++C56+C57+C58+C59+C60-B67-G56-G57-G58-G59-G64</f>
        <v>7060</v>
      </c>
      <c r="F85" s="388" t="str">
        <f>+IF(C85&lt;0,"S'ha pressupostat incorrectament, aquest valor sempre ha de ser positiu"," ")</f>
        <v xml:space="preserve"> </v>
      </c>
    </row>
    <row r="86" spans="2:9" x14ac:dyDescent="0.25">
      <c r="B86" s="427" t="s">
        <v>43</v>
      </c>
      <c r="C86" s="435">
        <f>+C19+C20+C21+C22+C23-B33-G19-G20-G21-G22-G27</f>
        <v>0</v>
      </c>
      <c r="F86" s="388" t="str">
        <f>+IF(C86&lt;0,"S'ha pressupostat incorrectament, aquest valor sempre ha de ser positiu"," ")</f>
        <v xml:space="preserve"> </v>
      </c>
    </row>
    <row r="87" spans="2:9" x14ac:dyDescent="0.25">
      <c r="B87" s="427" t="s">
        <v>44</v>
      </c>
      <c r="C87" s="435">
        <f>+C36+C37+C38+C39+C40-B51-G36-G37-G38-G39-G44</f>
        <v>0</v>
      </c>
      <c r="F87" s="388" t="str">
        <f>+IF(C87&lt;0,"S'ha pressupostat incorrectament, aquest valor sempre ha de ser positiu"," ")</f>
        <v xml:space="preserve"> </v>
      </c>
    </row>
    <row r="88" spans="2:9" ht="13" thickBot="1" x14ac:dyDescent="0.3">
      <c r="B88" s="428" t="s">
        <v>45</v>
      </c>
      <c r="C88" s="436">
        <f>+C72+C73+C74+C75+C76-B67-B51-B33-G72-G73-G74-G75-G80</f>
        <v>7060</v>
      </c>
      <c r="F88" s="388" t="str">
        <f>+IF(C88&lt;0,"S'ha pressupostat incorrectament, aquest valor sempre ha de ser positiu"," ")</f>
        <v xml:space="preserve"> </v>
      </c>
    </row>
  </sheetData>
  <mergeCells count="2">
    <mergeCell ref="A10:G10"/>
    <mergeCell ref="A8:G8"/>
  </mergeCells>
  <phoneticPr fontId="4" type="noConversion"/>
  <printOptions horizontalCentered="1"/>
  <pageMargins left="0.75" right="0.75" top="1" bottom="1" header="0" footer="0"/>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2"/>
  <dimension ref="B3:J48"/>
  <sheetViews>
    <sheetView zoomScale="75" zoomScaleNormal="75" zoomScaleSheetLayoutView="100" zoomScalePageLayoutView="75" workbookViewId="0">
      <selection activeCell="M16" sqref="M16"/>
    </sheetView>
  </sheetViews>
  <sheetFormatPr baseColWidth="10" defaultColWidth="11.36328125" defaultRowHeight="12.5" x14ac:dyDescent="0.25"/>
  <cols>
    <col min="1" max="1" width="3.26953125" customWidth="1"/>
    <col min="2" max="2" width="4.08984375" customWidth="1"/>
    <col min="4" max="4" width="36.81640625" customWidth="1"/>
    <col min="5" max="5" width="14.81640625" customWidth="1"/>
    <col min="7" max="7" width="16.26953125" customWidth="1"/>
    <col min="8" max="8" width="23.36328125" customWidth="1"/>
    <col min="10" max="10" width="5.36328125" customWidth="1"/>
  </cols>
  <sheetData>
    <row r="3" spans="2:10" ht="15.5" x14ac:dyDescent="0.35">
      <c r="B3" s="486" t="s">
        <v>449</v>
      </c>
      <c r="C3" s="486"/>
    </row>
    <row r="5" spans="2:10" x14ac:dyDescent="0.25">
      <c r="B5" s="498"/>
      <c r="C5" s="497"/>
      <c r="D5" s="497"/>
      <c r="E5" s="497"/>
      <c r="F5" s="497"/>
      <c r="G5" s="497"/>
      <c r="H5" s="497"/>
      <c r="I5" s="497"/>
      <c r="J5" s="496"/>
    </row>
    <row r="6" spans="2:10" ht="13" x14ac:dyDescent="0.3">
      <c r="B6" s="491"/>
      <c r="C6" s="3" t="s">
        <v>448</v>
      </c>
      <c r="J6" s="490"/>
    </row>
    <row r="7" spans="2:10" ht="13" x14ac:dyDescent="0.3">
      <c r="B7" s="491"/>
      <c r="C7" s="3"/>
      <c r="J7" s="490"/>
    </row>
    <row r="8" spans="2:10" ht="13" x14ac:dyDescent="0.3">
      <c r="B8" s="491"/>
      <c r="C8" s="3" t="s">
        <v>166</v>
      </c>
      <c r="G8" s="3" t="s">
        <v>167</v>
      </c>
      <c r="J8" s="490"/>
    </row>
    <row r="9" spans="2:10" x14ac:dyDescent="0.25">
      <c r="B9" s="491"/>
      <c r="J9" s="490"/>
    </row>
    <row r="10" spans="2:10" ht="13" x14ac:dyDescent="0.3">
      <c r="B10" s="491"/>
      <c r="C10" s="450" t="s">
        <v>447</v>
      </c>
      <c r="D10" s="450" t="s">
        <v>446</v>
      </c>
      <c r="E10" s="450" t="s">
        <v>387</v>
      </c>
      <c r="G10" s="450" t="s">
        <v>447</v>
      </c>
      <c r="H10" s="450" t="s">
        <v>446</v>
      </c>
      <c r="I10" s="450" t="s">
        <v>387</v>
      </c>
      <c r="J10" s="490"/>
    </row>
    <row r="11" spans="2:10" x14ac:dyDescent="0.25">
      <c r="B11" s="491"/>
      <c r="C11" s="12"/>
      <c r="D11" s="12" t="s">
        <v>445</v>
      </c>
      <c r="E11" s="495">
        <v>0</v>
      </c>
      <c r="F11" s="10"/>
      <c r="G11" s="12"/>
      <c r="H11" s="12" t="s">
        <v>444</v>
      </c>
      <c r="I11" s="495">
        <v>0</v>
      </c>
      <c r="J11" s="490"/>
    </row>
    <row r="12" spans="2:10" x14ac:dyDescent="0.25">
      <c r="B12" s="491"/>
      <c r="C12" s="12"/>
      <c r="D12" s="12" t="s">
        <v>443</v>
      </c>
      <c r="E12" s="495">
        <v>0</v>
      </c>
      <c r="F12" s="10"/>
      <c r="G12" s="12"/>
      <c r="H12" s="12" t="s">
        <v>442</v>
      </c>
      <c r="I12" s="495">
        <v>0</v>
      </c>
      <c r="J12" s="490"/>
    </row>
    <row r="13" spans="2:10" x14ac:dyDescent="0.25">
      <c r="B13" s="491"/>
      <c r="C13" s="12"/>
      <c r="D13" s="12" t="s">
        <v>441</v>
      </c>
      <c r="E13" s="495">
        <v>0</v>
      </c>
      <c r="F13" s="10"/>
      <c r="G13" s="12"/>
      <c r="H13" s="12" t="s">
        <v>440</v>
      </c>
      <c r="I13" s="495">
        <v>0</v>
      </c>
      <c r="J13" s="490"/>
    </row>
    <row r="14" spans="2:10" x14ac:dyDescent="0.25">
      <c r="B14" s="491"/>
      <c r="C14" s="12"/>
      <c r="D14" s="12"/>
      <c r="E14" s="495"/>
      <c r="F14" s="10"/>
      <c r="G14" s="12"/>
      <c r="H14" s="12"/>
      <c r="I14" s="495"/>
      <c r="J14" s="490"/>
    </row>
    <row r="15" spans="2:10" x14ac:dyDescent="0.25">
      <c r="B15" s="491"/>
      <c r="C15" s="12"/>
      <c r="D15" s="12"/>
      <c r="E15" s="495"/>
      <c r="F15" s="10"/>
      <c r="G15" s="12"/>
      <c r="H15" s="12"/>
      <c r="I15" s="495"/>
      <c r="J15" s="490"/>
    </row>
    <row r="16" spans="2:10" x14ac:dyDescent="0.25">
      <c r="B16" s="491"/>
      <c r="C16" s="12"/>
      <c r="D16" s="12"/>
      <c r="E16" s="495"/>
      <c r="F16" s="10"/>
      <c r="G16" s="12"/>
      <c r="H16" s="12"/>
      <c r="I16" s="495"/>
      <c r="J16" s="490"/>
    </row>
    <row r="17" spans="2:10" x14ac:dyDescent="0.25">
      <c r="B17" s="491"/>
      <c r="C17" s="12"/>
      <c r="D17" s="12"/>
      <c r="E17" s="495"/>
      <c r="F17" s="10"/>
      <c r="G17" s="12"/>
      <c r="H17" s="12"/>
      <c r="I17" s="495"/>
      <c r="J17" s="490"/>
    </row>
    <row r="18" spans="2:10" x14ac:dyDescent="0.25">
      <c r="B18" s="491"/>
      <c r="C18" s="12"/>
      <c r="D18" s="12"/>
      <c r="E18" s="495"/>
      <c r="F18" s="10"/>
      <c r="G18" s="12"/>
      <c r="H18" s="12"/>
      <c r="I18" s="495"/>
      <c r="J18" s="490"/>
    </row>
    <row r="19" spans="2:10" x14ac:dyDescent="0.25">
      <c r="B19" s="491"/>
      <c r="C19" s="12"/>
      <c r="D19" s="12"/>
      <c r="E19" s="495"/>
      <c r="F19" s="10"/>
      <c r="G19" s="12"/>
      <c r="H19" s="12"/>
      <c r="I19" s="495"/>
      <c r="J19" s="490"/>
    </row>
    <row r="20" spans="2:10" x14ac:dyDescent="0.25">
      <c r="B20" s="491"/>
      <c r="C20" s="12"/>
      <c r="D20" s="12"/>
      <c r="E20" s="495"/>
      <c r="F20" s="10"/>
      <c r="G20" s="12"/>
      <c r="H20" s="12"/>
      <c r="I20" s="495"/>
      <c r="J20" s="490"/>
    </row>
    <row r="21" spans="2:10" x14ac:dyDescent="0.25">
      <c r="B21" s="491"/>
      <c r="C21" s="12"/>
      <c r="D21" s="12"/>
      <c r="E21" s="495"/>
      <c r="F21" s="10"/>
      <c r="G21" s="12"/>
      <c r="H21" s="12"/>
      <c r="I21" s="495"/>
      <c r="J21" s="490"/>
    </row>
    <row r="22" spans="2:10" x14ac:dyDescent="0.25">
      <c r="B22" s="491"/>
      <c r="C22" s="12"/>
      <c r="D22" s="12"/>
      <c r="E22" s="495"/>
      <c r="F22" s="10"/>
      <c r="G22" s="12"/>
      <c r="H22" s="12"/>
      <c r="I22" s="495"/>
      <c r="J22" s="490"/>
    </row>
    <row r="23" spans="2:10" ht="13" x14ac:dyDescent="0.3">
      <c r="B23" s="491"/>
      <c r="C23" s="308"/>
      <c r="D23" s="450" t="s">
        <v>439</v>
      </c>
      <c r="E23" s="493">
        <f>SUM(E11:E22)</f>
        <v>0</v>
      </c>
      <c r="G23" s="308"/>
      <c r="H23" s="308"/>
      <c r="I23" s="494"/>
      <c r="J23" s="490"/>
    </row>
    <row r="24" spans="2:10" x14ac:dyDescent="0.25">
      <c r="B24" s="491"/>
      <c r="C24" s="308"/>
      <c r="D24" s="308" t="s">
        <v>438</v>
      </c>
      <c r="E24" s="495">
        <v>0</v>
      </c>
      <c r="G24" s="308"/>
      <c r="H24" s="308"/>
      <c r="I24" s="494"/>
      <c r="J24" s="490"/>
    </row>
    <row r="25" spans="2:10" x14ac:dyDescent="0.25">
      <c r="B25" s="491"/>
      <c r="C25" s="308"/>
      <c r="D25" s="308"/>
      <c r="E25" s="495"/>
      <c r="G25" s="308"/>
      <c r="H25" s="308"/>
      <c r="I25" s="494"/>
      <c r="J25" s="490"/>
    </row>
    <row r="26" spans="2:10" x14ac:dyDescent="0.25">
      <c r="B26" s="491"/>
      <c r="C26" s="308"/>
      <c r="D26" s="308"/>
      <c r="E26" s="495"/>
      <c r="G26" s="308"/>
      <c r="H26" s="308"/>
      <c r="I26" s="494"/>
      <c r="J26" s="490"/>
    </row>
    <row r="27" spans="2:10" ht="13" x14ac:dyDescent="0.3">
      <c r="B27" s="491"/>
      <c r="C27" s="447" t="s">
        <v>124</v>
      </c>
      <c r="D27" s="308"/>
      <c r="E27" s="493">
        <f>SUM(E23:E26)</f>
        <v>0</v>
      </c>
      <c r="G27" s="447" t="s">
        <v>124</v>
      </c>
      <c r="H27" s="308"/>
      <c r="I27" s="493">
        <f>SUM(I11:I26)</f>
        <v>0</v>
      </c>
      <c r="J27" s="490"/>
    </row>
    <row r="28" spans="2:10" x14ac:dyDescent="0.25">
      <c r="B28" s="491"/>
      <c r="J28" s="490"/>
    </row>
    <row r="29" spans="2:10" ht="13" x14ac:dyDescent="0.3">
      <c r="B29" s="491"/>
      <c r="C29" t="s">
        <v>437</v>
      </c>
      <c r="E29" s="492" t="str">
        <f>IF(ISERROR(E23/I27),"",E23/I27)</f>
        <v/>
      </c>
      <c r="J29" s="490"/>
    </row>
    <row r="30" spans="2:10" x14ac:dyDescent="0.25">
      <c r="B30" s="491"/>
      <c r="J30" s="490"/>
    </row>
    <row r="31" spans="2:10" x14ac:dyDescent="0.25">
      <c r="B31" s="491"/>
      <c r="C31" s="1167" t="str">
        <f>IF(AND(E27=0,I27=0),"",IF(E27=I27,"El Projecte està equilibrat en quan a despesa i finançament","El Projecte està desequilibrat en quan a despesa i finançament"))</f>
        <v/>
      </c>
      <c r="D31" s="1167"/>
      <c r="E31" s="1167"/>
      <c r="J31" s="490"/>
    </row>
    <row r="32" spans="2:10" x14ac:dyDescent="0.25">
      <c r="B32" s="491"/>
      <c r="J32" s="490"/>
    </row>
    <row r="33" spans="2:10" ht="13" thickBot="1" x14ac:dyDescent="0.3">
      <c r="B33" s="489"/>
      <c r="C33" s="488"/>
      <c r="D33" s="488"/>
      <c r="E33" s="488"/>
      <c r="F33" s="488"/>
      <c r="G33" s="488"/>
      <c r="H33" s="488"/>
      <c r="I33" s="488"/>
      <c r="J33" s="487"/>
    </row>
    <row r="35" spans="2:10" ht="15.5" x14ac:dyDescent="0.35">
      <c r="B35" s="486" t="s">
        <v>436</v>
      </c>
      <c r="C35" s="485"/>
    </row>
    <row r="36" spans="2:10" ht="15.5" x14ac:dyDescent="0.35">
      <c r="C36" s="485"/>
    </row>
    <row r="37" spans="2:10" ht="15.5" x14ac:dyDescent="0.35">
      <c r="B37" s="1168" t="s">
        <v>350</v>
      </c>
      <c r="C37" s="1168"/>
      <c r="D37" s="1168"/>
      <c r="E37" s="1168"/>
      <c r="F37" s="1168"/>
      <c r="G37" s="1168"/>
      <c r="H37" s="1168"/>
      <c r="I37" s="1169" t="s">
        <v>353</v>
      </c>
      <c r="J37" s="1169"/>
    </row>
    <row r="38" spans="2:10" ht="15.5" x14ac:dyDescent="0.35">
      <c r="B38" s="1162" t="s">
        <v>435</v>
      </c>
      <c r="C38" s="1162"/>
      <c r="D38" s="1162"/>
      <c r="E38" s="1162"/>
      <c r="F38" s="1162"/>
      <c r="G38" s="1162"/>
      <c r="H38" s="1162"/>
      <c r="I38" s="1163"/>
      <c r="J38" s="1163"/>
    </row>
    <row r="39" spans="2:10" ht="15.5" x14ac:dyDescent="0.35">
      <c r="B39" s="1162" t="s">
        <v>434</v>
      </c>
      <c r="C39" s="1162"/>
      <c r="D39" s="1162"/>
      <c r="E39" s="1162"/>
      <c r="F39" s="1162"/>
      <c r="G39" s="1162"/>
      <c r="H39" s="1162"/>
      <c r="I39" s="1163">
        <v>0</v>
      </c>
      <c r="J39" s="1163"/>
    </row>
    <row r="40" spans="2:10" ht="15.5" x14ac:dyDescent="0.35">
      <c r="B40" s="1162" t="s">
        <v>433</v>
      </c>
      <c r="C40" s="1162"/>
      <c r="D40" s="1162"/>
      <c r="E40" s="1162"/>
      <c r="F40" s="1162"/>
      <c r="G40" s="1162"/>
      <c r="H40" s="1162"/>
      <c r="I40" s="1163">
        <v>0</v>
      </c>
      <c r="J40" s="1163"/>
    </row>
    <row r="41" spans="2:10" ht="15.5" x14ac:dyDescent="0.35">
      <c r="B41" s="1162" t="s">
        <v>432</v>
      </c>
      <c r="C41" s="1162"/>
      <c r="D41" s="1162"/>
      <c r="E41" s="1162"/>
      <c r="F41" s="1162"/>
      <c r="G41" s="1162"/>
      <c r="H41" s="1162"/>
      <c r="I41" s="1163">
        <v>0</v>
      </c>
      <c r="J41" s="1163"/>
    </row>
    <row r="42" spans="2:10" ht="15.5" x14ac:dyDescent="0.35">
      <c r="B42" s="1162" t="s">
        <v>431</v>
      </c>
      <c r="C42" s="1162"/>
      <c r="D42" s="1162"/>
      <c r="E42" s="1162"/>
      <c r="F42" s="1162"/>
      <c r="G42" s="1162"/>
      <c r="H42" s="1162"/>
      <c r="I42" s="1163">
        <v>0</v>
      </c>
      <c r="J42" s="1163"/>
    </row>
    <row r="43" spans="2:10" ht="15.5" x14ac:dyDescent="0.35">
      <c r="B43" s="1162" t="s">
        <v>430</v>
      </c>
      <c r="C43" s="1162"/>
      <c r="D43" s="1162"/>
      <c r="E43" s="1162"/>
      <c r="F43" s="1162"/>
      <c r="G43" s="1162"/>
      <c r="H43" s="1162"/>
      <c r="I43" s="1163">
        <v>-310689.24</v>
      </c>
      <c r="J43" s="1163"/>
    </row>
    <row r="44" spans="2:10" ht="15.5" x14ac:dyDescent="0.35">
      <c r="B44" s="1164" t="s">
        <v>429</v>
      </c>
      <c r="C44" s="1164"/>
      <c r="D44" s="1164"/>
      <c r="E44" s="1164"/>
      <c r="F44" s="1164"/>
      <c r="G44" s="1164"/>
      <c r="H44" s="1164"/>
      <c r="I44" s="1165">
        <f>SUMIF(I38:I43,"&gt;0",I38:I43)</f>
        <v>0</v>
      </c>
      <c r="J44" s="1165">
        <f>SUMIF(J39:J43,"&gt;0",J39:J43)</f>
        <v>0</v>
      </c>
    </row>
    <row r="45" spans="2:10" ht="15.5" x14ac:dyDescent="0.35">
      <c r="C45" s="485"/>
    </row>
    <row r="46" spans="2:10" ht="13" x14ac:dyDescent="0.3">
      <c r="B46" s="484" t="s">
        <v>428</v>
      </c>
      <c r="C46" s="484"/>
      <c r="D46" s="484"/>
    </row>
    <row r="47" spans="2:10" ht="13" x14ac:dyDescent="0.3">
      <c r="B47" s="1160" t="str">
        <f>IF(I44&gt;I27,"EXCÉS DE FINANÇAMENT","")</f>
        <v/>
      </c>
      <c r="C47" s="1160"/>
      <c r="D47" s="1160"/>
      <c r="I47" s="1166" t="str">
        <f>IF(B47="","",I44-I27)</f>
        <v/>
      </c>
      <c r="J47" s="1166"/>
    </row>
    <row r="48" spans="2:10" ht="13" x14ac:dyDescent="0.3">
      <c r="B48" s="1160" t="str">
        <f>IF(I27&gt;I44,"MANCA FINANÇAMENT","")</f>
        <v/>
      </c>
      <c r="C48" s="1160"/>
      <c r="D48" s="1160"/>
      <c r="I48" s="1161" t="str">
        <f>IF(B48="","",I27-I44)</f>
        <v/>
      </c>
      <c r="J48" s="1161"/>
    </row>
  </sheetData>
  <mergeCells count="21">
    <mergeCell ref="B39:H39"/>
    <mergeCell ref="I39:J39"/>
    <mergeCell ref="C31:E31"/>
    <mergeCell ref="B37:H37"/>
    <mergeCell ref="I37:J37"/>
    <mergeCell ref="B38:H38"/>
    <mergeCell ref="I38:J38"/>
    <mergeCell ref="B40:H40"/>
    <mergeCell ref="I40:J40"/>
    <mergeCell ref="B41:H41"/>
    <mergeCell ref="I41:J41"/>
    <mergeCell ref="B42:H42"/>
    <mergeCell ref="I42:J42"/>
    <mergeCell ref="B48:D48"/>
    <mergeCell ref="I48:J48"/>
    <mergeCell ref="B43:H43"/>
    <mergeCell ref="I43:J43"/>
    <mergeCell ref="B44:H44"/>
    <mergeCell ref="I44:J44"/>
    <mergeCell ref="B47:D47"/>
    <mergeCell ref="I47:J47"/>
  </mergeCells>
  <conditionalFormatting sqref="B47:D47">
    <cfRule type="cellIs" dxfId="3" priority="2" stopIfTrue="1" operator="equal">
      <formula>"EXCÉS DE FINANÇAMENT"</formula>
    </cfRule>
  </conditionalFormatting>
  <conditionalFormatting sqref="B48:D48">
    <cfRule type="cellIs" dxfId="2" priority="1" stopIfTrue="1" operator="equal">
      <formula>"MANCA FINANÇAMENT"</formula>
    </cfRule>
  </conditionalFormatting>
  <conditionalFormatting sqref="C31:E31">
    <cfRule type="cellIs" dxfId="1" priority="3" stopIfTrue="1" operator="equal">
      <formula>"El Projecte està equilibrat en quan a despesa i finançament"</formula>
    </cfRule>
    <cfRule type="cellIs" dxfId="0" priority="4" stopIfTrue="1" operator="equal">
      <formula>"El Projecte està desequilibrat en quan a despesa i finançament"</formula>
    </cfRule>
  </conditionalFormatting>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5"/>
  <dimension ref="A2:F114"/>
  <sheetViews>
    <sheetView topLeftCell="A13" zoomScale="75" zoomScaleNormal="75" zoomScaleSheetLayoutView="100" zoomScalePageLayoutView="75" workbookViewId="0">
      <selection activeCell="D92" sqref="D92"/>
    </sheetView>
  </sheetViews>
  <sheetFormatPr baseColWidth="10" defaultColWidth="10.7265625" defaultRowHeight="12.5" x14ac:dyDescent="0.25"/>
  <cols>
    <col min="2" max="2" width="76.7265625" customWidth="1"/>
    <col min="4" max="4" width="82.08984375" customWidth="1"/>
    <col min="258" max="258" width="76.7265625" customWidth="1"/>
    <col min="260" max="260" width="82.08984375" customWidth="1"/>
    <col min="514" max="514" width="76.7265625" customWidth="1"/>
    <col min="516" max="516" width="82.08984375" customWidth="1"/>
    <col min="770" max="770" width="76.7265625" customWidth="1"/>
    <col min="772" max="772" width="82.08984375" customWidth="1"/>
    <col min="1026" max="1026" width="76.7265625" customWidth="1"/>
    <col min="1028" max="1028" width="82.08984375" customWidth="1"/>
    <col min="1282" max="1282" width="76.7265625" customWidth="1"/>
    <col min="1284" max="1284" width="82.08984375" customWidth="1"/>
    <col min="1538" max="1538" width="76.7265625" customWidth="1"/>
    <col min="1540" max="1540" width="82.08984375" customWidth="1"/>
    <col min="1794" max="1794" width="76.7265625" customWidth="1"/>
    <col min="1796" max="1796" width="82.08984375" customWidth="1"/>
    <col min="2050" max="2050" width="76.7265625" customWidth="1"/>
    <col min="2052" max="2052" width="82.08984375" customWidth="1"/>
    <col min="2306" max="2306" width="76.7265625" customWidth="1"/>
    <col min="2308" max="2308" width="82.08984375" customWidth="1"/>
    <col min="2562" max="2562" width="76.7265625" customWidth="1"/>
    <col min="2564" max="2564" width="82.08984375" customWidth="1"/>
    <col min="2818" max="2818" width="76.7265625" customWidth="1"/>
    <col min="2820" max="2820" width="82.08984375" customWidth="1"/>
    <col min="3074" max="3074" width="76.7265625" customWidth="1"/>
    <col min="3076" max="3076" width="82.08984375" customWidth="1"/>
    <col min="3330" max="3330" width="76.7265625" customWidth="1"/>
    <col min="3332" max="3332" width="82.08984375" customWidth="1"/>
    <col min="3586" max="3586" width="76.7265625" customWidth="1"/>
    <col min="3588" max="3588" width="82.08984375" customWidth="1"/>
    <col min="3842" max="3842" width="76.7265625" customWidth="1"/>
    <col min="3844" max="3844" width="82.08984375" customWidth="1"/>
    <col min="4098" max="4098" width="76.7265625" customWidth="1"/>
    <col min="4100" max="4100" width="82.08984375" customWidth="1"/>
    <col min="4354" max="4354" width="76.7265625" customWidth="1"/>
    <col min="4356" max="4356" width="82.08984375" customWidth="1"/>
    <col min="4610" max="4610" width="76.7265625" customWidth="1"/>
    <col min="4612" max="4612" width="82.08984375" customWidth="1"/>
    <col min="4866" max="4866" width="76.7265625" customWidth="1"/>
    <col min="4868" max="4868" width="82.08984375" customWidth="1"/>
    <col min="5122" max="5122" width="76.7265625" customWidth="1"/>
    <col min="5124" max="5124" width="82.08984375" customWidth="1"/>
    <col min="5378" max="5378" width="76.7265625" customWidth="1"/>
    <col min="5380" max="5380" width="82.08984375" customWidth="1"/>
    <col min="5634" max="5634" width="76.7265625" customWidth="1"/>
    <col min="5636" max="5636" width="82.08984375" customWidth="1"/>
    <col min="5890" max="5890" width="76.7265625" customWidth="1"/>
    <col min="5892" max="5892" width="82.08984375" customWidth="1"/>
    <col min="6146" max="6146" width="76.7265625" customWidth="1"/>
    <col min="6148" max="6148" width="82.08984375" customWidth="1"/>
    <col min="6402" max="6402" width="76.7265625" customWidth="1"/>
    <col min="6404" max="6404" width="82.08984375" customWidth="1"/>
    <col min="6658" max="6658" width="76.7265625" customWidth="1"/>
    <col min="6660" max="6660" width="82.08984375" customWidth="1"/>
    <col min="6914" max="6914" width="76.7265625" customWidth="1"/>
    <col min="6916" max="6916" width="82.08984375" customWidth="1"/>
    <col min="7170" max="7170" width="76.7265625" customWidth="1"/>
    <col min="7172" max="7172" width="82.08984375" customWidth="1"/>
    <col min="7426" max="7426" width="76.7265625" customWidth="1"/>
    <col min="7428" max="7428" width="82.08984375" customWidth="1"/>
    <col min="7682" max="7682" width="76.7265625" customWidth="1"/>
    <col min="7684" max="7684" width="82.08984375" customWidth="1"/>
    <col min="7938" max="7938" width="76.7265625" customWidth="1"/>
    <col min="7940" max="7940" width="82.08984375" customWidth="1"/>
    <col min="8194" max="8194" width="76.7265625" customWidth="1"/>
    <col min="8196" max="8196" width="82.08984375" customWidth="1"/>
    <col min="8450" max="8450" width="76.7265625" customWidth="1"/>
    <col min="8452" max="8452" width="82.08984375" customWidth="1"/>
    <col min="8706" max="8706" width="76.7265625" customWidth="1"/>
    <col min="8708" max="8708" width="82.08984375" customWidth="1"/>
    <col min="8962" max="8962" width="76.7265625" customWidth="1"/>
    <col min="8964" max="8964" width="82.08984375" customWidth="1"/>
    <col min="9218" max="9218" width="76.7265625" customWidth="1"/>
    <col min="9220" max="9220" width="82.08984375" customWidth="1"/>
    <col min="9474" max="9474" width="76.7265625" customWidth="1"/>
    <col min="9476" max="9476" width="82.08984375" customWidth="1"/>
    <col min="9730" max="9730" width="76.7265625" customWidth="1"/>
    <col min="9732" max="9732" width="82.08984375" customWidth="1"/>
    <col min="9986" max="9986" width="76.7265625" customWidth="1"/>
    <col min="9988" max="9988" width="82.08984375" customWidth="1"/>
    <col min="10242" max="10242" width="76.7265625" customWidth="1"/>
    <col min="10244" max="10244" width="82.08984375" customWidth="1"/>
    <col min="10498" max="10498" width="76.7265625" customWidth="1"/>
    <col min="10500" max="10500" width="82.08984375" customWidth="1"/>
    <col min="10754" max="10754" width="76.7265625" customWidth="1"/>
    <col min="10756" max="10756" width="82.08984375" customWidth="1"/>
    <col min="11010" max="11010" width="76.7265625" customWidth="1"/>
    <col min="11012" max="11012" width="82.08984375" customWidth="1"/>
    <col min="11266" max="11266" width="76.7265625" customWidth="1"/>
    <col min="11268" max="11268" width="82.08984375" customWidth="1"/>
    <col min="11522" max="11522" width="76.7265625" customWidth="1"/>
    <col min="11524" max="11524" width="82.08984375" customWidth="1"/>
    <col min="11778" max="11778" width="76.7265625" customWidth="1"/>
    <col min="11780" max="11780" width="82.08984375" customWidth="1"/>
    <col min="12034" max="12034" width="76.7265625" customWidth="1"/>
    <col min="12036" max="12036" width="82.08984375" customWidth="1"/>
    <col min="12290" max="12290" width="76.7265625" customWidth="1"/>
    <col min="12292" max="12292" width="82.08984375" customWidth="1"/>
    <col min="12546" max="12546" width="76.7265625" customWidth="1"/>
    <col min="12548" max="12548" width="82.08984375" customWidth="1"/>
    <col min="12802" max="12802" width="76.7265625" customWidth="1"/>
    <col min="12804" max="12804" width="82.08984375" customWidth="1"/>
    <col min="13058" max="13058" width="76.7265625" customWidth="1"/>
    <col min="13060" max="13060" width="82.08984375" customWidth="1"/>
    <col min="13314" max="13314" width="76.7265625" customWidth="1"/>
    <col min="13316" max="13316" width="82.08984375" customWidth="1"/>
    <col min="13570" max="13570" width="76.7265625" customWidth="1"/>
    <col min="13572" max="13572" width="82.08984375" customWidth="1"/>
    <col min="13826" max="13826" width="76.7265625" customWidth="1"/>
    <col min="13828" max="13828" width="82.08984375" customWidth="1"/>
    <col min="14082" max="14082" width="76.7265625" customWidth="1"/>
    <col min="14084" max="14084" width="82.08984375" customWidth="1"/>
    <col min="14338" max="14338" width="76.7265625" customWidth="1"/>
    <col min="14340" max="14340" width="82.08984375" customWidth="1"/>
    <col min="14594" max="14594" width="76.7265625" customWidth="1"/>
    <col min="14596" max="14596" width="82.08984375" customWidth="1"/>
    <col min="14850" max="14850" width="76.7265625" customWidth="1"/>
    <col min="14852" max="14852" width="82.08984375" customWidth="1"/>
    <col min="15106" max="15106" width="76.7265625" customWidth="1"/>
    <col min="15108" max="15108" width="82.08984375" customWidth="1"/>
    <col min="15362" max="15362" width="76.7265625" customWidth="1"/>
    <col min="15364" max="15364" width="82.08984375" customWidth="1"/>
    <col min="15618" max="15618" width="76.7265625" customWidth="1"/>
    <col min="15620" max="15620" width="82.08984375" customWidth="1"/>
    <col min="15874" max="15874" width="76.7265625" customWidth="1"/>
    <col min="15876" max="15876" width="82.08984375" customWidth="1"/>
    <col min="16130" max="16130" width="76.7265625" customWidth="1"/>
    <col min="16132" max="16132" width="82.08984375" customWidth="1"/>
  </cols>
  <sheetData>
    <row r="2" spans="1:4" ht="14.5" x14ac:dyDescent="0.35">
      <c r="A2" s="518" t="s">
        <v>553</v>
      </c>
    </row>
    <row r="3" spans="1:4" x14ac:dyDescent="0.25">
      <c r="A3" s="519"/>
      <c r="B3" s="519" t="s">
        <v>554</v>
      </c>
    </row>
    <row r="4" spans="1:4" x14ac:dyDescent="0.25">
      <c r="A4" s="520"/>
      <c r="B4" s="520" t="s">
        <v>555</v>
      </c>
    </row>
    <row r="5" spans="1:4" x14ac:dyDescent="0.25">
      <c r="A5" s="521"/>
      <c r="B5" s="521" t="s">
        <v>556</v>
      </c>
    </row>
    <row r="6" spans="1:4" x14ac:dyDescent="0.25">
      <c r="A6" s="522"/>
      <c r="B6" s="522" t="s">
        <v>557</v>
      </c>
    </row>
    <row r="7" spans="1:4" ht="14.5" x14ac:dyDescent="0.35">
      <c r="A7" s="518"/>
    </row>
    <row r="8" spans="1:4" ht="15" thickBot="1" x14ac:dyDescent="0.4">
      <c r="A8" s="518"/>
    </row>
    <row r="9" spans="1:4" ht="15" thickBot="1" x14ac:dyDescent="0.4">
      <c r="A9" s="523"/>
      <c r="B9" s="524" t="s">
        <v>558</v>
      </c>
      <c r="C9" s="525"/>
      <c r="D9" s="524" t="s">
        <v>559</v>
      </c>
    </row>
    <row r="10" spans="1:4" x14ac:dyDescent="0.25">
      <c r="A10" s="491"/>
      <c r="C10" s="498"/>
      <c r="D10" s="496"/>
    </row>
    <row r="11" spans="1:4" ht="14.5" x14ac:dyDescent="0.35">
      <c r="A11" s="526">
        <v>130</v>
      </c>
      <c r="B11" s="527" t="s">
        <v>560</v>
      </c>
      <c r="C11" s="526">
        <v>130</v>
      </c>
      <c r="D11" s="528" t="s">
        <v>560</v>
      </c>
    </row>
    <row r="12" spans="1:4" ht="14.5" x14ac:dyDescent="0.35">
      <c r="A12" s="526">
        <v>132</v>
      </c>
      <c r="B12" s="527" t="s">
        <v>561</v>
      </c>
      <c r="C12" s="526">
        <v>132</v>
      </c>
      <c r="D12" s="528" t="s">
        <v>561</v>
      </c>
    </row>
    <row r="13" spans="1:4" ht="14.5" x14ac:dyDescent="0.35">
      <c r="A13" s="529">
        <v>133</v>
      </c>
      <c r="B13" s="530" t="s">
        <v>562</v>
      </c>
      <c r="C13" s="529">
        <v>133</v>
      </c>
      <c r="D13" s="531" t="s">
        <v>562</v>
      </c>
    </row>
    <row r="14" spans="1:4" ht="14.5" x14ac:dyDescent="0.35">
      <c r="A14" s="529"/>
      <c r="B14" s="530"/>
      <c r="C14" s="529">
        <v>134</v>
      </c>
      <c r="D14" s="531" t="s">
        <v>563</v>
      </c>
    </row>
    <row r="15" spans="1:4" s="444" customFormat="1" ht="14.5" x14ac:dyDescent="0.35">
      <c r="A15" s="532">
        <v>134</v>
      </c>
      <c r="B15" s="533" t="s">
        <v>564</v>
      </c>
      <c r="C15" s="532">
        <v>135</v>
      </c>
      <c r="D15" s="534" t="s">
        <v>564</v>
      </c>
    </row>
    <row r="16" spans="1:4" s="444" customFormat="1" ht="14.5" x14ac:dyDescent="0.35">
      <c r="A16" s="532">
        <v>135</v>
      </c>
      <c r="B16" s="533" t="s">
        <v>565</v>
      </c>
      <c r="C16" s="532">
        <v>136</v>
      </c>
      <c r="D16" s="534" t="s">
        <v>566</v>
      </c>
    </row>
    <row r="17" spans="1:6" ht="14.5" x14ac:dyDescent="0.35">
      <c r="A17" s="526">
        <v>150</v>
      </c>
      <c r="B17" s="527" t="s">
        <v>567</v>
      </c>
      <c r="C17" s="526">
        <v>150</v>
      </c>
      <c r="D17" s="528" t="s">
        <v>567</v>
      </c>
    </row>
    <row r="18" spans="1:6" ht="14.5" x14ac:dyDescent="0.35">
      <c r="A18" s="526">
        <v>151</v>
      </c>
      <c r="B18" s="527" t="s">
        <v>462</v>
      </c>
      <c r="C18" s="526">
        <v>151</v>
      </c>
      <c r="D18" s="528" t="s">
        <v>568</v>
      </c>
    </row>
    <row r="19" spans="1:6" ht="14.5" x14ac:dyDescent="0.35">
      <c r="A19" s="529">
        <v>152</v>
      </c>
      <c r="B19" s="530" t="s">
        <v>569</v>
      </c>
      <c r="C19" s="529">
        <v>1521</v>
      </c>
      <c r="D19" s="531" t="s">
        <v>570</v>
      </c>
    </row>
    <row r="20" spans="1:6" ht="14.5" x14ac:dyDescent="0.35">
      <c r="A20" s="529"/>
      <c r="B20" s="530"/>
      <c r="C20" s="529">
        <v>1522</v>
      </c>
      <c r="D20" s="531" t="s">
        <v>464</v>
      </c>
    </row>
    <row r="21" spans="1:6" ht="14.5" x14ac:dyDescent="0.35">
      <c r="A21" s="530">
        <v>153</v>
      </c>
      <c r="B21" s="530" t="s">
        <v>571</v>
      </c>
      <c r="C21" s="529">
        <v>1521</v>
      </c>
      <c r="D21" s="531" t="s">
        <v>570</v>
      </c>
      <c r="E21" s="444"/>
      <c r="F21" s="444"/>
    </row>
    <row r="22" spans="1:6" ht="14.5" x14ac:dyDescent="0.35">
      <c r="A22" s="530">
        <v>154</v>
      </c>
      <c r="B22" s="530" t="s">
        <v>572</v>
      </c>
      <c r="C22" s="529">
        <v>1521</v>
      </c>
      <c r="D22" s="531" t="s">
        <v>570</v>
      </c>
      <c r="E22" s="444"/>
      <c r="F22" s="444"/>
    </row>
    <row r="23" spans="1:6" ht="14.5" x14ac:dyDescent="0.35">
      <c r="A23" s="529">
        <v>155</v>
      </c>
      <c r="B23" s="535" t="s">
        <v>573</v>
      </c>
      <c r="C23" s="529">
        <v>1531</v>
      </c>
      <c r="D23" s="536" t="s">
        <v>574</v>
      </c>
      <c r="E23" s="444"/>
      <c r="F23" s="444"/>
    </row>
    <row r="24" spans="1:6" ht="14.5" x14ac:dyDescent="0.35">
      <c r="A24" s="529"/>
      <c r="B24" s="530"/>
      <c r="C24" s="529">
        <v>1532</v>
      </c>
      <c r="D24" s="536" t="s">
        <v>575</v>
      </c>
      <c r="E24" s="444"/>
      <c r="F24" s="444"/>
    </row>
    <row r="25" spans="1:6" ht="14.5" x14ac:dyDescent="0.35">
      <c r="A25" s="529">
        <v>161</v>
      </c>
      <c r="B25" s="535" t="s">
        <v>576</v>
      </c>
      <c r="C25" s="537">
        <v>160</v>
      </c>
      <c r="D25" s="536" t="s">
        <v>467</v>
      </c>
      <c r="E25" s="444"/>
      <c r="F25" s="444"/>
    </row>
    <row r="26" spans="1:6" ht="14.5" x14ac:dyDescent="0.35">
      <c r="A26" s="529"/>
      <c r="B26" s="530"/>
      <c r="C26" s="537">
        <v>161</v>
      </c>
      <c r="D26" s="536" t="s">
        <v>468</v>
      </c>
      <c r="E26" s="444"/>
      <c r="F26" s="444"/>
    </row>
    <row r="27" spans="1:6" ht="14.5" x14ac:dyDescent="0.35">
      <c r="A27" s="529">
        <v>162</v>
      </c>
      <c r="B27" s="535" t="s">
        <v>577</v>
      </c>
      <c r="C27" s="537">
        <v>1621</v>
      </c>
      <c r="D27" s="536" t="s">
        <v>578</v>
      </c>
      <c r="E27" s="538"/>
      <c r="F27" s="444"/>
    </row>
    <row r="28" spans="1:6" ht="14.5" x14ac:dyDescent="0.35">
      <c r="A28" s="529"/>
      <c r="B28" s="530"/>
      <c r="C28" s="537">
        <v>1622</v>
      </c>
      <c r="D28" s="536" t="s">
        <v>579</v>
      </c>
      <c r="E28" s="538"/>
      <c r="F28" s="444"/>
    </row>
    <row r="29" spans="1:6" ht="14.5" x14ac:dyDescent="0.35">
      <c r="A29" s="529"/>
      <c r="B29" s="530"/>
      <c r="C29" s="537">
        <v>1623</v>
      </c>
      <c r="D29" s="536" t="s">
        <v>471</v>
      </c>
      <c r="E29" s="444"/>
      <c r="F29" s="444"/>
    </row>
    <row r="30" spans="1:6" ht="14.5" x14ac:dyDescent="0.35">
      <c r="A30" s="526">
        <v>163</v>
      </c>
      <c r="B30" s="539" t="s">
        <v>472</v>
      </c>
      <c r="C30" s="526">
        <v>163</v>
      </c>
      <c r="D30" s="540" t="s">
        <v>472</v>
      </c>
      <c r="E30" s="444"/>
      <c r="F30" s="444"/>
    </row>
    <row r="31" spans="1:6" ht="14.5" x14ac:dyDescent="0.35">
      <c r="A31" s="526">
        <v>164</v>
      </c>
      <c r="B31" s="527" t="s">
        <v>580</v>
      </c>
      <c r="C31" s="526">
        <v>164</v>
      </c>
      <c r="D31" s="528" t="s">
        <v>473</v>
      </c>
      <c r="E31" s="444"/>
      <c r="F31" s="444"/>
    </row>
    <row r="32" spans="1:6" ht="14.5" x14ac:dyDescent="0.35">
      <c r="A32" s="541">
        <v>165</v>
      </c>
      <c r="B32" s="542" t="s">
        <v>474</v>
      </c>
      <c r="C32" s="526">
        <v>165</v>
      </c>
      <c r="D32" s="543" t="s">
        <v>474</v>
      </c>
      <c r="E32" s="444"/>
      <c r="F32" s="444"/>
    </row>
    <row r="33" spans="1:6" x14ac:dyDescent="0.25">
      <c r="A33" s="491">
        <v>169</v>
      </c>
      <c r="B33" t="s">
        <v>581</v>
      </c>
      <c r="C33" s="544"/>
      <c r="D33" s="545"/>
      <c r="E33" s="444"/>
      <c r="F33" s="444"/>
    </row>
    <row r="34" spans="1:6" ht="14.5" x14ac:dyDescent="0.35">
      <c r="A34" s="526">
        <v>170</v>
      </c>
      <c r="B34" s="527" t="s">
        <v>582</v>
      </c>
      <c r="C34" s="526">
        <v>170</v>
      </c>
      <c r="D34" s="528" t="s">
        <v>582</v>
      </c>
      <c r="E34" s="444"/>
      <c r="F34" s="444"/>
    </row>
    <row r="35" spans="1:6" ht="14.5" x14ac:dyDescent="0.35">
      <c r="A35" s="526">
        <v>171</v>
      </c>
      <c r="B35" s="527" t="s">
        <v>476</v>
      </c>
      <c r="C35" s="526">
        <v>171</v>
      </c>
      <c r="D35" s="528" t="s">
        <v>476</v>
      </c>
      <c r="E35" s="444"/>
      <c r="F35" s="444"/>
    </row>
    <row r="36" spans="1:6" ht="14.5" x14ac:dyDescent="0.35">
      <c r="A36" s="532">
        <v>172</v>
      </c>
      <c r="B36" s="533" t="s">
        <v>583</v>
      </c>
      <c r="C36" s="532">
        <v>1721</v>
      </c>
      <c r="D36" s="534" t="s">
        <v>477</v>
      </c>
    </row>
    <row r="37" spans="1:6" x14ac:dyDescent="0.25">
      <c r="A37" s="491">
        <v>179</v>
      </c>
      <c r="B37" t="s">
        <v>584</v>
      </c>
      <c r="C37" s="544"/>
      <c r="D37" s="545"/>
    </row>
    <row r="38" spans="1:6" ht="14.5" x14ac:dyDescent="0.35">
      <c r="A38" s="526">
        <v>211</v>
      </c>
      <c r="B38" s="527" t="s">
        <v>478</v>
      </c>
      <c r="C38" s="526">
        <v>211</v>
      </c>
      <c r="D38" s="528" t="s">
        <v>478</v>
      </c>
    </row>
    <row r="39" spans="1:6" ht="14.5" x14ac:dyDescent="0.35">
      <c r="A39" s="526">
        <v>221</v>
      </c>
      <c r="B39" s="527" t="s">
        <v>585</v>
      </c>
      <c r="C39" s="526">
        <v>221</v>
      </c>
      <c r="D39" s="528" t="s">
        <v>585</v>
      </c>
    </row>
    <row r="40" spans="1:6" ht="14.5" x14ac:dyDescent="0.35">
      <c r="A40" s="529">
        <v>230</v>
      </c>
      <c r="B40" s="530" t="s">
        <v>586</v>
      </c>
      <c r="C40" s="1170">
        <v>231</v>
      </c>
      <c r="D40" s="1171" t="s">
        <v>587</v>
      </c>
    </row>
    <row r="41" spans="1:6" ht="14.5" x14ac:dyDescent="0.35">
      <c r="A41" s="529">
        <v>231</v>
      </c>
      <c r="B41" s="530" t="s">
        <v>588</v>
      </c>
      <c r="C41" s="1170"/>
      <c r="D41" s="1171"/>
      <c r="E41" s="546"/>
    </row>
    <row r="42" spans="1:6" ht="14.5" x14ac:dyDescent="0.35">
      <c r="A42" s="529">
        <v>232</v>
      </c>
      <c r="B42" s="530" t="s">
        <v>589</v>
      </c>
      <c r="C42" s="1170"/>
      <c r="D42" s="1171"/>
    </row>
    <row r="43" spans="1:6" ht="14.5" x14ac:dyDescent="0.35">
      <c r="A43" s="529">
        <v>233</v>
      </c>
      <c r="B43" s="530" t="s">
        <v>590</v>
      </c>
      <c r="C43" s="1170"/>
      <c r="D43" s="1171"/>
    </row>
    <row r="44" spans="1:6" ht="14.5" x14ac:dyDescent="0.35">
      <c r="A44" s="526">
        <v>241</v>
      </c>
      <c r="B44" s="527" t="s">
        <v>591</v>
      </c>
      <c r="C44" s="526">
        <v>241</v>
      </c>
      <c r="D44" s="528" t="s">
        <v>591</v>
      </c>
    </row>
    <row r="45" spans="1:6" ht="14.5" x14ac:dyDescent="0.35">
      <c r="A45" s="526">
        <v>312</v>
      </c>
      <c r="B45" s="527" t="s">
        <v>592</v>
      </c>
      <c r="C45" s="526">
        <v>312</v>
      </c>
      <c r="D45" s="528" t="s">
        <v>592</v>
      </c>
    </row>
    <row r="46" spans="1:6" ht="14.5" x14ac:dyDescent="0.35">
      <c r="A46" s="532">
        <v>313</v>
      </c>
      <c r="B46" s="533" t="s">
        <v>593</v>
      </c>
      <c r="C46" s="532">
        <v>311</v>
      </c>
      <c r="D46" s="534" t="s">
        <v>483</v>
      </c>
    </row>
    <row r="47" spans="1:6" ht="14.5" x14ac:dyDescent="0.35">
      <c r="A47" s="526">
        <v>320</v>
      </c>
      <c r="B47" s="527" t="s">
        <v>594</v>
      </c>
      <c r="C47" s="526">
        <v>320</v>
      </c>
      <c r="D47" s="528" t="s">
        <v>594</v>
      </c>
    </row>
    <row r="48" spans="1:6" ht="14.5" x14ac:dyDescent="0.35">
      <c r="A48" s="529">
        <v>321</v>
      </c>
      <c r="B48" s="530" t="s">
        <v>595</v>
      </c>
      <c r="C48" s="529">
        <v>321</v>
      </c>
      <c r="D48" s="531" t="s">
        <v>596</v>
      </c>
    </row>
    <row r="49" spans="1:4" ht="14.5" x14ac:dyDescent="0.35">
      <c r="A49" s="529">
        <v>322</v>
      </c>
      <c r="B49" s="530" t="s">
        <v>597</v>
      </c>
      <c r="C49" s="529">
        <v>323</v>
      </c>
      <c r="D49" s="531" t="s">
        <v>487</v>
      </c>
    </row>
    <row r="50" spans="1:4" ht="14.5" x14ac:dyDescent="0.35">
      <c r="A50" s="530">
        <v>323</v>
      </c>
      <c r="B50" s="530" t="s">
        <v>598</v>
      </c>
      <c r="C50" s="529">
        <v>323</v>
      </c>
      <c r="D50" s="531" t="s">
        <v>488</v>
      </c>
    </row>
    <row r="51" spans="1:4" ht="14.5" x14ac:dyDescent="0.35">
      <c r="A51" s="530"/>
      <c r="B51" s="530"/>
      <c r="C51" s="529">
        <v>324</v>
      </c>
      <c r="D51" s="531" t="s">
        <v>489</v>
      </c>
    </row>
    <row r="52" spans="1:4" ht="14.5" x14ac:dyDescent="0.35">
      <c r="A52" s="530"/>
      <c r="B52" s="530"/>
      <c r="C52" s="529">
        <v>325</v>
      </c>
      <c r="D52" s="531" t="s">
        <v>599</v>
      </c>
    </row>
    <row r="53" spans="1:4" ht="14.5" x14ac:dyDescent="0.35">
      <c r="A53" s="532">
        <v>324</v>
      </c>
      <c r="B53" s="533" t="s">
        <v>600</v>
      </c>
      <c r="C53" s="532">
        <v>326</v>
      </c>
      <c r="D53" s="534" t="s">
        <v>600</v>
      </c>
    </row>
    <row r="54" spans="1:4" x14ac:dyDescent="0.25">
      <c r="A54" s="547"/>
      <c r="B54" s="444"/>
      <c r="C54" s="544">
        <v>327</v>
      </c>
      <c r="D54" s="545" t="s">
        <v>492</v>
      </c>
    </row>
    <row r="55" spans="1:4" ht="14.5" x14ac:dyDescent="0.35">
      <c r="A55" s="532">
        <v>331</v>
      </c>
      <c r="B55" s="533" t="s">
        <v>601</v>
      </c>
      <c r="C55" s="532">
        <v>330</v>
      </c>
      <c r="D55" s="534" t="s">
        <v>601</v>
      </c>
    </row>
    <row r="56" spans="1:4" s="444" customFormat="1" ht="14.5" x14ac:dyDescent="0.35">
      <c r="A56" s="529">
        <v>332</v>
      </c>
      <c r="B56" s="530" t="s">
        <v>602</v>
      </c>
      <c r="C56" s="529">
        <v>3321</v>
      </c>
      <c r="D56" s="531" t="s">
        <v>603</v>
      </c>
    </row>
    <row r="57" spans="1:4" s="444" customFormat="1" ht="14.5" x14ac:dyDescent="0.35">
      <c r="A57" s="529"/>
      <c r="B57" s="530"/>
      <c r="C57" s="529">
        <v>3322</v>
      </c>
      <c r="D57" s="531" t="s">
        <v>495</v>
      </c>
    </row>
    <row r="58" spans="1:4" ht="14.5" x14ac:dyDescent="0.35">
      <c r="A58" s="526">
        <v>333</v>
      </c>
      <c r="B58" s="527" t="s">
        <v>604</v>
      </c>
      <c r="C58" s="526">
        <v>333</v>
      </c>
      <c r="D58" s="528" t="s">
        <v>496</v>
      </c>
    </row>
    <row r="59" spans="1:4" ht="14.5" x14ac:dyDescent="0.35">
      <c r="A59" s="526">
        <v>334</v>
      </c>
      <c r="B59" s="527" t="s">
        <v>497</v>
      </c>
      <c r="C59" s="526">
        <v>334</v>
      </c>
      <c r="D59" s="528" t="s">
        <v>497</v>
      </c>
    </row>
    <row r="60" spans="1:4" ht="14.5" x14ac:dyDescent="0.35">
      <c r="A60" s="526">
        <v>335</v>
      </c>
      <c r="B60" s="527" t="s">
        <v>605</v>
      </c>
      <c r="C60" s="526">
        <v>334</v>
      </c>
      <c r="D60" s="528" t="s">
        <v>497</v>
      </c>
    </row>
    <row r="61" spans="1:4" ht="14.5" x14ac:dyDescent="0.35">
      <c r="A61" s="526">
        <v>336</v>
      </c>
      <c r="B61" s="527" t="s">
        <v>606</v>
      </c>
      <c r="C61" s="526">
        <v>336</v>
      </c>
      <c r="D61" s="528" t="s">
        <v>607</v>
      </c>
    </row>
    <row r="62" spans="1:4" ht="14.5" x14ac:dyDescent="0.35">
      <c r="A62" s="526">
        <v>337</v>
      </c>
      <c r="B62" s="527" t="s">
        <v>608</v>
      </c>
      <c r="C62" s="526">
        <v>337</v>
      </c>
      <c r="D62" s="528" t="s">
        <v>609</v>
      </c>
    </row>
    <row r="63" spans="1:4" ht="14.5" x14ac:dyDescent="0.35">
      <c r="A63" s="526">
        <v>338</v>
      </c>
      <c r="B63" s="527" t="s">
        <v>610</v>
      </c>
      <c r="C63" s="526">
        <v>338</v>
      </c>
      <c r="D63" s="528" t="s">
        <v>610</v>
      </c>
    </row>
    <row r="64" spans="1:4" ht="14.5" x14ac:dyDescent="0.35">
      <c r="A64" s="526">
        <v>340</v>
      </c>
      <c r="B64" s="527" t="s">
        <v>611</v>
      </c>
      <c r="C64" s="526">
        <v>340</v>
      </c>
      <c r="D64" s="528" t="s">
        <v>611</v>
      </c>
    </row>
    <row r="65" spans="1:4" ht="14.5" x14ac:dyDescent="0.35">
      <c r="A65" s="526">
        <v>341</v>
      </c>
      <c r="B65" s="527" t="s">
        <v>612</v>
      </c>
      <c r="C65" s="526">
        <v>341</v>
      </c>
      <c r="D65" s="528" t="s">
        <v>612</v>
      </c>
    </row>
    <row r="66" spans="1:4" ht="14.5" x14ac:dyDescent="0.35">
      <c r="A66" s="526">
        <v>342</v>
      </c>
      <c r="B66" s="527" t="s">
        <v>503</v>
      </c>
      <c r="C66" s="526">
        <v>342</v>
      </c>
      <c r="D66" s="528" t="s">
        <v>503</v>
      </c>
    </row>
    <row r="67" spans="1:4" ht="14.5" x14ac:dyDescent="0.35">
      <c r="A67" s="526">
        <v>410</v>
      </c>
      <c r="B67" s="527" t="s">
        <v>613</v>
      </c>
      <c r="C67" s="526">
        <v>410</v>
      </c>
      <c r="D67" s="528" t="s">
        <v>613</v>
      </c>
    </row>
    <row r="68" spans="1:4" ht="14.5" x14ac:dyDescent="0.35">
      <c r="A68" s="526">
        <v>412</v>
      </c>
      <c r="B68" s="527" t="s">
        <v>614</v>
      </c>
      <c r="C68" s="526">
        <v>412</v>
      </c>
      <c r="D68" s="528" t="s">
        <v>614</v>
      </c>
    </row>
    <row r="69" spans="1:4" ht="14.5" x14ac:dyDescent="0.35">
      <c r="A69" s="526">
        <v>414</v>
      </c>
      <c r="B69" s="527" t="s">
        <v>506</v>
      </c>
      <c r="C69" s="526">
        <v>414</v>
      </c>
      <c r="D69" s="528" t="s">
        <v>506</v>
      </c>
    </row>
    <row r="70" spans="1:4" ht="14.5" x14ac:dyDescent="0.35">
      <c r="A70" s="526">
        <v>415</v>
      </c>
      <c r="B70" s="527" t="s">
        <v>615</v>
      </c>
      <c r="C70" s="526">
        <v>415</v>
      </c>
      <c r="D70" s="528" t="s">
        <v>615</v>
      </c>
    </row>
    <row r="71" spans="1:4" ht="14.5" x14ac:dyDescent="0.35">
      <c r="A71" s="526">
        <v>419</v>
      </c>
      <c r="B71" s="527" t="s">
        <v>508</v>
      </c>
      <c r="C71" s="526">
        <v>419</v>
      </c>
      <c r="D71" s="528" t="s">
        <v>508</v>
      </c>
    </row>
    <row r="72" spans="1:4" ht="14.5" x14ac:dyDescent="0.35">
      <c r="A72" s="526">
        <v>420</v>
      </c>
      <c r="B72" s="527" t="s">
        <v>616</v>
      </c>
      <c r="C72" s="526">
        <v>420</v>
      </c>
      <c r="D72" s="528" t="s">
        <v>616</v>
      </c>
    </row>
    <row r="73" spans="1:4" ht="14.5" x14ac:dyDescent="0.35">
      <c r="A73" s="526">
        <v>422</v>
      </c>
      <c r="B73" s="527" t="s">
        <v>510</v>
      </c>
      <c r="C73" s="526">
        <v>422</v>
      </c>
      <c r="D73" s="528" t="s">
        <v>510</v>
      </c>
    </row>
    <row r="74" spans="1:4" ht="14.5" x14ac:dyDescent="0.35">
      <c r="A74" s="526">
        <v>423</v>
      </c>
      <c r="B74" s="527" t="s">
        <v>511</v>
      </c>
      <c r="C74" s="526">
        <v>423</v>
      </c>
      <c r="D74" s="528" t="s">
        <v>511</v>
      </c>
    </row>
    <row r="75" spans="1:4" ht="14.5" x14ac:dyDescent="0.35">
      <c r="A75" s="526">
        <v>425</v>
      </c>
      <c r="B75" s="527" t="s">
        <v>512</v>
      </c>
      <c r="C75" s="526">
        <v>425</v>
      </c>
      <c r="D75" s="528" t="s">
        <v>512</v>
      </c>
    </row>
    <row r="76" spans="1:4" ht="14.5" x14ac:dyDescent="0.35">
      <c r="A76" s="526">
        <v>430</v>
      </c>
      <c r="B76" s="527" t="s">
        <v>617</v>
      </c>
      <c r="C76" s="526">
        <v>430</v>
      </c>
      <c r="D76" s="528" t="s">
        <v>617</v>
      </c>
    </row>
    <row r="77" spans="1:4" ht="14.5" x14ac:dyDescent="0.35">
      <c r="A77" s="529">
        <v>431</v>
      </c>
      <c r="B77" s="530" t="s">
        <v>618</v>
      </c>
      <c r="C77" s="529">
        <v>4311</v>
      </c>
      <c r="D77" s="531" t="s">
        <v>514</v>
      </c>
    </row>
    <row r="78" spans="1:4" ht="14.5" x14ac:dyDescent="0.35">
      <c r="A78" s="529"/>
      <c r="B78" s="530"/>
      <c r="C78" s="529">
        <v>4312</v>
      </c>
      <c r="D78" s="531" t="s">
        <v>619</v>
      </c>
    </row>
    <row r="79" spans="1:4" ht="14.5" x14ac:dyDescent="0.35">
      <c r="A79" s="529"/>
      <c r="B79" s="530"/>
      <c r="C79" s="529">
        <v>4313</v>
      </c>
      <c r="D79" s="531" t="s">
        <v>516</v>
      </c>
    </row>
    <row r="80" spans="1:4" ht="14.5" x14ac:dyDescent="0.35">
      <c r="A80" s="526">
        <v>432</v>
      </c>
      <c r="B80" s="527" t="s">
        <v>620</v>
      </c>
      <c r="C80" s="526">
        <v>432</v>
      </c>
      <c r="D80" s="528" t="s">
        <v>621</v>
      </c>
    </row>
    <row r="81" spans="1:4" ht="14.5" x14ac:dyDescent="0.35">
      <c r="A81" s="526">
        <v>433</v>
      </c>
      <c r="B81" s="527" t="s">
        <v>518</v>
      </c>
      <c r="C81" s="526">
        <v>433</v>
      </c>
      <c r="D81" s="528" t="s">
        <v>518</v>
      </c>
    </row>
    <row r="82" spans="1:4" ht="14.5" x14ac:dyDescent="0.35">
      <c r="A82" s="526">
        <v>439</v>
      </c>
      <c r="B82" s="527" t="s">
        <v>519</v>
      </c>
      <c r="C82" s="526">
        <v>439</v>
      </c>
      <c r="D82" s="528" t="s">
        <v>519</v>
      </c>
    </row>
    <row r="83" spans="1:4" ht="14.5" x14ac:dyDescent="0.35">
      <c r="A83" s="526">
        <v>440</v>
      </c>
      <c r="B83" s="527" t="s">
        <v>622</v>
      </c>
      <c r="C83" s="526">
        <v>440</v>
      </c>
      <c r="D83" s="528" t="s">
        <v>622</v>
      </c>
    </row>
    <row r="84" spans="1:4" ht="14.5" x14ac:dyDescent="0.35">
      <c r="A84" s="529">
        <v>441</v>
      </c>
      <c r="B84" s="530" t="s">
        <v>623</v>
      </c>
      <c r="C84" s="529">
        <v>4411</v>
      </c>
      <c r="D84" s="531" t="s">
        <v>624</v>
      </c>
    </row>
    <row r="85" spans="1:4" ht="14.5" x14ac:dyDescent="0.35">
      <c r="A85" s="529"/>
      <c r="B85" s="530"/>
      <c r="C85" s="529">
        <v>4412</v>
      </c>
      <c r="D85" s="531" t="s">
        <v>625</v>
      </c>
    </row>
    <row r="86" spans="1:4" ht="14.5" x14ac:dyDescent="0.35">
      <c r="A86" s="526">
        <v>442</v>
      </c>
      <c r="B86" s="527" t="s">
        <v>626</v>
      </c>
      <c r="C86" s="526">
        <v>442</v>
      </c>
      <c r="D86" s="528" t="s">
        <v>626</v>
      </c>
    </row>
    <row r="87" spans="1:4" ht="14.5" x14ac:dyDescent="0.35">
      <c r="A87" s="544"/>
      <c r="B87" s="522"/>
      <c r="C87" s="491">
        <v>443</v>
      </c>
      <c r="D87" s="548" t="s">
        <v>524</v>
      </c>
    </row>
    <row r="88" spans="1:4" ht="14.5" x14ac:dyDescent="0.35">
      <c r="A88" s="526">
        <v>450</v>
      </c>
      <c r="B88" s="527" t="s">
        <v>627</v>
      </c>
      <c r="C88" s="526">
        <v>450</v>
      </c>
      <c r="D88" s="528" t="s">
        <v>627</v>
      </c>
    </row>
    <row r="89" spans="1:4" ht="14.5" x14ac:dyDescent="0.35">
      <c r="A89" s="526">
        <v>452</v>
      </c>
      <c r="B89" s="527" t="s">
        <v>526</v>
      </c>
      <c r="C89" s="526">
        <v>452</v>
      </c>
      <c r="D89" s="528" t="s">
        <v>526</v>
      </c>
    </row>
    <row r="90" spans="1:4" ht="14.5" x14ac:dyDescent="0.35">
      <c r="A90" s="526">
        <v>453</v>
      </c>
      <c r="B90" s="527" t="s">
        <v>527</v>
      </c>
      <c r="C90" s="526">
        <v>453</v>
      </c>
      <c r="D90" s="528" t="s">
        <v>527</v>
      </c>
    </row>
    <row r="91" spans="1:4" ht="14.5" x14ac:dyDescent="0.35">
      <c r="A91" s="526">
        <v>454</v>
      </c>
      <c r="B91" s="527" t="s">
        <v>528</v>
      </c>
      <c r="C91" s="526">
        <v>454</v>
      </c>
      <c r="D91" s="528" t="s">
        <v>528</v>
      </c>
    </row>
    <row r="92" spans="1:4" ht="14.5" x14ac:dyDescent="0.35">
      <c r="A92" s="526">
        <v>459</v>
      </c>
      <c r="B92" s="527" t="s">
        <v>628</v>
      </c>
      <c r="C92" s="526">
        <v>459</v>
      </c>
      <c r="D92" s="528" t="s">
        <v>628</v>
      </c>
    </row>
    <row r="93" spans="1:4" ht="14.5" x14ac:dyDescent="0.35">
      <c r="A93" s="526">
        <v>462</v>
      </c>
      <c r="B93" s="527" t="s">
        <v>629</v>
      </c>
      <c r="C93" s="526">
        <v>462</v>
      </c>
      <c r="D93" s="528" t="s">
        <v>629</v>
      </c>
    </row>
    <row r="94" spans="1:4" ht="14.5" x14ac:dyDescent="0.35">
      <c r="A94" s="526">
        <v>463</v>
      </c>
      <c r="B94" s="527" t="s">
        <v>630</v>
      </c>
      <c r="C94" s="526">
        <v>463</v>
      </c>
      <c r="D94" s="528" t="s">
        <v>630</v>
      </c>
    </row>
    <row r="95" spans="1:4" ht="14.5" x14ac:dyDescent="0.35">
      <c r="A95" s="526">
        <v>491</v>
      </c>
      <c r="B95" s="527" t="s">
        <v>532</v>
      </c>
      <c r="C95" s="526">
        <v>491</v>
      </c>
      <c r="D95" s="528" t="s">
        <v>532</v>
      </c>
    </row>
    <row r="96" spans="1:4" ht="14.5" x14ac:dyDescent="0.35">
      <c r="A96" s="526">
        <v>492</v>
      </c>
      <c r="B96" s="527" t="s">
        <v>533</v>
      </c>
      <c r="C96" s="526">
        <v>492</v>
      </c>
      <c r="D96" s="528" t="s">
        <v>533</v>
      </c>
    </row>
    <row r="97" spans="1:4" ht="14.5" x14ac:dyDescent="0.35">
      <c r="A97" s="526">
        <v>493</v>
      </c>
      <c r="B97" s="527" t="s">
        <v>534</v>
      </c>
      <c r="C97" s="526">
        <v>493</v>
      </c>
      <c r="D97" s="528" t="s">
        <v>631</v>
      </c>
    </row>
    <row r="98" spans="1:4" ht="14.5" x14ac:dyDescent="0.35">
      <c r="A98" s="526">
        <v>912</v>
      </c>
      <c r="B98" s="527" t="s">
        <v>535</v>
      </c>
      <c r="C98" s="526">
        <v>912</v>
      </c>
      <c r="D98" s="528" t="s">
        <v>535</v>
      </c>
    </row>
    <row r="99" spans="1:4" ht="14.5" x14ac:dyDescent="0.35">
      <c r="A99" s="526">
        <v>920</v>
      </c>
      <c r="B99" s="527" t="s">
        <v>632</v>
      </c>
      <c r="C99" s="526">
        <v>920</v>
      </c>
      <c r="D99" s="528" t="s">
        <v>632</v>
      </c>
    </row>
    <row r="100" spans="1:4" ht="14.5" x14ac:dyDescent="0.35">
      <c r="A100" s="526">
        <v>922</v>
      </c>
      <c r="B100" s="527" t="s">
        <v>633</v>
      </c>
      <c r="C100" s="526">
        <v>922</v>
      </c>
      <c r="D100" s="528" t="s">
        <v>633</v>
      </c>
    </row>
    <row r="101" spans="1:4" ht="14.5" x14ac:dyDescent="0.35">
      <c r="A101" s="532">
        <v>923</v>
      </c>
      <c r="B101" s="533" t="s">
        <v>538</v>
      </c>
      <c r="C101" s="532">
        <v>9231</v>
      </c>
      <c r="D101" s="534" t="s">
        <v>539</v>
      </c>
    </row>
    <row r="102" spans="1:4" ht="14.5" x14ac:dyDescent="0.35">
      <c r="A102" s="526">
        <v>924</v>
      </c>
      <c r="B102" s="527" t="s">
        <v>540</v>
      </c>
      <c r="C102" s="526">
        <v>924</v>
      </c>
      <c r="D102" s="528" t="s">
        <v>540</v>
      </c>
    </row>
    <row r="103" spans="1:4" ht="14.5" x14ac:dyDescent="0.35">
      <c r="A103" s="526">
        <v>925</v>
      </c>
      <c r="B103" s="527" t="s">
        <v>541</v>
      </c>
      <c r="C103" s="526">
        <v>925</v>
      </c>
      <c r="D103" s="528" t="s">
        <v>541</v>
      </c>
    </row>
    <row r="104" spans="1:4" ht="14.5" x14ac:dyDescent="0.35">
      <c r="A104" s="526">
        <v>926</v>
      </c>
      <c r="B104" s="527" t="s">
        <v>542</v>
      </c>
      <c r="C104" s="526">
        <v>926</v>
      </c>
      <c r="D104" s="528" t="s">
        <v>542</v>
      </c>
    </row>
    <row r="105" spans="1:4" ht="14.5" x14ac:dyDescent="0.35">
      <c r="A105" s="526">
        <v>929</v>
      </c>
      <c r="B105" s="527" t="s">
        <v>634</v>
      </c>
      <c r="C105" s="526">
        <v>929</v>
      </c>
      <c r="D105" s="528" t="s">
        <v>634</v>
      </c>
    </row>
    <row r="106" spans="1:4" ht="14.5" x14ac:dyDescent="0.35">
      <c r="A106" s="526">
        <v>931</v>
      </c>
      <c r="B106" s="527" t="s">
        <v>544</v>
      </c>
      <c r="C106" s="526">
        <v>931</v>
      </c>
      <c r="D106" s="528" t="s">
        <v>544</v>
      </c>
    </row>
    <row r="107" spans="1:4" ht="14.5" x14ac:dyDescent="0.35">
      <c r="A107" s="526">
        <v>932</v>
      </c>
      <c r="B107" s="527" t="s">
        <v>545</v>
      </c>
      <c r="C107" s="526">
        <v>932</v>
      </c>
      <c r="D107" s="528" t="s">
        <v>545</v>
      </c>
    </row>
    <row r="108" spans="1:4" ht="14.5" x14ac:dyDescent="0.35">
      <c r="A108" s="526">
        <v>933</v>
      </c>
      <c r="B108" s="527" t="s">
        <v>635</v>
      </c>
      <c r="C108" s="526">
        <v>933</v>
      </c>
      <c r="D108" s="528" t="s">
        <v>635</v>
      </c>
    </row>
    <row r="109" spans="1:4" ht="14.5" x14ac:dyDescent="0.35">
      <c r="A109" s="526">
        <v>934</v>
      </c>
      <c r="B109" s="527" t="s">
        <v>547</v>
      </c>
      <c r="C109" s="526">
        <v>934</v>
      </c>
      <c r="D109" s="528" t="s">
        <v>547</v>
      </c>
    </row>
    <row r="110" spans="1:4" ht="14.5" x14ac:dyDescent="0.35">
      <c r="A110" s="526">
        <v>941</v>
      </c>
      <c r="B110" s="527" t="s">
        <v>636</v>
      </c>
      <c r="C110" s="526">
        <v>941</v>
      </c>
      <c r="D110" s="528" t="s">
        <v>636</v>
      </c>
    </row>
    <row r="111" spans="1:4" ht="14.5" x14ac:dyDescent="0.35">
      <c r="A111" s="526">
        <v>942</v>
      </c>
      <c r="B111" s="527" t="s">
        <v>637</v>
      </c>
      <c r="C111" s="526">
        <v>942</v>
      </c>
      <c r="D111" s="528" t="s">
        <v>637</v>
      </c>
    </row>
    <row r="112" spans="1:4" ht="14.5" x14ac:dyDescent="0.35">
      <c r="A112" s="526">
        <v>943</v>
      </c>
      <c r="B112" s="527" t="s">
        <v>638</v>
      </c>
      <c r="C112" s="526">
        <v>943</v>
      </c>
      <c r="D112" s="528" t="s">
        <v>639</v>
      </c>
    </row>
    <row r="113" spans="1:4" ht="14.5" x14ac:dyDescent="0.35">
      <c r="A113" s="526">
        <v>944</v>
      </c>
      <c r="B113" s="527" t="s">
        <v>640</v>
      </c>
      <c r="C113" s="526">
        <v>944</v>
      </c>
      <c r="D113" s="528" t="s">
        <v>640</v>
      </c>
    </row>
    <row r="114" spans="1:4" ht="15" thickBot="1" x14ac:dyDescent="0.4">
      <c r="A114" s="549" t="s">
        <v>365</v>
      </c>
      <c r="B114" s="550" t="s">
        <v>370</v>
      </c>
      <c r="C114" s="549" t="s">
        <v>365</v>
      </c>
      <c r="D114" s="551" t="s">
        <v>370</v>
      </c>
    </row>
  </sheetData>
  <sheetProtection password="CAF1" sheet="1"/>
  <mergeCells count="2">
    <mergeCell ref="C40:C43"/>
    <mergeCell ref="D40:D43"/>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Roman,Normal"&amp;12Pàgina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6"/>
  <dimension ref="B1:F29"/>
  <sheetViews>
    <sheetView zoomScale="80" zoomScaleNormal="80" zoomScalePageLayoutView="110" workbookViewId="0">
      <selection sqref="A1:XFD1048576"/>
    </sheetView>
  </sheetViews>
  <sheetFormatPr baseColWidth="10" defaultColWidth="11.36328125" defaultRowHeight="12.5" x14ac:dyDescent="0.25"/>
  <cols>
    <col min="2" max="2" width="43.26953125" bestFit="1" customWidth="1"/>
    <col min="3" max="3" width="24.36328125" bestFit="1" customWidth="1"/>
    <col min="4" max="4" width="40" customWidth="1"/>
  </cols>
  <sheetData>
    <row r="1" spans="2:4" ht="14" x14ac:dyDescent="0.3">
      <c r="B1" s="479" t="s">
        <v>647</v>
      </c>
      <c r="C1" s="800" t="s">
        <v>729</v>
      </c>
    </row>
    <row r="2" spans="2:4" ht="14" x14ac:dyDescent="0.3">
      <c r="B2" s="483" t="s">
        <v>427</v>
      </c>
      <c r="C2" s="800">
        <v>2025</v>
      </c>
    </row>
    <row r="5" spans="2:4" ht="13" x14ac:dyDescent="0.3">
      <c r="B5" s="471"/>
      <c r="C5" s="482" t="s">
        <v>414</v>
      </c>
      <c r="D5" s="474"/>
    </row>
    <row r="6" spans="2:4" x14ac:dyDescent="0.25">
      <c r="B6" s="471"/>
      <c r="C6" s="471"/>
      <c r="D6" s="471"/>
    </row>
    <row r="7" spans="2:4" ht="14" x14ac:dyDescent="0.3">
      <c r="B7" s="480" t="s">
        <v>412</v>
      </c>
      <c r="C7" s="477" t="s">
        <v>861</v>
      </c>
      <c r="D7" s="476" t="str">
        <f>CONCATENATE(+$C$26,", ",+C7)</f>
        <v>Guimerà, 21 de maig de 2025</v>
      </c>
    </row>
    <row r="8" spans="2:4" ht="14" x14ac:dyDescent="0.3">
      <c r="B8" s="478" t="s">
        <v>407</v>
      </c>
      <c r="C8" s="477" t="s">
        <v>861</v>
      </c>
      <c r="D8" s="476" t="str">
        <f t="shared" ref="D8:D22" si="0">CONCATENATE(+$C$26,", ",+C8)</f>
        <v>Guimerà, 21 de maig de 2025</v>
      </c>
    </row>
    <row r="9" spans="2:4" ht="14" x14ac:dyDescent="0.3">
      <c r="B9" s="481" t="s">
        <v>406</v>
      </c>
      <c r="C9" s="477" t="s">
        <v>861</v>
      </c>
      <c r="D9" s="476" t="str">
        <f t="shared" si="0"/>
        <v>Guimerà, 21 de maig de 2025</v>
      </c>
    </row>
    <row r="10" spans="2:4" ht="14" x14ac:dyDescent="0.3">
      <c r="B10" s="481" t="s">
        <v>403</v>
      </c>
      <c r="C10" s="477" t="s">
        <v>861</v>
      </c>
      <c r="D10" s="476" t="str">
        <f t="shared" si="0"/>
        <v>Guimerà, 21 de maig de 2025</v>
      </c>
    </row>
    <row r="11" spans="2:4" ht="14" x14ac:dyDescent="0.3">
      <c r="B11" s="481" t="s">
        <v>401</v>
      </c>
      <c r="C11" s="477" t="s">
        <v>861</v>
      </c>
      <c r="D11" s="476" t="str">
        <f t="shared" si="0"/>
        <v>Guimerà, 21 de maig de 2025</v>
      </c>
    </row>
    <row r="12" spans="2:4" ht="14" x14ac:dyDescent="0.3">
      <c r="B12" s="481" t="s">
        <v>399</v>
      </c>
      <c r="C12" s="477" t="s">
        <v>861</v>
      </c>
      <c r="D12" s="476" t="str">
        <f t="shared" si="0"/>
        <v>Guimerà, 21 de maig de 2025</v>
      </c>
    </row>
    <row r="13" spans="2:4" ht="14" x14ac:dyDescent="0.3">
      <c r="B13" s="478" t="s">
        <v>397</v>
      </c>
      <c r="C13" s="477" t="s">
        <v>861</v>
      </c>
      <c r="D13" s="476" t="str">
        <f t="shared" si="0"/>
        <v>Guimerà, 21 de maig de 2025</v>
      </c>
    </row>
    <row r="14" spans="2:4" ht="14" x14ac:dyDescent="0.3">
      <c r="B14" s="478" t="s">
        <v>396</v>
      </c>
      <c r="C14" s="477" t="s">
        <v>861</v>
      </c>
      <c r="D14" s="476" t="str">
        <f t="shared" si="0"/>
        <v>Guimerà, 21 de maig de 2025</v>
      </c>
    </row>
    <row r="15" spans="2:4" ht="14" x14ac:dyDescent="0.3">
      <c r="B15" s="480" t="s">
        <v>394</v>
      </c>
      <c r="C15" s="477" t="s">
        <v>861</v>
      </c>
      <c r="D15" s="476" t="str">
        <f t="shared" si="0"/>
        <v>Guimerà, 21 de maig de 2025</v>
      </c>
    </row>
    <row r="16" spans="2:4" ht="14" x14ac:dyDescent="0.3">
      <c r="B16" s="478" t="s">
        <v>392</v>
      </c>
      <c r="C16" s="477" t="s">
        <v>861</v>
      </c>
      <c r="D16" s="476" t="str">
        <f t="shared" si="0"/>
        <v>Guimerà, 21 de maig de 2025</v>
      </c>
    </row>
    <row r="17" spans="2:6" ht="14" x14ac:dyDescent="0.3">
      <c r="B17" s="478" t="s">
        <v>390</v>
      </c>
      <c r="C17" s="477" t="s">
        <v>862</v>
      </c>
      <c r="D17" s="476" t="str">
        <f t="shared" si="0"/>
        <v>Guimerà, 16 de juny de 2025</v>
      </c>
    </row>
    <row r="18" spans="2:6" ht="14" x14ac:dyDescent="0.3">
      <c r="B18" s="478" t="s">
        <v>388</v>
      </c>
      <c r="C18" s="477" t="s">
        <v>862</v>
      </c>
      <c r="D18" s="476" t="str">
        <f t="shared" si="0"/>
        <v>Guimerà, 16 de juny de 2025</v>
      </c>
    </row>
    <row r="19" spans="2:6" ht="14" x14ac:dyDescent="0.3">
      <c r="B19" s="478" t="s">
        <v>452</v>
      </c>
      <c r="C19" s="477" t="s">
        <v>863</v>
      </c>
      <c r="D19" s="476" t="str">
        <f t="shared" si="0"/>
        <v>Guimerà, 23 de juny de 2024</v>
      </c>
    </row>
    <row r="20" spans="2:6" ht="14" x14ac:dyDescent="0.3">
      <c r="B20" s="478" t="s">
        <v>385</v>
      </c>
      <c r="C20" s="477" t="s">
        <v>864</v>
      </c>
      <c r="D20" s="476" t="str">
        <f t="shared" si="0"/>
        <v>Guimerà, 21 de juliol de 2024</v>
      </c>
    </row>
    <row r="21" spans="2:6" ht="14" x14ac:dyDescent="0.3">
      <c r="B21" s="478" t="s">
        <v>383</v>
      </c>
      <c r="C21" s="477" t="s">
        <v>864</v>
      </c>
      <c r="D21" s="476" t="str">
        <f t="shared" si="0"/>
        <v>Guimerà, 21 de juliol de 2024</v>
      </c>
    </row>
    <row r="22" spans="2:6" ht="14" x14ac:dyDescent="0.3">
      <c r="B22" s="478" t="s">
        <v>381</v>
      </c>
      <c r="C22" s="477" t="s">
        <v>864</v>
      </c>
      <c r="D22" s="476" t="str">
        <f t="shared" si="0"/>
        <v>Guimerà, 21 de juliol de 2024</v>
      </c>
    </row>
    <row r="23" spans="2:6" ht="14" x14ac:dyDescent="0.3">
      <c r="B23" s="475" t="s">
        <v>865</v>
      </c>
      <c r="C23" s="503" t="s">
        <v>730</v>
      </c>
      <c r="D23" s="475" t="s">
        <v>866</v>
      </c>
    </row>
    <row r="24" spans="2:6" ht="14" x14ac:dyDescent="0.3">
      <c r="B24" s="475" t="s">
        <v>708</v>
      </c>
      <c r="C24" s="503" t="s">
        <v>731</v>
      </c>
      <c r="D24" s="475" t="s">
        <v>656</v>
      </c>
      <c r="E24" s="631"/>
      <c r="F24" s="554"/>
    </row>
    <row r="25" spans="2:6" ht="14" x14ac:dyDescent="0.3">
      <c r="B25" s="476" t="s">
        <v>377</v>
      </c>
      <c r="C25" s="475" t="s">
        <v>732</v>
      </c>
      <c r="D25" s="476"/>
    </row>
    <row r="26" spans="2:6" ht="14" x14ac:dyDescent="0.3">
      <c r="B26" s="471" t="s">
        <v>451</v>
      </c>
      <c r="C26" s="475" t="str">
        <f>+C1</f>
        <v>Guimerà</v>
      </c>
      <c r="D26" s="476"/>
    </row>
    <row r="27" spans="2:6" ht="14" x14ac:dyDescent="0.3">
      <c r="B27" t="s">
        <v>668</v>
      </c>
      <c r="C27" s="635">
        <v>3.3000000000000002E-2</v>
      </c>
    </row>
    <row r="29" spans="2:6" x14ac:dyDescent="0.25">
      <c r="D29" s="762"/>
    </row>
  </sheetData>
  <sheetProtection algorithmName="SHA-512" hashValue="1ZcWZoj3vsnQmQJGnk1D7kqTRWbdvcs09JYSDjzjEaFBYdf74/nqZ1ekurSxdp4WUlS2vK1MUAPTwmz10/Xs8Q==" saltValue="Y0TdD7RwsnKbyiB+JEgYj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Z209"/>
  <sheetViews>
    <sheetView topLeftCell="A133" zoomScale="90" zoomScaleNormal="90" zoomScalePageLayoutView="110" workbookViewId="0">
      <selection activeCell="F172" sqref="F172"/>
    </sheetView>
  </sheetViews>
  <sheetFormatPr baseColWidth="10" defaultColWidth="11.36328125" defaultRowHeight="12.5" x14ac:dyDescent="0.25"/>
  <cols>
    <col min="1" max="1" width="2.36328125" style="570" customWidth="1"/>
    <col min="2" max="2" width="2" style="570" customWidth="1"/>
    <col min="3" max="3" width="4.81640625" style="571" customWidth="1"/>
    <col min="4" max="4" width="39.08984375" style="570" customWidth="1"/>
    <col min="5" max="7" width="12.81640625" style="570" customWidth="1"/>
    <col min="8" max="9" width="12.7265625" style="570" customWidth="1"/>
    <col min="10" max="10" width="3.7265625" style="570" customWidth="1"/>
    <col min="11" max="11" width="23.7265625" style="570" customWidth="1"/>
    <col min="12" max="12" width="12" style="570" bestFit="1" customWidth="1"/>
    <col min="13" max="13" width="4.08984375" style="570" customWidth="1"/>
    <col min="14" max="14" width="6.36328125" style="570" customWidth="1"/>
    <col min="15" max="15" width="23.7265625" style="570" customWidth="1"/>
    <col min="16" max="16" width="12.7265625" style="570" customWidth="1"/>
    <col min="17" max="17" width="20" style="570" bestFit="1" customWidth="1"/>
    <col min="18" max="18" width="14.08984375" style="570" bestFit="1" customWidth="1"/>
    <col min="19" max="19" width="12.7265625" style="570" customWidth="1"/>
    <col min="20" max="21" width="11.36328125" style="570"/>
    <col min="22" max="22" width="29.7265625" style="570" bestFit="1" customWidth="1"/>
    <col min="23" max="16384" width="11.36328125" style="570"/>
  </cols>
  <sheetData>
    <row r="1" spans="2:19" ht="13" x14ac:dyDescent="0.3">
      <c r="D1" s="572" t="s">
        <v>662</v>
      </c>
    </row>
    <row r="2" spans="2:19" ht="13" x14ac:dyDescent="0.3">
      <c r="D2" s="573" t="s">
        <v>427</v>
      </c>
      <c r="E2" s="559">
        <f>+'dades expedient'!C2</f>
        <v>2025</v>
      </c>
      <c r="O2" s="665"/>
    </row>
    <row r="3" spans="2:19" ht="13" x14ac:dyDescent="0.3">
      <c r="D3" s="572"/>
      <c r="O3" s="665"/>
    </row>
    <row r="4" spans="2:19" ht="13" x14ac:dyDescent="0.3">
      <c r="B4" s="560"/>
      <c r="C4" s="561"/>
      <c r="D4" s="562" t="s">
        <v>299</v>
      </c>
      <c r="E4" s="563"/>
      <c r="F4" s="560"/>
      <c r="G4" s="560"/>
      <c r="H4" s="560"/>
      <c r="I4" s="560"/>
      <c r="J4" s="560"/>
      <c r="K4" s="560"/>
      <c r="L4" s="560"/>
      <c r="M4" s="560"/>
      <c r="N4" s="560"/>
      <c r="O4" s="666"/>
      <c r="P4" s="560"/>
      <c r="Q4" s="560"/>
      <c r="R4" s="560"/>
      <c r="S4" s="560"/>
    </row>
    <row r="5" spans="2:19" ht="13.5" thickBot="1" x14ac:dyDescent="0.35">
      <c r="D5" s="572"/>
      <c r="O5" s="665"/>
    </row>
    <row r="6" spans="2:19" ht="13.5" thickBot="1" x14ac:dyDescent="0.35">
      <c r="B6" s="574"/>
      <c r="C6" s="575"/>
      <c r="D6" s="576"/>
      <c r="E6" s="577"/>
      <c r="F6" s="577"/>
      <c r="G6" s="577"/>
      <c r="H6" s="578"/>
      <c r="J6" s="579" t="s">
        <v>380</v>
      </c>
      <c r="K6" s="579" t="s">
        <v>350</v>
      </c>
      <c r="L6" s="589" t="s">
        <v>387</v>
      </c>
      <c r="N6" s="579" t="s">
        <v>380</v>
      </c>
      <c r="O6" s="579" t="s">
        <v>350</v>
      </c>
      <c r="P6" s="589" t="s">
        <v>387</v>
      </c>
    </row>
    <row r="7" spans="2:19" ht="13" x14ac:dyDescent="0.3">
      <c r="B7" s="581"/>
      <c r="D7" s="572" t="s">
        <v>366</v>
      </c>
      <c r="E7" s="582">
        <f>+'dades expedient'!C2</f>
        <v>2025</v>
      </c>
      <c r="F7" s="582">
        <f>+E7-1</f>
        <v>2024</v>
      </c>
      <c r="G7" s="582">
        <f>+F7</f>
        <v>2024</v>
      </c>
      <c r="H7" s="583"/>
      <c r="J7" s="584"/>
      <c r="K7" s="584"/>
      <c r="L7" s="585"/>
      <c r="N7" s="584"/>
      <c r="O7" s="584"/>
      <c r="P7" s="585"/>
    </row>
    <row r="8" spans="2:19" ht="13" x14ac:dyDescent="0.3">
      <c r="B8" s="581"/>
      <c r="E8" s="582"/>
      <c r="F8" s="582"/>
      <c r="G8" s="582" t="s">
        <v>421</v>
      </c>
      <c r="H8" s="583"/>
      <c r="J8" s="586">
        <v>1</v>
      </c>
      <c r="K8" s="587" t="s">
        <v>402</v>
      </c>
      <c r="L8" s="588">
        <f t="shared" ref="L8:L16" si="0">+E11</f>
        <v>107600</v>
      </c>
      <c r="N8" s="586">
        <v>1</v>
      </c>
      <c r="O8" s="587" t="s">
        <v>379</v>
      </c>
      <c r="P8" s="588">
        <f t="shared" ref="P8:P16" si="1">+E27</f>
        <v>155889</v>
      </c>
    </row>
    <row r="9" spans="2:19" ht="13" x14ac:dyDescent="0.3">
      <c r="B9" s="581"/>
      <c r="C9" s="589"/>
      <c r="D9" s="590" t="s">
        <v>127</v>
      </c>
      <c r="E9" s="589" t="s">
        <v>387</v>
      </c>
      <c r="F9" s="589" t="s">
        <v>387</v>
      </c>
      <c r="G9" s="589" t="s">
        <v>420</v>
      </c>
      <c r="H9" s="583"/>
      <c r="J9" s="586">
        <v>2</v>
      </c>
      <c r="K9" s="587" t="s">
        <v>400</v>
      </c>
      <c r="L9" s="588">
        <f t="shared" si="0"/>
        <v>5000</v>
      </c>
      <c r="N9" s="586">
        <v>2</v>
      </c>
      <c r="O9" s="587" t="s">
        <v>378</v>
      </c>
      <c r="P9" s="588">
        <f t="shared" si="1"/>
        <v>274514</v>
      </c>
    </row>
    <row r="10" spans="2:19" ht="13" x14ac:dyDescent="0.3">
      <c r="B10" s="581"/>
      <c r="C10" s="582"/>
      <c r="D10" s="582"/>
      <c r="E10" s="582"/>
      <c r="F10" s="582"/>
      <c r="G10" s="582"/>
      <c r="H10" s="583"/>
      <c r="I10" s="570" t="s">
        <v>145</v>
      </c>
      <c r="J10" s="586">
        <v>3</v>
      </c>
      <c r="K10" s="587" t="s">
        <v>398</v>
      </c>
      <c r="L10" s="588">
        <f t="shared" si="0"/>
        <v>174842</v>
      </c>
      <c r="N10" s="586">
        <v>3</v>
      </c>
      <c r="O10" s="587" t="s">
        <v>376</v>
      </c>
      <c r="P10" s="588">
        <f t="shared" si="1"/>
        <v>11000</v>
      </c>
    </row>
    <row r="11" spans="2:19" x14ac:dyDescent="0.25">
      <c r="B11" s="581"/>
      <c r="C11" s="571">
        <v>1</v>
      </c>
      <c r="D11" s="570" t="s">
        <v>402</v>
      </c>
      <c r="E11" s="655">
        <f>SUMIF(INGRESSOS!$F$6:$F$190,+C11,INGRESSOS!$D$6:$D$190)</f>
        <v>107600</v>
      </c>
      <c r="F11" s="655">
        <f>SUMIF(INGRESSOS!$F$6:$F$190,+C11,INGRESSOS!$E$6:$E$190)</f>
        <v>106400</v>
      </c>
      <c r="G11" s="591">
        <v>106725.1</v>
      </c>
      <c r="H11" s="583"/>
      <c r="I11" s="591"/>
      <c r="J11" s="586">
        <v>4</v>
      </c>
      <c r="K11" s="587" t="s">
        <v>375</v>
      </c>
      <c r="L11" s="588">
        <f t="shared" si="0"/>
        <v>174621</v>
      </c>
      <c r="N11" s="586">
        <v>4</v>
      </c>
      <c r="O11" s="587" t="s">
        <v>375</v>
      </c>
      <c r="P11" s="588">
        <f t="shared" si="1"/>
        <v>5100</v>
      </c>
    </row>
    <row r="12" spans="2:19" x14ac:dyDescent="0.25">
      <c r="B12" s="581"/>
      <c r="C12" s="571">
        <v>2</v>
      </c>
      <c r="D12" s="570" t="s">
        <v>400</v>
      </c>
      <c r="E12" s="655">
        <f>SUMIF(INGRESSOS!$F$6:$F$190,+C12,INGRESSOS!$D$6:$D$190)</f>
        <v>5000</v>
      </c>
      <c r="F12" s="655">
        <f>SUMIF(INGRESSOS!$F$6:$F$190,+C12,INGRESSOS!$E$6:$E$190)</f>
        <v>5000</v>
      </c>
      <c r="G12" s="591">
        <v>17241.77</v>
      </c>
      <c r="H12" s="583"/>
      <c r="I12" s="591"/>
      <c r="J12" s="586">
        <v>5</v>
      </c>
      <c r="K12" s="587" t="s">
        <v>395</v>
      </c>
      <c r="L12" s="588">
        <f t="shared" si="0"/>
        <v>14000</v>
      </c>
      <c r="N12" s="571">
        <v>5</v>
      </c>
      <c r="O12" s="592" t="s">
        <v>416</v>
      </c>
      <c r="P12" s="591">
        <f t="shared" si="1"/>
        <v>500</v>
      </c>
    </row>
    <row r="13" spans="2:19" ht="12" customHeight="1" x14ac:dyDescent="0.25">
      <c r="B13" s="581"/>
      <c r="C13" s="571">
        <v>3</v>
      </c>
      <c r="D13" s="570" t="s">
        <v>398</v>
      </c>
      <c r="E13" s="655">
        <f>SUMIF(INGRESSOS!$F$6:$F$190,+C13,INGRESSOS!$D$6:$D$190)</f>
        <v>174842</v>
      </c>
      <c r="F13" s="655">
        <f>SUMIF(INGRESSOS!$F$6:$F$190,+C13,INGRESSOS!$E$6:$E$190)</f>
        <v>168750</v>
      </c>
      <c r="G13" s="591">
        <v>190762.39</v>
      </c>
      <c r="H13" s="583"/>
      <c r="I13" s="591"/>
      <c r="J13" s="586">
        <v>6</v>
      </c>
      <c r="K13" s="587" t="s">
        <v>393</v>
      </c>
      <c r="L13" s="588">
        <f t="shared" si="0"/>
        <v>0</v>
      </c>
      <c r="N13" s="586">
        <v>6</v>
      </c>
      <c r="O13" s="587" t="s">
        <v>374</v>
      </c>
      <c r="P13" s="588">
        <f t="shared" si="1"/>
        <v>157890</v>
      </c>
    </row>
    <row r="14" spans="2:19" x14ac:dyDescent="0.25">
      <c r="B14" s="581"/>
      <c r="C14" s="571">
        <v>4</v>
      </c>
      <c r="D14" s="570" t="s">
        <v>375</v>
      </c>
      <c r="E14" s="655">
        <f>SUMIF(INGRESSOS!$F$6:$F$190,+C14,INGRESSOS!$D$6:$D$190)</f>
        <v>174621</v>
      </c>
      <c r="F14" s="655">
        <f>SUMIF(INGRESSOS!$F$6:$F$190,+C14,INGRESSOS!$E$6:$E$190)</f>
        <v>160744</v>
      </c>
      <c r="G14" s="591">
        <v>164740.1</v>
      </c>
      <c r="H14" s="583"/>
      <c r="I14" s="591"/>
      <c r="J14" s="586">
        <v>7</v>
      </c>
      <c r="K14" s="587" t="s">
        <v>373</v>
      </c>
      <c r="L14" s="588">
        <f t="shared" si="0"/>
        <v>151330</v>
      </c>
      <c r="N14" s="586">
        <v>7</v>
      </c>
      <c r="O14" s="587" t="s">
        <v>373</v>
      </c>
      <c r="P14" s="588">
        <f t="shared" si="1"/>
        <v>0</v>
      </c>
    </row>
    <row r="15" spans="2:19" x14ac:dyDescent="0.25">
      <c r="B15" s="581"/>
      <c r="C15" s="571">
        <v>5</v>
      </c>
      <c r="D15" s="570" t="s">
        <v>395</v>
      </c>
      <c r="E15" s="655">
        <f>SUMIF(INGRESSOS!$F$6:$F$190,+C15,INGRESSOS!$D$6:$D$190)</f>
        <v>14000</v>
      </c>
      <c r="F15" s="655">
        <f>SUMIF(INGRESSOS!$F$6:$F$190,+C15,INGRESSOS!$E$6:$E$190)</f>
        <v>12600</v>
      </c>
      <c r="G15" s="591">
        <v>45655.38</v>
      </c>
      <c r="H15" s="583"/>
      <c r="I15" s="591"/>
      <c r="J15" s="586">
        <v>8</v>
      </c>
      <c r="K15" s="587" t="s">
        <v>371</v>
      </c>
      <c r="L15" s="588">
        <f t="shared" si="0"/>
        <v>0</v>
      </c>
      <c r="N15" s="586">
        <v>8</v>
      </c>
      <c r="O15" s="587" t="s">
        <v>371</v>
      </c>
      <c r="P15" s="588">
        <f t="shared" si="1"/>
        <v>0</v>
      </c>
    </row>
    <row r="16" spans="2:19" x14ac:dyDescent="0.25">
      <c r="B16" s="581"/>
      <c r="C16" s="571">
        <v>6</v>
      </c>
      <c r="D16" s="570" t="s">
        <v>393</v>
      </c>
      <c r="E16" s="655">
        <f>SUMIF(INGRESSOS!$F$6:$F$190,+C16,INGRESSOS!$D$6:$D$190)</f>
        <v>0</v>
      </c>
      <c r="F16" s="655">
        <f>SUMIF(INGRESSOS!$F$6:$F$190,+C16,INGRESSOS!$E$6:$E$190)</f>
        <v>0</v>
      </c>
      <c r="G16" s="591">
        <v>0</v>
      </c>
      <c r="H16" s="583"/>
      <c r="J16" s="586">
        <v>9</v>
      </c>
      <c r="K16" s="587" t="s">
        <v>369</v>
      </c>
      <c r="L16" s="588">
        <f t="shared" si="0"/>
        <v>0</v>
      </c>
      <c r="N16" s="586">
        <v>9</v>
      </c>
      <c r="O16" s="587" t="s">
        <v>369</v>
      </c>
      <c r="P16" s="588">
        <f t="shared" si="1"/>
        <v>22500</v>
      </c>
    </row>
    <row r="17" spans="2:17" ht="13" thickBot="1" x14ac:dyDescent="0.3">
      <c r="B17" s="581"/>
      <c r="C17" s="571">
        <v>7</v>
      </c>
      <c r="D17" s="570" t="s">
        <v>373</v>
      </c>
      <c r="E17" s="655">
        <f>SUMIF(INGRESSOS!$F$6:$F$190,+C17,INGRESSOS!$D$6:$D$190)</f>
        <v>151330</v>
      </c>
      <c r="F17" s="655">
        <f>SUMIF(INGRESSOS!$F$6:$F$190,+C17,INGRESSOS!$E$6:$E$190)</f>
        <v>246508</v>
      </c>
      <c r="G17" s="591">
        <v>184549.7</v>
      </c>
      <c r="H17" s="610"/>
      <c r="J17" s="586"/>
      <c r="K17" s="587"/>
      <c r="L17" s="588"/>
      <c r="N17" s="586"/>
      <c r="O17" s="587"/>
      <c r="P17" s="588"/>
    </row>
    <row r="18" spans="2:17" ht="13.5" thickBot="1" x14ac:dyDescent="0.35">
      <c r="B18" s="581"/>
      <c r="C18" s="571">
        <v>8</v>
      </c>
      <c r="D18" s="570" t="s">
        <v>371</v>
      </c>
      <c r="E18" s="655">
        <f>SUMIF(INGRESSOS!$F$6:$F$190,+C18,INGRESSOS!$D$6:$D$190)</f>
        <v>0</v>
      </c>
      <c r="F18" s="655">
        <f>SUMIF(INGRESSOS!$F$6:$F$190,+C18,INGRESSOS!$E$6:$E$190)</f>
        <v>0</v>
      </c>
      <c r="G18" s="591">
        <v>0</v>
      </c>
      <c r="H18" s="583"/>
      <c r="J18" s="586"/>
      <c r="K18" s="593" t="s">
        <v>384</v>
      </c>
      <c r="L18" s="594">
        <f>SUM(L8:L17)</f>
        <v>627393</v>
      </c>
      <c r="N18" s="586"/>
      <c r="O18" s="593" t="s">
        <v>368</v>
      </c>
      <c r="P18" s="594">
        <f>SUM(P8:P17)</f>
        <v>627393</v>
      </c>
    </row>
    <row r="19" spans="2:17" ht="13.5" thickTop="1" thickBot="1" x14ac:dyDescent="0.3">
      <c r="B19" s="581"/>
      <c r="C19" s="571">
        <v>9</v>
      </c>
      <c r="D19" s="570" t="s">
        <v>369</v>
      </c>
      <c r="E19" s="655">
        <f>SUMIF(INGRESSOS!$F$6:$F$190,+C19,INGRESSOS!$D$6:$D$190)</f>
        <v>0</v>
      </c>
      <c r="F19" s="655">
        <f>SUMIF(INGRESSOS!$F$6:$F$190,+C19,INGRESSOS!$E$6:$E$190)</f>
        <v>0</v>
      </c>
      <c r="G19" s="591">
        <v>160000</v>
      </c>
      <c r="H19" s="583"/>
      <c r="J19" s="595"/>
      <c r="K19" s="596"/>
      <c r="L19" s="597"/>
      <c r="N19" s="597"/>
      <c r="O19" s="597"/>
      <c r="P19" s="597"/>
    </row>
    <row r="20" spans="2:17" ht="13" x14ac:dyDescent="0.25">
      <c r="B20" s="581"/>
      <c r="H20" s="583"/>
      <c r="L20" s="656"/>
      <c r="M20" s="657"/>
      <c r="N20" s="657"/>
      <c r="O20" s="658" t="s">
        <v>655</v>
      </c>
      <c r="P20" s="598">
        <f>+L8+L9+L10+L11+L12+L13+L14-P8-P9-P10-P11-P12-P13-P14</f>
        <v>22500</v>
      </c>
    </row>
    <row r="21" spans="2:17" ht="13.5" thickBot="1" x14ac:dyDescent="0.35">
      <c r="B21" s="581"/>
      <c r="D21" s="599" t="s">
        <v>384</v>
      </c>
      <c r="E21" s="600">
        <f>SUM(E11:E20)</f>
        <v>627393</v>
      </c>
      <c r="F21" s="600">
        <f>SUM(F11:F20)</f>
        <v>700002</v>
      </c>
      <c r="G21" s="600">
        <f>SUM(G11:G20)</f>
        <v>869674.44</v>
      </c>
      <c r="H21" s="610"/>
      <c r="L21" s="601"/>
      <c r="M21" s="659"/>
      <c r="N21" s="659"/>
      <c r="O21" s="660" t="s">
        <v>367</v>
      </c>
      <c r="P21" s="602"/>
    </row>
    <row r="22" spans="2:17" ht="13.5" thickTop="1" thickBot="1" x14ac:dyDescent="0.3">
      <c r="B22" s="581"/>
      <c r="H22" s="583"/>
    </row>
    <row r="23" spans="2:17" ht="13" x14ac:dyDescent="0.3">
      <c r="B23" s="581"/>
      <c r="D23" s="572" t="s">
        <v>422</v>
      </c>
      <c r="E23" s="582">
        <f>+E7</f>
        <v>2025</v>
      </c>
      <c r="F23" s="582">
        <f>+F7</f>
        <v>2024</v>
      </c>
      <c r="G23" s="582">
        <f>+G7</f>
        <v>2024</v>
      </c>
      <c r="H23" s="583"/>
      <c r="J23" s="574"/>
      <c r="K23" s="577"/>
      <c r="L23" s="577"/>
      <c r="M23" s="578"/>
    </row>
    <row r="24" spans="2:17" ht="13" x14ac:dyDescent="0.3">
      <c r="B24" s="581"/>
      <c r="E24" s="582"/>
      <c r="F24" s="582"/>
      <c r="G24" s="582" t="s">
        <v>421</v>
      </c>
      <c r="H24" s="583"/>
      <c r="J24" s="581"/>
      <c r="K24" s="572" t="s">
        <v>426</v>
      </c>
      <c r="M24" s="583"/>
      <c r="N24" s="681"/>
      <c r="O24" s="681"/>
      <c r="P24" s="733"/>
      <c r="Q24" s="591"/>
    </row>
    <row r="25" spans="2:17" ht="13" x14ac:dyDescent="0.3">
      <c r="B25" s="581"/>
      <c r="C25" s="589"/>
      <c r="D25" s="590" t="s">
        <v>127</v>
      </c>
      <c r="E25" s="589" t="s">
        <v>387</v>
      </c>
      <c r="F25" s="589" t="s">
        <v>387</v>
      </c>
      <c r="G25" s="589" t="s">
        <v>420</v>
      </c>
      <c r="H25" s="583"/>
      <c r="J25" s="581"/>
      <c r="M25" s="583"/>
      <c r="N25" s="618"/>
      <c r="O25" s="618"/>
      <c r="P25" s="616"/>
      <c r="Q25" s="591"/>
    </row>
    <row r="26" spans="2:17" ht="13" x14ac:dyDescent="0.3">
      <c r="B26" s="581"/>
      <c r="C26" s="582"/>
      <c r="D26" s="582"/>
      <c r="E26" s="582"/>
      <c r="F26" s="582"/>
      <c r="G26" s="582"/>
      <c r="H26" s="583"/>
      <c r="J26" s="581"/>
      <c r="M26" s="583"/>
      <c r="N26" s="626"/>
      <c r="O26" s="682"/>
      <c r="P26" s="683"/>
      <c r="Q26" s="591"/>
    </row>
    <row r="27" spans="2:17" ht="13" x14ac:dyDescent="0.3">
      <c r="B27" s="581"/>
      <c r="C27" s="571">
        <v>1</v>
      </c>
      <c r="D27" s="570" t="s">
        <v>379</v>
      </c>
      <c r="E27" s="655">
        <f>SUMIF(DESPESES!$G$6:$G$240,+$C27,DESPESES!$E$6:$E$240)</f>
        <v>155889</v>
      </c>
      <c r="F27" s="655">
        <f>SUMIF(DESPESES!$G$6:$G$240,+$C27,DESPESES!$F$6:$F$240)</f>
        <v>119697</v>
      </c>
      <c r="G27" s="591">
        <v>135232.17000000001</v>
      </c>
      <c r="H27" s="583"/>
      <c r="I27" s="591"/>
      <c r="J27" s="581"/>
      <c r="K27" s="589" t="s">
        <v>350</v>
      </c>
      <c r="L27" s="589" t="s">
        <v>353</v>
      </c>
      <c r="M27" s="583"/>
      <c r="N27" s="571"/>
      <c r="P27" s="683"/>
    </row>
    <row r="28" spans="2:17" x14ac:dyDescent="0.25">
      <c r="B28" s="581"/>
      <c r="C28" s="571">
        <v>2</v>
      </c>
      <c r="D28" s="570" t="s">
        <v>418</v>
      </c>
      <c r="E28" s="655">
        <f>SUMIF(DESPESES!$G$6:$G$240,+$C28,DESPESES!$E$6:$E$240)</f>
        <v>274514</v>
      </c>
      <c r="F28" s="655">
        <f>SUMIF(DESPESES!$G$6:$G$240,+$C28,DESPESES!$F$6:$F$240)</f>
        <v>285656.87</v>
      </c>
      <c r="G28" s="591">
        <v>289676.31</v>
      </c>
      <c r="H28" s="610"/>
      <c r="J28" s="581"/>
      <c r="M28" s="583"/>
      <c r="N28" s="571"/>
      <c r="P28" s="683"/>
    </row>
    <row r="29" spans="2:17" ht="13" x14ac:dyDescent="0.3">
      <c r="B29" s="581"/>
      <c r="C29" s="571">
        <v>3</v>
      </c>
      <c r="D29" s="570" t="s">
        <v>376</v>
      </c>
      <c r="E29" s="655">
        <f>SUMIF(DESPESES!$G$6:$G$240,+$C29,DESPESES!$E$6:$E$240)</f>
        <v>11000</v>
      </c>
      <c r="F29" s="655">
        <f>SUMIF(DESPESES!$G$6:$G$240,+$C29,DESPESES!$F$6:$F$240)</f>
        <v>8000</v>
      </c>
      <c r="G29" s="591">
        <v>9517.18</v>
      </c>
      <c r="H29" s="583"/>
      <c r="J29" s="1099" t="s">
        <v>713</v>
      </c>
      <c r="K29" s="570" t="s">
        <v>425</v>
      </c>
      <c r="L29" s="591">
        <f>SUM(E11:E15)</f>
        <v>476063</v>
      </c>
      <c r="M29" s="583"/>
      <c r="N29" s="626"/>
      <c r="O29" s="682"/>
      <c r="P29" s="683"/>
    </row>
    <row r="30" spans="2:17" ht="13" x14ac:dyDescent="0.3">
      <c r="B30" s="581"/>
      <c r="C30" s="571">
        <v>4</v>
      </c>
      <c r="D30" s="570" t="s">
        <v>375</v>
      </c>
      <c r="E30" s="655">
        <f>SUMIF(DESPESES!$G$6:$G$240,+$C30,DESPESES!$E$6:$E$240)</f>
        <v>5100</v>
      </c>
      <c r="F30" s="655">
        <f>SUMIF(DESPESES!$G$6:$G$240,+$C30,DESPESES!$F$6:$F$240)</f>
        <v>5100</v>
      </c>
      <c r="G30" s="591">
        <v>1800</v>
      </c>
      <c r="H30" s="583"/>
      <c r="J30" s="1099" t="s">
        <v>39</v>
      </c>
      <c r="K30" s="570" t="s">
        <v>424</v>
      </c>
      <c r="L30" s="591">
        <f>+E27+E28+E30</f>
        <v>435503</v>
      </c>
      <c r="M30" s="583"/>
      <c r="N30" s="626"/>
      <c r="O30" s="682"/>
      <c r="P30" s="683"/>
    </row>
    <row r="31" spans="2:17" ht="13" x14ac:dyDescent="0.3">
      <c r="B31" s="581"/>
      <c r="C31" s="571">
        <v>5</v>
      </c>
      <c r="D31" s="570" t="s">
        <v>416</v>
      </c>
      <c r="E31" s="655">
        <f>SUMIF(DESPESES!$G$6:$G$240,+$C31,DESPESES!$E$6:$E$240)</f>
        <v>500</v>
      </c>
      <c r="F31" s="655">
        <f>SUMIF(DESPESES!$G$6:$G$240,+$C31,DESPESES!$F$6:$F$240)</f>
        <v>500</v>
      </c>
      <c r="G31" s="591">
        <v>0</v>
      </c>
      <c r="H31" s="583"/>
      <c r="J31" s="1099" t="s">
        <v>39</v>
      </c>
      <c r="K31" s="570" t="s">
        <v>648</v>
      </c>
      <c r="L31" s="591">
        <f>+E31</f>
        <v>500</v>
      </c>
      <c r="M31" s="583"/>
      <c r="N31" s="626"/>
      <c r="O31" s="682"/>
      <c r="P31" s="683"/>
    </row>
    <row r="32" spans="2:17" x14ac:dyDescent="0.25">
      <c r="B32" s="581"/>
      <c r="C32" s="571">
        <v>6</v>
      </c>
      <c r="D32" s="570" t="s">
        <v>374</v>
      </c>
      <c r="E32" s="655">
        <f>SUMIF(DESPESES!$G$6:$G$240,+$C32,DESPESES!$E$6:$E$240)</f>
        <v>157890</v>
      </c>
      <c r="F32" s="655">
        <f>SUMIF(DESPESES!$G$6:$G$240,+$C32,DESPESES!$F$6:$F$240)</f>
        <v>272926.13</v>
      </c>
      <c r="G32" s="591">
        <v>596746.04</v>
      </c>
      <c r="H32" s="610"/>
      <c r="I32" s="591"/>
      <c r="J32" s="1099" t="s">
        <v>39</v>
      </c>
      <c r="K32" s="570" t="s">
        <v>423</v>
      </c>
      <c r="L32" s="591">
        <f>+E29+E35</f>
        <v>33500</v>
      </c>
      <c r="M32" s="583"/>
      <c r="N32" s="618"/>
      <c r="O32" s="618"/>
      <c r="P32" s="616"/>
    </row>
    <row r="33" spans="2:25" ht="13" x14ac:dyDescent="0.3">
      <c r="B33" s="581"/>
      <c r="C33" s="571">
        <v>7</v>
      </c>
      <c r="D33" s="570" t="s">
        <v>373</v>
      </c>
      <c r="E33" s="655">
        <f>SUMIF(DESPESES!$G$6:$G$240,+$C33,DESPESES!$E$6:$E$240)</f>
        <v>0</v>
      </c>
      <c r="F33" s="655">
        <f>SUMIF(DESPESES!$G$6:$G$240,+$C33,DESPESES!$F$6:$F$240)</f>
        <v>0</v>
      </c>
      <c r="G33" s="591">
        <v>0</v>
      </c>
      <c r="H33" s="583"/>
      <c r="J33" s="1100"/>
      <c r="M33" s="583"/>
      <c r="O33" s="572"/>
      <c r="P33" s="623"/>
    </row>
    <row r="34" spans="2:25" ht="13.5" thickBot="1" x14ac:dyDescent="0.35">
      <c r="B34" s="581"/>
      <c r="C34" s="571">
        <v>8</v>
      </c>
      <c r="D34" s="570" t="s">
        <v>371</v>
      </c>
      <c r="E34" s="655">
        <f>SUMIF(DESPESES!$G$6:$G$240,+$C34,DESPESES!$E$6:$E$240)</f>
        <v>0</v>
      </c>
      <c r="F34" s="655">
        <f>SUMIF(DESPESES!$G$6:$G$240,+$C34,DESPESES!$F$6:$F$240)</f>
        <v>0</v>
      </c>
      <c r="G34" s="591">
        <v>0</v>
      </c>
      <c r="H34" s="583"/>
      <c r="J34" s="1100"/>
      <c r="K34" s="599" t="s">
        <v>649</v>
      </c>
      <c r="L34" s="600">
        <f>+L29-L30-L31-L32</f>
        <v>6560</v>
      </c>
      <c r="M34" s="583"/>
    </row>
    <row r="35" spans="2:25" ht="13" thickTop="1" x14ac:dyDescent="0.25">
      <c r="B35" s="581"/>
      <c r="C35" s="571">
        <v>9</v>
      </c>
      <c r="D35" s="570" t="s">
        <v>369</v>
      </c>
      <c r="E35" s="655">
        <f>SUMIF(DESPESES!$G$6:$G$240,+$C35,DESPESES!$E$6:$E$240)</f>
        <v>22500</v>
      </c>
      <c r="F35" s="655">
        <f>SUMIF(DESPESES!$G$6:$G$240,+$C35,DESPESES!$F$6:$F$240)</f>
        <v>8122</v>
      </c>
      <c r="G35" s="591">
        <v>20472.36</v>
      </c>
      <c r="H35" s="583"/>
      <c r="J35" s="1100"/>
      <c r="M35" s="583"/>
      <c r="P35" s="591"/>
    </row>
    <row r="36" spans="2:25" x14ac:dyDescent="0.25">
      <c r="B36" s="581"/>
      <c r="H36" s="610"/>
      <c r="J36" s="1099" t="s">
        <v>713</v>
      </c>
      <c r="K36" s="570" t="s">
        <v>419</v>
      </c>
      <c r="L36" s="591">
        <f>+E17+E16</f>
        <v>151330</v>
      </c>
      <c r="M36" s="583"/>
    </row>
    <row r="37" spans="2:25" ht="13.5" thickBot="1" x14ac:dyDescent="0.35">
      <c r="B37" s="581"/>
      <c r="D37" s="599" t="s">
        <v>368</v>
      </c>
      <c r="E37" s="600">
        <f>SUM(E27:E36)</f>
        <v>627393</v>
      </c>
      <c r="F37" s="600">
        <f>SUM(F27:F36)</f>
        <v>700002</v>
      </c>
      <c r="G37" s="600">
        <f>SUM(G27:G36)</f>
        <v>1053444.06</v>
      </c>
      <c r="H37" s="583"/>
      <c r="J37" s="1099" t="s">
        <v>39</v>
      </c>
      <c r="K37" s="570" t="s">
        <v>695</v>
      </c>
      <c r="L37" s="591">
        <f>+E32-E33</f>
        <v>157890</v>
      </c>
      <c r="M37" s="583"/>
    </row>
    <row r="38" spans="2:25" ht="13.5" thickTop="1" thickBot="1" x14ac:dyDescent="0.3">
      <c r="B38" s="581"/>
      <c r="H38" s="583"/>
      <c r="J38" s="581"/>
      <c r="M38" s="583"/>
    </row>
    <row r="39" spans="2:25" ht="13.5" thickBot="1" x14ac:dyDescent="0.35">
      <c r="B39" s="581"/>
      <c r="D39" s="603" t="s">
        <v>415</v>
      </c>
      <c r="E39" s="604">
        <f>+E21-E37</f>
        <v>0</v>
      </c>
      <c r="F39" s="604">
        <f>+F21-F37</f>
        <v>0</v>
      </c>
      <c r="G39" s="604">
        <f>+G21-G37</f>
        <v>-183769.62000000011</v>
      </c>
      <c r="H39" s="583"/>
      <c r="J39" s="581"/>
      <c r="K39" s="599" t="s">
        <v>417</v>
      </c>
      <c r="L39" s="600">
        <f>+L36-L37</f>
        <v>-6560</v>
      </c>
      <c r="M39" s="583"/>
    </row>
    <row r="40" spans="2:25" ht="13" thickBot="1" x14ac:dyDescent="0.3">
      <c r="B40" s="605"/>
      <c r="C40" s="606"/>
      <c r="D40" s="607"/>
      <c r="E40" s="607"/>
      <c r="F40" s="607"/>
      <c r="G40" s="607"/>
      <c r="H40" s="608"/>
      <c r="J40" s="581"/>
      <c r="M40" s="583"/>
    </row>
    <row r="41" spans="2:25" ht="13.5" thickBot="1" x14ac:dyDescent="0.35">
      <c r="J41" s="581"/>
      <c r="K41" s="603" t="s">
        <v>415</v>
      </c>
      <c r="L41" s="604">
        <f>+L34+L39</f>
        <v>0</v>
      </c>
      <c r="M41" s="583"/>
    </row>
    <row r="42" spans="2:25" ht="13.5" thickBot="1" x14ac:dyDescent="0.35">
      <c r="B42" s="574"/>
      <c r="C42" s="575"/>
      <c r="D42" s="577"/>
      <c r="E42" s="577"/>
      <c r="F42" s="578"/>
      <c r="G42" s="591"/>
      <c r="J42" s="581"/>
      <c r="K42" s="613"/>
      <c r="L42" s="614"/>
      <c r="M42" s="583"/>
      <c r="Q42" s="572"/>
      <c r="R42" s="572"/>
      <c r="S42" s="572"/>
      <c r="X42" s="572" t="s">
        <v>685</v>
      </c>
      <c r="Y42" s="572" t="s">
        <v>685</v>
      </c>
    </row>
    <row r="43" spans="2:25" ht="13.5" thickBot="1" x14ac:dyDescent="0.35">
      <c r="B43" s="581"/>
      <c r="C43" s="589"/>
      <c r="D43" s="589" t="s">
        <v>646</v>
      </c>
      <c r="E43" s="589" t="s">
        <v>387</v>
      </c>
      <c r="F43" s="583"/>
      <c r="J43" s="605"/>
      <c r="K43" s="607"/>
      <c r="L43" s="607"/>
      <c r="M43" s="608"/>
      <c r="Q43" s="572"/>
      <c r="R43" s="582"/>
      <c r="S43" s="582"/>
      <c r="V43" s="675" t="s">
        <v>405</v>
      </c>
      <c r="W43" s="684" t="s">
        <v>387</v>
      </c>
      <c r="X43" s="684" t="s">
        <v>686</v>
      </c>
      <c r="Y43" s="684" t="s">
        <v>687</v>
      </c>
    </row>
    <row r="44" spans="2:25" x14ac:dyDescent="0.25">
      <c r="B44" s="581"/>
      <c r="F44" s="583"/>
      <c r="O44" s="591"/>
    </row>
    <row r="45" spans="2:25" x14ac:dyDescent="0.25">
      <c r="B45" s="581"/>
      <c r="C45" s="571">
        <v>1</v>
      </c>
      <c r="D45" s="609" t="s">
        <v>641</v>
      </c>
      <c r="E45" s="655">
        <f>SUMIF(DESPESES!$I$6:$I$240,+C45,DESPESES!$E$6:$E$240)</f>
        <v>214492</v>
      </c>
      <c r="F45" s="610"/>
      <c r="G45" s="591"/>
      <c r="S45" s="571"/>
      <c r="U45" s="679"/>
      <c r="V45" s="680" t="s">
        <v>683</v>
      </c>
      <c r="W45" s="555">
        <v>56701</v>
      </c>
      <c r="X45" s="591">
        <v>56700</v>
      </c>
      <c r="Y45" s="591">
        <f>+W45-X45</f>
        <v>1</v>
      </c>
    </row>
    <row r="46" spans="2:25" x14ac:dyDescent="0.25">
      <c r="B46" s="581"/>
      <c r="C46" s="571">
        <v>2</v>
      </c>
      <c r="D46" s="609" t="s">
        <v>642</v>
      </c>
      <c r="E46" s="655">
        <f>SUMIF(DESPESES!$I$6:$I$240,+C46,DESPESES!$E$6:$E$240)</f>
        <v>2100</v>
      </c>
      <c r="F46" s="610"/>
      <c r="G46" s="591"/>
      <c r="S46" s="571"/>
      <c r="U46" s="679"/>
      <c r="V46" s="680" t="s">
        <v>681</v>
      </c>
      <c r="W46" s="555">
        <v>47000</v>
      </c>
      <c r="X46" s="591">
        <v>47000</v>
      </c>
      <c r="Y46" s="591">
        <f t="shared" ref="Y46:Y49" si="2">+W46-X46</f>
        <v>0</v>
      </c>
    </row>
    <row r="47" spans="2:25" x14ac:dyDescent="0.25">
      <c r="B47" s="581"/>
      <c r="C47" s="571">
        <v>3</v>
      </c>
      <c r="D47" s="609" t="s">
        <v>643</v>
      </c>
      <c r="E47" s="655">
        <f>SUMIF(DESPESES!$I$6:$I$240,+C47,DESPESES!$E$6:$E$240)</f>
        <v>81400</v>
      </c>
      <c r="F47" s="610"/>
      <c r="G47" s="591"/>
      <c r="S47" s="571"/>
      <c r="U47" s="679"/>
      <c r="V47" s="680" t="s">
        <v>682</v>
      </c>
      <c r="W47" s="555">
        <v>43600</v>
      </c>
      <c r="X47" s="555">
        <v>43600</v>
      </c>
      <c r="Y47" s="591">
        <f t="shared" si="2"/>
        <v>0</v>
      </c>
    </row>
    <row r="48" spans="2:25" x14ac:dyDescent="0.25">
      <c r="B48" s="581"/>
      <c r="C48" s="571">
        <v>4</v>
      </c>
      <c r="D48" s="609" t="s">
        <v>644</v>
      </c>
      <c r="E48" s="655">
        <f>SUMIF(DESPESES!$I$6:$I$240,+C48,DESPESES!$E$6:$E$240)</f>
        <v>83898</v>
      </c>
      <c r="F48" s="610"/>
      <c r="G48" s="591"/>
      <c r="S48" s="571"/>
      <c r="U48" s="679"/>
      <c r="V48" s="680" t="s">
        <v>684</v>
      </c>
      <c r="W48" s="555">
        <v>8000</v>
      </c>
      <c r="X48" s="591"/>
      <c r="Y48" s="591">
        <f t="shared" si="2"/>
        <v>8000</v>
      </c>
    </row>
    <row r="49" spans="2:25" x14ac:dyDescent="0.25">
      <c r="B49" s="581"/>
      <c r="C49" s="571">
        <v>9</v>
      </c>
      <c r="D49" s="609" t="s">
        <v>372</v>
      </c>
      <c r="E49" s="655">
        <f>SUMIF(DESPESES!$I$6:$I$240,+C49,DESPESES!$E$6:$E$240)</f>
        <v>212003</v>
      </c>
      <c r="F49" s="610"/>
      <c r="G49" s="591"/>
      <c r="S49" s="571"/>
      <c r="U49" s="679"/>
      <c r="V49" s="680" t="s">
        <v>674</v>
      </c>
      <c r="W49" s="555">
        <f>7779+30000-19000</f>
        <v>18779</v>
      </c>
      <c r="X49" s="591"/>
      <c r="Y49" s="591">
        <f t="shared" si="2"/>
        <v>18779</v>
      </c>
    </row>
    <row r="50" spans="2:25" x14ac:dyDescent="0.25">
      <c r="B50" s="581"/>
      <c r="C50" s="571">
        <v>0</v>
      </c>
      <c r="D50" s="609" t="s">
        <v>645</v>
      </c>
      <c r="E50" s="655">
        <f>SUMIF(DESPESES!$I$6:$I$240,+C50,DESPESES!$E$6:$E$240)</f>
        <v>33500</v>
      </c>
      <c r="F50" s="610"/>
      <c r="G50" s="591"/>
      <c r="S50" s="571"/>
      <c r="W50" s="591"/>
      <c r="X50" s="591"/>
      <c r="Y50" s="591"/>
    </row>
    <row r="51" spans="2:25" x14ac:dyDescent="0.25">
      <c r="B51" s="581"/>
      <c r="E51" s="591"/>
      <c r="F51" s="610"/>
      <c r="G51" s="591"/>
      <c r="S51" s="571"/>
      <c r="W51" s="591"/>
      <c r="X51" s="591"/>
      <c r="Y51" s="591"/>
    </row>
    <row r="52" spans="2:25" ht="13.5" thickBot="1" x14ac:dyDescent="0.35">
      <c r="B52" s="581"/>
      <c r="D52" s="599" t="s">
        <v>368</v>
      </c>
      <c r="E52" s="600">
        <f>SUM(E45:E51)</f>
        <v>627393</v>
      </c>
      <c r="F52" s="610"/>
      <c r="G52" s="591"/>
      <c r="W52" s="591"/>
      <c r="X52" s="591"/>
      <c r="Y52" s="591"/>
    </row>
    <row r="53" spans="2:25" ht="13.5" thickTop="1" thickBot="1" x14ac:dyDescent="0.3">
      <c r="B53" s="605"/>
      <c r="C53" s="606"/>
      <c r="D53" s="607"/>
      <c r="E53" s="611"/>
      <c r="F53" s="612"/>
      <c r="G53" s="591"/>
    </row>
    <row r="55" spans="2:25" x14ac:dyDescent="0.25">
      <c r="C55" s="570"/>
    </row>
    <row r="56" spans="2:25" x14ac:dyDescent="0.25">
      <c r="C56" s="570"/>
    </row>
    <row r="57" spans="2:25" x14ac:dyDescent="0.25">
      <c r="C57" s="570"/>
      <c r="E57" s="591"/>
      <c r="W57" s="616"/>
      <c r="X57" s="618"/>
    </row>
    <row r="58" spans="2:25" x14ac:dyDescent="0.25">
      <c r="C58" s="570"/>
      <c r="W58" s="618"/>
      <c r="X58" s="618"/>
    </row>
    <row r="59" spans="2:25" x14ac:dyDescent="0.25">
      <c r="R59" s="661"/>
      <c r="S59" s="662"/>
      <c r="T59" s="615"/>
    </row>
    <row r="60" spans="2:25" ht="13" x14ac:dyDescent="0.3">
      <c r="B60" s="564"/>
      <c r="C60" s="565"/>
      <c r="D60" s="566" t="s">
        <v>657</v>
      </c>
      <c r="E60" s="564"/>
      <c r="F60" s="564"/>
      <c r="G60" s="564"/>
      <c r="H60" s="564"/>
      <c r="I60" s="564"/>
      <c r="J60" s="564"/>
      <c r="K60" s="564"/>
      <c r="L60" s="564"/>
      <c r="M60" s="564"/>
      <c r="N60" s="564"/>
      <c r="O60" s="564"/>
      <c r="P60" s="564"/>
      <c r="Q60" s="564"/>
      <c r="R60" s="663"/>
      <c r="S60" s="664"/>
      <c r="T60" s="615"/>
    </row>
    <row r="61" spans="2:25" ht="13" thickBot="1" x14ac:dyDescent="0.3">
      <c r="R61" s="617"/>
      <c r="S61" s="615"/>
      <c r="T61" s="615"/>
    </row>
    <row r="62" spans="2:25" ht="13" x14ac:dyDescent="0.3">
      <c r="B62" s="574"/>
      <c r="C62" s="575"/>
      <c r="D62" s="576"/>
      <c r="E62" s="577"/>
      <c r="F62" s="577"/>
      <c r="G62" s="577"/>
      <c r="H62" s="578"/>
      <c r="R62" s="617"/>
      <c r="S62" s="615"/>
      <c r="T62" s="615"/>
    </row>
    <row r="63" spans="2:25" ht="13" x14ac:dyDescent="0.3">
      <c r="B63" s="581"/>
      <c r="D63" s="572" t="s">
        <v>366</v>
      </c>
      <c r="E63" s="582">
        <f>+E7</f>
        <v>2025</v>
      </c>
      <c r="F63" s="582">
        <f>+E63-1</f>
        <v>2024</v>
      </c>
      <c r="G63" s="582">
        <f>+F63</f>
        <v>2024</v>
      </c>
      <c r="H63" s="583"/>
      <c r="R63" s="618"/>
      <c r="S63" s="618"/>
    </row>
    <row r="64" spans="2:25" ht="13" x14ac:dyDescent="0.3">
      <c r="B64" s="581"/>
      <c r="E64" s="582"/>
      <c r="F64" s="582"/>
      <c r="G64" s="582" t="s">
        <v>421</v>
      </c>
      <c r="H64" s="583"/>
      <c r="R64" s="619"/>
      <c r="S64" s="620"/>
      <c r="T64" s="620"/>
    </row>
    <row r="65" spans="2:21" ht="13" x14ac:dyDescent="0.3">
      <c r="B65" s="581"/>
      <c r="C65" s="589"/>
      <c r="D65" s="590" t="s">
        <v>127</v>
      </c>
      <c r="E65" s="589" t="s">
        <v>353</v>
      </c>
      <c r="F65" s="589" t="s">
        <v>353</v>
      </c>
      <c r="G65" s="589" t="s">
        <v>420</v>
      </c>
      <c r="H65" s="583"/>
    </row>
    <row r="66" spans="2:21" ht="13" x14ac:dyDescent="0.3">
      <c r="B66" s="581"/>
      <c r="C66" s="582"/>
      <c r="D66" s="582"/>
      <c r="E66" s="582"/>
      <c r="F66" s="582"/>
      <c r="G66" s="582"/>
      <c r="H66" s="583"/>
    </row>
    <row r="67" spans="2:21" ht="13" x14ac:dyDescent="0.3">
      <c r="B67" s="581"/>
      <c r="C67" s="571">
        <v>1</v>
      </c>
      <c r="D67" s="570" t="s">
        <v>402</v>
      </c>
      <c r="E67" s="655"/>
      <c r="F67" s="591"/>
      <c r="G67" s="591">
        <f>+F67*0.9</f>
        <v>0</v>
      </c>
      <c r="H67" s="583"/>
      <c r="S67" s="582"/>
      <c r="T67" s="582"/>
    </row>
    <row r="68" spans="2:21" ht="13" x14ac:dyDescent="0.3">
      <c r="B68" s="581"/>
      <c r="C68" s="571">
        <v>2</v>
      </c>
      <c r="D68" s="570" t="s">
        <v>400</v>
      </c>
      <c r="E68" s="655"/>
      <c r="F68" s="591"/>
      <c r="G68" s="591">
        <f t="shared" ref="G68:G72" si="3">+F68*0.9</f>
        <v>0</v>
      </c>
      <c r="H68" s="583"/>
      <c r="R68" s="582"/>
      <c r="S68" s="582"/>
      <c r="T68" s="582"/>
    </row>
    <row r="69" spans="2:21" x14ac:dyDescent="0.25">
      <c r="B69" s="581"/>
      <c r="C69" s="571">
        <v>3</v>
      </c>
      <c r="D69" s="570" t="s">
        <v>398</v>
      </c>
      <c r="E69" s="655"/>
      <c r="F69" s="591"/>
      <c r="G69" s="591">
        <f t="shared" si="3"/>
        <v>0</v>
      </c>
      <c r="H69" s="583"/>
    </row>
    <row r="70" spans="2:21" x14ac:dyDescent="0.25">
      <c r="B70" s="581"/>
      <c r="C70" s="571">
        <v>4</v>
      </c>
      <c r="D70" s="570" t="s">
        <v>375</v>
      </c>
      <c r="E70" s="655"/>
      <c r="F70" s="591"/>
      <c r="G70" s="591">
        <f t="shared" si="3"/>
        <v>0</v>
      </c>
      <c r="H70" s="583"/>
      <c r="O70" s="618"/>
      <c r="S70" s="591"/>
      <c r="T70" s="591"/>
    </row>
    <row r="71" spans="2:21" x14ac:dyDescent="0.25">
      <c r="B71" s="581"/>
      <c r="C71" s="571">
        <v>5</v>
      </c>
      <c r="D71" s="570" t="s">
        <v>395</v>
      </c>
      <c r="E71" s="655"/>
      <c r="F71" s="591"/>
      <c r="G71" s="591">
        <f t="shared" si="3"/>
        <v>0</v>
      </c>
      <c r="H71" s="583"/>
      <c r="S71" s="591"/>
      <c r="T71" s="591"/>
    </row>
    <row r="72" spans="2:21" x14ac:dyDescent="0.25">
      <c r="B72" s="581"/>
      <c r="C72" s="571">
        <v>6</v>
      </c>
      <c r="D72" s="570" t="s">
        <v>393</v>
      </c>
      <c r="E72" s="655"/>
      <c r="F72" s="591"/>
      <c r="G72" s="591">
        <f t="shared" si="3"/>
        <v>0</v>
      </c>
      <c r="H72" s="583"/>
      <c r="S72" s="591"/>
      <c r="T72" s="591"/>
      <c r="U72" s="591"/>
    </row>
    <row r="73" spans="2:21" x14ac:dyDescent="0.25">
      <c r="B73" s="581"/>
      <c r="C73" s="571">
        <v>7</v>
      </c>
      <c r="D73" s="570" t="s">
        <v>373</v>
      </c>
      <c r="E73" s="655"/>
      <c r="F73" s="591"/>
      <c r="G73" s="591">
        <f>+F73*0.75</f>
        <v>0</v>
      </c>
      <c r="H73" s="583"/>
      <c r="S73" s="591"/>
      <c r="T73" s="591"/>
      <c r="U73" s="591"/>
    </row>
    <row r="74" spans="2:21" ht="13" x14ac:dyDescent="0.3">
      <c r="B74" s="581"/>
      <c r="C74" s="571">
        <v>8</v>
      </c>
      <c r="D74" s="570" t="s">
        <v>371</v>
      </c>
      <c r="E74" s="655"/>
      <c r="F74" s="591"/>
      <c r="G74" s="591">
        <f t="shared" ref="G74:G75" si="4">+F74*0.9</f>
        <v>0</v>
      </c>
      <c r="H74" s="583"/>
      <c r="O74" s="620"/>
      <c r="R74" s="621"/>
      <c r="S74" s="622"/>
      <c r="T74" s="622"/>
    </row>
    <row r="75" spans="2:21" x14ac:dyDescent="0.25">
      <c r="B75" s="581"/>
      <c r="C75" s="571">
        <v>9</v>
      </c>
      <c r="D75" s="570" t="s">
        <v>369</v>
      </c>
      <c r="E75" s="655"/>
      <c r="F75" s="591"/>
      <c r="G75" s="591">
        <f t="shared" si="4"/>
        <v>0</v>
      </c>
      <c r="H75" s="583"/>
    </row>
    <row r="76" spans="2:21" ht="13" x14ac:dyDescent="0.3">
      <c r="B76" s="581"/>
      <c r="H76" s="583"/>
      <c r="O76" s="619"/>
      <c r="S76" s="591"/>
      <c r="T76" s="591"/>
    </row>
    <row r="77" spans="2:21" ht="13.5" thickBot="1" x14ac:dyDescent="0.35">
      <c r="B77" s="581"/>
      <c r="D77" s="599" t="s">
        <v>384</v>
      </c>
      <c r="E77" s="600">
        <f>SUM(E67:E76)</f>
        <v>0</v>
      </c>
      <c r="F77" s="600">
        <f>SUM(F67:F76)</f>
        <v>0</v>
      </c>
      <c r="G77" s="600">
        <f>SUM(G67:G76)</f>
        <v>0</v>
      </c>
      <c r="H77" s="583"/>
      <c r="S77" s="591"/>
      <c r="T77" s="591"/>
    </row>
    <row r="78" spans="2:21" ht="13.5" thickTop="1" x14ac:dyDescent="0.3">
      <c r="B78" s="581"/>
      <c r="H78" s="583"/>
      <c r="R78" s="621"/>
      <c r="S78" s="622"/>
      <c r="T78" s="622"/>
    </row>
    <row r="79" spans="2:21" ht="13" x14ac:dyDescent="0.3">
      <c r="B79" s="581"/>
      <c r="D79" s="572" t="s">
        <v>422</v>
      </c>
      <c r="E79" s="582">
        <f>+E63</f>
        <v>2025</v>
      </c>
      <c r="F79" s="582">
        <f>+F63</f>
        <v>2024</v>
      </c>
      <c r="G79" s="582">
        <f>+G63</f>
        <v>2024</v>
      </c>
      <c r="H79" s="583"/>
      <c r="R79" s="572"/>
      <c r="S79" s="623"/>
      <c r="T79" s="623"/>
    </row>
    <row r="80" spans="2:21" ht="13" x14ac:dyDescent="0.3">
      <c r="B80" s="581"/>
      <c r="E80" s="582"/>
      <c r="F80" s="582"/>
      <c r="G80" s="582" t="s">
        <v>421</v>
      </c>
      <c r="H80" s="583"/>
      <c r="S80" s="591"/>
      <c r="T80" s="591"/>
    </row>
    <row r="81" spans="2:24" ht="13" x14ac:dyDescent="0.3">
      <c r="B81" s="581"/>
      <c r="C81" s="589"/>
      <c r="D81" s="590" t="s">
        <v>127</v>
      </c>
      <c r="E81" s="589" t="s">
        <v>353</v>
      </c>
      <c r="F81" s="589" t="s">
        <v>353</v>
      </c>
      <c r="G81" s="589" t="s">
        <v>420</v>
      </c>
      <c r="H81" s="583"/>
      <c r="P81" s="616"/>
      <c r="S81" s="591"/>
      <c r="T81" s="591"/>
    </row>
    <row r="82" spans="2:24" ht="13" x14ac:dyDescent="0.3">
      <c r="B82" s="581"/>
      <c r="C82" s="582"/>
      <c r="D82" s="582"/>
      <c r="E82" s="582"/>
      <c r="F82" s="582"/>
      <c r="G82" s="582"/>
      <c r="H82" s="583"/>
    </row>
    <row r="83" spans="2:24" ht="13" x14ac:dyDescent="0.3">
      <c r="B83" s="581"/>
      <c r="C83" s="571">
        <v>1</v>
      </c>
      <c r="D83" s="570" t="s">
        <v>379</v>
      </c>
      <c r="E83" s="655"/>
      <c r="F83" s="591"/>
      <c r="G83" s="591">
        <f t="shared" ref="G83:G87" si="5">+F83*0.9</f>
        <v>0</v>
      </c>
      <c r="H83" s="583"/>
      <c r="R83" s="572"/>
      <c r="S83" s="623"/>
      <c r="T83" s="623"/>
    </row>
    <row r="84" spans="2:24" x14ac:dyDescent="0.25">
      <c r="B84" s="581"/>
      <c r="C84" s="571">
        <v>2</v>
      </c>
      <c r="D84" s="570" t="s">
        <v>418</v>
      </c>
      <c r="E84" s="655"/>
      <c r="F84" s="591"/>
      <c r="G84" s="591">
        <f t="shared" si="5"/>
        <v>0</v>
      </c>
      <c r="H84" s="583"/>
    </row>
    <row r="85" spans="2:24" x14ac:dyDescent="0.25">
      <c r="B85" s="581"/>
      <c r="C85" s="571">
        <v>3</v>
      </c>
      <c r="D85" s="570" t="s">
        <v>376</v>
      </c>
      <c r="E85" s="655"/>
      <c r="F85" s="591"/>
      <c r="G85" s="591">
        <f t="shared" si="5"/>
        <v>0</v>
      </c>
      <c r="H85" s="583"/>
      <c r="T85" s="591"/>
    </row>
    <row r="86" spans="2:24" x14ac:dyDescent="0.25">
      <c r="B86" s="581"/>
      <c r="C86" s="571">
        <v>4</v>
      </c>
      <c r="D86" s="570" t="s">
        <v>375</v>
      </c>
      <c r="E86" s="655"/>
      <c r="F86" s="591"/>
      <c r="G86" s="591">
        <f t="shared" si="5"/>
        <v>0</v>
      </c>
      <c r="H86" s="583"/>
      <c r="T86" s="591"/>
    </row>
    <row r="87" spans="2:24" x14ac:dyDescent="0.25">
      <c r="B87" s="581"/>
      <c r="C87" s="571">
        <v>5</v>
      </c>
      <c r="D87" s="570" t="s">
        <v>416</v>
      </c>
      <c r="E87" s="655"/>
      <c r="F87" s="591"/>
      <c r="G87" s="591">
        <f t="shared" si="5"/>
        <v>0</v>
      </c>
      <c r="H87" s="583"/>
    </row>
    <row r="88" spans="2:24" x14ac:dyDescent="0.25">
      <c r="B88" s="581"/>
      <c r="C88" s="571">
        <v>6</v>
      </c>
      <c r="D88" s="570" t="s">
        <v>374</v>
      </c>
      <c r="E88" s="655"/>
      <c r="F88" s="591"/>
      <c r="G88" s="591">
        <f>+F88*0.75</f>
        <v>0</v>
      </c>
      <c r="H88" s="583"/>
    </row>
    <row r="89" spans="2:24" x14ac:dyDescent="0.25">
      <c r="B89" s="581"/>
      <c r="C89" s="571">
        <v>7</v>
      </c>
      <c r="D89" s="570" t="s">
        <v>373</v>
      </c>
      <c r="E89" s="655"/>
      <c r="F89" s="591"/>
      <c r="G89" s="591">
        <f t="shared" ref="G89:G91" si="6">+F89*0.9</f>
        <v>0</v>
      </c>
      <c r="H89" s="583"/>
      <c r="Q89" s="618"/>
      <c r="R89" s="616"/>
      <c r="S89" s="618"/>
      <c r="T89" s="616"/>
      <c r="U89" s="618"/>
      <c r="V89" s="618"/>
    </row>
    <row r="90" spans="2:24" x14ac:dyDescent="0.25">
      <c r="B90" s="581"/>
      <c r="C90" s="571">
        <v>8</v>
      </c>
      <c r="D90" s="570" t="s">
        <v>371</v>
      </c>
      <c r="E90" s="655"/>
      <c r="F90" s="591"/>
      <c r="G90" s="591">
        <f t="shared" si="6"/>
        <v>0</v>
      </c>
      <c r="H90" s="583"/>
      <c r="P90" s="618"/>
      <c r="Q90" s="618"/>
      <c r="R90" s="616"/>
      <c r="S90" s="618"/>
      <c r="T90" s="616"/>
    </row>
    <row r="91" spans="2:24" x14ac:dyDescent="0.25">
      <c r="B91" s="581"/>
      <c r="C91" s="571">
        <v>9</v>
      </c>
      <c r="D91" s="570" t="s">
        <v>369</v>
      </c>
      <c r="E91" s="655"/>
      <c r="F91" s="591"/>
      <c r="G91" s="591">
        <f t="shared" si="6"/>
        <v>0</v>
      </c>
      <c r="H91" s="583"/>
      <c r="P91" s="618"/>
      <c r="Q91" s="618"/>
      <c r="R91" s="618"/>
      <c r="S91" s="618"/>
      <c r="T91" s="618"/>
    </row>
    <row r="92" spans="2:24" x14ac:dyDescent="0.25">
      <c r="B92" s="581"/>
      <c r="H92" s="583"/>
      <c r="Q92" s="618"/>
    </row>
    <row r="93" spans="2:24" ht="13.5" thickBot="1" x14ac:dyDescent="0.35">
      <c r="B93" s="581"/>
      <c r="D93" s="599" t="s">
        <v>368</v>
      </c>
      <c r="E93" s="600">
        <f>SUM(E83:E92)</f>
        <v>0</v>
      </c>
      <c r="F93" s="600">
        <f>SUM(F83:F92)</f>
        <v>0</v>
      </c>
      <c r="G93" s="600">
        <f>SUM(G83:G92)</f>
        <v>0</v>
      </c>
      <c r="H93" s="583"/>
    </row>
    <row r="94" spans="2:24" ht="13.5" thickTop="1" thickBot="1" x14ac:dyDescent="0.3">
      <c r="B94" s="581"/>
      <c r="H94" s="583"/>
    </row>
    <row r="95" spans="2:24" ht="13.5" thickBot="1" x14ac:dyDescent="0.35">
      <c r="B95" s="581"/>
      <c r="D95" s="603" t="s">
        <v>415</v>
      </c>
      <c r="E95" s="604">
        <f>+E77-E93</f>
        <v>0</v>
      </c>
      <c r="F95" s="604">
        <f>+F77-F93</f>
        <v>0</v>
      </c>
      <c r="G95" s="604">
        <f>+G77-G93</f>
        <v>0</v>
      </c>
      <c r="H95" s="583"/>
    </row>
    <row r="96" spans="2:24" ht="13" thickBot="1" x14ac:dyDescent="0.3">
      <c r="B96" s="605"/>
      <c r="C96" s="606"/>
      <c r="D96" s="607"/>
      <c r="E96" s="607"/>
      <c r="F96" s="607"/>
      <c r="G96" s="607"/>
      <c r="H96" s="608"/>
      <c r="S96" s="618"/>
      <c r="T96" s="618"/>
      <c r="U96" s="618"/>
      <c r="V96" s="618"/>
      <c r="W96" s="618"/>
      <c r="X96" s="618"/>
    </row>
    <row r="97" spans="2:26" ht="13" thickBot="1" x14ac:dyDescent="0.3">
      <c r="Q97" s="618"/>
      <c r="R97" s="618"/>
      <c r="S97" s="618"/>
      <c r="T97" s="616"/>
      <c r="U97" s="616"/>
      <c r="V97" s="616"/>
    </row>
    <row r="98" spans="2:26" ht="13.5" thickBot="1" x14ac:dyDescent="0.35">
      <c r="B98" s="574"/>
      <c r="C98" s="575"/>
      <c r="D98" s="577"/>
      <c r="E98" s="577"/>
      <c r="F98" s="578"/>
      <c r="G98" s="591"/>
      <c r="J98" s="579" t="s">
        <v>380</v>
      </c>
      <c r="K98" s="579" t="s">
        <v>350</v>
      </c>
      <c r="L98" s="580" t="s">
        <v>353</v>
      </c>
      <c r="N98" s="579" t="s">
        <v>380</v>
      </c>
      <c r="O98" s="579" t="s">
        <v>350</v>
      </c>
      <c r="P98" s="580" t="s">
        <v>353</v>
      </c>
      <c r="Q98" s="618"/>
      <c r="R98" s="618"/>
      <c r="S98" s="618"/>
      <c r="T98" s="616"/>
      <c r="U98" s="616"/>
      <c r="V98" s="616"/>
    </row>
    <row r="99" spans="2:26" ht="13" x14ac:dyDescent="0.3">
      <c r="B99" s="581"/>
      <c r="C99" s="589"/>
      <c r="D99" s="589" t="s">
        <v>646</v>
      </c>
      <c r="E99" s="589" t="s">
        <v>353</v>
      </c>
      <c r="F99" s="583"/>
      <c r="J99" s="584"/>
      <c r="K99" s="584"/>
      <c r="L99" s="585"/>
      <c r="N99" s="584"/>
      <c r="O99" s="584"/>
      <c r="P99" s="585"/>
      <c r="Q99" s="618"/>
      <c r="R99" s="618"/>
      <c r="S99" s="618"/>
      <c r="T99" s="618"/>
      <c r="U99" s="618"/>
      <c r="V99" s="618"/>
    </row>
    <row r="100" spans="2:26" x14ac:dyDescent="0.25">
      <c r="B100" s="581"/>
      <c r="F100" s="583"/>
      <c r="J100" s="586">
        <v>1</v>
      </c>
      <c r="K100" s="587" t="s">
        <v>402</v>
      </c>
      <c r="L100" s="588">
        <v>0</v>
      </c>
      <c r="N100" s="586">
        <v>1</v>
      </c>
      <c r="O100" s="587" t="s">
        <v>379</v>
      </c>
      <c r="P100" s="588">
        <v>0</v>
      </c>
    </row>
    <row r="101" spans="2:26" x14ac:dyDescent="0.25">
      <c r="B101" s="581"/>
      <c r="C101" s="571">
        <v>1</v>
      </c>
      <c r="D101" s="609" t="s">
        <v>641</v>
      </c>
      <c r="E101" s="655"/>
      <c r="F101" s="610"/>
      <c r="G101" s="591"/>
      <c r="J101" s="586">
        <v>2</v>
      </c>
      <c r="K101" s="587" t="s">
        <v>400</v>
      </c>
      <c r="L101" s="588">
        <v>0</v>
      </c>
      <c r="N101" s="586">
        <v>2</v>
      </c>
      <c r="O101" s="587" t="s">
        <v>378</v>
      </c>
      <c r="P101" s="588">
        <v>0</v>
      </c>
    </row>
    <row r="102" spans="2:26" x14ac:dyDescent="0.25">
      <c r="B102" s="581"/>
      <c r="C102" s="571">
        <v>2</v>
      </c>
      <c r="D102" s="609" t="s">
        <v>642</v>
      </c>
      <c r="E102" s="655"/>
      <c r="F102" s="610"/>
      <c r="G102" s="591"/>
      <c r="J102" s="586">
        <v>3</v>
      </c>
      <c r="K102" s="587" t="s">
        <v>398</v>
      </c>
      <c r="L102" s="588">
        <v>0</v>
      </c>
      <c r="N102" s="586">
        <v>3</v>
      </c>
      <c r="O102" s="587" t="s">
        <v>376</v>
      </c>
      <c r="P102" s="588">
        <v>0</v>
      </c>
      <c r="T102" s="618"/>
      <c r="U102" s="616"/>
      <c r="V102" s="616"/>
      <c r="W102" s="616"/>
      <c r="X102" s="616"/>
      <c r="Y102" s="618"/>
      <c r="Z102" s="618"/>
    </row>
    <row r="103" spans="2:26" x14ac:dyDescent="0.25">
      <c r="B103" s="581"/>
      <c r="C103" s="571">
        <v>3</v>
      </c>
      <c r="D103" s="609" t="s">
        <v>643</v>
      </c>
      <c r="E103" s="655"/>
      <c r="F103" s="610"/>
      <c r="G103" s="591"/>
      <c r="J103" s="586">
        <v>4</v>
      </c>
      <c r="K103" s="587" t="s">
        <v>375</v>
      </c>
      <c r="L103" s="588">
        <v>0</v>
      </c>
      <c r="N103" s="586">
        <v>4</v>
      </c>
      <c r="O103" s="587" t="s">
        <v>375</v>
      </c>
      <c r="P103" s="588">
        <v>0</v>
      </c>
      <c r="S103" s="618"/>
      <c r="T103" s="618"/>
      <c r="U103" s="618"/>
      <c r="V103" s="616"/>
      <c r="W103" s="616"/>
      <c r="X103" s="616"/>
    </row>
    <row r="104" spans="2:26" x14ac:dyDescent="0.25">
      <c r="B104" s="581"/>
      <c r="C104" s="571">
        <v>4</v>
      </c>
      <c r="D104" s="609" t="s">
        <v>644</v>
      </c>
      <c r="E104" s="655"/>
      <c r="F104" s="610"/>
      <c r="G104" s="591"/>
      <c r="J104" s="586">
        <v>5</v>
      </c>
      <c r="K104" s="587" t="s">
        <v>395</v>
      </c>
      <c r="L104" s="588">
        <v>0</v>
      </c>
      <c r="N104" s="571">
        <v>5</v>
      </c>
      <c r="O104" s="592" t="s">
        <v>416</v>
      </c>
      <c r="P104" s="591">
        <v>0</v>
      </c>
    </row>
    <row r="105" spans="2:26" x14ac:dyDescent="0.25">
      <c r="B105" s="581"/>
      <c r="C105" s="571">
        <v>9</v>
      </c>
      <c r="D105" s="609" t="s">
        <v>372</v>
      </c>
      <c r="E105" s="655"/>
      <c r="F105" s="610"/>
      <c r="G105" s="591"/>
      <c r="J105" s="586">
        <v>6</v>
      </c>
      <c r="K105" s="587" t="s">
        <v>393</v>
      </c>
      <c r="L105" s="588">
        <v>0</v>
      </c>
      <c r="N105" s="586">
        <v>6</v>
      </c>
      <c r="O105" s="587" t="s">
        <v>374</v>
      </c>
      <c r="P105" s="588">
        <v>0</v>
      </c>
    </row>
    <row r="106" spans="2:26" x14ac:dyDescent="0.25">
      <c r="B106" s="581"/>
      <c r="C106" s="571">
        <v>0</v>
      </c>
      <c r="D106" s="609" t="s">
        <v>645</v>
      </c>
      <c r="E106" s="655"/>
      <c r="F106" s="610"/>
      <c r="G106" s="591"/>
      <c r="J106" s="586">
        <v>7</v>
      </c>
      <c r="K106" s="587" t="s">
        <v>373</v>
      </c>
      <c r="L106" s="588">
        <v>0</v>
      </c>
      <c r="N106" s="586">
        <v>7</v>
      </c>
      <c r="O106" s="587" t="s">
        <v>373</v>
      </c>
      <c r="P106" s="588">
        <v>0</v>
      </c>
      <c r="S106" s="616"/>
    </row>
    <row r="107" spans="2:26" x14ac:dyDescent="0.25">
      <c r="B107" s="581"/>
      <c r="E107" s="591"/>
      <c r="F107" s="610"/>
      <c r="G107" s="591"/>
      <c r="J107" s="586">
        <v>8</v>
      </c>
      <c r="K107" s="587" t="s">
        <v>371</v>
      </c>
      <c r="L107" s="588">
        <v>0</v>
      </c>
      <c r="N107" s="586">
        <v>8</v>
      </c>
      <c r="O107" s="587" t="s">
        <v>371</v>
      </c>
      <c r="P107" s="588">
        <v>0</v>
      </c>
    </row>
    <row r="108" spans="2:26" ht="13.5" thickBot="1" x14ac:dyDescent="0.35">
      <c r="B108" s="581"/>
      <c r="D108" s="599" t="s">
        <v>368</v>
      </c>
      <c r="E108" s="600">
        <f>SUM(E101:E107)</f>
        <v>0</v>
      </c>
      <c r="F108" s="610"/>
      <c r="G108" s="591"/>
      <c r="J108" s="586">
        <v>9</v>
      </c>
      <c r="K108" s="587" t="s">
        <v>369</v>
      </c>
      <c r="L108" s="588">
        <v>0</v>
      </c>
      <c r="N108" s="586">
        <v>9</v>
      </c>
      <c r="O108" s="587" t="s">
        <v>369</v>
      </c>
      <c r="P108" s="588">
        <v>0</v>
      </c>
    </row>
    <row r="109" spans="2:26" ht="13.5" thickTop="1" thickBot="1" x14ac:dyDescent="0.3">
      <c r="B109" s="605"/>
      <c r="C109" s="606"/>
      <c r="D109" s="607"/>
      <c r="E109" s="611"/>
      <c r="F109" s="612"/>
      <c r="G109" s="591"/>
      <c r="J109" s="586"/>
      <c r="K109" s="587"/>
      <c r="L109" s="588"/>
      <c r="N109" s="586"/>
      <c r="O109" s="587"/>
      <c r="P109" s="588"/>
    </row>
    <row r="110" spans="2:26" ht="13.5" thickBot="1" x14ac:dyDescent="0.35">
      <c r="J110" s="586"/>
      <c r="K110" s="593" t="s">
        <v>384</v>
      </c>
      <c r="L110" s="594">
        <f>SUM(L100:L109)</f>
        <v>0</v>
      </c>
      <c r="N110" s="586"/>
      <c r="O110" s="593" t="s">
        <v>368</v>
      </c>
      <c r="P110" s="594">
        <f>SUM(P100:P109)</f>
        <v>0</v>
      </c>
    </row>
    <row r="111" spans="2:26" ht="13.5" thickTop="1" thickBot="1" x14ac:dyDescent="0.3">
      <c r="J111" s="595"/>
      <c r="K111" s="596"/>
      <c r="L111" s="597"/>
      <c r="N111" s="597"/>
      <c r="O111" s="597"/>
      <c r="P111" s="597"/>
    </row>
    <row r="112" spans="2:26" ht="13" x14ac:dyDescent="0.25">
      <c r="L112" s="1112" t="s">
        <v>655</v>
      </c>
      <c r="M112" s="1113"/>
      <c r="N112" s="1113"/>
      <c r="O112" s="1114"/>
      <c r="P112" s="598">
        <f>+L100+L101+L102+L103+L104+L105+L106-P100-P101-P102-P103-P104-P105-P106</f>
        <v>0</v>
      </c>
    </row>
    <row r="113" spans="2:19" ht="13.5" thickBot="1" x14ac:dyDescent="0.3">
      <c r="L113" s="1115" t="s">
        <v>367</v>
      </c>
      <c r="M113" s="1116"/>
      <c r="N113" s="1116"/>
      <c r="O113" s="1117"/>
      <c r="P113" s="602"/>
    </row>
    <row r="116" spans="2:19" ht="13" x14ac:dyDescent="0.3">
      <c r="B116" s="567"/>
      <c r="C116" s="568"/>
      <c r="D116" s="569" t="s">
        <v>300</v>
      </c>
      <c r="E116" s="567"/>
      <c r="F116" s="567"/>
      <c r="G116" s="567"/>
      <c r="H116" s="567"/>
      <c r="I116" s="567"/>
      <c r="J116" s="567"/>
      <c r="K116" s="567"/>
      <c r="L116" s="567"/>
      <c r="M116" s="567"/>
      <c r="N116" s="567"/>
      <c r="O116" s="567"/>
      <c r="P116" s="567"/>
      <c r="Q116" s="567"/>
      <c r="R116" s="567"/>
      <c r="S116" s="567"/>
    </row>
    <row r="117" spans="2:19" ht="13" thickBot="1" x14ac:dyDescent="0.3"/>
    <row r="118" spans="2:19" ht="13" x14ac:dyDescent="0.3">
      <c r="B118" s="574"/>
      <c r="C118" s="575"/>
      <c r="D118" s="576"/>
      <c r="E118" s="577"/>
      <c r="F118" s="577"/>
      <c r="G118" s="577"/>
      <c r="H118" s="578"/>
    </row>
    <row r="119" spans="2:19" ht="13" x14ac:dyDescent="0.3">
      <c r="B119" s="581"/>
      <c r="D119" s="572" t="s">
        <v>366</v>
      </c>
      <c r="E119" s="582">
        <f>+E79</f>
        <v>2025</v>
      </c>
      <c r="F119" s="582">
        <f>+E119-1</f>
        <v>2024</v>
      </c>
      <c r="G119" s="582">
        <f>+F119</f>
        <v>2024</v>
      </c>
      <c r="H119" s="583"/>
      <c r="K119" s="572" t="s">
        <v>665</v>
      </c>
      <c r="N119" s="571"/>
      <c r="O119" s="572" t="s">
        <v>663</v>
      </c>
      <c r="P119" s="582">
        <f>+E119</f>
        <v>2025</v>
      </c>
      <c r="Q119" s="582">
        <f>+P119-1</f>
        <v>2024</v>
      </c>
      <c r="R119" s="582"/>
    </row>
    <row r="120" spans="2:19" ht="13" x14ac:dyDescent="0.3">
      <c r="B120" s="581"/>
      <c r="E120" s="582"/>
      <c r="F120" s="582"/>
      <c r="G120" s="582" t="s">
        <v>421</v>
      </c>
      <c r="H120" s="583"/>
      <c r="N120" s="571"/>
      <c r="P120" s="582"/>
      <c r="Q120" s="582"/>
      <c r="R120" s="582"/>
    </row>
    <row r="121" spans="2:19" ht="13" x14ac:dyDescent="0.3">
      <c r="B121" s="581"/>
      <c r="C121" s="589"/>
      <c r="D121" s="590" t="s">
        <v>127</v>
      </c>
      <c r="E121" s="589" t="s">
        <v>353</v>
      </c>
      <c r="F121" s="589" t="s">
        <v>353</v>
      </c>
      <c r="G121" s="589" t="s">
        <v>420</v>
      </c>
      <c r="H121" s="583"/>
      <c r="N121" s="589"/>
      <c r="O121" s="590" t="s">
        <v>127</v>
      </c>
      <c r="P121" s="589" t="s">
        <v>353</v>
      </c>
      <c r="Q121" s="589" t="s">
        <v>353</v>
      </c>
      <c r="R121" s="582"/>
    </row>
    <row r="122" spans="2:19" ht="13" x14ac:dyDescent="0.3">
      <c r="B122" s="581"/>
      <c r="C122" s="582"/>
      <c r="D122" s="582"/>
      <c r="E122" s="582"/>
      <c r="F122" s="582"/>
      <c r="G122" s="582"/>
      <c r="H122" s="583"/>
      <c r="N122" s="582"/>
      <c r="O122" s="582"/>
      <c r="P122" s="582"/>
      <c r="Q122" s="582"/>
      <c r="R122" s="582"/>
    </row>
    <row r="123" spans="2:19" x14ac:dyDescent="0.25">
      <c r="B123" s="581"/>
      <c r="C123" s="571">
        <v>1</v>
      </c>
      <c r="D123" s="570" t="s">
        <v>402</v>
      </c>
      <c r="E123" s="655">
        <f>+E11+E67-P123</f>
        <v>107600</v>
      </c>
      <c r="F123" s="655">
        <f>+F11+F67-Q123</f>
        <v>106400</v>
      </c>
      <c r="G123" s="591">
        <f>+F123*0.9</f>
        <v>95760</v>
      </c>
      <c r="H123" s="583"/>
      <c r="N123" s="571">
        <v>1</v>
      </c>
      <c r="O123" s="570" t="s">
        <v>402</v>
      </c>
      <c r="P123" s="655">
        <v>0</v>
      </c>
      <c r="Q123" s="591">
        <v>0</v>
      </c>
      <c r="R123" s="591"/>
    </row>
    <row r="124" spans="2:19" x14ac:dyDescent="0.25">
      <c r="B124" s="581"/>
      <c r="C124" s="571">
        <v>2</v>
      </c>
      <c r="D124" s="570" t="s">
        <v>400</v>
      </c>
      <c r="E124" s="655">
        <f t="shared" ref="E124:F131" si="7">+E12+E68-P124</f>
        <v>5000</v>
      </c>
      <c r="F124" s="655">
        <f t="shared" si="7"/>
        <v>5000</v>
      </c>
      <c r="G124" s="591">
        <f t="shared" ref="G124:G128" si="8">+F124*0.9</f>
        <v>4500</v>
      </c>
      <c r="H124" s="583"/>
      <c r="N124" s="571">
        <v>2</v>
      </c>
      <c r="O124" s="570" t="s">
        <v>400</v>
      </c>
      <c r="P124" s="655">
        <v>0</v>
      </c>
      <c r="Q124" s="591">
        <v>0</v>
      </c>
      <c r="R124" s="591"/>
    </row>
    <row r="125" spans="2:19" x14ac:dyDescent="0.25">
      <c r="B125" s="581"/>
      <c r="C125" s="571">
        <v>3</v>
      </c>
      <c r="D125" s="570" t="s">
        <v>398</v>
      </c>
      <c r="E125" s="655">
        <f t="shared" si="7"/>
        <v>174842</v>
      </c>
      <c r="F125" s="655">
        <f t="shared" si="7"/>
        <v>168750</v>
      </c>
      <c r="G125" s="591">
        <f t="shared" si="8"/>
        <v>151875</v>
      </c>
      <c r="H125" s="583"/>
      <c r="N125" s="571">
        <v>3</v>
      </c>
      <c r="O125" s="570" t="s">
        <v>398</v>
      </c>
      <c r="P125" s="655">
        <v>0</v>
      </c>
      <c r="Q125" s="591">
        <v>0</v>
      </c>
      <c r="R125" s="591"/>
    </row>
    <row r="126" spans="2:19" x14ac:dyDescent="0.25">
      <c r="B126" s="581"/>
      <c r="C126" s="571">
        <v>4</v>
      </c>
      <c r="D126" s="570" t="s">
        <v>375</v>
      </c>
      <c r="E126" s="655">
        <f t="shared" si="7"/>
        <v>174621</v>
      </c>
      <c r="F126" s="655">
        <f t="shared" si="7"/>
        <v>160744</v>
      </c>
      <c r="G126" s="591">
        <f t="shared" si="8"/>
        <v>144669.6</v>
      </c>
      <c r="H126" s="583"/>
      <c r="N126" s="571">
        <v>4</v>
      </c>
      <c r="O126" s="570" t="s">
        <v>375</v>
      </c>
      <c r="P126" s="655">
        <v>0</v>
      </c>
      <c r="Q126" s="591">
        <v>0</v>
      </c>
      <c r="R126" s="591"/>
    </row>
    <row r="127" spans="2:19" x14ac:dyDescent="0.25">
      <c r="B127" s="581"/>
      <c r="C127" s="571">
        <v>5</v>
      </c>
      <c r="D127" s="570" t="s">
        <v>395</v>
      </c>
      <c r="E127" s="655">
        <f t="shared" si="7"/>
        <v>14000</v>
      </c>
      <c r="F127" s="655">
        <f t="shared" si="7"/>
        <v>12600</v>
      </c>
      <c r="G127" s="591">
        <f t="shared" si="8"/>
        <v>11340</v>
      </c>
      <c r="H127" s="583"/>
      <c r="N127" s="571">
        <v>5</v>
      </c>
      <c r="O127" s="570" t="s">
        <v>395</v>
      </c>
      <c r="P127" s="655">
        <v>0</v>
      </c>
      <c r="Q127" s="591">
        <v>0</v>
      </c>
      <c r="R127" s="591"/>
    </row>
    <row r="128" spans="2:19" x14ac:dyDescent="0.25">
      <c r="B128" s="581"/>
      <c r="C128" s="571">
        <v>6</v>
      </c>
      <c r="D128" s="570" t="s">
        <v>393</v>
      </c>
      <c r="E128" s="655">
        <f t="shared" ca="1" si="7"/>
        <v>0</v>
      </c>
      <c r="F128" s="655">
        <f t="shared" si="7"/>
        <v>0</v>
      </c>
      <c r="G128" s="591">
        <f t="shared" si="8"/>
        <v>0</v>
      </c>
      <c r="H128" s="583"/>
      <c r="N128" s="571">
        <v>6</v>
      </c>
      <c r="O128" s="570" t="s">
        <v>393</v>
      </c>
      <c r="P128" s="655">
        <f ca="1">SUMIF(INGRESSOS!$F$6:$F$58,+N128,INGRESSOS!$D$6:$D$57)</f>
        <v>0</v>
      </c>
      <c r="Q128" s="591">
        <v>0</v>
      </c>
      <c r="R128" s="591"/>
    </row>
    <row r="129" spans="2:18" x14ac:dyDescent="0.25">
      <c r="B129" s="581"/>
      <c r="C129" s="571">
        <v>7</v>
      </c>
      <c r="D129" s="570" t="s">
        <v>373</v>
      </c>
      <c r="E129" s="655">
        <f t="shared" si="7"/>
        <v>151330</v>
      </c>
      <c r="F129" s="655">
        <f t="shared" si="7"/>
        <v>246508</v>
      </c>
      <c r="G129" s="591">
        <f>+F129*0.75</f>
        <v>184881</v>
      </c>
      <c r="H129" s="583"/>
      <c r="N129" s="571">
        <v>7</v>
      </c>
      <c r="O129" s="570" t="s">
        <v>373</v>
      </c>
      <c r="P129" s="655">
        <v>0</v>
      </c>
      <c r="Q129" s="591">
        <v>0</v>
      </c>
      <c r="R129" s="591"/>
    </row>
    <row r="130" spans="2:18" x14ac:dyDescent="0.25">
      <c r="B130" s="581"/>
      <c r="C130" s="571">
        <v>8</v>
      </c>
      <c r="D130" s="570" t="s">
        <v>371</v>
      </c>
      <c r="E130" s="655">
        <f t="shared" ca="1" si="7"/>
        <v>0</v>
      </c>
      <c r="F130" s="655">
        <f t="shared" si="7"/>
        <v>0</v>
      </c>
      <c r="G130" s="591">
        <f t="shared" ref="G130:G131" si="9">+F130*0.9</f>
        <v>0</v>
      </c>
      <c r="H130" s="583"/>
      <c r="N130" s="571">
        <v>8</v>
      </c>
      <c r="O130" s="570" t="s">
        <v>371</v>
      </c>
      <c r="P130" s="655">
        <f ca="1">SUMIF(INGRESSOS!$F$6:$F$58,+N130,INGRESSOS!$D$6:$D$57)</f>
        <v>0</v>
      </c>
      <c r="Q130" s="591">
        <v>0</v>
      </c>
      <c r="R130" s="591"/>
    </row>
    <row r="131" spans="2:18" x14ac:dyDescent="0.25">
      <c r="B131" s="581"/>
      <c r="C131" s="571">
        <v>9</v>
      </c>
      <c r="D131" s="570" t="s">
        <v>369</v>
      </c>
      <c r="E131" s="655">
        <f t="shared" ca="1" si="7"/>
        <v>0</v>
      </c>
      <c r="F131" s="655">
        <f t="shared" si="7"/>
        <v>0</v>
      </c>
      <c r="G131" s="591">
        <f t="shared" si="9"/>
        <v>0</v>
      </c>
      <c r="H131" s="583"/>
      <c r="N131" s="571">
        <v>9</v>
      </c>
      <c r="O131" s="570" t="s">
        <v>369</v>
      </c>
      <c r="P131" s="655">
        <f ca="1">SUMIF(INGRESSOS!$F$6:$F$58,+N131,INGRESSOS!$D$6:$D$57)</f>
        <v>0</v>
      </c>
      <c r="Q131" s="591">
        <v>0</v>
      </c>
      <c r="R131" s="591"/>
    </row>
    <row r="132" spans="2:18" x14ac:dyDescent="0.25">
      <c r="B132" s="581"/>
      <c r="H132" s="583"/>
      <c r="N132" s="571"/>
    </row>
    <row r="133" spans="2:18" ht="13.5" thickBot="1" x14ac:dyDescent="0.35">
      <c r="B133" s="581"/>
      <c r="D133" s="599" t="s">
        <v>384</v>
      </c>
      <c r="E133" s="600">
        <f ca="1">SUM(E123:E132)</f>
        <v>627393</v>
      </c>
      <c r="F133" s="600">
        <f>SUM(F123:F132)</f>
        <v>700002</v>
      </c>
      <c r="G133" s="600">
        <f>SUM(G123:G132)</f>
        <v>593025.6</v>
      </c>
      <c r="H133" s="583"/>
      <c r="N133" s="571"/>
      <c r="O133" s="599" t="s">
        <v>384</v>
      </c>
      <c r="P133" s="600">
        <f ca="1">SUM(P123:P132)</f>
        <v>0</v>
      </c>
      <c r="Q133" s="600">
        <f>SUM(Q123:Q132)</f>
        <v>0</v>
      </c>
      <c r="R133" s="623"/>
    </row>
    <row r="134" spans="2:18" ht="13" thickTop="1" x14ac:dyDescent="0.25">
      <c r="B134" s="581"/>
      <c r="H134" s="583"/>
      <c r="N134" s="571"/>
    </row>
    <row r="135" spans="2:18" ht="13" x14ac:dyDescent="0.3">
      <c r="B135" s="581"/>
      <c r="D135" s="572" t="s">
        <v>422</v>
      </c>
      <c r="E135" s="582">
        <f>+E119</f>
        <v>2025</v>
      </c>
      <c r="F135" s="582">
        <f>+F119</f>
        <v>2024</v>
      </c>
      <c r="G135" s="582">
        <f>+G119</f>
        <v>2024</v>
      </c>
      <c r="H135" s="583"/>
      <c r="N135" s="571"/>
      <c r="O135" s="572" t="s">
        <v>664</v>
      </c>
      <c r="P135" s="582">
        <f>+P119</f>
        <v>2025</v>
      </c>
      <c r="Q135" s="582">
        <f>+Q119</f>
        <v>2024</v>
      </c>
      <c r="R135" s="582"/>
    </row>
    <row r="136" spans="2:18" ht="13" x14ac:dyDescent="0.3">
      <c r="B136" s="581"/>
      <c r="E136" s="582"/>
      <c r="F136" s="582"/>
      <c r="G136" s="582" t="s">
        <v>421</v>
      </c>
      <c r="H136" s="583"/>
      <c r="N136" s="571"/>
      <c r="P136" s="582"/>
      <c r="Q136" s="582"/>
      <c r="R136" s="582"/>
    </row>
    <row r="137" spans="2:18" ht="13" x14ac:dyDescent="0.3">
      <c r="B137" s="581"/>
      <c r="C137" s="589"/>
      <c r="D137" s="590" t="s">
        <v>127</v>
      </c>
      <c r="E137" s="589" t="s">
        <v>353</v>
      </c>
      <c r="F137" s="589" t="s">
        <v>353</v>
      </c>
      <c r="G137" s="589" t="s">
        <v>420</v>
      </c>
      <c r="H137" s="583"/>
      <c r="N137" s="589"/>
      <c r="O137" s="590" t="s">
        <v>127</v>
      </c>
      <c r="P137" s="589" t="s">
        <v>353</v>
      </c>
      <c r="Q137" s="589" t="s">
        <v>353</v>
      </c>
      <c r="R137" s="582"/>
    </row>
    <row r="138" spans="2:18" ht="13" x14ac:dyDescent="0.3">
      <c r="B138" s="581"/>
      <c r="C138" s="582"/>
      <c r="D138" s="582"/>
      <c r="E138" s="582"/>
      <c r="F138" s="582"/>
      <c r="G138" s="582"/>
      <c r="H138" s="583"/>
      <c r="N138" s="582"/>
      <c r="O138" s="582"/>
      <c r="P138" s="582"/>
      <c r="Q138" s="582"/>
      <c r="R138" s="582"/>
    </row>
    <row r="139" spans="2:18" x14ac:dyDescent="0.25">
      <c r="B139" s="581"/>
      <c r="C139" s="571">
        <v>1</v>
      </c>
      <c r="D139" s="570" t="s">
        <v>379</v>
      </c>
      <c r="E139" s="655">
        <f t="shared" ref="E139:E147" si="10">+E27+E83-P139</f>
        <v>155889</v>
      </c>
      <c r="F139" s="655">
        <f t="shared" ref="F139:F147" si="11">+F27+F83-Q139</f>
        <v>119697</v>
      </c>
      <c r="G139" s="591">
        <f t="shared" ref="G139:G143" si="12">+F139*0.9</f>
        <v>107727.3</v>
      </c>
      <c r="H139" s="583"/>
      <c r="N139" s="571">
        <v>1</v>
      </c>
      <c r="O139" s="570" t="s">
        <v>379</v>
      </c>
      <c r="P139" s="655">
        <v>0</v>
      </c>
      <c r="Q139" s="591">
        <v>0</v>
      </c>
      <c r="R139" s="591"/>
    </row>
    <row r="140" spans="2:18" x14ac:dyDescent="0.25">
      <c r="B140" s="581"/>
      <c r="C140" s="571">
        <v>2</v>
      </c>
      <c r="D140" s="570" t="s">
        <v>418</v>
      </c>
      <c r="E140" s="655">
        <f t="shared" si="10"/>
        <v>274514</v>
      </c>
      <c r="F140" s="655">
        <f t="shared" si="11"/>
        <v>285656.87</v>
      </c>
      <c r="G140" s="591">
        <f t="shared" si="12"/>
        <v>257091.18299999999</v>
      </c>
      <c r="H140" s="583"/>
      <c r="N140" s="571">
        <v>2</v>
      </c>
      <c r="O140" s="570" t="s">
        <v>418</v>
      </c>
      <c r="P140" s="655">
        <v>0</v>
      </c>
      <c r="Q140" s="591">
        <v>0</v>
      </c>
      <c r="R140" s="591"/>
    </row>
    <row r="141" spans="2:18" x14ac:dyDescent="0.25">
      <c r="B141" s="581"/>
      <c r="C141" s="571">
        <v>3</v>
      </c>
      <c r="D141" s="570" t="s">
        <v>376</v>
      </c>
      <c r="E141" s="655">
        <f t="shared" si="10"/>
        <v>11000</v>
      </c>
      <c r="F141" s="655">
        <f t="shared" si="11"/>
        <v>8000</v>
      </c>
      <c r="G141" s="591">
        <f t="shared" si="12"/>
        <v>7200</v>
      </c>
      <c r="H141" s="583"/>
      <c r="N141" s="571">
        <v>3</v>
      </c>
      <c r="O141" s="570" t="s">
        <v>376</v>
      </c>
      <c r="P141" s="655">
        <v>0</v>
      </c>
      <c r="Q141" s="591">
        <v>0</v>
      </c>
      <c r="R141" s="591"/>
    </row>
    <row r="142" spans="2:18" x14ac:dyDescent="0.25">
      <c r="B142" s="581"/>
      <c r="C142" s="571">
        <v>4</v>
      </c>
      <c r="D142" s="570" t="s">
        <v>375</v>
      </c>
      <c r="E142" s="655">
        <f t="shared" si="10"/>
        <v>5100</v>
      </c>
      <c r="F142" s="655">
        <f t="shared" si="11"/>
        <v>5100</v>
      </c>
      <c r="G142" s="591">
        <f t="shared" si="12"/>
        <v>4590</v>
      </c>
      <c r="H142" s="583"/>
      <c r="N142" s="571">
        <v>4</v>
      </c>
      <c r="O142" s="570" t="s">
        <v>375</v>
      </c>
      <c r="P142" s="655">
        <v>0</v>
      </c>
      <c r="Q142" s="591">
        <v>0</v>
      </c>
      <c r="R142" s="591"/>
    </row>
    <row r="143" spans="2:18" x14ac:dyDescent="0.25">
      <c r="B143" s="581"/>
      <c r="C143" s="571">
        <v>5</v>
      </c>
      <c r="D143" s="570" t="s">
        <v>416</v>
      </c>
      <c r="E143" s="655">
        <f t="shared" si="10"/>
        <v>500</v>
      </c>
      <c r="F143" s="655">
        <f t="shared" si="11"/>
        <v>500</v>
      </c>
      <c r="G143" s="591">
        <f t="shared" si="12"/>
        <v>450</v>
      </c>
      <c r="H143" s="583"/>
      <c r="N143" s="571">
        <v>5</v>
      </c>
      <c r="O143" s="570" t="s">
        <v>416</v>
      </c>
      <c r="P143" s="655">
        <v>0</v>
      </c>
      <c r="Q143" s="591">
        <v>0</v>
      </c>
      <c r="R143" s="591"/>
    </row>
    <row r="144" spans="2:18" x14ac:dyDescent="0.25">
      <c r="B144" s="581"/>
      <c r="C144" s="571">
        <v>6</v>
      </c>
      <c r="D144" s="570" t="s">
        <v>374</v>
      </c>
      <c r="E144" s="655">
        <f t="shared" si="10"/>
        <v>157890</v>
      </c>
      <c r="F144" s="655">
        <f t="shared" si="11"/>
        <v>272926.13</v>
      </c>
      <c r="G144" s="591">
        <f>+F144*0.75</f>
        <v>204694.5975</v>
      </c>
      <c r="H144" s="583"/>
      <c r="N144" s="571">
        <v>6</v>
      </c>
      <c r="O144" s="570" t="s">
        <v>374</v>
      </c>
      <c r="P144" s="655">
        <v>0</v>
      </c>
      <c r="Q144" s="591">
        <v>0</v>
      </c>
      <c r="R144" s="591"/>
    </row>
    <row r="145" spans="2:18" x14ac:dyDescent="0.25">
      <c r="B145" s="581"/>
      <c r="C145" s="571">
        <v>7</v>
      </c>
      <c r="D145" s="570" t="s">
        <v>373</v>
      </c>
      <c r="E145" s="655">
        <f t="shared" si="10"/>
        <v>0</v>
      </c>
      <c r="F145" s="655">
        <f t="shared" si="11"/>
        <v>0</v>
      </c>
      <c r="G145" s="591">
        <f t="shared" ref="G145:G147" si="13">+F145*0.9</f>
        <v>0</v>
      </c>
      <c r="H145" s="583"/>
      <c r="N145" s="571">
        <v>7</v>
      </c>
      <c r="O145" s="570" t="s">
        <v>373</v>
      </c>
      <c r="P145" s="655">
        <f>SUMIF(DESPESES!$G$7:$G$56,+N145,DESPESES!$E$7:$E$56)</f>
        <v>0</v>
      </c>
      <c r="Q145" s="591">
        <v>0</v>
      </c>
      <c r="R145" s="591"/>
    </row>
    <row r="146" spans="2:18" x14ac:dyDescent="0.25">
      <c r="B146" s="581"/>
      <c r="C146" s="571">
        <v>8</v>
      </c>
      <c r="D146" s="570" t="s">
        <v>371</v>
      </c>
      <c r="E146" s="655">
        <f t="shared" si="10"/>
        <v>0</v>
      </c>
      <c r="F146" s="655">
        <f t="shared" si="11"/>
        <v>0</v>
      </c>
      <c r="G146" s="591">
        <f t="shared" si="13"/>
        <v>0</v>
      </c>
      <c r="H146" s="583"/>
      <c r="N146" s="571">
        <v>8</v>
      </c>
      <c r="O146" s="570" t="s">
        <v>371</v>
      </c>
      <c r="P146" s="655">
        <f>SUMIF(DESPESES!$G$7:$G$56,+N146,DESPESES!$E$7:$E$56)</f>
        <v>0</v>
      </c>
      <c r="Q146" s="591">
        <v>0</v>
      </c>
      <c r="R146" s="591"/>
    </row>
    <row r="147" spans="2:18" x14ac:dyDescent="0.25">
      <c r="B147" s="581"/>
      <c r="C147" s="571">
        <v>9</v>
      </c>
      <c r="D147" s="570" t="s">
        <v>369</v>
      </c>
      <c r="E147" s="655">
        <f t="shared" si="10"/>
        <v>22500</v>
      </c>
      <c r="F147" s="655">
        <f t="shared" si="11"/>
        <v>8122</v>
      </c>
      <c r="G147" s="591">
        <f t="shared" si="13"/>
        <v>7309.8</v>
      </c>
      <c r="H147" s="583"/>
      <c r="N147" s="571">
        <v>9</v>
      </c>
      <c r="O147" s="570" t="s">
        <v>369</v>
      </c>
      <c r="P147" s="655">
        <v>0</v>
      </c>
      <c r="Q147" s="591">
        <v>0</v>
      </c>
      <c r="R147" s="591"/>
    </row>
    <row r="148" spans="2:18" x14ac:dyDescent="0.25">
      <c r="B148" s="581"/>
      <c r="H148" s="583"/>
      <c r="N148" s="571"/>
    </row>
    <row r="149" spans="2:18" ht="13.5" thickBot="1" x14ac:dyDescent="0.35">
      <c r="B149" s="581"/>
      <c r="D149" s="599" t="s">
        <v>368</v>
      </c>
      <c r="E149" s="600">
        <f>SUM(E139:E148)</f>
        <v>627393</v>
      </c>
      <c r="F149" s="600">
        <f>SUM(F139:F148)</f>
        <v>700002</v>
      </c>
      <c r="G149" s="600">
        <f>SUM(G139:G148)</f>
        <v>589062.88050000009</v>
      </c>
      <c r="H149" s="583"/>
      <c r="N149" s="571"/>
      <c r="O149" s="599" t="s">
        <v>368</v>
      </c>
      <c r="P149" s="600">
        <f>SUM(P139:P148)</f>
        <v>0</v>
      </c>
      <c r="Q149" s="600">
        <f>SUM(Q139:Q148)</f>
        <v>0</v>
      </c>
      <c r="R149" s="623"/>
    </row>
    <row r="150" spans="2:18" ht="13.5" thickTop="1" thickBot="1" x14ac:dyDescent="0.3">
      <c r="B150" s="581"/>
      <c r="H150" s="583"/>
      <c r="N150" s="571"/>
    </row>
    <row r="151" spans="2:18" ht="13.5" thickBot="1" x14ac:dyDescent="0.35">
      <c r="B151" s="581"/>
      <c r="D151" s="603" t="s">
        <v>415</v>
      </c>
      <c r="E151" s="604">
        <f ca="1">+E133-E149</f>
        <v>0</v>
      </c>
      <c r="F151" s="604">
        <f>+F133-F149</f>
        <v>0</v>
      </c>
      <c r="G151" s="604">
        <f>+G133-G149</f>
        <v>3962.7194999998901</v>
      </c>
      <c r="H151" s="583"/>
      <c r="N151" s="571"/>
      <c r="O151" s="603" t="s">
        <v>415</v>
      </c>
      <c r="P151" s="604">
        <f ca="1">+P133-P149</f>
        <v>0</v>
      </c>
      <c r="Q151" s="624">
        <f>+Q133-Q149</f>
        <v>0</v>
      </c>
      <c r="R151" s="623"/>
    </row>
    <row r="152" spans="2:18" ht="13" thickBot="1" x14ac:dyDescent="0.3">
      <c r="B152" s="605"/>
      <c r="C152" s="606"/>
      <c r="D152" s="607"/>
      <c r="E152" s="607"/>
      <c r="F152" s="607"/>
      <c r="G152" s="607"/>
      <c r="H152" s="608"/>
    </row>
    <row r="153" spans="2:18" ht="13" thickBot="1" x14ac:dyDescent="0.3">
      <c r="Q153" s="618"/>
    </row>
    <row r="154" spans="2:18" ht="13.5" thickBot="1" x14ac:dyDescent="0.35">
      <c r="B154" s="574"/>
      <c r="C154" s="575"/>
      <c r="D154" s="577"/>
      <c r="E154" s="577"/>
      <c r="F154" s="578"/>
      <c r="G154" s="591"/>
      <c r="J154" s="579" t="s">
        <v>380</v>
      </c>
      <c r="K154" s="579" t="s">
        <v>350</v>
      </c>
      <c r="L154" s="580" t="s">
        <v>353</v>
      </c>
      <c r="N154" s="579" t="s">
        <v>380</v>
      </c>
      <c r="O154" s="579" t="s">
        <v>350</v>
      </c>
      <c r="P154" s="580" t="s">
        <v>353</v>
      </c>
      <c r="Q154" s="618"/>
    </row>
    <row r="155" spans="2:18" ht="13" x14ac:dyDescent="0.3">
      <c r="B155" s="581"/>
      <c r="C155" s="589"/>
      <c r="D155" s="589" t="s">
        <v>646</v>
      </c>
      <c r="E155" s="589" t="s">
        <v>353</v>
      </c>
      <c r="F155" s="583"/>
      <c r="J155" s="584"/>
      <c r="K155" s="584"/>
      <c r="L155" s="585"/>
      <c r="N155" s="584"/>
      <c r="O155" s="584"/>
      <c r="P155" s="585"/>
      <c r="Q155" s="618"/>
    </row>
    <row r="156" spans="2:18" x14ac:dyDescent="0.25">
      <c r="B156" s="581"/>
      <c r="F156" s="583"/>
      <c r="J156" s="586">
        <v>1</v>
      </c>
      <c r="K156" s="587" t="s">
        <v>402</v>
      </c>
      <c r="L156" s="588">
        <f>+E123</f>
        <v>107600</v>
      </c>
      <c r="N156" s="586">
        <v>1</v>
      </c>
      <c r="O156" s="587" t="s">
        <v>379</v>
      </c>
      <c r="P156" s="588">
        <f>+E139</f>
        <v>155889</v>
      </c>
    </row>
    <row r="157" spans="2:18" x14ac:dyDescent="0.25">
      <c r="B157" s="581"/>
      <c r="C157" s="571">
        <v>1</v>
      </c>
      <c r="D157" s="609" t="s">
        <v>641</v>
      </c>
      <c r="E157" s="655">
        <f>+E45+E101</f>
        <v>214492</v>
      </c>
      <c r="F157" s="610"/>
      <c r="G157" s="591"/>
      <c r="J157" s="586">
        <v>2</v>
      </c>
      <c r="K157" s="587" t="s">
        <v>400</v>
      </c>
      <c r="L157" s="588">
        <f t="shared" ref="L157:L164" si="14">+E124</f>
        <v>5000</v>
      </c>
      <c r="N157" s="586">
        <v>2</v>
      </c>
      <c r="O157" s="587" t="s">
        <v>378</v>
      </c>
      <c r="P157" s="588">
        <f t="shared" ref="P157:P164" si="15">+E140</f>
        <v>274514</v>
      </c>
    </row>
    <row r="158" spans="2:18" x14ac:dyDescent="0.25">
      <c r="B158" s="581"/>
      <c r="C158" s="571">
        <v>2</v>
      </c>
      <c r="D158" s="609" t="s">
        <v>642</v>
      </c>
      <c r="E158" s="655">
        <f t="shared" ref="E158:E162" si="16">+E46+E102</f>
        <v>2100</v>
      </c>
      <c r="F158" s="610"/>
      <c r="G158" s="591"/>
      <c r="J158" s="586">
        <v>3</v>
      </c>
      <c r="K158" s="587" t="s">
        <v>398</v>
      </c>
      <c r="L158" s="588">
        <f t="shared" si="14"/>
        <v>174842</v>
      </c>
      <c r="N158" s="586">
        <v>3</v>
      </c>
      <c r="O158" s="587" t="s">
        <v>376</v>
      </c>
      <c r="P158" s="588">
        <f t="shared" si="15"/>
        <v>11000</v>
      </c>
    </row>
    <row r="159" spans="2:18" x14ac:dyDescent="0.25">
      <c r="B159" s="581"/>
      <c r="C159" s="571">
        <v>3</v>
      </c>
      <c r="D159" s="609" t="s">
        <v>643</v>
      </c>
      <c r="E159" s="655">
        <f t="shared" si="16"/>
        <v>81400</v>
      </c>
      <c r="F159" s="610"/>
      <c r="G159" s="591"/>
      <c r="J159" s="586">
        <v>4</v>
      </c>
      <c r="K159" s="587" t="s">
        <v>375</v>
      </c>
      <c r="L159" s="588">
        <f t="shared" si="14"/>
        <v>174621</v>
      </c>
      <c r="N159" s="586">
        <v>4</v>
      </c>
      <c r="O159" s="587" t="s">
        <v>375</v>
      </c>
      <c r="P159" s="588">
        <f t="shared" si="15"/>
        <v>5100</v>
      </c>
    </row>
    <row r="160" spans="2:18" x14ac:dyDescent="0.25">
      <c r="B160" s="581"/>
      <c r="C160" s="571">
        <v>4</v>
      </c>
      <c r="D160" s="609" t="s">
        <v>644</v>
      </c>
      <c r="E160" s="655">
        <f t="shared" si="16"/>
        <v>83898</v>
      </c>
      <c r="F160" s="610"/>
      <c r="G160" s="591"/>
      <c r="J160" s="586">
        <v>5</v>
      </c>
      <c r="K160" s="587" t="s">
        <v>395</v>
      </c>
      <c r="L160" s="588">
        <f t="shared" si="14"/>
        <v>14000</v>
      </c>
      <c r="N160" s="571">
        <v>5</v>
      </c>
      <c r="O160" s="592" t="s">
        <v>416</v>
      </c>
      <c r="P160" s="588">
        <f t="shared" si="15"/>
        <v>500</v>
      </c>
    </row>
    <row r="161" spans="2:16" x14ac:dyDescent="0.25">
      <c r="B161" s="581"/>
      <c r="C161" s="571">
        <v>9</v>
      </c>
      <c r="D161" s="609" t="s">
        <v>372</v>
      </c>
      <c r="E161" s="655">
        <f t="shared" si="16"/>
        <v>212003</v>
      </c>
      <c r="F161" s="610"/>
      <c r="G161" s="591"/>
      <c r="J161" s="586">
        <v>6</v>
      </c>
      <c r="K161" s="587" t="s">
        <v>393</v>
      </c>
      <c r="L161" s="588">
        <f t="shared" ca="1" si="14"/>
        <v>0</v>
      </c>
      <c r="N161" s="586">
        <v>6</v>
      </c>
      <c r="O161" s="587" t="s">
        <v>374</v>
      </c>
      <c r="P161" s="588">
        <f t="shared" si="15"/>
        <v>157890</v>
      </c>
    </row>
    <row r="162" spans="2:16" x14ac:dyDescent="0.25">
      <c r="B162" s="581"/>
      <c r="C162" s="571">
        <v>0</v>
      </c>
      <c r="D162" s="609" t="s">
        <v>645</v>
      </c>
      <c r="E162" s="655">
        <f t="shared" si="16"/>
        <v>33500</v>
      </c>
      <c r="F162" s="610"/>
      <c r="G162" s="591"/>
      <c r="J162" s="586">
        <v>7</v>
      </c>
      <c r="K162" s="587" t="s">
        <v>373</v>
      </c>
      <c r="L162" s="588">
        <f t="shared" si="14"/>
        <v>151330</v>
      </c>
      <c r="N162" s="586">
        <v>7</v>
      </c>
      <c r="O162" s="587" t="s">
        <v>373</v>
      </c>
      <c r="P162" s="588">
        <f t="shared" si="15"/>
        <v>0</v>
      </c>
    </row>
    <row r="163" spans="2:16" x14ac:dyDescent="0.25">
      <c r="B163" s="581"/>
      <c r="E163" s="591"/>
      <c r="F163" s="610"/>
      <c r="G163" s="591"/>
      <c r="J163" s="586">
        <v>8</v>
      </c>
      <c r="K163" s="587" t="s">
        <v>371</v>
      </c>
      <c r="L163" s="588">
        <f t="shared" ca="1" si="14"/>
        <v>0</v>
      </c>
      <c r="N163" s="586">
        <v>8</v>
      </c>
      <c r="O163" s="587" t="s">
        <v>371</v>
      </c>
      <c r="P163" s="588">
        <f t="shared" si="15"/>
        <v>0</v>
      </c>
    </row>
    <row r="164" spans="2:16" ht="13.5" thickBot="1" x14ac:dyDescent="0.35">
      <c r="B164" s="581"/>
      <c r="D164" s="599" t="s">
        <v>368</v>
      </c>
      <c r="E164" s="600">
        <f>SUM(E157:E163)</f>
        <v>627393</v>
      </c>
      <c r="F164" s="610"/>
      <c r="G164" s="591"/>
      <c r="J164" s="586">
        <v>9</v>
      </c>
      <c r="K164" s="587" t="s">
        <v>369</v>
      </c>
      <c r="L164" s="588">
        <f t="shared" ca="1" si="14"/>
        <v>0</v>
      </c>
      <c r="N164" s="586">
        <v>9</v>
      </c>
      <c r="O164" s="587" t="s">
        <v>369</v>
      </c>
      <c r="P164" s="588">
        <f t="shared" si="15"/>
        <v>22500</v>
      </c>
    </row>
    <row r="165" spans="2:16" ht="13.5" thickTop="1" thickBot="1" x14ac:dyDescent="0.3">
      <c r="B165" s="605"/>
      <c r="C165" s="606"/>
      <c r="D165" s="607"/>
      <c r="E165" s="611"/>
      <c r="F165" s="612"/>
      <c r="G165" s="591"/>
      <c r="J165" s="586"/>
      <c r="K165" s="587"/>
      <c r="L165" s="588"/>
      <c r="N165" s="586"/>
      <c r="O165" s="587"/>
      <c r="P165" s="588"/>
    </row>
    <row r="166" spans="2:16" ht="13.5" thickBot="1" x14ac:dyDescent="0.35">
      <c r="J166" s="586"/>
      <c r="K166" s="593" t="s">
        <v>384</v>
      </c>
      <c r="L166" s="594">
        <f ca="1">SUM(L156:L165)</f>
        <v>627393</v>
      </c>
      <c r="N166" s="586"/>
      <c r="O166" s="593" t="s">
        <v>368</v>
      </c>
      <c r="P166" s="594">
        <f>SUM(P156:P165)</f>
        <v>627393</v>
      </c>
    </row>
    <row r="167" spans="2:16" ht="13.5" thickTop="1" thickBot="1" x14ac:dyDescent="0.3">
      <c r="J167" s="595"/>
      <c r="K167" s="596"/>
      <c r="L167" s="597"/>
      <c r="N167" s="597"/>
      <c r="O167" s="597"/>
      <c r="P167" s="597"/>
    </row>
    <row r="168" spans="2:16" ht="13" x14ac:dyDescent="0.25">
      <c r="L168" s="1112" t="s">
        <v>655</v>
      </c>
      <c r="M168" s="1113"/>
      <c r="N168" s="1113"/>
      <c r="O168" s="1114"/>
      <c r="P168" s="598">
        <f ca="1">+L156+L157+L158+L159+L160+L161+L162-P156-P157-P158-P159-P160-P161-P162</f>
        <v>22500</v>
      </c>
    </row>
    <row r="169" spans="2:16" ht="13.5" thickBot="1" x14ac:dyDescent="0.3">
      <c r="L169" s="1115" t="s">
        <v>367</v>
      </c>
      <c r="M169" s="1116"/>
      <c r="N169" s="1116"/>
      <c r="O169" s="1117"/>
      <c r="P169" s="602"/>
    </row>
    <row r="175" spans="2:16" ht="13" x14ac:dyDescent="0.3">
      <c r="D175" s="572" t="s">
        <v>299</v>
      </c>
      <c r="E175" s="625"/>
    </row>
    <row r="176" spans="2:16" ht="13" x14ac:dyDescent="0.3">
      <c r="C176" s="570"/>
      <c r="G176" s="582"/>
    </row>
    <row r="177" spans="3:12" ht="13" x14ac:dyDescent="0.3">
      <c r="C177" s="570"/>
      <c r="D177" s="667" t="s">
        <v>405</v>
      </c>
      <c r="E177" s="1118" t="s">
        <v>404</v>
      </c>
      <c r="F177" s="1119"/>
      <c r="G177" s="589" t="s">
        <v>672</v>
      </c>
    </row>
    <row r="178" spans="3:12" x14ac:dyDescent="0.25">
      <c r="C178" s="570"/>
      <c r="D178" s="609"/>
      <c r="E178" s="668"/>
    </row>
    <row r="179" spans="3:12" x14ac:dyDescent="0.25">
      <c r="C179" s="570"/>
      <c r="D179" s="609"/>
      <c r="E179" s="1110"/>
      <c r="F179" s="1111"/>
      <c r="G179" s="670"/>
    </row>
    <row r="180" spans="3:12" x14ac:dyDescent="0.25">
      <c r="C180" s="570"/>
      <c r="D180" s="609"/>
      <c r="E180" s="1110"/>
      <c r="F180" s="1111"/>
      <c r="G180" s="670"/>
    </row>
    <row r="181" spans="3:12" x14ac:dyDescent="0.25">
      <c r="C181" s="570"/>
      <c r="D181" s="609"/>
      <c r="E181" s="1110"/>
      <c r="F181" s="1111"/>
      <c r="G181" s="670"/>
    </row>
    <row r="182" spans="3:12" x14ac:dyDescent="0.25">
      <c r="D182" s="609"/>
      <c r="E182" s="1110"/>
      <c r="F182" s="1111"/>
      <c r="G182" s="670"/>
    </row>
    <row r="183" spans="3:12" x14ac:dyDescent="0.25">
      <c r="D183" s="609"/>
      <c r="E183" s="1110"/>
      <c r="F183" s="1111"/>
      <c r="G183" s="670"/>
    </row>
    <row r="191" spans="3:12" ht="14" x14ac:dyDescent="0.3">
      <c r="K191" s="634"/>
      <c r="L191" s="552"/>
    </row>
    <row r="192" spans="3:12" x14ac:dyDescent="0.25">
      <c r="K192" s="10"/>
      <c r="L192" s="552"/>
    </row>
    <row r="196" spans="3:11" ht="14" x14ac:dyDescent="0.3">
      <c r="D196" s="358"/>
      <c r="E196" s="10"/>
      <c r="F196" s="633"/>
    </row>
    <row r="197" spans="3:11" ht="13" x14ac:dyDescent="0.3">
      <c r="C197" s="582"/>
      <c r="D197" s="358"/>
      <c r="E197" s="10"/>
      <c r="F197" s="15"/>
      <c r="G197" s="591"/>
      <c r="H197" s="591"/>
      <c r="I197" s="591"/>
    </row>
    <row r="198" spans="3:11" ht="13" x14ac:dyDescent="0.3">
      <c r="C198" s="582"/>
      <c r="D198" s="358"/>
      <c r="E198" s="10"/>
      <c r="F198" s="15"/>
      <c r="G198" s="622"/>
      <c r="H198" s="622"/>
      <c r="I198" s="622"/>
    </row>
    <row r="199" spans="3:11" ht="13" x14ac:dyDescent="0.3">
      <c r="D199" s="572"/>
      <c r="E199" s="623"/>
      <c r="F199" s="623"/>
      <c r="G199" s="623"/>
      <c r="H199" s="623"/>
      <c r="I199" s="623"/>
    </row>
    <row r="200" spans="3:11" x14ac:dyDescent="0.25">
      <c r="E200" s="591"/>
      <c r="F200" s="591"/>
      <c r="G200" s="591"/>
      <c r="H200" s="591"/>
      <c r="I200" s="591"/>
    </row>
    <row r="201" spans="3:11" x14ac:dyDescent="0.25">
      <c r="E201" s="591"/>
      <c r="F201" s="591"/>
      <c r="G201" s="591"/>
      <c r="H201" s="591"/>
      <c r="I201" s="591"/>
    </row>
    <row r="202" spans="3:11" x14ac:dyDescent="0.25">
      <c r="K202" s="669"/>
    </row>
    <row r="203" spans="3:11" ht="13" x14ac:dyDescent="0.3">
      <c r="D203" s="675" t="s">
        <v>675</v>
      </c>
      <c r="E203" s="676" t="s">
        <v>676</v>
      </c>
      <c r="F203" s="677" t="s">
        <v>677</v>
      </c>
      <c r="G203" s="623"/>
      <c r="H203" s="623"/>
      <c r="I203" s="623"/>
    </row>
    <row r="205" spans="3:11" x14ac:dyDescent="0.25">
      <c r="D205" s="570" t="s">
        <v>656</v>
      </c>
      <c r="E205" s="571">
        <v>1</v>
      </c>
      <c r="F205" s="570" t="s">
        <v>690</v>
      </c>
      <c r="I205" s="591"/>
    </row>
    <row r="206" spans="3:11" x14ac:dyDescent="0.25">
      <c r="D206" s="570" t="s">
        <v>678</v>
      </c>
      <c r="E206" s="571">
        <v>1</v>
      </c>
      <c r="F206" s="570" t="s">
        <v>689</v>
      </c>
      <c r="I206" s="591"/>
    </row>
    <row r="207" spans="3:11" x14ac:dyDescent="0.25">
      <c r="D207" s="570" t="s">
        <v>680</v>
      </c>
      <c r="E207" s="571">
        <v>1</v>
      </c>
      <c r="F207" s="570" t="s">
        <v>689</v>
      </c>
    </row>
    <row r="208" spans="3:11" x14ac:dyDescent="0.25">
      <c r="D208" s="570" t="s">
        <v>688</v>
      </c>
      <c r="E208" s="571">
        <v>2</v>
      </c>
      <c r="F208" s="570" t="s">
        <v>679</v>
      </c>
    </row>
    <row r="209" spans="5:5" x14ac:dyDescent="0.25">
      <c r="E209" s="571"/>
    </row>
  </sheetData>
  <sheetProtection algorithmName="SHA-512" hashValue="BujQ6I9ZLFJNTKWGlPNjCdaPs1rArEzLMB9uVfV+yncKLuauY24o0YveIDb/aPOyGQXC0JWfUE+8SdPp0qT0ZA==" saltValue="fRqNRBaz9KeX0Lgt68cRRw==" spinCount="100000" sheet="1" objects="1" scenarios="1"/>
  <mergeCells count="10">
    <mergeCell ref="E183:F183"/>
    <mergeCell ref="L112:O112"/>
    <mergeCell ref="L113:O113"/>
    <mergeCell ref="E181:F181"/>
    <mergeCell ref="E182:F182"/>
    <mergeCell ref="L168:O168"/>
    <mergeCell ref="L169:O169"/>
    <mergeCell ref="E177:F177"/>
    <mergeCell ref="E179:F179"/>
    <mergeCell ref="E180:F180"/>
  </mergeCells>
  <phoneticPr fontId="51" type="noConversion"/>
  <pageMargins left="0.39370078740157483" right="0.19685039370078741" top="0.59055118110236227" bottom="0.19685039370078741" header="0.31" footer="0.19685039370078741"/>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8"/>
  <dimension ref="B2:L101"/>
  <sheetViews>
    <sheetView topLeftCell="A34" zoomScaleNormal="100" workbookViewId="0">
      <selection activeCell="A34" sqref="A1:XFD1048576"/>
    </sheetView>
  </sheetViews>
  <sheetFormatPr baseColWidth="10" defaultColWidth="11.36328125" defaultRowHeight="12.5" x14ac:dyDescent="0.25"/>
  <cols>
    <col min="1" max="1" width="1.36328125" style="794" customWidth="1"/>
    <col min="2" max="2" width="13.36328125" style="797" customWidth="1"/>
    <col min="3" max="3" width="50.6328125" style="794" customWidth="1"/>
    <col min="4" max="4" width="11.7265625" style="1018" bestFit="1" customWidth="1"/>
    <col min="5" max="5" width="11.36328125" style="1018"/>
    <col min="6" max="9" width="11.36328125" style="794"/>
    <col min="10" max="10" width="22.6328125" style="794" customWidth="1"/>
    <col min="11" max="11" width="11.36328125" style="1097"/>
    <col min="12" max="16384" width="11.36328125" style="794"/>
  </cols>
  <sheetData>
    <row r="2" spans="2:11" ht="13" x14ac:dyDescent="0.3">
      <c r="B2" s="1012" t="s">
        <v>348</v>
      </c>
    </row>
    <row r="5" spans="2:11" ht="13" x14ac:dyDescent="0.3">
      <c r="B5" s="1013" t="s">
        <v>351</v>
      </c>
      <c r="C5" s="1014" t="s">
        <v>352</v>
      </c>
      <c r="D5" s="1015">
        <f>+RESUM_PRESSUPOST!E7</f>
        <v>2025</v>
      </c>
      <c r="E5" s="1015">
        <f>+D5-1</f>
        <v>2024</v>
      </c>
      <c r="F5" s="1016" t="s">
        <v>380</v>
      </c>
      <c r="G5" s="1016" t="s">
        <v>658</v>
      </c>
    </row>
    <row r="6" spans="2:11" x14ac:dyDescent="0.25">
      <c r="B6" s="797">
        <v>11200</v>
      </c>
      <c r="C6" s="794" t="s">
        <v>733</v>
      </c>
      <c r="D6" s="1022">
        <v>20000</v>
      </c>
      <c r="E6" s="1022">
        <v>20800</v>
      </c>
      <c r="F6" s="1019" t="str">
        <f t="shared" ref="F6" si="0">LEFT(+B6,1)</f>
        <v>1</v>
      </c>
      <c r="G6" s="1019" t="str">
        <f t="shared" ref="G6" si="1">LEFT(+B6,3)</f>
        <v>112</v>
      </c>
      <c r="I6" s="1089"/>
      <c r="J6" s="1090"/>
      <c r="K6" s="1098"/>
    </row>
    <row r="7" spans="2:11" x14ac:dyDescent="0.25">
      <c r="B7" s="797">
        <v>11300</v>
      </c>
      <c r="C7" s="794" t="s">
        <v>734</v>
      </c>
      <c r="D7" s="1022">
        <v>63500</v>
      </c>
      <c r="E7" s="1022">
        <v>62000</v>
      </c>
      <c r="F7" s="1019" t="str">
        <f t="shared" ref="F7:F60" si="2">LEFT(+B7,1)</f>
        <v>1</v>
      </c>
      <c r="G7" s="1019" t="str">
        <f t="shared" ref="G7:G60" si="3">LEFT(+B7,3)</f>
        <v>113</v>
      </c>
      <c r="I7" s="1089"/>
      <c r="J7" s="1090"/>
      <c r="K7" s="1098"/>
    </row>
    <row r="8" spans="2:11" x14ac:dyDescent="0.25">
      <c r="B8" s="797">
        <v>11500</v>
      </c>
      <c r="C8" s="799" t="s">
        <v>735</v>
      </c>
      <c r="D8" s="1022">
        <v>16600</v>
      </c>
      <c r="E8" s="1022">
        <v>16600</v>
      </c>
      <c r="F8" s="1019" t="str">
        <f t="shared" si="2"/>
        <v>1</v>
      </c>
      <c r="G8" s="1019" t="str">
        <f t="shared" si="3"/>
        <v>115</v>
      </c>
      <c r="I8" s="1089"/>
      <c r="J8" s="680"/>
      <c r="K8" s="555"/>
    </row>
    <row r="9" spans="2:11" x14ac:dyDescent="0.25">
      <c r="B9" s="797">
        <v>11600</v>
      </c>
      <c r="C9" s="794" t="s">
        <v>736</v>
      </c>
      <c r="D9" s="1022">
        <v>1000</v>
      </c>
      <c r="E9" s="1022">
        <v>1000</v>
      </c>
      <c r="F9" s="1019" t="str">
        <f t="shared" si="2"/>
        <v>1</v>
      </c>
      <c r="G9" s="1019" t="str">
        <f t="shared" si="3"/>
        <v>116</v>
      </c>
      <c r="I9" s="1089"/>
      <c r="J9" s="1090"/>
      <c r="K9" s="1098"/>
    </row>
    <row r="10" spans="2:11" x14ac:dyDescent="0.25">
      <c r="B10" s="797">
        <v>13000</v>
      </c>
      <c r="C10" s="794" t="s">
        <v>737</v>
      </c>
      <c r="D10" s="1022">
        <v>6500</v>
      </c>
      <c r="E10" s="1022">
        <v>6000</v>
      </c>
      <c r="F10" s="1019" t="str">
        <f t="shared" si="2"/>
        <v>1</v>
      </c>
      <c r="G10" s="1019" t="str">
        <f t="shared" si="3"/>
        <v>130</v>
      </c>
      <c r="I10" s="1089"/>
      <c r="J10" s="1090"/>
      <c r="K10" s="1098"/>
    </row>
    <row r="11" spans="2:11" x14ac:dyDescent="0.25">
      <c r="B11" s="797">
        <v>29000</v>
      </c>
      <c r="C11" s="798" t="s">
        <v>738</v>
      </c>
      <c r="D11" s="1022">
        <v>5000</v>
      </c>
      <c r="E11" s="1022">
        <v>5000</v>
      </c>
      <c r="F11" s="1019" t="str">
        <f t="shared" si="2"/>
        <v>2</v>
      </c>
      <c r="G11" s="1019" t="str">
        <f t="shared" si="3"/>
        <v>290</v>
      </c>
      <c r="I11" s="1089"/>
      <c r="J11" s="1090"/>
      <c r="K11" s="1098"/>
    </row>
    <row r="12" spans="2:11" x14ac:dyDescent="0.25">
      <c r="B12" s="797">
        <v>30000</v>
      </c>
      <c r="C12" s="794" t="s">
        <v>739</v>
      </c>
      <c r="D12" s="1022">
        <v>74000</v>
      </c>
      <c r="E12" s="1022">
        <v>73000</v>
      </c>
      <c r="F12" s="1019" t="str">
        <f t="shared" si="2"/>
        <v>3</v>
      </c>
      <c r="G12" s="1019" t="str">
        <f t="shared" si="3"/>
        <v>300</v>
      </c>
      <c r="I12" s="1089"/>
      <c r="J12" s="1091"/>
      <c r="K12" s="1098"/>
    </row>
    <row r="13" spans="2:11" x14ac:dyDescent="0.25">
      <c r="B13" s="1023">
        <v>30100</v>
      </c>
      <c r="C13" s="1024" t="s">
        <v>740</v>
      </c>
      <c r="D13" s="1022">
        <v>5250</v>
      </c>
      <c r="E13" s="1022">
        <v>5250</v>
      </c>
      <c r="F13" s="1019" t="str">
        <f t="shared" ref="F13" si="4">LEFT(+B13,1)</f>
        <v>3</v>
      </c>
      <c r="G13" s="1019" t="str">
        <f t="shared" ref="G13" si="5">LEFT(+B13,3)</f>
        <v>301</v>
      </c>
      <c r="I13" s="1089"/>
      <c r="J13" s="1092"/>
      <c r="K13" s="555"/>
    </row>
    <row r="14" spans="2:11" x14ac:dyDescent="0.25">
      <c r="B14" s="797">
        <v>30200</v>
      </c>
      <c r="C14" s="794" t="s">
        <v>741</v>
      </c>
      <c r="D14" s="1025">
        <v>32000</v>
      </c>
      <c r="E14" s="1025">
        <v>23000</v>
      </c>
      <c r="F14" s="1101" t="str">
        <f t="shared" si="2"/>
        <v>3</v>
      </c>
      <c r="G14" s="1019" t="str">
        <f t="shared" si="3"/>
        <v>302</v>
      </c>
      <c r="I14" s="1089"/>
      <c r="J14" s="1090"/>
      <c r="K14" s="1098"/>
    </row>
    <row r="15" spans="2:11" x14ac:dyDescent="0.25">
      <c r="B15" s="797">
        <v>30901</v>
      </c>
      <c r="C15" s="794" t="s">
        <v>742</v>
      </c>
      <c r="D15" s="1025">
        <v>3800</v>
      </c>
      <c r="E15" s="1025">
        <v>3800</v>
      </c>
      <c r="F15" s="1101" t="str">
        <f t="shared" si="2"/>
        <v>3</v>
      </c>
      <c r="G15" s="1019" t="str">
        <f t="shared" si="3"/>
        <v>309</v>
      </c>
      <c r="I15" s="1089"/>
      <c r="J15" s="1090"/>
      <c r="K15" s="1098"/>
    </row>
    <row r="16" spans="2:11" x14ac:dyDescent="0.25">
      <c r="B16" s="797">
        <v>32200</v>
      </c>
      <c r="C16" s="794" t="s">
        <v>743</v>
      </c>
      <c r="D16" s="1026">
        <v>500</v>
      </c>
      <c r="E16" s="1026">
        <v>500</v>
      </c>
      <c r="F16" s="1101" t="str">
        <f t="shared" si="2"/>
        <v>3</v>
      </c>
      <c r="G16" s="1019" t="str">
        <f t="shared" si="3"/>
        <v>322</v>
      </c>
      <c r="I16" s="1089"/>
      <c r="J16" s="1090"/>
      <c r="K16" s="1098"/>
    </row>
    <row r="17" spans="2:11" x14ac:dyDescent="0.25">
      <c r="B17" s="797">
        <v>32500</v>
      </c>
      <c r="C17" s="794" t="s">
        <v>744</v>
      </c>
      <c r="D17" s="1022">
        <v>500</v>
      </c>
      <c r="E17" s="1022">
        <v>500</v>
      </c>
      <c r="F17" s="1101" t="str">
        <f t="shared" si="2"/>
        <v>3</v>
      </c>
      <c r="G17" s="1019" t="str">
        <f t="shared" si="3"/>
        <v>325</v>
      </c>
      <c r="I17" s="1089"/>
      <c r="J17" s="1090"/>
      <c r="K17" s="1098"/>
    </row>
    <row r="18" spans="2:11" x14ac:dyDescent="0.25">
      <c r="B18" s="797">
        <v>33200</v>
      </c>
      <c r="C18" s="794" t="s">
        <v>745</v>
      </c>
      <c r="D18" s="1022">
        <v>3500</v>
      </c>
      <c r="E18" s="1022">
        <v>3000</v>
      </c>
      <c r="F18" s="1101" t="str">
        <f t="shared" si="2"/>
        <v>3</v>
      </c>
      <c r="G18" s="1019" t="str">
        <f t="shared" si="3"/>
        <v>332</v>
      </c>
      <c r="I18" s="679"/>
      <c r="J18" s="1093"/>
      <c r="K18" s="1098"/>
    </row>
    <row r="19" spans="2:11" x14ac:dyDescent="0.25">
      <c r="B19" s="797">
        <v>33500</v>
      </c>
      <c r="C19" s="794" t="s">
        <v>746</v>
      </c>
      <c r="D19" s="1022">
        <v>500</v>
      </c>
      <c r="E19" s="1022">
        <v>1000</v>
      </c>
      <c r="F19" s="1101" t="str">
        <f t="shared" si="2"/>
        <v>3</v>
      </c>
      <c r="G19" s="1019" t="str">
        <f t="shared" si="3"/>
        <v>335</v>
      </c>
      <c r="I19" s="1089"/>
      <c r="J19" s="1090"/>
      <c r="K19" s="1098"/>
    </row>
    <row r="20" spans="2:11" x14ac:dyDescent="0.25">
      <c r="B20" s="797">
        <v>33800</v>
      </c>
      <c r="C20" s="799" t="s">
        <v>747</v>
      </c>
      <c r="D20" s="1022">
        <v>600</v>
      </c>
      <c r="E20" s="1022">
        <v>400</v>
      </c>
      <c r="F20" s="1101" t="str">
        <f t="shared" si="2"/>
        <v>3</v>
      </c>
      <c r="G20" s="1019" t="str">
        <f t="shared" si="3"/>
        <v>338</v>
      </c>
      <c r="I20" s="1089"/>
      <c r="J20" s="1090"/>
      <c r="K20" s="1098"/>
    </row>
    <row r="21" spans="2:11" x14ac:dyDescent="0.25">
      <c r="B21" s="797">
        <v>34300</v>
      </c>
      <c r="C21" s="794" t="s">
        <v>748</v>
      </c>
      <c r="D21" s="1025">
        <v>20000</v>
      </c>
      <c r="E21" s="1025">
        <v>14000</v>
      </c>
      <c r="F21" s="1101" t="str">
        <f t="shared" si="2"/>
        <v>3</v>
      </c>
      <c r="G21" s="1019" t="str">
        <f t="shared" si="3"/>
        <v>343</v>
      </c>
      <c r="I21" s="1089"/>
      <c r="J21" s="1090"/>
      <c r="K21" s="794"/>
    </row>
    <row r="22" spans="2:11" x14ac:dyDescent="0.25">
      <c r="B22" s="797">
        <v>39210</v>
      </c>
      <c r="C22" s="794" t="s">
        <v>749</v>
      </c>
      <c r="D22" s="1025">
        <v>500</v>
      </c>
      <c r="E22" s="1025">
        <v>1000</v>
      </c>
      <c r="F22" s="1101" t="str">
        <f t="shared" ref="F22" si="6">LEFT(+B22,1)</f>
        <v>3</v>
      </c>
      <c r="G22" s="1019" t="str">
        <f t="shared" ref="G22" si="7">LEFT(+B22,3)</f>
        <v>392</v>
      </c>
      <c r="I22" s="1089"/>
      <c r="J22" s="1090"/>
      <c r="K22" s="794"/>
    </row>
    <row r="23" spans="2:11" x14ac:dyDescent="0.25">
      <c r="B23" s="797">
        <v>39300</v>
      </c>
      <c r="C23" s="794" t="s">
        <v>750</v>
      </c>
      <c r="D23" s="1022">
        <v>300</v>
      </c>
      <c r="E23" s="1022">
        <v>300</v>
      </c>
      <c r="F23" s="1101" t="str">
        <f t="shared" si="2"/>
        <v>3</v>
      </c>
      <c r="G23" s="1019" t="str">
        <f t="shared" si="3"/>
        <v>393</v>
      </c>
      <c r="I23" s="1089"/>
      <c r="J23" s="1090"/>
      <c r="K23" s="794"/>
    </row>
    <row r="24" spans="2:11" x14ac:dyDescent="0.25">
      <c r="B24" s="1089">
        <v>39900</v>
      </c>
      <c r="C24" s="680" t="s">
        <v>751</v>
      </c>
      <c r="D24" s="1018">
        <v>3392</v>
      </c>
      <c r="E24" s="1018">
        <v>3000</v>
      </c>
      <c r="F24" s="1101" t="str">
        <f t="shared" ref="F24:F49" si="8">LEFT(+B24,1)</f>
        <v>3</v>
      </c>
      <c r="G24" s="1019" t="str">
        <f t="shared" ref="G24:G49" si="9">LEFT(+B24,3)</f>
        <v>399</v>
      </c>
      <c r="I24" s="1089"/>
      <c r="J24" s="1090"/>
      <c r="K24" s="794"/>
    </row>
    <row r="25" spans="2:11" x14ac:dyDescent="0.25">
      <c r="B25" s="797">
        <v>39901</v>
      </c>
      <c r="C25" s="794" t="s">
        <v>752</v>
      </c>
      <c r="D25" s="1022">
        <v>30000</v>
      </c>
      <c r="E25" s="1022">
        <v>30000</v>
      </c>
      <c r="F25" s="1101" t="str">
        <f t="shared" si="8"/>
        <v>3</v>
      </c>
      <c r="G25" s="1019" t="str">
        <f t="shared" si="9"/>
        <v>399</v>
      </c>
      <c r="K25" s="794"/>
    </row>
    <row r="26" spans="2:11" x14ac:dyDescent="0.25">
      <c r="B26" s="797">
        <v>39902</v>
      </c>
      <c r="C26" s="794" t="s">
        <v>753</v>
      </c>
      <c r="D26" s="1022">
        <v>0</v>
      </c>
      <c r="E26" s="1022">
        <v>10000</v>
      </c>
      <c r="F26" s="1101" t="str">
        <f t="shared" ref="F26:F31" si="10">LEFT(+B26,1)</f>
        <v>3</v>
      </c>
      <c r="G26" s="1019" t="str">
        <f t="shared" ref="G26:G31" si="11">LEFT(+B26,3)</f>
        <v>399</v>
      </c>
      <c r="K26" s="794"/>
    </row>
    <row r="27" spans="2:11" x14ac:dyDescent="0.25">
      <c r="B27" s="797">
        <v>42000</v>
      </c>
      <c r="C27" s="724" t="s">
        <v>754</v>
      </c>
      <c r="D27" s="723">
        <v>67776</v>
      </c>
      <c r="E27" s="723">
        <v>61500</v>
      </c>
      <c r="F27" s="1101" t="str">
        <f t="shared" si="10"/>
        <v>4</v>
      </c>
      <c r="G27" s="1019" t="str">
        <f t="shared" si="11"/>
        <v>420</v>
      </c>
      <c r="I27" s="1089"/>
      <c r="J27" s="1090"/>
      <c r="K27" s="794"/>
    </row>
    <row r="28" spans="2:11" x14ac:dyDescent="0.25">
      <c r="B28" s="797">
        <v>45000</v>
      </c>
      <c r="C28" s="724" t="s">
        <v>755</v>
      </c>
      <c r="D28" s="1022">
        <v>42200</v>
      </c>
      <c r="E28" s="1022">
        <v>42200</v>
      </c>
      <c r="F28" s="1101" t="str">
        <f t="shared" si="10"/>
        <v>4</v>
      </c>
      <c r="G28" s="1019" t="str">
        <f t="shared" si="11"/>
        <v>450</v>
      </c>
      <c r="I28" s="1089"/>
      <c r="J28" s="1090"/>
      <c r="K28" s="794"/>
    </row>
    <row r="29" spans="2:11" x14ac:dyDescent="0.25">
      <c r="B29" s="797">
        <v>45080</v>
      </c>
      <c r="C29" s="724" t="s">
        <v>756</v>
      </c>
      <c r="D29" s="1022">
        <v>400</v>
      </c>
      <c r="E29" s="1022">
        <v>400</v>
      </c>
      <c r="F29" s="1101" t="str">
        <f t="shared" si="10"/>
        <v>4</v>
      </c>
      <c r="G29" s="1019" t="str">
        <f t="shared" si="11"/>
        <v>450</v>
      </c>
      <c r="I29" s="1089"/>
      <c r="J29" s="1090"/>
      <c r="K29" s="794"/>
    </row>
    <row r="30" spans="2:11" x14ac:dyDescent="0.25">
      <c r="B30" s="797">
        <v>45081</v>
      </c>
      <c r="C30" s="724" t="s">
        <v>757</v>
      </c>
      <c r="D30" s="1022">
        <v>9997</v>
      </c>
      <c r="E30" s="1022">
        <v>9997</v>
      </c>
      <c r="F30" s="1101" t="str">
        <f t="shared" ref="F30" si="12">LEFT(+B30,1)</f>
        <v>4</v>
      </c>
      <c r="G30" s="1019" t="str">
        <f t="shared" ref="G30" si="13">LEFT(+B30,3)</f>
        <v>450</v>
      </c>
      <c r="I30" s="1089"/>
      <c r="J30" s="1090"/>
      <c r="K30" s="794"/>
    </row>
    <row r="31" spans="2:11" x14ac:dyDescent="0.25">
      <c r="B31" s="797">
        <v>45084</v>
      </c>
      <c r="C31" s="794" t="s">
        <v>758</v>
      </c>
      <c r="D31" s="1022">
        <v>3000</v>
      </c>
      <c r="E31" s="1022">
        <v>2000</v>
      </c>
      <c r="F31" s="1101" t="str">
        <f t="shared" si="10"/>
        <v>4</v>
      </c>
      <c r="G31" s="1019" t="str">
        <f t="shared" si="11"/>
        <v>450</v>
      </c>
      <c r="I31" s="1089"/>
      <c r="J31" s="1090"/>
      <c r="K31" s="794"/>
    </row>
    <row r="32" spans="2:11" x14ac:dyDescent="0.25">
      <c r="B32" s="797">
        <v>45085</v>
      </c>
      <c r="C32" s="794" t="s">
        <v>759</v>
      </c>
      <c r="D32" s="1027">
        <v>1200</v>
      </c>
      <c r="E32" s="1027">
        <v>1200</v>
      </c>
      <c r="F32" s="1019" t="str">
        <f t="shared" si="8"/>
        <v>4</v>
      </c>
      <c r="G32" s="1019" t="str">
        <f t="shared" si="9"/>
        <v>450</v>
      </c>
      <c r="K32" s="794"/>
    </row>
    <row r="33" spans="2:12" x14ac:dyDescent="0.25">
      <c r="B33" s="797">
        <v>46100</v>
      </c>
      <c r="C33" s="734" t="s">
        <v>760</v>
      </c>
      <c r="D33" s="1027">
        <v>23936</v>
      </c>
      <c r="E33" s="1027">
        <v>21665</v>
      </c>
      <c r="F33" s="1019" t="str">
        <f t="shared" ref="F33:F38" si="14">LEFT(+B33,1)</f>
        <v>4</v>
      </c>
      <c r="G33" s="1019" t="str">
        <f t="shared" ref="G33:G38" si="15">LEFT(+B33,3)</f>
        <v>461</v>
      </c>
      <c r="K33" s="794"/>
    </row>
    <row r="34" spans="2:12" x14ac:dyDescent="0.25">
      <c r="B34" s="797">
        <v>46101</v>
      </c>
      <c r="C34" s="734" t="s">
        <v>761</v>
      </c>
      <c r="D34" s="1027">
        <v>20512</v>
      </c>
      <c r="E34" s="1027">
        <v>18182</v>
      </c>
      <c r="F34" s="1019" t="str">
        <f t="shared" si="14"/>
        <v>4</v>
      </c>
      <c r="G34" s="1019" t="str">
        <f t="shared" si="15"/>
        <v>461</v>
      </c>
      <c r="K34" s="794"/>
    </row>
    <row r="35" spans="2:12" x14ac:dyDescent="0.25">
      <c r="B35" s="797">
        <v>46104</v>
      </c>
      <c r="C35" s="1033" t="s">
        <v>762</v>
      </c>
      <c r="D35" s="1027">
        <v>5000</v>
      </c>
      <c r="E35" s="1027">
        <v>3000</v>
      </c>
      <c r="F35" s="1019" t="str">
        <f t="shared" si="14"/>
        <v>4</v>
      </c>
      <c r="G35" s="1019" t="str">
        <f t="shared" si="15"/>
        <v>461</v>
      </c>
      <c r="K35" s="794"/>
    </row>
    <row r="36" spans="2:12" x14ac:dyDescent="0.25">
      <c r="B36" s="797">
        <v>46500</v>
      </c>
      <c r="C36" s="734" t="s">
        <v>763</v>
      </c>
      <c r="D36" s="1027">
        <v>600</v>
      </c>
      <c r="E36" s="1027">
        <v>600</v>
      </c>
      <c r="F36" s="1019" t="str">
        <f t="shared" si="14"/>
        <v>4</v>
      </c>
      <c r="G36" s="1019" t="str">
        <f t="shared" si="15"/>
        <v>465</v>
      </c>
      <c r="K36" s="794"/>
    </row>
    <row r="37" spans="2:12" x14ac:dyDescent="0.25">
      <c r="B37" s="797">
        <v>54000</v>
      </c>
      <c r="C37" s="734" t="s">
        <v>764</v>
      </c>
      <c r="D37" s="1027">
        <v>2400</v>
      </c>
      <c r="E37" s="1027">
        <v>3000</v>
      </c>
      <c r="F37" s="1019" t="str">
        <f t="shared" si="14"/>
        <v>5</v>
      </c>
      <c r="G37" s="1019" t="str">
        <f t="shared" si="15"/>
        <v>540</v>
      </c>
      <c r="K37" s="794"/>
    </row>
    <row r="38" spans="2:12" x14ac:dyDescent="0.25">
      <c r="B38" s="797">
        <v>54200</v>
      </c>
      <c r="C38" s="734" t="s">
        <v>765</v>
      </c>
      <c r="D38" s="1027">
        <v>2600</v>
      </c>
      <c r="E38" s="1027">
        <v>2600</v>
      </c>
      <c r="F38" s="1019" t="str">
        <f t="shared" si="14"/>
        <v>5</v>
      </c>
      <c r="G38" s="1019" t="str">
        <f t="shared" si="15"/>
        <v>542</v>
      </c>
      <c r="K38" s="794"/>
    </row>
    <row r="39" spans="2:12" x14ac:dyDescent="0.25">
      <c r="B39" s="797">
        <v>55200</v>
      </c>
      <c r="C39" s="795" t="s">
        <v>766</v>
      </c>
      <c r="D39" s="1026">
        <v>7000</v>
      </c>
      <c r="E39" s="1026">
        <v>7000</v>
      </c>
      <c r="F39" s="1019" t="str">
        <f t="shared" si="8"/>
        <v>5</v>
      </c>
      <c r="G39" s="1019" t="str">
        <f t="shared" si="9"/>
        <v>552</v>
      </c>
      <c r="K39" s="794"/>
    </row>
    <row r="40" spans="2:12" x14ac:dyDescent="0.25">
      <c r="B40" s="797">
        <v>55201</v>
      </c>
      <c r="C40" s="794" t="s">
        <v>767</v>
      </c>
      <c r="D40" s="1022">
        <v>2000</v>
      </c>
      <c r="E40" s="1022"/>
      <c r="F40" s="1019" t="str">
        <f t="shared" si="8"/>
        <v>5</v>
      </c>
      <c r="G40" s="1019" t="str">
        <f t="shared" si="9"/>
        <v>552</v>
      </c>
      <c r="K40" s="794"/>
    </row>
    <row r="41" spans="2:12" x14ac:dyDescent="0.25">
      <c r="B41" s="797">
        <v>75080</v>
      </c>
      <c r="C41" s="794" t="s">
        <v>848</v>
      </c>
      <c r="D41" s="1022">
        <v>30000</v>
      </c>
      <c r="E41" s="1022"/>
      <c r="F41" s="1019" t="str">
        <f t="shared" si="8"/>
        <v>7</v>
      </c>
      <c r="G41" s="1019" t="str">
        <f t="shared" si="9"/>
        <v>750</v>
      </c>
      <c r="K41" s="794"/>
    </row>
    <row r="42" spans="2:12" x14ac:dyDescent="0.25">
      <c r="B42" s="797">
        <v>76100</v>
      </c>
      <c r="C42" s="794" t="s">
        <v>768</v>
      </c>
      <c r="D42" s="1022">
        <v>72290</v>
      </c>
      <c r="E42" s="1022"/>
      <c r="F42" s="1019" t="str">
        <f t="shared" si="8"/>
        <v>7</v>
      </c>
      <c r="G42" s="1019" t="str">
        <f t="shared" si="9"/>
        <v>761</v>
      </c>
      <c r="K42" s="794"/>
    </row>
    <row r="43" spans="2:12" x14ac:dyDescent="0.25">
      <c r="B43" s="797">
        <v>76101</v>
      </c>
      <c r="C43" s="1017" t="s">
        <v>769</v>
      </c>
      <c r="D43" s="1022">
        <v>22142</v>
      </c>
      <c r="E43" s="1022"/>
      <c r="F43" s="1019" t="str">
        <f t="shared" si="8"/>
        <v>7</v>
      </c>
      <c r="G43" s="1019" t="str">
        <f t="shared" si="9"/>
        <v>761</v>
      </c>
      <c r="K43" s="794"/>
    </row>
    <row r="44" spans="2:12" x14ac:dyDescent="0.25">
      <c r="B44" s="1089">
        <v>76102</v>
      </c>
      <c r="C44" s="1094" t="s">
        <v>770</v>
      </c>
      <c r="D44" s="1022">
        <v>26898</v>
      </c>
      <c r="E44" s="1022"/>
      <c r="F44" s="1019" t="str">
        <f t="shared" si="8"/>
        <v>7</v>
      </c>
      <c r="G44" s="1019" t="str">
        <f t="shared" si="9"/>
        <v>761</v>
      </c>
      <c r="K44" s="794"/>
      <c r="L44" s="555"/>
    </row>
    <row r="45" spans="2:12" x14ac:dyDescent="0.25">
      <c r="B45" s="1089">
        <v>76100</v>
      </c>
      <c r="C45" s="1090" t="s">
        <v>771</v>
      </c>
      <c r="D45" s="1026"/>
      <c r="E45" s="1026">
        <v>90627.66</v>
      </c>
      <c r="F45" s="1019" t="str">
        <f t="shared" si="8"/>
        <v>7</v>
      </c>
      <c r="G45" s="1019" t="str">
        <f t="shared" si="9"/>
        <v>761</v>
      </c>
      <c r="K45" s="794"/>
    </row>
    <row r="46" spans="2:12" x14ac:dyDescent="0.25">
      <c r="B46" s="1089">
        <v>76101</v>
      </c>
      <c r="C46" s="1090" t="s">
        <v>772</v>
      </c>
      <c r="D46" s="1026"/>
      <c r="E46" s="1026">
        <v>100835.45999999999</v>
      </c>
      <c r="F46" s="1019" t="str">
        <f t="shared" si="8"/>
        <v>7</v>
      </c>
      <c r="G46" s="1019" t="str">
        <f t="shared" si="9"/>
        <v>761</v>
      </c>
      <c r="K46" s="794"/>
      <c r="L46" s="555"/>
    </row>
    <row r="47" spans="2:12" x14ac:dyDescent="0.25">
      <c r="B47" s="1089">
        <v>76102</v>
      </c>
      <c r="C47" s="1095" t="s">
        <v>773</v>
      </c>
      <c r="D47" s="1022"/>
      <c r="E47" s="1022">
        <v>15052.31</v>
      </c>
      <c r="F47" s="1019" t="str">
        <f t="shared" si="8"/>
        <v>7</v>
      </c>
      <c r="G47" s="1019" t="str">
        <f t="shared" si="9"/>
        <v>761</v>
      </c>
      <c r="I47" s="1089"/>
      <c r="J47" s="1090"/>
      <c r="K47" s="1098"/>
    </row>
    <row r="48" spans="2:12" x14ac:dyDescent="0.25">
      <c r="B48" s="1089">
        <v>75080</v>
      </c>
      <c r="C48" s="680" t="s">
        <v>774</v>
      </c>
      <c r="D48" s="1022"/>
      <c r="E48" s="1022">
        <v>39992.57</v>
      </c>
      <c r="F48" s="1019" t="str">
        <f t="shared" si="8"/>
        <v>7</v>
      </c>
      <c r="G48" s="1019" t="str">
        <f t="shared" si="9"/>
        <v>750</v>
      </c>
      <c r="I48" s="679"/>
      <c r="J48" s="1090"/>
      <c r="K48" s="1098"/>
      <c r="L48" s="555"/>
    </row>
    <row r="49" spans="2:12" x14ac:dyDescent="0.25">
      <c r="B49" s="1089"/>
      <c r="C49" s="680"/>
      <c r="D49" s="748"/>
      <c r="E49" s="748"/>
      <c r="F49" s="1019" t="str">
        <f t="shared" si="8"/>
        <v/>
      </c>
      <c r="G49" s="1019" t="str">
        <f t="shared" si="9"/>
        <v/>
      </c>
      <c r="I49" s="1089"/>
      <c r="J49" s="1090"/>
      <c r="K49" s="1098"/>
      <c r="L49" s="555"/>
    </row>
    <row r="50" spans="2:12" x14ac:dyDescent="0.25">
      <c r="B50" s="1089"/>
      <c r="C50" s="680"/>
      <c r="D50" s="748"/>
      <c r="E50" s="748"/>
      <c r="F50" s="1019" t="str">
        <f t="shared" ref="F50:F58" si="16">LEFT(+B50,1)</f>
        <v/>
      </c>
      <c r="G50" s="1019" t="str">
        <f t="shared" ref="G50:G58" si="17">LEFT(+B50,3)</f>
        <v/>
      </c>
      <c r="I50" s="1089"/>
      <c r="J50" s="1090"/>
      <c r="K50" s="1098"/>
      <c r="L50" s="555"/>
    </row>
    <row r="51" spans="2:12" x14ac:dyDescent="0.25">
      <c r="B51" s="1089"/>
      <c r="C51" s="1090"/>
      <c r="D51" s="748"/>
      <c r="E51" s="748"/>
      <c r="F51" s="1019" t="str">
        <f t="shared" si="16"/>
        <v/>
      </c>
      <c r="G51" s="1019" t="str">
        <f t="shared" si="17"/>
        <v/>
      </c>
      <c r="I51" s="679"/>
      <c r="J51" s="1090"/>
      <c r="K51" s="1098"/>
      <c r="L51" s="1093"/>
    </row>
    <row r="52" spans="2:12" x14ac:dyDescent="0.25">
      <c r="B52" s="679"/>
      <c r="C52" s="1090"/>
      <c r="D52" s="1093"/>
      <c r="E52" s="1093"/>
      <c r="F52" s="1019" t="str">
        <f t="shared" si="16"/>
        <v/>
      </c>
      <c r="G52" s="1019" t="str">
        <f t="shared" si="17"/>
        <v/>
      </c>
      <c r="I52" s="679"/>
      <c r="J52" s="1090"/>
      <c r="K52" s="1098"/>
      <c r="L52" s="1093"/>
    </row>
    <row r="53" spans="2:12" x14ac:dyDescent="0.25">
      <c r="B53" s="679"/>
      <c r="C53" s="1090"/>
      <c r="D53" s="1090"/>
      <c r="E53" s="1090"/>
      <c r="F53" s="1019" t="str">
        <f t="shared" si="16"/>
        <v/>
      </c>
      <c r="G53" s="1019" t="str">
        <f t="shared" si="17"/>
        <v/>
      </c>
      <c r="I53" s="679"/>
      <c r="J53" s="1090"/>
      <c r="K53" s="1098"/>
      <c r="L53" s="1093"/>
    </row>
    <row r="54" spans="2:12" x14ac:dyDescent="0.25">
      <c r="B54" s="1089"/>
      <c r="C54" s="1090"/>
      <c r="D54" s="1090"/>
      <c r="E54" s="1090"/>
      <c r="F54" s="1019" t="str">
        <f t="shared" si="16"/>
        <v/>
      </c>
      <c r="G54" s="1019" t="str">
        <f t="shared" si="17"/>
        <v/>
      </c>
      <c r="I54" s="679"/>
      <c r="J54" s="1090"/>
      <c r="K54" s="1098"/>
      <c r="L54" s="1093"/>
    </row>
    <row r="55" spans="2:12" x14ac:dyDescent="0.25">
      <c r="B55" s="1089"/>
      <c r="C55" s="1090"/>
      <c r="D55" s="1090"/>
      <c r="E55" s="1090"/>
      <c r="F55" s="1019" t="str">
        <f t="shared" si="16"/>
        <v/>
      </c>
      <c r="G55" s="1019" t="str">
        <f t="shared" si="17"/>
        <v/>
      </c>
    </row>
    <row r="56" spans="2:12" x14ac:dyDescent="0.25">
      <c r="B56" s="679"/>
      <c r="C56" s="1090"/>
      <c r="D56" s="1090"/>
      <c r="E56" s="1090"/>
      <c r="F56" s="1019" t="str">
        <f t="shared" si="16"/>
        <v/>
      </c>
      <c r="G56" s="1019" t="str">
        <f t="shared" si="17"/>
        <v/>
      </c>
    </row>
    <row r="57" spans="2:12" x14ac:dyDescent="0.25">
      <c r="B57" s="679"/>
      <c r="C57" s="1090"/>
      <c r="D57" s="1090"/>
      <c r="E57" s="1090"/>
      <c r="F57" s="1019" t="str">
        <f t="shared" si="16"/>
        <v/>
      </c>
      <c r="G57" s="1019" t="str">
        <f t="shared" si="17"/>
        <v/>
      </c>
    </row>
    <row r="58" spans="2:12" x14ac:dyDescent="0.25">
      <c r="B58" s="679"/>
      <c r="D58" s="794"/>
      <c r="E58" s="794"/>
      <c r="F58" s="1019" t="str">
        <f t="shared" si="16"/>
        <v/>
      </c>
      <c r="G58" s="1019" t="str">
        <f t="shared" si="17"/>
        <v/>
      </c>
    </row>
    <row r="59" spans="2:12" x14ac:dyDescent="0.25">
      <c r="D59" s="796"/>
      <c r="E59" s="796"/>
      <c r="F59" s="1019" t="str">
        <f t="shared" si="2"/>
        <v/>
      </c>
      <c r="G59" s="1019" t="str">
        <f t="shared" si="3"/>
        <v/>
      </c>
    </row>
    <row r="60" spans="2:12" x14ac:dyDescent="0.25">
      <c r="D60" s="796"/>
      <c r="E60" s="796"/>
      <c r="F60" s="1019" t="str">
        <f t="shared" si="2"/>
        <v/>
      </c>
      <c r="G60" s="1019" t="str">
        <f t="shared" si="3"/>
        <v/>
      </c>
    </row>
    <row r="61" spans="2:12" x14ac:dyDescent="0.25">
      <c r="D61" s="796"/>
      <c r="E61" s="796"/>
      <c r="F61" s="1019" t="str">
        <f t="shared" ref="F61:F85" si="18">LEFT(+B61,1)</f>
        <v/>
      </c>
      <c r="G61" s="1019" t="str">
        <f t="shared" ref="G61:G85" si="19">LEFT(+B61,3)</f>
        <v/>
      </c>
    </row>
    <row r="62" spans="2:12" x14ac:dyDescent="0.25">
      <c r="D62" s="796"/>
      <c r="E62" s="796"/>
      <c r="F62" s="1019" t="str">
        <f t="shared" si="18"/>
        <v/>
      </c>
      <c r="G62" s="1019" t="str">
        <f t="shared" si="19"/>
        <v/>
      </c>
    </row>
    <row r="63" spans="2:12" x14ac:dyDescent="0.25">
      <c r="C63" s="724"/>
      <c r="D63" s="796"/>
      <c r="E63" s="796"/>
      <c r="F63" s="1019" t="str">
        <f t="shared" ref="F63:F65" si="20">LEFT(+B63,1)</f>
        <v/>
      </c>
      <c r="G63" s="1019" t="str">
        <f t="shared" ref="G63:G65" si="21">LEFT(+B63,3)</f>
        <v/>
      </c>
    </row>
    <row r="64" spans="2:12" x14ac:dyDescent="0.25">
      <c r="D64" s="1020"/>
      <c r="E64" s="1020"/>
      <c r="F64" s="1019" t="str">
        <f t="shared" si="20"/>
        <v/>
      </c>
      <c r="G64" s="1019" t="str">
        <f t="shared" si="21"/>
        <v/>
      </c>
    </row>
    <row r="65" spans="3:7" x14ac:dyDescent="0.25">
      <c r="D65" s="723"/>
      <c r="E65" s="796"/>
      <c r="F65" s="1019" t="str">
        <f t="shared" si="20"/>
        <v/>
      </c>
      <c r="G65" s="1019" t="str">
        <f t="shared" si="21"/>
        <v/>
      </c>
    </row>
    <row r="66" spans="3:7" x14ac:dyDescent="0.25">
      <c r="C66" s="1021"/>
      <c r="D66" s="735"/>
      <c r="E66" s="735"/>
      <c r="F66" s="1019" t="str">
        <f t="shared" si="18"/>
        <v/>
      </c>
      <c r="G66" s="1019" t="str">
        <f t="shared" si="19"/>
        <v/>
      </c>
    </row>
    <row r="67" spans="3:7" x14ac:dyDescent="0.25">
      <c r="C67" s="1021"/>
      <c r="D67" s="735"/>
      <c r="E67" s="735"/>
      <c r="F67" s="1019" t="str">
        <f t="shared" si="18"/>
        <v/>
      </c>
      <c r="G67" s="1019" t="str">
        <f t="shared" si="19"/>
        <v/>
      </c>
    </row>
    <row r="68" spans="3:7" x14ac:dyDescent="0.25">
      <c r="C68" s="1021"/>
      <c r="D68" s="1020"/>
      <c r="E68" s="1020"/>
      <c r="F68" s="1019" t="str">
        <f t="shared" si="18"/>
        <v/>
      </c>
      <c r="G68" s="1019" t="str">
        <f t="shared" si="19"/>
        <v/>
      </c>
    </row>
    <row r="69" spans="3:7" x14ac:dyDescent="0.25">
      <c r="C69" s="1021"/>
      <c r="D69" s="1020"/>
      <c r="E69" s="1020"/>
      <c r="F69" s="1019" t="str">
        <f t="shared" si="18"/>
        <v/>
      </c>
      <c r="G69" s="1019" t="str">
        <f t="shared" si="19"/>
        <v/>
      </c>
    </row>
    <row r="70" spans="3:7" x14ac:dyDescent="0.25">
      <c r="C70" s="1021"/>
      <c r="D70" s="1020"/>
      <c r="E70" s="1020"/>
      <c r="F70" s="1019" t="str">
        <f t="shared" si="18"/>
        <v/>
      </c>
      <c r="G70" s="1019" t="str">
        <f t="shared" si="19"/>
        <v/>
      </c>
    </row>
    <row r="71" spans="3:7" x14ac:dyDescent="0.25">
      <c r="C71" s="1021"/>
      <c r="D71" s="1020"/>
      <c r="E71" s="1020"/>
      <c r="F71" s="1019" t="str">
        <f t="shared" si="18"/>
        <v/>
      </c>
      <c r="G71" s="1019" t="str">
        <f t="shared" si="19"/>
        <v/>
      </c>
    </row>
    <row r="72" spans="3:7" x14ac:dyDescent="0.25">
      <c r="C72" s="1021"/>
      <c r="D72" s="1020"/>
      <c r="E72" s="1020"/>
      <c r="F72" s="1019" t="str">
        <f t="shared" si="18"/>
        <v/>
      </c>
      <c r="G72" s="1019" t="str">
        <f t="shared" si="19"/>
        <v/>
      </c>
    </row>
    <row r="73" spans="3:7" x14ac:dyDescent="0.25">
      <c r="C73" s="1021"/>
      <c r="D73" s="1020"/>
      <c r="E73" s="1020"/>
      <c r="F73" s="1019" t="str">
        <f t="shared" si="18"/>
        <v/>
      </c>
      <c r="G73" s="1019" t="str">
        <f t="shared" si="19"/>
        <v/>
      </c>
    </row>
    <row r="74" spans="3:7" x14ac:dyDescent="0.25">
      <c r="F74" s="1019" t="str">
        <f t="shared" si="18"/>
        <v/>
      </c>
      <c r="G74" s="1019" t="str">
        <f t="shared" si="19"/>
        <v/>
      </c>
    </row>
    <row r="75" spans="3:7" x14ac:dyDescent="0.25">
      <c r="F75" s="1019" t="str">
        <f t="shared" si="18"/>
        <v/>
      </c>
      <c r="G75" s="1019" t="str">
        <f t="shared" si="19"/>
        <v/>
      </c>
    </row>
    <row r="76" spans="3:7" x14ac:dyDescent="0.25">
      <c r="F76" s="1019" t="str">
        <f t="shared" si="18"/>
        <v/>
      </c>
      <c r="G76" s="1019" t="str">
        <f t="shared" si="19"/>
        <v/>
      </c>
    </row>
    <row r="77" spans="3:7" x14ac:dyDescent="0.25">
      <c r="F77" s="1019" t="str">
        <f t="shared" si="18"/>
        <v/>
      </c>
      <c r="G77" s="1019" t="str">
        <f t="shared" si="19"/>
        <v/>
      </c>
    </row>
    <row r="78" spans="3:7" x14ac:dyDescent="0.25">
      <c r="F78" s="1019" t="str">
        <f t="shared" si="18"/>
        <v/>
      </c>
      <c r="G78" s="1019" t="str">
        <f t="shared" si="19"/>
        <v/>
      </c>
    </row>
    <row r="79" spans="3:7" x14ac:dyDescent="0.25">
      <c r="F79" s="1019" t="str">
        <f t="shared" si="18"/>
        <v/>
      </c>
      <c r="G79" s="1019" t="str">
        <f t="shared" si="19"/>
        <v/>
      </c>
    </row>
    <row r="80" spans="3:7" x14ac:dyDescent="0.25">
      <c r="F80" s="1019" t="str">
        <f t="shared" si="18"/>
        <v/>
      </c>
      <c r="G80" s="1019" t="str">
        <f t="shared" si="19"/>
        <v/>
      </c>
    </row>
    <row r="81" spans="6:7" x14ac:dyDescent="0.25">
      <c r="F81" s="1019" t="str">
        <f t="shared" si="18"/>
        <v/>
      </c>
      <c r="G81" s="1019" t="str">
        <f t="shared" si="19"/>
        <v/>
      </c>
    </row>
    <row r="82" spans="6:7" x14ac:dyDescent="0.25">
      <c r="F82" s="1019" t="str">
        <f t="shared" si="18"/>
        <v/>
      </c>
      <c r="G82" s="1019" t="str">
        <f t="shared" si="19"/>
        <v/>
      </c>
    </row>
    <row r="83" spans="6:7" x14ac:dyDescent="0.25">
      <c r="F83" s="1019" t="str">
        <f t="shared" si="18"/>
        <v/>
      </c>
      <c r="G83" s="1019" t="str">
        <f t="shared" si="19"/>
        <v/>
      </c>
    </row>
    <row r="84" spans="6:7" x14ac:dyDescent="0.25">
      <c r="F84" s="1019" t="str">
        <f t="shared" si="18"/>
        <v/>
      </c>
      <c r="G84" s="1019" t="str">
        <f t="shared" si="19"/>
        <v/>
      </c>
    </row>
    <row r="85" spans="6:7" x14ac:dyDescent="0.25">
      <c r="F85" s="1019" t="str">
        <f t="shared" si="18"/>
        <v/>
      </c>
      <c r="G85" s="1019" t="str">
        <f t="shared" si="19"/>
        <v/>
      </c>
    </row>
    <row r="86" spans="6:7" x14ac:dyDescent="0.25">
      <c r="F86" s="1019"/>
      <c r="G86" s="1019"/>
    </row>
    <row r="87" spans="6:7" x14ac:dyDescent="0.25">
      <c r="F87" s="1019"/>
      <c r="G87" s="1019"/>
    </row>
    <row r="88" spans="6:7" x14ac:dyDescent="0.25">
      <c r="F88" s="1019"/>
      <c r="G88" s="1019"/>
    </row>
    <row r="89" spans="6:7" x14ac:dyDescent="0.25">
      <c r="F89" s="1019"/>
      <c r="G89" s="1019"/>
    </row>
    <row r="90" spans="6:7" x14ac:dyDescent="0.25">
      <c r="F90" s="1019"/>
      <c r="G90" s="1019"/>
    </row>
    <row r="91" spans="6:7" x14ac:dyDescent="0.25">
      <c r="F91" s="1019"/>
      <c r="G91" s="1019"/>
    </row>
    <row r="92" spans="6:7" x14ac:dyDescent="0.25">
      <c r="F92" s="1019"/>
      <c r="G92" s="1019"/>
    </row>
    <row r="101" spans="4:4" x14ac:dyDescent="0.25">
      <c r="D101" s="1018">
        <f>SUM(D6:D100)</f>
        <v>627393</v>
      </c>
    </row>
  </sheetData>
  <sheetProtection algorithmName="SHA-512" hashValue="2TpixrIU6caVXYUUQlyh+spD33A0LGOol24sw2AmHFa0mkZaTTIZzAHrAiCbX1L+F2LTSJ1VxON8+HvHIxSOiw==" saltValue="CBLMOPozjfE73xcMNZXXog==" spinCount="100000" sheet="1" objects="1" scenarios="1"/>
  <sortState xmlns:xlrd2="http://schemas.microsoft.com/office/spreadsheetml/2017/richdata2" ref="B6:E73">
    <sortCondition ref="B6:B73"/>
  </sortState>
  <phoneticPr fontId="51" type="noConversion"/>
  <pageMargins left="0.39370078740157483" right="0.19685039370078741" top="0.59055118110236227" bottom="0.39370078740157483" header="0.51" footer="0.51"/>
  <pageSetup paperSize="9"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9"/>
  <dimension ref="B2:K180"/>
  <sheetViews>
    <sheetView zoomScale="90" zoomScaleNormal="90" workbookViewId="0">
      <selection activeCell="A61" sqref="A1:XFD1048576"/>
    </sheetView>
  </sheetViews>
  <sheetFormatPr baseColWidth="10" defaultColWidth="11.36328125" defaultRowHeight="12.5" x14ac:dyDescent="0.25"/>
  <cols>
    <col min="1" max="1" width="1.7265625" style="641" customWidth="1"/>
    <col min="2" max="2" width="9.08984375" style="1037" customWidth="1"/>
    <col min="3" max="3" width="6.81640625" style="730" customWidth="1"/>
    <col min="4" max="4" width="31.36328125" style="654" customWidth="1"/>
    <col min="5" max="5" width="12.36328125" style="727" customWidth="1"/>
    <col min="6" max="6" width="12.36328125" style="1029" customWidth="1"/>
    <col min="7" max="7" width="8.7265625" style="1037" bestFit="1" customWidth="1"/>
    <col min="8" max="8" width="10.81640625" style="641" bestFit="1" customWidth="1"/>
    <col min="9" max="9" width="5.36328125" style="730" bestFit="1" customWidth="1"/>
    <col min="10" max="10" width="4.54296875" style="641" customWidth="1"/>
    <col min="11" max="16384" width="11.36328125" style="641"/>
  </cols>
  <sheetData>
    <row r="2" spans="2:11" ht="13" x14ac:dyDescent="0.3">
      <c r="B2" s="1038" t="s">
        <v>37</v>
      </c>
      <c r="G2" s="641"/>
    </row>
    <row r="5" spans="2:11" s="843" customFormat="1" ht="39" x14ac:dyDescent="0.25">
      <c r="B5" s="1042" t="s">
        <v>38</v>
      </c>
      <c r="C5" s="1042" t="s">
        <v>660</v>
      </c>
      <c r="D5" s="1042" t="s">
        <v>352</v>
      </c>
      <c r="E5" s="1102">
        <f>+INGRESSOS!D5</f>
        <v>2025</v>
      </c>
      <c r="F5" s="1042">
        <f>+E5-1</f>
        <v>2024</v>
      </c>
      <c r="G5" s="1042" t="s">
        <v>349</v>
      </c>
      <c r="H5" s="1042" t="s">
        <v>350</v>
      </c>
      <c r="I5" s="1042" t="s">
        <v>659</v>
      </c>
    </row>
    <row r="6" spans="2:11" s="1030" customFormat="1" x14ac:dyDescent="0.25">
      <c r="B6" s="1031">
        <v>912</v>
      </c>
      <c r="C6" s="1031">
        <v>10000</v>
      </c>
      <c r="D6" s="1030" t="s">
        <v>775</v>
      </c>
      <c r="E6" s="1018">
        <v>11908</v>
      </c>
      <c r="F6" s="1018">
        <v>9997</v>
      </c>
      <c r="G6" s="1031" t="str">
        <f t="shared" ref="G6" si="0">LEFT(+C6,1)</f>
        <v>1</v>
      </c>
      <c r="H6" s="1031" t="str">
        <f t="shared" ref="H6" si="1">LEFT(+C6,3)</f>
        <v>100</v>
      </c>
      <c r="I6" s="1031" t="str">
        <f t="shared" ref="I6" si="2">LEFT(+B6,1)</f>
        <v>9</v>
      </c>
    </row>
    <row r="7" spans="2:11" s="1030" customFormat="1" x14ac:dyDescent="0.25">
      <c r="B7" s="1031">
        <v>920</v>
      </c>
      <c r="C7" s="1032">
        <v>12000</v>
      </c>
      <c r="D7" s="1030" t="s">
        <v>776</v>
      </c>
      <c r="E7" s="1018">
        <v>7705</v>
      </c>
      <c r="F7" s="1018"/>
      <c r="G7" s="1031" t="str">
        <f t="shared" ref="G7" si="3">LEFT(+C7,1)</f>
        <v>1</v>
      </c>
      <c r="H7" s="1031" t="str">
        <f t="shared" ref="H7" si="4">LEFT(+C7,3)</f>
        <v>120</v>
      </c>
      <c r="I7" s="1031" t="str">
        <f t="shared" ref="I7" si="5">LEFT(+B7,1)</f>
        <v>9</v>
      </c>
    </row>
    <row r="8" spans="2:11" s="1030" customFormat="1" x14ac:dyDescent="0.25">
      <c r="B8" s="1031">
        <v>920</v>
      </c>
      <c r="C8" s="1032">
        <v>12100</v>
      </c>
      <c r="D8" s="1030" t="s">
        <v>777</v>
      </c>
      <c r="E8" s="1018">
        <v>4920</v>
      </c>
      <c r="F8" s="1018"/>
      <c r="G8" s="1031" t="str">
        <f t="shared" ref="G8:G94" si="6">LEFT(+C8,1)</f>
        <v>1</v>
      </c>
      <c r="H8" s="1031" t="str">
        <f t="shared" ref="H8:H94" si="7">LEFT(+C8,3)</f>
        <v>121</v>
      </c>
      <c r="I8" s="1031" t="str">
        <f t="shared" ref="I8:I94" si="8">LEFT(+B8,1)</f>
        <v>9</v>
      </c>
    </row>
    <row r="9" spans="2:11" s="1030" customFormat="1" x14ac:dyDescent="0.25">
      <c r="B9" s="1031">
        <v>920</v>
      </c>
      <c r="C9" s="1032">
        <v>12101</v>
      </c>
      <c r="D9" s="1030" t="s">
        <v>778</v>
      </c>
      <c r="E9" s="1018">
        <v>7356</v>
      </c>
      <c r="F9" s="1018"/>
      <c r="G9" s="1031" t="str">
        <f t="shared" si="6"/>
        <v>1</v>
      </c>
      <c r="H9" s="1031" t="str">
        <f t="shared" si="7"/>
        <v>121</v>
      </c>
      <c r="I9" s="1031" t="str">
        <f t="shared" si="8"/>
        <v>9</v>
      </c>
    </row>
    <row r="10" spans="2:11" s="1030" customFormat="1" x14ac:dyDescent="0.25">
      <c r="B10" s="1031">
        <v>920</v>
      </c>
      <c r="C10" s="1031">
        <v>13000</v>
      </c>
      <c r="D10" s="1030" t="s">
        <v>779</v>
      </c>
      <c r="E10" s="1018">
        <v>90000</v>
      </c>
      <c r="F10" s="1018">
        <v>77700</v>
      </c>
      <c r="G10" s="1031" t="str">
        <f t="shared" ref="G10:G34" si="9">LEFT(+C10,1)</f>
        <v>1</v>
      </c>
      <c r="H10" s="1031" t="str">
        <f t="shared" ref="H10:H34" si="10">LEFT(+C10,3)</f>
        <v>130</v>
      </c>
      <c r="I10" s="1031" t="str">
        <f t="shared" ref="I10:I34" si="11">LEFT(+B10,1)</f>
        <v>9</v>
      </c>
      <c r="K10" s="1018"/>
    </row>
    <row r="11" spans="2:11" s="1030" customFormat="1" x14ac:dyDescent="0.25">
      <c r="B11" s="1031">
        <v>920</v>
      </c>
      <c r="C11" s="1032">
        <v>16000</v>
      </c>
      <c r="D11" s="1030" t="s">
        <v>780</v>
      </c>
      <c r="E11" s="1018">
        <v>34000</v>
      </c>
      <c r="F11" s="1018">
        <v>32000</v>
      </c>
      <c r="G11" s="1031" t="str">
        <f t="shared" si="9"/>
        <v>1</v>
      </c>
      <c r="H11" s="1031" t="str">
        <f t="shared" si="10"/>
        <v>160</v>
      </c>
      <c r="I11" s="1031" t="str">
        <f t="shared" si="11"/>
        <v>9</v>
      </c>
    </row>
    <row r="12" spans="2:11" s="1030" customFormat="1" x14ac:dyDescent="0.25">
      <c r="B12" s="1031">
        <v>133</v>
      </c>
      <c r="C12" s="1032">
        <v>20000</v>
      </c>
      <c r="D12" s="1030" t="s">
        <v>781</v>
      </c>
      <c r="E12" s="1018">
        <v>3400</v>
      </c>
      <c r="F12" s="1018">
        <v>2500</v>
      </c>
      <c r="G12" s="1031" t="str">
        <f t="shared" si="9"/>
        <v>2</v>
      </c>
      <c r="H12" s="1031" t="str">
        <f t="shared" si="10"/>
        <v>200</v>
      </c>
      <c r="I12" s="1031" t="str">
        <f t="shared" si="11"/>
        <v>1</v>
      </c>
    </row>
    <row r="13" spans="2:11" s="1030" customFormat="1" x14ac:dyDescent="0.25">
      <c r="B13" s="1031">
        <v>920</v>
      </c>
      <c r="C13" s="1031">
        <v>20300</v>
      </c>
      <c r="D13" s="1030" t="s">
        <v>782</v>
      </c>
      <c r="E13" s="1018">
        <v>1200</v>
      </c>
      <c r="F13" s="1018">
        <v>1200</v>
      </c>
      <c r="G13" s="1031" t="str">
        <f t="shared" si="9"/>
        <v>2</v>
      </c>
      <c r="H13" s="1031" t="str">
        <f t="shared" si="10"/>
        <v>203</v>
      </c>
      <c r="I13" s="1031" t="str">
        <f t="shared" si="11"/>
        <v>9</v>
      </c>
    </row>
    <row r="14" spans="2:11" s="1030" customFormat="1" x14ac:dyDescent="0.25">
      <c r="B14" s="1031">
        <v>920</v>
      </c>
      <c r="C14" s="1032">
        <v>20600</v>
      </c>
      <c r="D14" s="1030" t="s">
        <v>783</v>
      </c>
      <c r="E14" s="1018">
        <v>480</v>
      </c>
      <c r="F14" s="1018"/>
      <c r="G14" s="1031" t="str">
        <f t="shared" si="9"/>
        <v>2</v>
      </c>
      <c r="H14" s="1031" t="str">
        <f t="shared" si="10"/>
        <v>206</v>
      </c>
      <c r="I14" s="1031" t="str">
        <f t="shared" si="11"/>
        <v>9</v>
      </c>
    </row>
    <row r="15" spans="2:11" s="1030" customFormat="1" x14ac:dyDescent="0.25">
      <c r="B15" s="1031">
        <v>161</v>
      </c>
      <c r="C15" s="1032">
        <v>21000</v>
      </c>
      <c r="D15" s="1030" t="s">
        <v>784</v>
      </c>
      <c r="E15" s="1018">
        <v>6000</v>
      </c>
      <c r="F15" s="1018">
        <v>8000</v>
      </c>
      <c r="G15" s="1031" t="str">
        <f t="shared" si="9"/>
        <v>2</v>
      </c>
      <c r="H15" s="1031" t="str">
        <f t="shared" si="10"/>
        <v>210</v>
      </c>
      <c r="I15" s="1031" t="str">
        <f t="shared" si="11"/>
        <v>1</v>
      </c>
    </row>
    <row r="16" spans="2:11" s="1030" customFormat="1" x14ac:dyDescent="0.25">
      <c r="B16" s="1031">
        <v>165</v>
      </c>
      <c r="C16" s="1031">
        <v>21000</v>
      </c>
      <c r="D16" s="1030" t="s">
        <v>785</v>
      </c>
      <c r="E16" s="1018">
        <v>4000</v>
      </c>
      <c r="F16" s="1018"/>
      <c r="G16" s="1031" t="str">
        <f t="shared" si="9"/>
        <v>2</v>
      </c>
      <c r="H16" s="1031" t="str">
        <f t="shared" si="10"/>
        <v>210</v>
      </c>
      <c r="I16" s="1031" t="str">
        <f t="shared" si="11"/>
        <v>1</v>
      </c>
    </row>
    <row r="17" spans="2:9" s="1030" customFormat="1" x14ac:dyDescent="0.25">
      <c r="B17" s="1031">
        <v>171</v>
      </c>
      <c r="C17" s="1031">
        <v>21000</v>
      </c>
      <c r="D17" s="1030" t="s">
        <v>786</v>
      </c>
      <c r="E17" s="1018">
        <v>4000</v>
      </c>
      <c r="F17" s="1018">
        <v>10000</v>
      </c>
      <c r="G17" s="1031" t="str">
        <f t="shared" si="9"/>
        <v>2</v>
      </c>
      <c r="H17" s="1031" t="str">
        <f t="shared" si="10"/>
        <v>210</v>
      </c>
      <c r="I17" s="1031" t="str">
        <f t="shared" si="11"/>
        <v>1</v>
      </c>
    </row>
    <row r="18" spans="2:9" s="1030" customFormat="1" x14ac:dyDescent="0.25">
      <c r="B18" s="1031">
        <v>450</v>
      </c>
      <c r="C18" s="1032">
        <v>21000</v>
      </c>
      <c r="D18" s="1033" t="s">
        <v>787</v>
      </c>
      <c r="E18" s="1096">
        <v>10000</v>
      </c>
      <c r="F18" s="1096">
        <v>8000</v>
      </c>
      <c r="G18" s="1031" t="str">
        <f t="shared" si="9"/>
        <v>2</v>
      </c>
      <c r="H18" s="1031" t="str">
        <f t="shared" si="10"/>
        <v>210</v>
      </c>
      <c r="I18" s="1031" t="str">
        <f t="shared" si="11"/>
        <v>4</v>
      </c>
    </row>
    <row r="19" spans="2:9" s="1030" customFormat="1" x14ac:dyDescent="0.25">
      <c r="B19" s="1031">
        <v>454</v>
      </c>
      <c r="C19" s="1032">
        <v>21000</v>
      </c>
      <c r="D19" s="1033" t="s">
        <v>788</v>
      </c>
      <c r="E19" s="1096">
        <v>3000</v>
      </c>
      <c r="F19" s="1096">
        <v>5000</v>
      </c>
      <c r="G19" s="1031" t="str">
        <f t="shared" si="9"/>
        <v>2</v>
      </c>
      <c r="H19" s="1031" t="str">
        <f t="shared" si="10"/>
        <v>210</v>
      </c>
      <c r="I19" s="1031" t="str">
        <f t="shared" si="11"/>
        <v>4</v>
      </c>
    </row>
    <row r="20" spans="2:9" s="1030" customFormat="1" x14ac:dyDescent="0.25">
      <c r="B20" s="1031">
        <v>164</v>
      </c>
      <c r="C20" s="1032">
        <v>21200</v>
      </c>
      <c r="D20" s="1033" t="s">
        <v>789</v>
      </c>
      <c r="E20" s="1028">
        <v>500</v>
      </c>
      <c r="F20" s="1028">
        <v>500</v>
      </c>
      <c r="G20" s="1031" t="str">
        <f t="shared" si="9"/>
        <v>2</v>
      </c>
      <c r="H20" s="1031" t="str">
        <f t="shared" si="10"/>
        <v>212</v>
      </c>
      <c r="I20" s="1031" t="str">
        <f t="shared" si="11"/>
        <v>1</v>
      </c>
    </row>
    <row r="21" spans="2:9" s="1030" customFormat="1" x14ac:dyDescent="0.25">
      <c r="B21" s="1031">
        <v>323</v>
      </c>
      <c r="C21" s="1032">
        <v>21200</v>
      </c>
      <c r="D21" s="1030" t="s">
        <v>790</v>
      </c>
      <c r="E21" s="1018">
        <v>3500</v>
      </c>
      <c r="F21" s="1018">
        <v>3500</v>
      </c>
      <c r="G21" s="1031" t="str">
        <f t="shared" si="9"/>
        <v>2</v>
      </c>
      <c r="H21" s="1031" t="str">
        <f t="shared" si="10"/>
        <v>212</v>
      </c>
      <c r="I21" s="1031" t="str">
        <f t="shared" si="11"/>
        <v>3</v>
      </c>
    </row>
    <row r="22" spans="2:9" s="1030" customFormat="1" x14ac:dyDescent="0.25">
      <c r="B22" s="1031">
        <v>333</v>
      </c>
      <c r="C22" s="1031">
        <v>21200</v>
      </c>
      <c r="D22" s="1030" t="s">
        <v>791</v>
      </c>
      <c r="E22" s="1018">
        <v>1500</v>
      </c>
      <c r="F22" s="1018">
        <v>1500</v>
      </c>
      <c r="G22" s="1031" t="str">
        <f t="shared" si="9"/>
        <v>2</v>
      </c>
      <c r="H22" s="1031" t="str">
        <f t="shared" si="10"/>
        <v>212</v>
      </c>
      <c r="I22" s="1031" t="str">
        <f t="shared" si="11"/>
        <v>3</v>
      </c>
    </row>
    <row r="23" spans="2:9" s="1030" customFormat="1" x14ac:dyDescent="0.25">
      <c r="B23" s="1031">
        <v>920</v>
      </c>
      <c r="C23" s="1031">
        <v>21200</v>
      </c>
      <c r="D23" s="1030" t="s">
        <v>792</v>
      </c>
      <c r="E23" s="1018">
        <v>1000</v>
      </c>
      <c r="F23" s="1018">
        <v>1000</v>
      </c>
      <c r="G23" s="1031" t="str">
        <f t="shared" si="9"/>
        <v>2</v>
      </c>
      <c r="H23" s="1031" t="str">
        <f t="shared" si="10"/>
        <v>212</v>
      </c>
      <c r="I23" s="1031" t="str">
        <f t="shared" si="11"/>
        <v>9</v>
      </c>
    </row>
    <row r="24" spans="2:9" s="1030" customFormat="1" x14ac:dyDescent="0.25">
      <c r="B24" s="1031">
        <v>459</v>
      </c>
      <c r="C24" s="1032">
        <v>21300</v>
      </c>
      <c r="D24" s="1033" t="s">
        <v>793</v>
      </c>
      <c r="E24" s="723">
        <v>3000</v>
      </c>
      <c r="F24" s="723">
        <v>2000</v>
      </c>
      <c r="G24" s="1031" t="str">
        <f t="shared" si="9"/>
        <v>2</v>
      </c>
      <c r="H24" s="1031" t="str">
        <f t="shared" si="10"/>
        <v>213</v>
      </c>
      <c r="I24" s="1031" t="str">
        <f t="shared" si="11"/>
        <v>4</v>
      </c>
    </row>
    <row r="25" spans="2:9" s="1030" customFormat="1" x14ac:dyDescent="0.25">
      <c r="B25" s="1031">
        <v>459</v>
      </c>
      <c r="C25" s="1032">
        <v>21400</v>
      </c>
      <c r="D25" s="1033" t="s">
        <v>794</v>
      </c>
      <c r="E25" s="723">
        <v>1000</v>
      </c>
      <c r="F25" s="723">
        <v>1000</v>
      </c>
      <c r="G25" s="1031" t="str">
        <f t="shared" si="9"/>
        <v>2</v>
      </c>
      <c r="H25" s="1031" t="str">
        <f t="shared" si="10"/>
        <v>214</v>
      </c>
      <c r="I25" s="1031" t="str">
        <f t="shared" si="11"/>
        <v>4</v>
      </c>
    </row>
    <row r="26" spans="2:9" s="1030" customFormat="1" x14ac:dyDescent="0.25">
      <c r="B26" s="1031">
        <v>920</v>
      </c>
      <c r="C26" s="1032">
        <v>21600</v>
      </c>
      <c r="D26" s="1033" t="s">
        <v>795</v>
      </c>
      <c r="E26" s="723">
        <v>300</v>
      </c>
      <c r="F26" s="723">
        <v>300</v>
      </c>
      <c r="G26" s="1031" t="str">
        <f t="shared" si="9"/>
        <v>2</v>
      </c>
      <c r="H26" s="1031" t="str">
        <f t="shared" si="10"/>
        <v>216</v>
      </c>
      <c r="I26" s="1031" t="str">
        <f t="shared" si="11"/>
        <v>9</v>
      </c>
    </row>
    <row r="27" spans="2:9" s="1030" customFormat="1" x14ac:dyDescent="0.25">
      <c r="B27" s="1031">
        <v>920</v>
      </c>
      <c r="C27" s="1032">
        <v>21601</v>
      </c>
      <c r="D27" s="1033" t="s">
        <v>796</v>
      </c>
      <c r="E27" s="723">
        <v>4100</v>
      </c>
      <c r="F27" s="723">
        <v>4100</v>
      </c>
      <c r="G27" s="1031" t="str">
        <f t="shared" si="9"/>
        <v>2</v>
      </c>
      <c r="H27" s="1031" t="str">
        <f t="shared" si="10"/>
        <v>216</v>
      </c>
      <c r="I27" s="1031" t="str">
        <f t="shared" si="11"/>
        <v>9</v>
      </c>
    </row>
    <row r="28" spans="2:9" s="1030" customFormat="1" x14ac:dyDescent="0.25">
      <c r="B28" s="1031">
        <v>920</v>
      </c>
      <c r="C28" s="1032">
        <v>22000</v>
      </c>
      <c r="D28" s="1033" t="s">
        <v>797</v>
      </c>
      <c r="E28" s="723">
        <v>2000</v>
      </c>
      <c r="F28" s="723">
        <v>2000</v>
      </c>
      <c r="G28" s="1031" t="str">
        <f t="shared" si="9"/>
        <v>2</v>
      </c>
      <c r="H28" s="1031" t="str">
        <f t="shared" si="10"/>
        <v>220</v>
      </c>
      <c r="I28" s="1031" t="str">
        <f t="shared" si="11"/>
        <v>9</v>
      </c>
    </row>
    <row r="29" spans="2:9" s="1030" customFormat="1" x14ac:dyDescent="0.25">
      <c r="B29" s="1031">
        <v>920</v>
      </c>
      <c r="C29" s="1032">
        <v>22001</v>
      </c>
      <c r="D29" s="1033" t="s">
        <v>798</v>
      </c>
      <c r="E29" s="723">
        <v>1500</v>
      </c>
      <c r="F29" s="723">
        <v>1500</v>
      </c>
      <c r="G29" s="1031" t="str">
        <f t="shared" si="9"/>
        <v>2</v>
      </c>
      <c r="H29" s="1031" t="str">
        <f t="shared" si="10"/>
        <v>220</v>
      </c>
      <c r="I29" s="1031" t="str">
        <f t="shared" si="11"/>
        <v>9</v>
      </c>
    </row>
    <row r="30" spans="2:9" s="1030" customFormat="1" x14ac:dyDescent="0.25">
      <c r="B30" s="1031">
        <v>161</v>
      </c>
      <c r="C30" s="1032">
        <v>22100</v>
      </c>
      <c r="D30" s="1033" t="s">
        <v>799</v>
      </c>
      <c r="E30" s="723">
        <v>6000</v>
      </c>
      <c r="F30" s="723">
        <v>5000</v>
      </c>
      <c r="G30" s="1031" t="str">
        <f t="shared" si="9"/>
        <v>2</v>
      </c>
      <c r="H30" s="1031" t="str">
        <f t="shared" si="10"/>
        <v>221</v>
      </c>
      <c r="I30" s="1031" t="str">
        <f t="shared" si="11"/>
        <v>1</v>
      </c>
    </row>
    <row r="31" spans="2:9" s="1030" customFormat="1" x14ac:dyDescent="0.25">
      <c r="B31" s="1031">
        <v>165</v>
      </c>
      <c r="C31" s="1032">
        <v>22100</v>
      </c>
      <c r="D31" s="1033" t="s">
        <v>800</v>
      </c>
      <c r="E31" s="723">
        <v>20000</v>
      </c>
      <c r="F31" s="723">
        <v>28000</v>
      </c>
      <c r="G31" s="1031" t="str">
        <f t="shared" ref="G31" si="12">LEFT(+C31,1)</f>
        <v>2</v>
      </c>
      <c r="H31" s="1031" t="str">
        <f t="shared" ref="H31" si="13">LEFT(+C31,3)</f>
        <v>221</v>
      </c>
      <c r="I31" s="1031" t="str">
        <f t="shared" ref="I31" si="14">LEFT(+B31,1)</f>
        <v>1</v>
      </c>
    </row>
    <row r="32" spans="2:9" s="1030" customFormat="1" x14ac:dyDescent="0.25">
      <c r="B32" s="1031">
        <v>323</v>
      </c>
      <c r="C32" s="1032">
        <v>22100</v>
      </c>
      <c r="D32" s="1033" t="s">
        <v>801</v>
      </c>
      <c r="E32" s="723">
        <v>1500</v>
      </c>
      <c r="F32" s="723">
        <v>1000</v>
      </c>
      <c r="G32" s="1031" t="str">
        <f t="shared" si="9"/>
        <v>2</v>
      </c>
      <c r="H32" s="1031" t="str">
        <f t="shared" si="10"/>
        <v>221</v>
      </c>
      <c r="I32" s="1031" t="str">
        <f t="shared" si="11"/>
        <v>3</v>
      </c>
    </row>
    <row r="33" spans="2:9" s="1030" customFormat="1" x14ac:dyDescent="0.25">
      <c r="B33" s="1031">
        <v>333</v>
      </c>
      <c r="C33" s="1032">
        <v>22100</v>
      </c>
      <c r="D33" s="1033" t="s">
        <v>802</v>
      </c>
      <c r="E33" s="723">
        <v>500</v>
      </c>
      <c r="F33" s="723">
        <v>1000</v>
      </c>
      <c r="G33" s="1031" t="str">
        <f t="shared" si="9"/>
        <v>2</v>
      </c>
      <c r="H33" s="1031" t="str">
        <f t="shared" si="10"/>
        <v>221</v>
      </c>
      <c r="I33" s="1031" t="str">
        <f t="shared" si="11"/>
        <v>3</v>
      </c>
    </row>
    <row r="34" spans="2:9" s="1030" customFormat="1" x14ac:dyDescent="0.25">
      <c r="B34" s="1032">
        <v>342</v>
      </c>
      <c r="C34" s="1032">
        <v>22100</v>
      </c>
      <c r="D34" s="1033" t="s">
        <v>803</v>
      </c>
      <c r="E34" s="723">
        <v>7000</v>
      </c>
      <c r="F34" s="723">
        <v>9000</v>
      </c>
      <c r="G34" s="1031" t="str">
        <f t="shared" si="9"/>
        <v>2</v>
      </c>
      <c r="H34" s="1031" t="str">
        <f t="shared" si="10"/>
        <v>221</v>
      </c>
      <c r="I34" s="1031" t="str">
        <f t="shared" si="11"/>
        <v>3</v>
      </c>
    </row>
    <row r="35" spans="2:9" s="1030" customFormat="1" x14ac:dyDescent="0.25">
      <c r="B35" s="1034">
        <v>920</v>
      </c>
      <c r="C35" s="1032">
        <v>22100</v>
      </c>
      <c r="D35" s="1033" t="s">
        <v>804</v>
      </c>
      <c r="E35" s="723">
        <v>4000</v>
      </c>
      <c r="F35" s="723">
        <v>4000</v>
      </c>
      <c r="G35" s="1031" t="str">
        <f t="shared" ref="G35:G92" si="15">LEFT(+C35,1)</f>
        <v>2</v>
      </c>
      <c r="H35" s="1031" t="str">
        <f t="shared" ref="H35:H92" si="16">LEFT(+C35,3)</f>
        <v>221</v>
      </c>
      <c r="I35" s="1031" t="str">
        <f t="shared" ref="I35:I92" si="17">LEFT(+B35,1)</f>
        <v>9</v>
      </c>
    </row>
    <row r="36" spans="2:9" s="1030" customFormat="1" x14ac:dyDescent="0.25">
      <c r="B36" s="1031">
        <v>161</v>
      </c>
      <c r="C36" s="1032">
        <v>22102</v>
      </c>
      <c r="D36" s="1033" t="s">
        <v>805</v>
      </c>
      <c r="E36" s="723">
        <v>20000</v>
      </c>
      <c r="F36" s="723">
        <v>23000</v>
      </c>
      <c r="G36" s="1031" t="str">
        <f t="shared" si="15"/>
        <v>2</v>
      </c>
      <c r="H36" s="1031" t="str">
        <f t="shared" si="16"/>
        <v>221</v>
      </c>
      <c r="I36" s="1031" t="str">
        <f t="shared" si="17"/>
        <v>1</v>
      </c>
    </row>
    <row r="37" spans="2:9" s="1030" customFormat="1" x14ac:dyDescent="0.25">
      <c r="B37" s="1031">
        <v>161</v>
      </c>
      <c r="C37" s="1032">
        <v>22103</v>
      </c>
      <c r="D37" s="1033" t="s">
        <v>806</v>
      </c>
      <c r="E37" s="723">
        <v>100</v>
      </c>
      <c r="F37" s="723">
        <v>100</v>
      </c>
      <c r="G37" s="1031" t="str">
        <f t="shared" si="15"/>
        <v>2</v>
      </c>
      <c r="H37" s="1031" t="str">
        <f t="shared" si="16"/>
        <v>221</v>
      </c>
      <c r="I37" s="1031" t="str">
        <f t="shared" si="17"/>
        <v>1</v>
      </c>
    </row>
    <row r="38" spans="2:9" s="1030" customFormat="1" x14ac:dyDescent="0.25">
      <c r="B38" s="1031">
        <v>323</v>
      </c>
      <c r="C38" s="1031">
        <v>22103</v>
      </c>
      <c r="D38" s="1030" t="s">
        <v>807</v>
      </c>
      <c r="E38" s="723">
        <v>3500</v>
      </c>
      <c r="F38" s="723">
        <v>3200</v>
      </c>
      <c r="G38" s="1031" t="str">
        <f t="shared" si="15"/>
        <v>2</v>
      </c>
      <c r="H38" s="1031" t="str">
        <f t="shared" si="16"/>
        <v>221</v>
      </c>
      <c r="I38" s="1031" t="str">
        <f t="shared" si="17"/>
        <v>3</v>
      </c>
    </row>
    <row r="39" spans="2:9" s="1030" customFormat="1" x14ac:dyDescent="0.25">
      <c r="B39" s="1031">
        <v>333</v>
      </c>
      <c r="C39" s="1032">
        <v>22103</v>
      </c>
      <c r="D39" s="1033" t="s">
        <v>808</v>
      </c>
      <c r="E39" s="1096">
        <v>1100</v>
      </c>
      <c r="F39" s="1096">
        <v>1100</v>
      </c>
      <c r="G39" s="1031" t="str">
        <f t="shared" si="15"/>
        <v>2</v>
      </c>
      <c r="H39" s="1031" t="str">
        <f t="shared" si="16"/>
        <v>221</v>
      </c>
      <c r="I39" s="1031" t="str">
        <f t="shared" si="17"/>
        <v>3</v>
      </c>
    </row>
    <row r="40" spans="2:9" s="1030" customFormat="1" x14ac:dyDescent="0.25">
      <c r="B40" s="1031">
        <v>920</v>
      </c>
      <c r="C40" s="1031">
        <v>22103</v>
      </c>
      <c r="D40" s="1030" t="s">
        <v>809</v>
      </c>
      <c r="E40" s="1018">
        <v>6500</v>
      </c>
      <c r="F40" s="1018">
        <v>7000</v>
      </c>
      <c r="G40" s="1031" t="str">
        <f t="shared" si="15"/>
        <v>2</v>
      </c>
      <c r="H40" s="1031" t="str">
        <f t="shared" si="16"/>
        <v>221</v>
      </c>
      <c r="I40" s="1031" t="str">
        <f t="shared" si="17"/>
        <v>9</v>
      </c>
    </row>
    <row r="41" spans="2:9" s="1030" customFormat="1" x14ac:dyDescent="0.25">
      <c r="B41" s="1031">
        <v>161</v>
      </c>
      <c r="C41" s="1031">
        <v>22197</v>
      </c>
      <c r="D41" s="1030" t="s">
        <v>810</v>
      </c>
      <c r="E41" s="723">
        <v>1500</v>
      </c>
      <c r="F41" s="723">
        <v>1500</v>
      </c>
      <c r="G41" s="1031" t="str">
        <f t="shared" si="15"/>
        <v>2</v>
      </c>
      <c r="H41" s="1031" t="str">
        <f t="shared" si="16"/>
        <v>221</v>
      </c>
      <c r="I41" s="1031" t="str">
        <f t="shared" si="17"/>
        <v>1</v>
      </c>
    </row>
    <row r="42" spans="2:9" s="1030" customFormat="1" x14ac:dyDescent="0.25">
      <c r="B42" s="1031">
        <v>342</v>
      </c>
      <c r="C42" s="1032">
        <v>22199</v>
      </c>
      <c r="D42" s="1033" t="s">
        <v>811</v>
      </c>
      <c r="E42" s="1096">
        <v>0</v>
      </c>
      <c r="F42" s="1096">
        <v>6000</v>
      </c>
      <c r="G42" s="1031" t="str">
        <f t="shared" si="15"/>
        <v>2</v>
      </c>
      <c r="H42" s="1031" t="str">
        <f t="shared" si="16"/>
        <v>221</v>
      </c>
      <c r="I42" s="1031" t="str">
        <f t="shared" si="17"/>
        <v>3</v>
      </c>
    </row>
    <row r="43" spans="2:9" s="1030" customFormat="1" x14ac:dyDescent="0.25">
      <c r="B43" s="1031">
        <v>920</v>
      </c>
      <c r="C43" s="1032">
        <v>22200</v>
      </c>
      <c r="D43" s="1033" t="s">
        <v>812</v>
      </c>
      <c r="E43" s="1096">
        <v>4000</v>
      </c>
      <c r="F43" s="1096">
        <v>5600</v>
      </c>
      <c r="G43" s="1031" t="str">
        <f t="shared" si="15"/>
        <v>2</v>
      </c>
      <c r="H43" s="1031" t="str">
        <f t="shared" si="16"/>
        <v>222</v>
      </c>
      <c r="I43" s="1031" t="str">
        <f t="shared" si="17"/>
        <v>9</v>
      </c>
    </row>
    <row r="44" spans="2:9" s="1030" customFormat="1" x14ac:dyDescent="0.25">
      <c r="B44" s="1031">
        <v>337</v>
      </c>
      <c r="C44" s="1031">
        <v>22209</v>
      </c>
      <c r="D44" s="1030" t="s">
        <v>813</v>
      </c>
      <c r="E44" s="723">
        <v>800</v>
      </c>
      <c r="F44" s="723">
        <v>1000</v>
      </c>
      <c r="G44" s="1031" t="str">
        <f t="shared" si="15"/>
        <v>2</v>
      </c>
      <c r="H44" s="1031" t="str">
        <f t="shared" si="16"/>
        <v>222</v>
      </c>
      <c r="I44" s="1031" t="str">
        <f t="shared" si="17"/>
        <v>3</v>
      </c>
    </row>
    <row r="45" spans="2:9" s="1030" customFormat="1" x14ac:dyDescent="0.25">
      <c r="B45" s="1031">
        <v>920</v>
      </c>
      <c r="C45" s="1031">
        <v>22201</v>
      </c>
      <c r="D45" s="1030" t="s">
        <v>814</v>
      </c>
      <c r="E45" s="723">
        <v>200</v>
      </c>
      <c r="F45" s="723">
        <v>1200</v>
      </c>
      <c r="G45" s="1031" t="str">
        <f t="shared" si="15"/>
        <v>2</v>
      </c>
      <c r="H45" s="1031" t="str">
        <f t="shared" si="16"/>
        <v>222</v>
      </c>
      <c r="I45" s="1031" t="str">
        <f t="shared" si="17"/>
        <v>9</v>
      </c>
    </row>
    <row r="46" spans="2:9" s="1030" customFormat="1" x14ac:dyDescent="0.25">
      <c r="B46" s="1031">
        <v>920</v>
      </c>
      <c r="C46" s="1031">
        <v>22400</v>
      </c>
      <c r="D46" s="1033" t="s">
        <v>815</v>
      </c>
      <c r="E46" s="1096">
        <v>6500</v>
      </c>
      <c r="F46" s="1096">
        <v>5200</v>
      </c>
      <c r="G46" s="1031" t="str">
        <f t="shared" si="15"/>
        <v>2</v>
      </c>
      <c r="H46" s="1031" t="str">
        <f t="shared" si="16"/>
        <v>224</v>
      </c>
      <c r="I46" s="1031" t="str">
        <f t="shared" si="17"/>
        <v>9</v>
      </c>
    </row>
    <row r="47" spans="2:9" s="1030" customFormat="1" x14ac:dyDescent="0.25">
      <c r="B47" s="1031">
        <v>161</v>
      </c>
      <c r="C47" s="1031">
        <v>22500</v>
      </c>
      <c r="D47" s="1030" t="s">
        <v>816</v>
      </c>
      <c r="E47" s="723">
        <v>1500</v>
      </c>
      <c r="F47" s="723">
        <v>5000</v>
      </c>
      <c r="G47" s="1031" t="str">
        <f t="shared" si="15"/>
        <v>2</v>
      </c>
      <c r="H47" s="1031" t="str">
        <f t="shared" si="16"/>
        <v>225</v>
      </c>
      <c r="I47" s="1031" t="str">
        <f t="shared" si="17"/>
        <v>1</v>
      </c>
    </row>
    <row r="48" spans="2:9" s="1030" customFormat="1" x14ac:dyDescent="0.25">
      <c r="B48" s="1031">
        <v>161</v>
      </c>
      <c r="C48" s="1031">
        <v>22501</v>
      </c>
      <c r="D48" s="1030" t="s">
        <v>817</v>
      </c>
      <c r="E48" s="723">
        <v>12000</v>
      </c>
      <c r="F48" s="723">
        <v>10000</v>
      </c>
      <c r="G48" s="1031" t="str">
        <f t="shared" si="15"/>
        <v>2</v>
      </c>
      <c r="H48" s="1031" t="str">
        <f t="shared" si="16"/>
        <v>225</v>
      </c>
      <c r="I48" s="1031" t="str">
        <f t="shared" si="17"/>
        <v>1</v>
      </c>
    </row>
    <row r="49" spans="2:9" s="1030" customFormat="1" x14ac:dyDescent="0.25">
      <c r="B49" s="1031">
        <v>323</v>
      </c>
      <c r="C49" s="1031">
        <v>22699</v>
      </c>
      <c r="D49" s="1030" t="s">
        <v>818</v>
      </c>
      <c r="E49" s="723">
        <v>500</v>
      </c>
      <c r="F49" s="723">
        <v>500</v>
      </c>
      <c r="G49" s="1031" t="str">
        <f t="shared" si="15"/>
        <v>2</v>
      </c>
      <c r="H49" s="1031" t="str">
        <f t="shared" si="16"/>
        <v>226</v>
      </c>
      <c r="I49" s="1031" t="str">
        <f t="shared" si="17"/>
        <v>3</v>
      </c>
    </row>
    <row r="50" spans="2:9" s="1030" customFormat="1" x14ac:dyDescent="0.25">
      <c r="B50" s="1031">
        <v>920</v>
      </c>
      <c r="C50" s="1032">
        <v>22603</v>
      </c>
      <c r="D50" s="1033" t="s">
        <v>819</v>
      </c>
      <c r="E50" s="1096">
        <v>500</v>
      </c>
      <c r="F50" s="1096">
        <v>500</v>
      </c>
      <c r="G50" s="1031" t="str">
        <f t="shared" si="15"/>
        <v>2</v>
      </c>
      <c r="H50" s="1031" t="str">
        <f t="shared" si="16"/>
        <v>226</v>
      </c>
      <c r="I50" s="1031" t="str">
        <f t="shared" si="17"/>
        <v>9</v>
      </c>
    </row>
    <row r="51" spans="2:9" s="1030" customFormat="1" x14ac:dyDescent="0.25">
      <c r="B51" s="1031">
        <v>338</v>
      </c>
      <c r="C51" s="1032">
        <v>22609</v>
      </c>
      <c r="D51" s="1033" t="s">
        <v>820</v>
      </c>
      <c r="E51" s="1096">
        <v>17000</v>
      </c>
      <c r="F51" s="1096">
        <v>15000</v>
      </c>
      <c r="G51" s="1031" t="str">
        <f t="shared" si="15"/>
        <v>2</v>
      </c>
      <c r="H51" s="1031" t="str">
        <f t="shared" si="16"/>
        <v>226</v>
      </c>
      <c r="I51" s="1031" t="str">
        <f t="shared" si="17"/>
        <v>3</v>
      </c>
    </row>
    <row r="52" spans="2:9" s="1030" customFormat="1" x14ac:dyDescent="0.25">
      <c r="B52" s="1031">
        <v>920</v>
      </c>
      <c r="C52" s="1031">
        <v>22699</v>
      </c>
      <c r="D52" s="1030" t="s">
        <v>821</v>
      </c>
      <c r="E52" s="723">
        <v>3034</v>
      </c>
      <c r="F52" s="723">
        <v>2296.87</v>
      </c>
      <c r="G52" s="1031" t="str">
        <f t="shared" si="15"/>
        <v>2</v>
      </c>
      <c r="H52" s="1031" t="str">
        <f t="shared" si="16"/>
        <v>226</v>
      </c>
      <c r="I52" s="1031" t="str">
        <f t="shared" si="17"/>
        <v>9</v>
      </c>
    </row>
    <row r="53" spans="2:9" s="1030" customFormat="1" x14ac:dyDescent="0.25">
      <c r="B53" s="1031">
        <v>432</v>
      </c>
      <c r="C53" s="1032">
        <v>22609</v>
      </c>
      <c r="D53" s="1033" t="s">
        <v>822</v>
      </c>
      <c r="E53" s="1096">
        <v>25000</v>
      </c>
      <c r="F53" s="1096">
        <v>23000</v>
      </c>
      <c r="G53" s="1031" t="str">
        <f t="shared" si="15"/>
        <v>2</v>
      </c>
      <c r="H53" s="1031" t="str">
        <f t="shared" si="16"/>
        <v>226</v>
      </c>
      <c r="I53" s="1031" t="str">
        <f t="shared" si="17"/>
        <v>4</v>
      </c>
    </row>
    <row r="54" spans="2:9" s="1030" customFormat="1" x14ac:dyDescent="0.25">
      <c r="B54" s="1031">
        <v>1621</v>
      </c>
      <c r="C54" s="1032">
        <v>22700</v>
      </c>
      <c r="D54" s="1033" t="s">
        <v>823</v>
      </c>
      <c r="E54" s="723">
        <v>16500</v>
      </c>
      <c r="F54" s="723">
        <v>15960</v>
      </c>
      <c r="G54" s="1031" t="str">
        <f t="shared" si="15"/>
        <v>2</v>
      </c>
      <c r="H54" s="1031" t="str">
        <f t="shared" si="16"/>
        <v>227</v>
      </c>
      <c r="I54" s="1031" t="str">
        <f t="shared" si="17"/>
        <v>1</v>
      </c>
    </row>
    <row r="55" spans="2:9" s="1030" customFormat="1" x14ac:dyDescent="0.25">
      <c r="B55" s="1031">
        <v>1623</v>
      </c>
      <c r="C55" s="1032">
        <v>22700</v>
      </c>
      <c r="D55" s="1033" t="s">
        <v>824</v>
      </c>
      <c r="E55" s="723">
        <v>18000</v>
      </c>
      <c r="F55" s="723">
        <v>18000</v>
      </c>
      <c r="G55" s="1031" t="str">
        <f t="shared" si="15"/>
        <v>2</v>
      </c>
      <c r="H55" s="1031" t="str">
        <f t="shared" si="16"/>
        <v>227</v>
      </c>
      <c r="I55" s="1031" t="str">
        <f t="shared" si="17"/>
        <v>1</v>
      </c>
    </row>
    <row r="56" spans="2:9" s="1030" customFormat="1" x14ac:dyDescent="0.25">
      <c r="B56" s="1031">
        <v>342</v>
      </c>
      <c r="C56" s="1032">
        <v>22701</v>
      </c>
      <c r="D56" s="1033" t="s">
        <v>825</v>
      </c>
      <c r="E56" s="723">
        <v>12500</v>
      </c>
      <c r="F56" s="723">
        <v>11500</v>
      </c>
      <c r="G56" s="1031" t="str">
        <f t="shared" si="15"/>
        <v>2</v>
      </c>
      <c r="H56" s="1031" t="str">
        <f t="shared" si="16"/>
        <v>227</v>
      </c>
      <c r="I56" s="1031" t="str">
        <f t="shared" si="17"/>
        <v>3</v>
      </c>
    </row>
    <row r="57" spans="2:9" x14ac:dyDescent="0.25">
      <c r="B57" s="1031">
        <v>924</v>
      </c>
      <c r="C57" s="1032">
        <v>22705</v>
      </c>
      <c r="D57" s="1033" t="s">
        <v>826</v>
      </c>
      <c r="E57" s="723">
        <v>0</v>
      </c>
      <c r="F57" s="723">
        <v>100</v>
      </c>
      <c r="G57" s="1031" t="str">
        <f t="shared" si="15"/>
        <v>2</v>
      </c>
      <c r="H57" s="1031" t="str">
        <f t="shared" si="16"/>
        <v>227</v>
      </c>
      <c r="I57" s="1031" t="str">
        <f t="shared" si="17"/>
        <v>9</v>
      </c>
    </row>
    <row r="58" spans="2:9" x14ac:dyDescent="0.25">
      <c r="B58" s="1031">
        <v>932</v>
      </c>
      <c r="C58" s="1032">
        <v>22708</v>
      </c>
      <c r="D58" s="1033" t="s">
        <v>827</v>
      </c>
      <c r="E58" s="723">
        <v>5500</v>
      </c>
      <c r="F58" s="723">
        <v>5500</v>
      </c>
      <c r="G58" s="1031" t="str">
        <f t="shared" si="15"/>
        <v>2</v>
      </c>
      <c r="H58" s="1031" t="str">
        <f t="shared" si="16"/>
        <v>227</v>
      </c>
      <c r="I58" s="1031" t="str">
        <f t="shared" si="17"/>
        <v>9</v>
      </c>
    </row>
    <row r="59" spans="2:9" x14ac:dyDescent="0.25">
      <c r="B59" s="1031">
        <v>459</v>
      </c>
      <c r="C59" s="1032">
        <v>22797</v>
      </c>
      <c r="D59" s="1033" t="s">
        <v>828</v>
      </c>
      <c r="E59" s="723">
        <v>12000</v>
      </c>
      <c r="F59" s="723">
        <v>9000</v>
      </c>
      <c r="G59" s="1031" t="str">
        <f t="shared" ref="G59:G63" si="18">LEFT(+C59,1)</f>
        <v>2</v>
      </c>
      <c r="H59" s="1031" t="str">
        <f t="shared" ref="H59:H63" si="19">LEFT(+C59,3)</f>
        <v>227</v>
      </c>
      <c r="I59" s="1031" t="str">
        <f t="shared" ref="I59:I63" si="20">LEFT(+B59,1)</f>
        <v>4</v>
      </c>
    </row>
    <row r="60" spans="2:9" x14ac:dyDescent="0.25">
      <c r="B60" s="1031">
        <v>920</v>
      </c>
      <c r="C60" s="1032">
        <v>22798</v>
      </c>
      <c r="D60" s="1033" t="s">
        <v>829</v>
      </c>
      <c r="E60" s="723">
        <v>11000</v>
      </c>
      <c r="F60" s="723">
        <v>9000</v>
      </c>
      <c r="G60" s="1031" t="str">
        <f t="shared" si="18"/>
        <v>2</v>
      </c>
      <c r="H60" s="1031" t="str">
        <f t="shared" si="19"/>
        <v>227</v>
      </c>
      <c r="I60" s="1031" t="str">
        <f t="shared" si="20"/>
        <v>9</v>
      </c>
    </row>
    <row r="61" spans="2:9" x14ac:dyDescent="0.25">
      <c r="B61" s="1031">
        <v>920</v>
      </c>
      <c r="C61" s="1032">
        <v>22799</v>
      </c>
      <c r="D61" s="1033" t="s">
        <v>830</v>
      </c>
      <c r="E61" s="723">
        <v>2000</v>
      </c>
      <c r="F61" s="723">
        <v>2000</v>
      </c>
      <c r="G61" s="1031" t="str">
        <f t="shared" si="18"/>
        <v>2</v>
      </c>
      <c r="H61" s="1031" t="str">
        <f t="shared" si="19"/>
        <v>227</v>
      </c>
      <c r="I61" s="1031" t="str">
        <f t="shared" si="20"/>
        <v>9</v>
      </c>
    </row>
    <row r="62" spans="2:9" x14ac:dyDescent="0.25">
      <c r="B62" s="1031">
        <v>231</v>
      </c>
      <c r="C62" s="1032">
        <v>25000</v>
      </c>
      <c r="D62" s="1033" t="s">
        <v>831</v>
      </c>
      <c r="E62" s="723">
        <v>2000</v>
      </c>
      <c r="F62" s="723">
        <v>1500</v>
      </c>
      <c r="G62" s="1031" t="str">
        <f t="shared" si="18"/>
        <v>2</v>
      </c>
      <c r="H62" s="1031" t="str">
        <f t="shared" si="19"/>
        <v>250</v>
      </c>
      <c r="I62" s="1031" t="str">
        <f t="shared" si="20"/>
        <v>2</v>
      </c>
    </row>
    <row r="63" spans="2:9" x14ac:dyDescent="0.25">
      <c r="B63" s="1031">
        <v>920</v>
      </c>
      <c r="C63" s="1032">
        <v>25000</v>
      </c>
      <c r="D63" s="1033" t="s">
        <v>832</v>
      </c>
      <c r="E63" s="723">
        <v>1800</v>
      </c>
      <c r="F63" s="723">
        <v>1800</v>
      </c>
      <c r="G63" s="1031" t="str">
        <f t="shared" si="18"/>
        <v>2</v>
      </c>
      <c r="H63" s="1031" t="str">
        <f t="shared" si="19"/>
        <v>250</v>
      </c>
      <c r="I63" s="1031" t="str">
        <f t="shared" si="20"/>
        <v>9</v>
      </c>
    </row>
    <row r="64" spans="2:9" x14ac:dyDescent="0.25">
      <c r="B64" s="1031" t="s">
        <v>365</v>
      </c>
      <c r="C64" s="1032">
        <v>31000</v>
      </c>
      <c r="D64" s="1033" t="s">
        <v>833</v>
      </c>
      <c r="E64" s="723">
        <v>10000</v>
      </c>
      <c r="F64" s="723">
        <v>6000</v>
      </c>
      <c r="G64" s="1031" t="str">
        <f t="shared" ref="G64:G67" si="21">LEFT(+C64,1)</f>
        <v>3</v>
      </c>
      <c r="H64" s="1031" t="str">
        <f t="shared" ref="H64:H67" si="22">LEFT(+C64,3)</f>
        <v>310</v>
      </c>
      <c r="I64" s="1031" t="str">
        <f t="shared" ref="I64:I67" si="23">LEFT(+B64,1)</f>
        <v>0</v>
      </c>
    </row>
    <row r="65" spans="2:11" x14ac:dyDescent="0.25">
      <c r="B65" s="1031" t="s">
        <v>365</v>
      </c>
      <c r="C65" s="1032">
        <v>35900</v>
      </c>
      <c r="D65" s="1033" t="s">
        <v>834</v>
      </c>
      <c r="E65" s="723">
        <v>1000</v>
      </c>
      <c r="F65" s="723">
        <v>2000</v>
      </c>
      <c r="G65" s="1031" t="str">
        <f t="shared" si="21"/>
        <v>3</v>
      </c>
      <c r="H65" s="1031" t="str">
        <f t="shared" si="22"/>
        <v>359</v>
      </c>
      <c r="I65" s="1031" t="str">
        <f t="shared" si="23"/>
        <v>0</v>
      </c>
    </row>
    <row r="66" spans="2:11" x14ac:dyDescent="0.25">
      <c r="B66" s="1031">
        <v>414</v>
      </c>
      <c r="C66" s="1032">
        <v>46600</v>
      </c>
      <c r="D66" s="1033" t="s">
        <v>835</v>
      </c>
      <c r="E66" s="723">
        <v>3000</v>
      </c>
      <c r="F66" s="723">
        <v>3000</v>
      </c>
      <c r="G66" s="1031" t="str">
        <f t="shared" si="21"/>
        <v>4</v>
      </c>
      <c r="H66" s="1031" t="str">
        <f t="shared" si="22"/>
        <v>466</v>
      </c>
      <c r="I66" s="1031" t="str">
        <f t="shared" si="23"/>
        <v>4</v>
      </c>
    </row>
    <row r="67" spans="2:11" x14ac:dyDescent="0.25">
      <c r="B67" s="1031">
        <v>334</v>
      </c>
      <c r="C67" s="1032">
        <v>48000</v>
      </c>
      <c r="D67" s="1033" t="s">
        <v>836</v>
      </c>
      <c r="E67" s="723">
        <v>2000</v>
      </c>
      <c r="F67" s="723">
        <v>2000</v>
      </c>
      <c r="G67" s="1031" t="str">
        <f t="shared" si="21"/>
        <v>4</v>
      </c>
      <c r="H67" s="1031" t="str">
        <f t="shared" si="22"/>
        <v>480</v>
      </c>
      <c r="I67" s="1031" t="str">
        <f t="shared" si="23"/>
        <v>3</v>
      </c>
    </row>
    <row r="68" spans="2:11" x14ac:dyDescent="0.25">
      <c r="B68" s="1031">
        <v>231</v>
      </c>
      <c r="C68" s="1032">
        <v>48001</v>
      </c>
      <c r="D68" s="1033" t="s">
        <v>837</v>
      </c>
      <c r="E68" s="723">
        <v>100</v>
      </c>
      <c r="F68" s="723">
        <v>100</v>
      </c>
      <c r="G68" s="1031" t="str">
        <f t="shared" si="15"/>
        <v>4</v>
      </c>
      <c r="H68" s="1031" t="str">
        <f t="shared" si="16"/>
        <v>480</v>
      </c>
      <c r="I68" s="1031" t="str">
        <f t="shared" si="17"/>
        <v>2</v>
      </c>
    </row>
    <row r="69" spans="2:11" x14ac:dyDescent="0.25">
      <c r="B69" s="1031">
        <v>929</v>
      </c>
      <c r="C69" s="1032">
        <v>50000</v>
      </c>
      <c r="D69" s="1033" t="s">
        <v>838</v>
      </c>
      <c r="E69" s="1096">
        <v>500</v>
      </c>
      <c r="F69" s="1096">
        <v>500</v>
      </c>
      <c r="G69" s="1031" t="str">
        <f t="shared" si="15"/>
        <v>5</v>
      </c>
      <c r="H69" s="1031" t="str">
        <f t="shared" si="16"/>
        <v>500</v>
      </c>
      <c r="I69" s="1031" t="str">
        <f t="shared" si="17"/>
        <v>9</v>
      </c>
    </row>
    <row r="70" spans="2:11" x14ac:dyDescent="0.25">
      <c r="B70" s="1031">
        <v>165</v>
      </c>
      <c r="C70" s="1032">
        <v>60901</v>
      </c>
      <c r="D70" s="1033" t="s">
        <v>839</v>
      </c>
      <c r="E70" s="1096">
        <v>22201</v>
      </c>
      <c r="F70" s="1096">
        <v>0</v>
      </c>
      <c r="G70" s="1031" t="str">
        <f t="shared" si="15"/>
        <v>6</v>
      </c>
      <c r="H70" s="1031" t="str">
        <f t="shared" si="16"/>
        <v>609</v>
      </c>
      <c r="I70" s="1031" t="str">
        <f t="shared" si="17"/>
        <v>1</v>
      </c>
    </row>
    <row r="71" spans="2:11" x14ac:dyDescent="0.25">
      <c r="B71" s="1031">
        <v>160</v>
      </c>
      <c r="C71" s="1032">
        <v>61902</v>
      </c>
      <c r="D71" s="1033" t="s">
        <v>840</v>
      </c>
      <c r="E71" s="1096">
        <v>32614</v>
      </c>
      <c r="F71" s="1096">
        <v>0</v>
      </c>
      <c r="G71" s="1031" t="str">
        <f t="shared" si="15"/>
        <v>6</v>
      </c>
      <c r="H71" s="1031" t="str">
        <f t="shared" si="16"/>
        <v>619</v>
      </c>
      <c r="I71" s="1031" t="str">
        <f t="shared" si="17"/>
        <v>1</v>
      </c>
    </row>
    <row r="72" spans="2:11" x14ac:dyDescent="0.25">
      <c r="B72" s="1031">
        <v>160</v>
      </c>
      <c r="C72" s="1032">
        <v>61903</v>
      </c>
      <c r="D72" s="1033" t="s">
        <v>841</v>
      </c>
      <c r="E72" s="723">
        <v>39677</v>
      </c>
      <c r="F72" s="723">
        <v>0</v>
      </c>
      <c r="G72" s="1031" t="str">
        <f t="shared" si="15"/>
        <v>6</v>
      </c>
      <c r="H72" s="1031" t="str">
        <f t="shared" si="16"/>
        <v>619</v>
      </c>
      <c r="I72" s="1031" t="str">
        <f t="shared" si="17"/>
        <v>1</v>
      </c>
    </row>
    <row r="73" spans="2:11" x14ac:dyDescent="0.25">
      <c r="B73" s="1031">
        <v>160</v>
      </c>
      <c r="C73" s="1032">
        <v>61904</v>
      </c>
      <c r="D73" s="724" t="s">
        <v>842</v>
      </c>
      <c r="E73" s="1020">
        <v>5000</v>
      </c>
      <c r="F73" s="1020">
        <v>0</v>
      </c>
      <c r="G73" s="1031" t="str">
        <f t="shared" si="15"/>
        <v>6</v>
      </c>
      <c r="H73" s="1031" t="str">
        <f t="shared" si="16"/>
        <v>619</v>
      </c>
      <c r="I73" s="1031" t="str">
        <f t="shared" si="17"/>
        <v>1</v>
      </c>
    </row>
    <row r="74" spans="2:11" x14ac:dyDescent="0.25">
      <c r="B74" s="1031">
        <v>165</v>
      </c>
      <c r="C74" s="1032">
        <v>60902</v>
      </c>
      <c r="D74" s="1033" t="s">
        <v>843</v>
      </c>
      <c r="E74" s="723">
        <v>1500</v>
      </c>
      <c r="F74" s="723">
        <v>0</v>
      </c>
      <c r="G74" s="1031" t="str">
        <f t="shared" si="15"/>
        <v>6</v>
      </c>
      <c r="H74" s="1031" t="str">
        <f t="shared" si="16"/>
        <v>609</v>
      </c>
      <c r="I74" s="1031" t="str">
        <f t="shared" si="17"/>
        <v>1</v>
      </c>
    </row>
    <row r="75" spans="2:11" x14ac:dyDescent="0.25">
      <c r="B75" s="1031">
        <v>323</v>
      </c>
      <c r="C75" s="1032">
        <v>62200</v>
      </c>
      <c r="D75" s="1033" t="s">
        <v>844</v>
      </c>
      <c r="E75" s="723">
        <v>30000</v>
      </c>
      <c r="F75" s="723"/>
      <c r="G75" s="1031" t="str">
        <f t="shared" si="15"/>
        <v>6</v>
      </c>
      <c r="H75" s="1031" t="str">
        <f t="shared" si="16"/>
        <v>622</v>
      </c>
      <c r="I75" s="1031" t="str">
        <f t="shared" si="17"/>
        <v>3</v>
      </c>
    </row>
    <row r="76" spans="2:11" x14ac:dyDescent="0.25">
      <c r="B76" s="1031">
        <v>459</v>
      </c>
      <c r="C76" s="1032">
        <v>61905</v>
      </c>
      <c r="D76" s="1033" t="s">
        <v>674</v>
      </c>
      <c r="E76" s="723">
        <v>26898</v>
      </c>
      <c r="F76" s="723"/>
      <c r="G76" s="1031" t="str">
        <f t="shared" si="15"/>
        <v>6</v>
      </c>
      <c r="H76" s="1031" t="str">
        <f t="shared" si="16"/>
        <v>619</v>
      </c>
      <c r="I76" s="1031" t="str">
        <f t="shared" si="17"/>
        <v>4</v>
      </c>
      <c r="K76" s="723">
        <v>1898</v>
      </c>
    </row>
    <row r="77" spans="2:11" x14ac:dyDescent="0.25">
      <c r="B77" s="1031" t="s">
        <v>365</v>
      </c>
      <c r="C77" s="1032">
        <v>91300</v>
      </c>
      <c r="D77" s="1033" t="s">
        <v>845</v>
      </c>
      <c r="E77" s="723">
        <v>10000</v>
      </c>
      <c r="F77" s="723">
        <v>8122</v>
      </c>
      <c r="G77" s="1031" t="str">
        <f t="shared" si="15"/>
        <v>9</v>
      </c>
      <c r="H77" s="1031" t="str">
        <f t="shared" si="16"/>
        <v>913</v>
      </c>
      <c r="I77" s="1031" t="str">
        <f t="shared" si="17"/>
        <v>0</v>
      </c>
    </row>
    <row r="78" spans="2:11" x14ac:dyDescent="0.25">
      <c r="B78" s="1031" t="s">
        <v>365</v>
      </c>
      <c r="C78" s="1031">
        <v>91301</v>
      </c>
      <c r="D78" s="1030" t="s">
        <v>846</v>
      </c>
      <c r="E78" s="723">
        <v>12500</v>
      </c>
      <c r="F78" s="723">
        <v>0</v>
      </c>
      <c r="G78" s="1031" t="str">
        <f t="shared" si="15"/>
        <v>9</v>
      </c>
      <c r="H78" s="1031" t="str">
        <f t="shared" si="16"/>
        <v>913</v>
      </c>
      <c r="I78" s="1031" t="str">
        <f t="shared" si="17"/>
        <v>0</v>
      </c>
    </row>
    <row r="79" spans="2:11" x14ac:dyDescent="0.25">
      <c r="B79" s="1031">
        <v>459</v>
      </c>
      <c r="C79" s="1032">
        <v>61901</v>
      </c>
      <c r="D79" s="1033" t="s">
        <v>771</v>
      </c>
      <c r="E79" s="723">
        <v>0</v>
      </c>
      <c r="F79" s="723">
        <v>95397.54</v>
      </c>
      <c r="G79" s="1031" t="str">
        <f t="shared" si="15"/>
        <v>6</v>
      </c>
      <c r="H79" s="1031" t="str">
        <f t="shared" si="16"/>
        <v>619</v>
      </c>
      <c r="I79" s="1031" t="str">
        <f t="shared" si="17"/>
        <v>4</v>
      </c>
    </row>
    <row r="80" spans="2:11" x14ac:dyDescent="0.25">
      <c r="B80" s="1031">
        <v>459</v>
      </c>
      <c r="C80" s="1032">
        <v>61902</v>
      </c>
      <c r="D80" s="1033" t="s">
        <v>772</v>
      </c>
      <c r="E80" s="723">
        <v>0</v>
      </c>
      <c r="F80" s="723">
        <v>112039.4</v>
      </c>
      <c r="G80" s="1031" t="str">
        <f t="shared" si="15"/>
        <v>6</v>
      </c>
      <c r="H80" s="1031" t="str">
        <f t="shared" si="16"/>
        <v>619</v>
      </c>
      <c r="I80" s="1031" t="str">
        <f t="shared" si="17"/>
        <v>4</v>
      </c>
    </row>
    <row r="81" spans="2:9" x14ac:dyDescent="0.25">
      <c r="B81" s="1031">
        <v>454</v>
      </c>
      <c r="C81" s="1031">
        <v>61903</v>
      </c>
      <c r="D81" s="1033" t="s">
        <v>773</v>
      </c>
      <c r="E81" s="723">
        <v>0</v>
      </c>
      <c r="F81" s="723">
        <v>15053</v>
      </c>
      <c r="G81" s="1031" t="str">
        <f t="shared" si="15"/>
        <v>6</v>
      </c>
      <c r="H81" s="1031" t="str">
        <f t="shared" si="16"/>
        <v>619</v>
      </c>
      <c r="I81" s="1031" t="str">
        <f t="shared" si="17"/>
        <v>4</v>
      </c>
    </row>
    <row r="82" spans="2:9" x14ac:dyDescent="0.25">
      <c r="B82" s="1031">
        <v>459</v>
      </c>
      <c r="C82" s="1032">
        <v>61904</v>
      </c>
      <c r="D82" s="1033" t="s">
        <v>774</v>
      </c>
      <c r="E82" s="1096">
        <v>0</v>
      </c>
      <c r="F82" s="723">
        <v>44436.19</v>
      </c>
      <c r="G82" s="1031" t="str">
        <f t="shared" si="15"/>
        <v>6</v>
      </c>
      <c r="H82" s="1031" t="str">
        <f t="shared" si="16"/>
        <v>619</v>
      </c>
      <c r="I82" s="1031" t="str">
        <f t="shared" si="17"/>
        <v>4</v>
      </c>
    </row>
    <row r="83" spans="2:9" x14ac:dyDescent="0.25">
      <c r="B83" s="1031">
        <v>323</v>
      </c>
      <c r="C83" s="1032">
        <v>62300</v>
      </c>
      <c r="D83" s="1033" t="s">
        <v>847</v>
      </c>
      <c r="E83" s="1096">
        <v>0</v>
      </c>
      <c r="F83" s="723">
        <v>6000</v>
      </c>
      <c r="G83" s="1031" t="str">
        <f t="shared" si="15"/>
        <v>6</v>
      </c>
      <c r="H83" s="1031" t="str">
        <f t="shared" si="16"/>
        <v>623</v>
      </c>
      <c r="I83" s="1031" t="str">
        <f t="shared" si="17"/>
        <v>3</v>
      </c>
    </row>
    <row r="84" spans="2:9" x14ac:dyDescent="0.25">
      <c r="B84" s="1031"/>
      <c r="C84" s="1031"/>
      <c r="D84" s="1033"/>
      <c r="E84" s="1096"/>
      <c r="F84" s="723"/>
      <c r="G84" s="1031" t="str">
        <f t="shared" si="15"/>
        <v/>
      </c>
      <c r="H84" s="1031" t="str">
        <f t="shared" si="16"/>
        <v/>
      </c>
      <c r="I84" s="1031" t="str">
        <f t="shared" si="17"/>
        <v/>
      </c>
    </row>
    <row r="85" spans="2:9" x14ac:dyDescent="0.25">
      <c r="B85" s="1031"/>
      <c r="C85" s="1031"/>
      <c r="D85" s="1030"/>
      <c r="E85" s="1018"/>
      <c r="F85" s="723"/>
      <c r="G85" s="1031" t="str">
        <f t="shared" si="15"/>
        <v/>
      </c>
      <c r="H85" s="1031" t="str">
        <f t="shared" si="16"/>
        <v/>
      </c>
      <c r="I85" s="1031" t="str">
        <f t="shared" si="17"/>
        <v/>
      </c>
    </row>
    <row r="86" spans="2:9" x14ac:dyDescent="0.25">
      <c r="B86" s="1031"/>
      <c r="C86" s="1031"/>
      <c r="D86" s="1030"/>
      <c r="E86" s="1018"/>
      <c r="F86" s="723"/>
      <c r="G86" s="1031" t="str">
        <f t="shared" si="15"/>
        <v/>
      </c>
      <c r="H86" s="1031" t="str">
        <f t="shared" si="16"/>
        <v/>
      </c>
      <c r="I86" s="1031" t="str">
        <f t="shared" si="17"/>
        <v/>
      </c>
    </row>
    <row r="87" spans="2:9" x14ac:dyDescent="0.25">
      <c r="B87" s="1031"/>
      <c r="C87" s="1031"/>
      <c r="D87" s="1030"/>
      <c r="E87" s="1018"/>
      <c r="F87" s="723"/>
      <c r="G87" s="1031" t="str">
        <f t="shared" si="15"/>
        <v/>
      </c>
      <c r="H87" s="1031" t="str">
        <f t="shared" si="16"/>
        <v/>
      </c>
      <c r="I87" s="1031" t="str">
        <f t="shared" si="17"/>
        <v/>
      </c>
    </row>
    <row r="88" spans="2:9" x14ac:dyDescent="0.25">
      <c r="B88" s="1031"/>
      <c r="C88" s="1032"/>
      <c r="D88" s="1033"/>
      <c r="E88" s="1018"/>
      <c r="F88" s="723"/>
      <c r="G88" s="1031" t="str">
        <f t="shared" si="15"/>
        <v/>
      </c>
      <c r="H88" s="1031" t="str">
        <f t="shared" si="16"/>
        <v/>
      </c>
      <c r="I88" s="1031" t="str">
        <f t="shared" si="17"/>
        <v/>
      </c>
    </row>
    <row r="89" spans="2:9" x14ac:dyDescent="0.25">
      <c r="B89" s="1031"/>
      <c r="C89" s="1032"/>
      <c r="D89" s="1033"/>
      <c r="E89" s="1018"/>
      <c r="F89" s="723"/>
      <c r="G89" s="1031" t="str">
        <f t="shared" si="15"/>
        <v/>
      </c>
      <c r="H89" s="1031" t="str">
        <f t="shared" si="16"/>
        <v/>
      </c>
      <c r="I89" s="1031" t="str">
        <f t="shared" si="17"/>
        <v/>
      </c>
    </row>
    <row r="90" spans="2:9" x14ac:dyDescent="0.25">
      <c r="B90" s="745"/>
      <c r="C90" s="746"/>
      <c r="D90" s="747"/>
      <c r="E90" s="1018"/>
      <c r="F90" s="748"/>
      <c r="G90" s="1031" t="str">
        <f t="shared" si="15"/>
        <v/>
      </c>
      <c r="H90" s="1031" t="str">
        <f t="shared" si="16"/>
        <v/>
      </c>
      <c r="I90" s="1031" t="str">
        <f t="shared" si="17"/>
        <v/>
      </c>
    </row>
    <row r="91" spans="2:9" x14ac:dyDescent="0.25">
      <c r="B91" s="745"/>
      <c r="C91" s="746"/>
      <c r="D91" s="747"/>
      <c r="E91" s="1018"/>
      <c r="F91" s="748"/>
      <c r="G91" s="1031" t="str">
        <f t="shared" si="15"/>
        <v/>
      </c>
      <c r="H91" s="1031" t="str">
        <f t="shared" si="16"/>
        <v/>
      </c>
      <c r="I91" s="1031" t="str">
        <f t="shared" si="17"/>
        <v/>
      </c>
    </row>
    <row r="92" spans="2:9" x14ac:dyDescent="0.25">
      <c r="B92" s="1031"/>
      <c r="C92" s="1032"/>
      <c r="D92" s="734"/>
      <c r="E92" s="1018"/>
      <c r="F92" s="735"/>
      <c r="G92" s="1031" t="str">
        <f t="shared" si="15"/>
        <v/>
      </c>
      <c r="H92" s="1031" t="str">
        <f t="shared" si="16"/>
        <v/>
      </c>
      <c r="I92" s="1031" t="str">
        <f t="shared" si="17"/>
        <v/>
      </c>
    </row>
    <row r="93" spans="2:9" x14ac:dyDescent="0.25">
      <c r="B93" s="1031"/>
      <c r="C93" s="1032"/>
      <c r="D93" s="1033"/>
      <c r="E93" s="723"/>
      <c r="F93" s="723"/>
      <c r="G93" s="1031" t="str">
        <f t="shared" si="6"/>
        <v/>
      </c>
      <c r="H93" s="1031" t="str">
        <f t="shared" si="7"/>
        <v/>
      </c>
      <c r="I93" s="1031" t="str">
        <f t="shared" si="8"/>
        <v/>
      </c>
    </row>
    <row r="94" spans="2:9" x14ac:dyDescent="0.25">
      <c r="B94" s="1031"/>
      <c r="C94" s="1032"/>
      <c r="D94" s="1033"/>
      <c r="E94" s="723"/>
      <c r="F94" s="723"/>
      <c r="G94" s="1031" t="str">
        <f t="shared" si="6"/>
        <v/>
      </c>
      <c r="H94" s="1031" t="str">
        <f t="shared" si="7"/>
        <v/>
      </c>
      <c r="I94" s="1031" t="str">
        <f t="shared" si="8"/>
        <v/>
      </c>
    </row>
    <row r="95" spans="2:9" x14ac:dyDescent="0.25">
      <c r="B95" s="1031"/>
      <c r="C95" s="1032"/>
      <c r="D95" s="1033"/>
      <c r="E95" s="723"/>
      <c r="F95" s="723"/>
      <c r="G95" s="1031" t="str">
        <f t="shared" ref="G95:G109" si="24">LEFT(+C95,1)</f>
        <v/>
      </c>
      <c r="H95" s="1031" t="str">
        <f t="shared" ref="H95:H109" si="25">LEFT(+C95,3)</f>
        <v/>
      </c>
      <c r="I95" s="1031" t="str">
        <f t="shared" ref="I95:I109" si="26">LEFT(+B95,1)</f>
        <v/>
      </c>
    </row>
    <row r="96" spans="2:9" x14ac:dyDescent="0.25">
      <c r="B96" s="1031"/>
      <c r="C96" s="1031"/>
      <c r="D96" s="1033"/>
      <c r="E96" s="723"/>
      <c r="F96" s="723"/>
      <c r="G96" s="1031" t="str">
        <f t="shared" si="24"/>
        <v/>
      </c>
      <c r="H96" s="1031" t="str">
        <f t="shared" si="25"/>
        <v/>
      </c>
      <c r="I96" s="1031" t="str">
        <f t="shared" si="26"/>
        <v/>
      </c>
    </row>
    <row r="97" spans="2:9" x14ac:dyDescent="0.25">
      <c r="B97" s="1031"/>
      <c r="C97" s="1031"/>
      <c r="D97" s="1033"/>
      <c r="E97" s="723"/>
      <c r="F97" s="723"/>
      <c r="G97" s="1031" t="str">
        <f t="shared" si="24"/>
        <v/>
      </c>
      <c r="H97" s="1031" t="str">
        <f t="shared" si="25"/>
        <v/>
      </c>
      <c r="I97" s="1031" t="str">
        <f t="shared" si="26"/>
        <v/>
      </c>
    </row>
    <row r="98" spans="2:9" x14ac:dyDescent="0.25">
      <c r="B98" s="1031"/>
      <c r="C98" s="1031"/>
      <c r="D98" s="1033"/>
      <c r="E98" s="723"/>
      <c r="F98" s="723"/>
      <c r="G98" s="1031" t="str">
        <f t="shared" si="24"/>
        <v/>
      </c>
      <c r="H98" s="1031" t="str">
        <f t="shared" si="25"/>
        <v/>
      </c>
      <c r="I98" s="1031" t="str">
        <f t="shared" si="26"/>
        <v/>
      </c>
    </row>
    <row r="99" spans="2:9" x14ac:dyDescent="0.25">
      <c r="B99" s="1031"/>
      <c r="C99" s="1031"/>
      <c r="D99" s="1030"/>
      <c r="E99" s="748"/>
      <c r="F99" s="748"/>
      <c r="G99" s="1031" t="str">
        <f t="shared" si="24"/>
        <v/>
      </c>
      <c r="H99" s="1031" t="str">
        <f t="shared" si="25"/>
        <v/>
      </c>
      <c r="I99" s="1031" t="str">
        <f t="shared" si="26"/>
        <v/>
      </c>
    </row>
    <row r="100" spans="2:9" x14ac:dyDescent="0.25">
      <c r="B100" s="1031"/>
      <c r="C100" s="1032"/>
      <c r="D100" s="1033"/>
      <c r="E100" s="748"/>
      <c r="F100" s="1018"/>
      <c r="G100" s="1031" t="str">
        <f t="shared" si="24"/>
        <v/>
      </c>
      <c r="H100" s="1031" t="str">
        <f t="shared" si="25"/>
        <v/>
      </c>
      <c r="I100" s="1031" t="str">
        <f t="shared" si="26"/>
        <v/>
      </c>
    </row>
    <row r="101" spans="2:9" x14ac:dyDescent="0.25">
      <c r="B101" s="1031"/>
      <c r="C101" s="1032"/>
      <c r="D101" s="1033"/>
      <c r="E101" s="723"/>
      <c r="F101" s="1018"/>
      <c r="G101" s="1031" t="str">
        <f t="shared" si="24"/>
        <v/>
      </c>
      <c r="H101" s="1031" t="str">
        <f t="shared" si="25"/>
        <v/>
      </c>
      <c r="I101" s="1031" t="str">
        <f t="shared" si="26"/>
        <v/>
      </c>
    </row>
    <row r="102" spans="2:9" x14ac:dyDescent="0.25">
      <c r="B102" s="1031"/>
      <c r="C102" s="1032"/>
      <c r="D102" s="1033"/>
      <c r="E102" s="723"/>
      <c r="F102" s="1018"/>
      <c r="G102" s="1031" t="str">
        <f t="shared" si="24"/>
        <v/>
      </c>
      <c r="H102" s="1031" t="str">
        <f t="shared" si="25"/>
        <v/>
      </c>
      <c r="I102" s="1031" t="str">
        <f t="shared" si="26"/>
        <v/>
      </c>
    </row>
    <row r="103" spans="2:9" x14ac:dyDescent="0.25">
      <c r="B103" s="1031"/>
      <c r="C103" s="1032"/>
      <c r="D103" s="1033"/>
      <c r="E103" s="723"/>
      <c r="F103" s="723"/>
      <c r="G103" s="1031" t="str">
        <f t="shared" si="24"/>
        <v/>
      </c>
      <c r="H103" s="1031" t="str">
        <f t="shared" si="25"/>
        <v/>
      </c>
      <c r="I103" s="1031" t="str">
        <f t="shared" si="26"/>
        <v/>
      </c>
    </row>
    <row r="104" spans="2:9" x14ac:dyDescent="0.25">
      <c r="B104" s="1035"/>
      <c r="C104" s="1032"/>
      <c r="D104" s="1033"/>
      <c r="E104" s="748"/>
      <c r="F104" s="748"/>
      <c r="G104" s="1031" t="str">
        <f t="shared" si="24"/>
        <v/>
      </c>
      <c r="H104" s="1031" t="str">
        <f t="shared" si="25"/>
        <v/>
      </c>
      <c r="I104" s="1031" t="str">
        <f t="shared" si="26"/>
        <v/>
      </c>
    </row>
    <row r="105" spans="2:9" x14ac:dyDescent="0.25">
      <c r="B105" s="1031"/>
      <c r="C105" s="1032"/>
      <c r="D105" s="724"/>
      <c r="E105" s="723"/>
      <c r="F105" s="723"/>
      <c r="G105" s="1031" t="str">
        <f t="shared" si="24"/>
        <v/>
      </c>
      <c r="H105" s="1031" t="str">
        <f t="shared" si="25"/>
        <v/>
      </c>
      <c r="I105" s="1031" t="str">
        <f t="shared" si="26"/>
        <v/>
      </c>
    </row>
    <row r="106" spans="2:9" x14ac:dyDescent="0.25">
      <c r="B106" s="1031"/>
      <c r="C106" s="1032"/>
      <c r="D106" s="1033"/>
      <c r="E106" s="723"/>
      <c r="F106" s="723"/>
      <c r="G106" s="1031" t="str">
        <f t="shared" si="24"/>
        <v/>
      </c>
      <c r="H106" s="1031" t="str">
        <f t="shared" si="25"/>
        <v/>
      </c>
      <c r="I106" s="1031" t="str">
        <f t="shared" si="26"/>
        <v/>
      </c>
    </row>
    <row r="107" spans="2:9" x14ac:dyDescent="0.25">
      <c r="B107" s="1031"/>
      <c r="C107" s="1031"/>
      <c r="D107" s="1030"/>
      <c r="E107" s="723"/>
      <c r="F107" s="731"/>
      <c r="G107" s="1031" t="str">
        <f t="shared" si="24"/>
        <v/>
      </c>
      <c r="H107" s="1031" t="str">
        <f t="shared" si="25"/>
        <v/>
      </c>
      <c r="I107" s="1031" t="str">
        <f t="shared" si="26"/>
        <v/>
      </c>
    </row>
    <row r="108" spans="2:9" x14ac:dyDescent="0.25">
      <c r="B108" s="149"/>
      <c r="C108" s="358"/>
      <c r="D108" s="1036"/>
      <c r="E108" s="723"/>
      <c r="F108" s="1018"/>
      <c r="G108" s="1031" t="str">
        <f t="shared" si="24"/>
        <v/>
      </c>
      <c r="H108" s="1031" t="str">
        <f t="shared" si="25"/>
        <v/>
      </c>
      <c r="I108" s="1031" t="str">
        <f t="shared" si="26"/>
        <v/>
      </c>
    </row>
    <row r="109" spans="2:9" x14ac:dyDescent="0.25">
      <c r="B109" s="149"/>
      <c r="C109" s="358"/>
      <c r="D109" s="1036"/>
      <c r="E109" s="723"/>
      <c r="F109" s="1018"/>
      <c r="G109" s="1031" t="str">
        <f t="shared" si="24"/>
        <v/>
      </c>
      <c r="H109" s="1031" t="str">
        <f t="shared" si="25"/>
        <v/>
      </c>
      <c r="I109" s="1031" t="str">
        <f t="shared" si="26"/>
        <v/>
      </c>
    </row>
    <row r="110" spans="2:9" x14ac:dyDescent="0.25">
      <c r="B110" s="1031"/>
      <c r="C110" s="1032"/>
      <c r="D110" s="1033"/>
      <c r="E110" s="723"/>
      <c r="F110" s="723"/>
      <c r="G110" s="1031" t="str">
        <f t="shared" ref="G110:G126" si="27">LEFT(+C110,1)</f>
        <v/>
      </c>
      <c r="H110" s="1031" t="str">
        <f t="shared" ref="H110:H126" si="28">LEFT(+C110,3)</f>
        <v/>
      </c>
      <c r="I110" s="1031" t="str">
        <f t="shared" ref="I110:I126" si="29">LEFT(+B110,1)</f>
        <v/>
      </c>
    </row>
    <row r="111" spans="2:9" x14ac:dyDescent="0.25">
      <c r="B111" s="745"/>
      <c r="C111" s="746"/>
      <c r="D111" s="747"/>
      <c r="E111" s="748"/>
      <c r="F111" s="748"/>
      <c r="G111" s="1031" t="str">
        <f t="shared" si="27"/>
        <v/>
      </c>
      <c r="H111" s="1031" t="str">
        <f t="shared" si="28"/>
        <v/>
      </c>
      <c r="I111" s="1031" t="str">
        <f t="shared" si="29"/>
        <v/>
      </c>
    </row>
    <row r="112" spans="2:9" x14ac:dyDescent="0.25">
      <c r="B112" s="745"/>
      <c r="C112" s="746"/>
      <c r="D112" s="747"/>
      <c r="E112" s="748"/>
      <c r="F112" s="748"/>
      <c r="G112" s="1031" t="str">
        <f t="shared" si="27"/>
        <v/>
      </c>
      <c r="H112" s="1031" t="str">
        <f t="shared" si="28"/>
        <v/>
      </c>
      <c r="I112" s="1031" t="str">
        <f t="shared" si="29"/>
        <v/>
      </c>
    </row>
    <row r="113" spans="2:9" x14ac:dyDescent="0.25">
      <c r="B113" s="1031"/>
      <c r="C113" s="1032"/>
      <c r="D113" s="734"/>
      <c r="E113" s="735"/>
      <c r="F113" s="735"/>
      <c r="G113" s="1031" t="str">
        <f t="shared" ref="G113:G114" si="30">LEFT(+C113,1)</f>
        <v/>
      </c>
      <c r="H113" s="1031" t="str">
        <f t="shared" ref="H113:H114" si="31">LEFT(+C113,3)</f>
        <v/>
      </c>
      <c r="I113" s="1031" t="str">
        <f t="shared" ref="I113:I114" si="32">LEFT(+B113,1)</f>
        <v/>
      </c>
    </row>
    <row r="114" spans="2:9" x14ac:dyDescent="0.25">
      <c r="B114" s="737"/>
      <c r="C114" s="737"/>
      <c r="D114" s="734"/>
      <c r="E114" s="735"/>
      <c r="F114" s="735"/>
      <c r="G114" s="1031" t="str">
        <f t="shared" si="30"/>
        <v/>
      </c>
      <c r="H114" s="1031" t="str">
        <f t="shared" si="31"/>
        <v/>
      </c>
      <c r="I114" s="1031" t="str">
        <f t="shared" si="32"/>
        <v/>
      </c>
    </row>
    <row r="115" spans="2:9" x14ac:dyDescent="0.25">
      <c r="B115" s="737"/>
      <c r="C115" s="737"/>
      <c r="D115" s="734"/>
      <c r="E115" s="735"/>
      <c r="F115" s="735"/>
      <c r="G115" s="1031" t="str">
        <f t="shared" ref="G115:G120" si="33">LEFT(+C115,1)</f>
        <v/>
      </c>
      <c r="H115" s="1031" t="str">
        <f t="shared" ref="H115:H120" si="34">LEFT(+C115,3)</f>
        <v/>
      </c>
      <c r="I115" s="1031" t="str">
        <f t="shared" ref="I115:I120" si="35">LEFT(+B115,1)</f>
        <v/>
      </c>
    </row>
    <row r="116" spans="2:9" x14ac:dyDescent="0.25">
      <c r="B116" s="737"/>
      <c r="C116" s="737"/>
      <c r="D116" s="734"/>
      <c r="E116" s="735"/>
      <c r="F116" s="735"/>
      <c r="G116" s="1031" t="str">
        <f t="shared" si="33"/>
        <v/>
      </c>
      <c r="H116" s="1031" t="str">
        <f t="shared" si="34"/>
        <v/>
      </c>
      <c r="I116" s="1031" t="str">
        <f t="shared" si="35"/>
        <v/>
      </c>
    </row>
    <row r="117" spans="2:9" x14ac:dyDescent="0.25">
      <c r="B117" s="737"/>
      <c r="C117" s="737"/>
      <c r="D117" s="734"/>
      <c r="E117" s="735"/>
      <c r="F117" s="735"/>
      <c r="G117" s="1031" t="str">
        <f t="shared" si="33"/>
        <v/>
      </c>
      <c r="H117" s="1031" t="str">
        <f t="shared" si="34"/>
        <v/>
      </c>
      <c r="I117" s="1031" t="str">
        <f t="shared" si="35"/>
        <v/>
      </c>
    </row>
    <row r="118" spans="2:9" x14ac:dyDescent="0.25">
      <c r="B118" s="737"/>
      <c r="C118" s="737"/>
      <c r="D118" s="734"/>
      <c r="E118" s="735"/>
      <c r="F118" s="735"/>
      <c r="G118" s="1031" t="str">
        <f t="shared" si="33"/>
        <v/>
      </c>
      <c r="H118" s="1031" t="str">
        <f t="shared" si="34"/>
        <v/>
      </c>
      <c r="I118" s="1031" t="str">
        <f t="shared" si="35"/>
        <v/>
      </c>
    </row>
    <row r="119" spans="2:9" x14ac:dyDescent="0.25">
      <c r="B119" s="737"/>
      <c r="C119" s="737"/>
      <c r="D119" s="734"/>
      <c r="E119" s="735"/>
      <c r="F119" s="735"/>
      <c r="G119" s="1031" t="str">
        <f t="shared" si="33"/>
        <v/>
      </c>
      <c r="H119" s="1031" t="str">
        <f t="shared" si="34"/>
        <v/>
      </c>
      <c r="I119" s="1031" t="str">
        <f t="shared" si="35"/>
        <v/>
      </c>
    </row>
    <row r="120" spans="2:9" x14ac:dyDescent="0.25">
      <c r="B120" s="737"/>
      <c r="C120" s="737"/>
      <c r="D120" s="734"/>
      <c r="E120" s="735"/>
      <c r="F120" s="735"/>
      <c r="G120" s="1031" t="str">
        <f t="shared" si="33"/>
        <v/>
      </c>
      <c r="H120" s="1031" t="str">
        <f t="shared" si="34"/>
        <v/>
      </c>
      <c r="I120" s="1031" t="str">
        <f t="shared" si="35"/>
        <v/>
      </c>
    </row>
    <row r="121" spans="2:9" x14ac:dyDescent="0.25">
      <c r="B121" s="1031"/>
      <c r="C121" s="1032"/>
      <c r="D121" s="1033"/>
      <c r="E121" s="735"/>
      <c r="F121" s="735"/>
      <c r="G121" s="1031" t="str">
        <f t="shared" ref="G121" si="36">LEFT(+C121,1)</f>
        <v/>
      </c>
      <c r="H121" s="1031" t="str">
        <f t="shared" ref="H121" si="37">LEFT(+C121,3)</f>
        <v/>
      </c>
      <c r="I121" s="1031" t="str">
        <f t="shared" ref="I121" si="38">LEFT(+B121,1)</f>
        <v/>
      </c>
    </row>
    <row r="122" spans="2:9" x14ac:dyDescent="0.25">
      <c r="B122" s="1031"/>
      <c r="C122" s="1032"/>
      <c r="D122" s="1033"/>
      <c r="E122" s="723"/>
      <c r="F122" s="723"/>
      <c r="G122" s="1031" t="str">
        <f t="shared" si="27"/>
        <v/>
      </c>
      <c r="H122" s="1031" t="str">
        <f t="shared" si="28"/>
        <v/>
      </c>
      <c r="I122" s="1031" t="str">
        <f t="shared" si="29"/>
        <v/>
      </c>
    </row>
    <row r="123" spans="2:9" x14ac:dyDescent="0.25">
      <c r="B123" s="1031"/>
      <c r="C123" s="1032"/>
      <c r="D123" s="1033"/>
      <c r="E123" s="723"/>
      <c r="F123" s="723"/>
      <c r="G123" s="1031" t="str">
        <f t="shared" si="27"/>
        <v/>
      </c>
      <c r="H123" s="1031" t="str">
        <f t="shared" si="28"/>
        <v/>
      </c>
      <c r="I123" s="1031" t="str">
        <f t="shared" si="29"/>
        <v/>
      </c>
    </row>
    <row r="124" spans="2:9" x14ac:dyDescent="0.25">
      <c r="B124" s="1031"/>
      <c r="C124" s="1032"/>
      <c r="D124" s="1033"/>
      <c r="E124" s="723"/>
      <c r="F124" s="723"/>
      <c r="G124" s="1031" t="str">
        <f t="shared" si="27"/>
        <v/>
      </c>
      <c r="H124" s="1031" t="str">
        <f t="shared" si="28"/>
        <v/>
      </c>
      <c r="I124" s="1031" t="str">
        <f t="shared" si="29"/>
        <v/>
      </c>
    </row>
    <row r="125" spans="2:9" x14ac:dyDescent="0.25">
      <c r="B125" s="1031"/>
      <c r="C125" s="1032"/>
      <c r="D125" s="1033"/>
      <c r="E125" s="723"/>
      <c r="F125" s="723"/>
      <c r="G125" s="1031" t="str">
        <f t="shared" si="27"/>
        <v/>
      </c>
      <c r="H125" s="1031" t="str">
        <f t="shared" si="28"/>
        <v/>
      </c>
      <c r="I125" s="1031" t="str">
        <f t="shared" si="29"/>
        <v/>
      </c>
    </row>
    <row r="126" spans="2:9" x14ac:dyDescent="0.25">
      <c r="B126" s="1031"/>
      <c r="C126" s="1032"/>
      <c r="D126" s="1033"/>
      <c r="E126" s="723"/>
      <c r="F126" s="723"/>
      <c r="G126" s="1031" t="str">
        <f t="shared" si="27"/>
        <v/>
      </c>
      <c r="H126" s="1031" t="str">
        <f t="shared" si="28"/>
        <v/>
      </c>
      <c r="I126" s="1031" t="str">
        <f t="shared" si="29"/>
        <v/>
      </c>
    </row>
    <row r="127" spans="2:9" x14ac:dyDescent="0.25">
      <c r="B127" s="1035"/>
      <c r="C127" s="1032"/>
      <c r="D127" s="1033"/>
      <c r="E127" s="591"/>
      <c r="F127" s="591"/>
      <c r="G127" s="1031" t="str">
        <f t="shared" ref="G127:G128" si="39">LEFT(+C127,1)</f>
        <v/>
      </c>
      <c r="H127" s="1031" t="str">
        <f t="shared" ref="H127:H128" si="40">LEFT(+C127,3)</f>
        <v/>
      </c>
      <c r="I127" s="1031" t="str">
        <f t="shared" ref="I127:I128" si="41">LEFT(+B127,1)</f>
        <v/>
      </c>
    </row>
    <row r="128" spans="2:9" x14ac:dyDescent="0.25">
      <c r="B128" s="1035"/>
      <c r="C128" s="1032"/>
      <c r="D128" s="1033"/>
      <c r="E128" s="723"/>
      <c r="F128" s="723"/>
      <c r="G128" s="1037" t="str">
        <f t="shared" si="39"/>
        <v/>
      </c>
      <c r="H128" s="1037" t="str">
        <f t="shared" si="40"/>
        <v/>
      </c>
      <c r="I128" s="730" t="str">
        <f t="shared" si="41"/>
        <v/>
      </c>
    </row>
    <row r="129" spans="2:9" x14ac:dyDescent="0.25">
      <c r="B129" s="1031"/>
      <c r="C129" s="1032"/>
      <c r="D129" s="1033"/>
      <c r="E129" s="591"/>
      <c r="F129" s="591"/>
      <c r="G129" s="1031" t="str">
        <f>LEFT(+C129,1)</f>
        <v/>
      </c>
      <c r="H129" s="1031" t="str">
        <f>LEFT(+C129,3)</f>
        <v/>
      </c>
      <c r="I129" s="1031" t="str">
        <f>LEFT(+B129,1)</f>
        <v/>
      </c>
    </row>
    <row r="130" spans="2:9" x14ac:dyDescent="0.25">
      <c r="B130" s="1031"/>
      <c r="C130" s="1032"/>
      <c r="D130" s="1033"/>
      <c r="E130" s="729"/>
      <c r="F130" s="729"/>
      <c r="G130" s="1031" t="str">
        <f t="shared" ref="G130:G173" si="42">LEFT(+C130,1)</f>
        <v/>
      </c>
      <c r="H130" s="1031" t="str">
        <f t="shared" ref="H130:H173" si="43">LEFT(+C130,3)</f>
        <v/>
      </c>
      <c r="I130" s="1031" t="str">
        <f t="shared" ref="I130:I173" si="44">LEFT(+B130,1)</f>
        <v/>
      </c>
    </row>
    <row r="131" spans="2:9" x14ac:dyDescent="0.25">
      <c r="F131" s="727"/>
      <c r="G131" s="1031" t="str">
        <f t="shared" si="42"/>
        <v/>
      </c>
      <c r="H131" s="1031" t="str">
        <f t="shared" si="43"/>
        <v/>
      </c>
      <c r="I131" s="1031" t="str">
        <f t="shared" si="44"/>
        <v/>
      </c>
    </row>
    <row r="132" spans="2:9" x14ac:dyDescent="0.25">
      <c r="F132" s="727"/>
      <c r="G132" s="1031" t="str">
        <f t="shared" si="42"/>
        <v/>
      </c>
      <c r="H132" s="1031" t="str">
        <f t="shared" si="43"/>
        <v/>
      </c>
      <c r="I132" s="1031" t="str">
        <f t="shared" si="44"/>
        <v/>
      </c>
    </row>
    <row r="133" spans="2:9" x14ac:dyDescent="0.25">
      <c r="F133" s="727"/>
      <c r="G133" s="1031" t="str">
        <f t="shared" si="42"/>
        <v/>
      </c>
      <c r="H133" s="1031" t="str">
        <f t="shared" si="43"/>
        <v/>
      </c>
      <c r="I133" s="1031" t="str">
        <f t="shared" si="44"/>
        <v/>
      </c>
    </row>
    <row r="134" spans="2:9" x14ac:dyDescent="0.25">
      <c r="F134" s="727"/>
      <c r="G134" s="1031" t="str">
        <f t="shared" si="42"/>
        <v/>
      </c>
      <c r="H134" s="1031" t="str">
        <f t="shared" si="43"/>
        <v/>
      </c>
      <c r="I134" s="1031" t="str">
        <f t="shared" si="44"/>
        <v/>
      </c>
    </row>
    <row r="135" spans="2:9" x14ac:dyDescent="0.25">
      <c r="F135" s="727"/>
      <c r="G135" s="1031" t="str">
        <f t="shared" si="42"/>
        <v/>
      </c>
      <c r="H135" s="1031" t="str">
        <f t="shared" si="43"/>
        <v/>
      </c>
      <c r="I135" s="1031" t="str">
        <f t="shared" si="44"/>
        <v/>
      </c>
    </row>
    <row r="136" spans="2:9" x14ac:dyDescent="0.25">
      <c r="F136" s="727"/>
      <c r="G136" s="1031" t="str">
        <f t="shared" si="42"/>
        <v/>
      </c>
      <c r="H136" s="1031" t="str">
        <f t="shared" si="43"/>
        <v/>
      </c>
      <c r="I136" s="1031" t="str">
        <f t="shared" si="44"/>
        <v/>
      </c>
    </row>
    <row r="137" spans="2:9" x14ac:dyDescent="0.25">
      <c r="F137" s="727"/>
      <c r="G137" s="1031" t="str">
        <f t="shared" si="42"/>
        <v/>
      </c>
      <c r="H137" s="1031" t="str">
        <f t="shared" si="43"/>
        <v/>
      </c>
      <c r="I137" s="1031" t="str">
        <f t="shared" si="44"/>
        <v/>
      </c>
    </row>
    <row r="138" spans="2:9" x14ac:dyDescent="0.25">
      <c r="F138" s="727"/>
      <c r="G138" s="1031" t="str">
        <f t="shared" si="42"/>
        <v/>
      </c>
      <c r="H138" s="1031" t="str">
        <f t="shared" si="43"/>
        <v/>
      </c>
      <c r="I138" s="1031" t="str">
        <f t="shared" si="44"/>
        <v/>
      </c>
    </row>
    <row r="139" spans="2:9" x14ac:dyDescent="0.25">
      <c r="F139" s="727"/>
      <c r="G139" s="1031" t="str">
        <f t="shared" si="42"/>
        <v/>
      </c>
      <c r="H139" s="1031" t="str">
        <f t="shared" si="43"/>
        <v/>
      </c>
      <c r="I139" s="1031" t="str">
        <f t="shared" si="44"/>
        <v/>
      </c>
    </row>
    <row r="140" spans="2:9" x14ac:dyDescent="0.25">
      <c r="F140" s="727"/>
      <c r="G140" s="1031" t="str">
        <f t="shared" si="42"/>
        <v/>
      </c>
      <c r="H140" s="1031" t="str">
        <f t="shared" si="43"/>
        <v/>
      </c>
      <c r="I140" s="1031" t="str">
        <f t="shared" si="44"/>
        <v/>
      </c>
    </row>
    <row r="141" spans="2:9" x14ac:dyDescent="0.25">
      <c r="F141" s="727"/>
      <c r="G141" s="1031" t="str">
        <f t="shared" si="42"/>
        <v/>
      </c>
      <c r="H141" s="1031" t="str">
        <f t="shared" si="43"/>
        <v/>
      </c>
      <c r="I141" s="1031" t="str">
        <f t="shared" si="44"/>
        <v/>
      </c>
    </row>
    <row r="142" spans="2:9" x14ac:dyDescent="0.25">
      <c r="F142" s="727"/>
      <c r="G142" s="1031" t="str">
        <f t="shared" si="42"/>
        <v/>
      </c>
      <c r="H142" s="1031" t="str">
        <f t="shared" si="43"/>
        <v/>
      </c>
      <c r="I142" s="1031" t="str">
        <f t="shared" si="44"/>
        <v/>
      </c>
    </row>
    <row r="143" spans="2:9" x14ac:dyDescent="0.25">
      <c r="F143" s="727"/>
      <c r="G143" s="1031" t="str">
        <f t="shared" si="42"/>
        <v/>
      </c>
      <c r="H143" s="1031" t="str">
        <f t="shared" si="43"/>
        <v/>
      </c>
      <c r="I143" s="1031" t="str">
        <f t="shared" si="44"/>
        <v/>
      </c>
    </row>
    <row r="144" spans="2:9" x14ac:dyDescent="0.25">
      <c r="F144" s="727"/>
      <c r="G144" s="1031" t="str">
        <f t="shared" si="42"/>
        <v/>
      </c>
      <c r="H144" s="1031" t="str">
        <f t="shared" si="43"/>
        <v/>
      </c>
      <c r="I144" s="1031" t="str">
        <f t="shared" si="44"/>
        <v/>
      </c>
    </row>
    <row r="145" spans="6:9" x14ac:dyDescent="0.25">
      <c r="F145" s="727"/>
      <c r="G145" s="1031" t="str">
        <f t="shared" si="42"/>
        <v/>
      </c>
      <c r="H145" s="1031" t="str">
        <f t="shared" si="43"/>
        <v/>
      </c>
      <c r="I145" s="1031" t="str">
        <f t="shared" si="44"/>
        <v/>
      </c>
    </row>
    <row r="146" spans="6:9" x14ac:dyDescent="0.25">
      <c r="F146" s="727"/>
      <c r="G146" s="1031" t="str">
        <f t="shared" si="42"/>
        <v/>
      </c>
      <c r="H146" s="1031" t="str">
        <f t="shared" si="43"/>
        <v/>
      </c>
      <c r="I146" s="1031" t="str">
        <f t="shared" si="44"/>
        <v/>
      </c>
    </row>
    <row r="147" spans="6:9" x14ac:dyDescent="0.25">
      <c r="F147" s="727"/>
      <c r="G147" s="1031" t="str">
        <f t="shared" si="42"/>
        <v/>
      </c>
      <c r="H147" s="1031" t="str">
        <f t="shared" si="43"/>
        <v/>
      </c>
      <c r="I147" s="1031" t="str">
        <f t="shared" si="44"/>
        <v/>
      </c>
    </row>
    <row r="148" spans="6:9" x14ac:dyDescent="0.25">
      <c r="F148" s="727"/>
      <c r="G148" s="1031" t="str">
        <f t="shared" si="42"/>
        <v/>
      </c>
      <c r="H148" s="1031" t="str">
        <f t="shared" si="43"/>
        <v/>
      </c>
      <c r="I148" s="1031" t="str">
        <f t="shared" si="44"/>
        <v/>
      </c>
    </row>
    <row r="149" spans="6:9" x14ac:dyDescent="0.25">
      <c r="F149" s="727"/>
      <c r="G149" s="1031" t="str">
        <f t="shared" si="42"/>
        <v/>
      </c>
      <c r="H149" s="1031" t="str">
        <f t="shared" si="43"/>
        <v/>
      </c>
      <c r="I149" s="1031" t="str">
        <f t="shared" si="44"/>
        <v/>
      </c>
    </row>
    <row r="150" spans="6:9" x14ac:dyDescent="0.25">
      <c r="F150" s="727"/>
      <c r="G150" s="1031" t="str">
        <f t="shared" si="42"/>
        <v/>
      </c>
      <c r="H150" s="1031" t="str">
        <f t="shared" si="43"/>
        <v/>
      </c>
      <c r="I150" s="1031" t="str">
        <f t="shared" si="44"/>
        <v/>
      </c>
    </row>
    <row r="151" spans="6:9" x14ac:dyDescent="0.25">
      <c r="F151" s="727"/>
      <c r="G151" s="1031" t="str">
        <f t="shared" si="42"/>
        <v/>
      </c>
      <c r="H151" s="1031" t="str">
        <f t="shared" si="43"/>
        <v/>
      </c>
      <c r="I151" s="1031" t="str">
        <f t="shared" si="44"/>
        <v/>
      </c>
    </row>
    <row r="152" spans="6:9" x14ac:dyDescent="0.25">
      <c r="F152" s="727"/>
      <c r="G152" s="1031" t="str">
        <f t="shared" si="42"/>
        <v/>
      </c>
      <c r="H152" s="1031" t="str">
        <f t="shared" si="43"/>
        <v/>
      </c>
      <c r="I152" s="1031" t="str">
        <f t="shared" si="44"/>
        <v/>
      </c>
    </row>
    <row r="153" spans="6:9" x14ac:dyDescent="0.25">
      <c r="F153" s="727"/>
      <c r="G153" s="1031" t="str">
        <f t="shared" si="42"/>
        <v/>
      </c>
      <c r="H153" s="1031" t="str">
        <f t="shared" si="43"/>
        <v/>
      </c>
      <c r="I153" s="1031" t="str">
        <f t="shared" si="44"/>
        <v/>
      </c>
    </row>
    <row r="154" spans="6:9" x14ac:dyDescent="0.25">
      <c r="F154" s="727"/>
      <c r="G154" s="1031" t="str">
        <f t="shared" si="42"/>
        <v/>
      </c>
      <c r="H154" s="1031" t="str">
        <f t="shared" si="43"/>
        <v/>
      </c>
      <c r="I154" s="1031" t="str">
        <f t="shared" si="44"/>
        <v/>
      </c>
    </row>
    <row r="155" spans="6:9" x14ac:dyDescent="0.25">
      <c r="F155" s="727"/>
      <c r="G155" s="1031" t="str">
        <f t="shared" si="42"/>
        <v/>
      </c>
      <c r="H155" s="1031" t="str">
        <f t="shared" si="43"/>
        <v/>
      </c>
      <c r="I155" s="1031" t="str">
        <f t="shared" si="44"/>
        <v/>
      </c>
    </row>
    <row r="156" spans="6:9" x14ac:dyDescent="0.25">
      <c r="F156" s="727"/>
      <c r="G156" s="1031" t="str">
        <f t="shared" si="42"/>
        <v/>
      </c>
      <c r="H156" s="1031" t="str">
        <f t="shared" si="43"/>
        <v/>
      </c>
      <c r="I156" s="1031" t="str">
        <f t="shared" si="44"/>
        <v/>
      </c>
    </row>
    <row r="157" spans="6:9" x14ac:dyDescent="0.25">
      <c r="F157" s="727"/>
      <c r="G157" s="1031" t="str">
        <f t="shared" si="42"/>
        <v/>
      </c>
      <c r="H157" s="1031" t="str">
        <f t="shared" si="43"/>
        <v/>
      </c>
      <c r="I157" s="1031" t="str">
        <f t="shared" si="44"/>
        <v/>
      </c>
    </row>
    <row r="158" spans="6:9" x14ac:dyDescent="0.25">
      <c r="F158" s="727"/>
      <c r="G158" s="1031" t="str">
        <f t="shared" si="42"/>
        <v/>
      </c>
      <c r="H158" s="1031" t="str">
        <f t="shared" si="43"/>
        <v/>
      </c>
      <c r="I158" s="1031" t="str">
        <f t="shared" si="44"/>
        <v/>
      </c>
    </row>
    <row r="159" spans="6:9" x14ac:dyDescent="0.25">
      <c r="F159" s="727"/>
      <c r="G159" s="1031" t="str">
        <f t="shared" si="42"/>
        <v/>
      </c>
      <c r="H159" s="1031" t="str">
        <f t="shared" si="43"/>
        <v/>
      </c>
      <c r="I159" s="1031" t="str">
        <f t="shared" si="44"/>
        <v/>
      </c>
    </row>
    <row r="160" spans="6:9" x14ac:dyDescent="0.25">
      <c r="F160" s="727"/>
      <c r="G160" s="1031" t="str">
        <f t="shared" si="42"/>
        <v/>
      </c>
      <c r="H160" s="1031" t="str">
        <f t="shared" si="43"/>
        <v/>
      </c>
      <c r="I160" s="1031" t="str">
        <f t="shared" si="44"/>
        <v/>
      </c>
    </row>
    <row r="161" spans="2:9" x14ac:dyDescent="0.25">
      <c r="F161" s="727"/>
      <c r="G161" s="1031" t="str">
        <f t="shared" si="42"/>
        <v/>
      </c>
      <c r="H161" s="1031" t="str">
        <f t="shared" si="43"/>
        <v/>
      </c>
      <c r="I161" s="1031" t="str">
        <f t="shared" si="44"/>
        <v/>
      </c>
    </row>
    <row r="162" spans="2:9" x14ac:dyDescent="0.25">
      <c r="F162" s="727"/>
      <c r="G162" s="1031" t="str">
        <f t="shared" si="42"/>
        <v/>
      </c>
      <c r="H162" s="1031" t="str">
        <f t="shared" si="43"/>
        <v/>
      </c>
      <c r="I162" s="1031" t="str">
        <f t="shared" si="44"/>
        <v/>
      </c>
    </row>
    <row r="163" spans="2:9" x14ac:dyDescent="0.25">
      <c r="F163" s="727"/>
      <c r="G163" s="1031" t="str">
        <f t="shared" si="42"/>
        <v/>
      </c>
      <c r="H163" s="1031" t="str">
        <f t="shared" si="43"/>
        <v/>
      </c>
      <c r="I163" s="1031" t="str">
        <f t="shared" si="44"/>
        <v/>
      </c>
    </row>
    <row r="164" spans="2:9" x14ac:dyDescent="0.25">
      <c r="B164" s="1031"/>
      <c r="F164" s="727"/>
      <c r="G164" s="1031" t="str">
        <f t="shared" si="42"/>
        <v/>
      </c>
      <c r="H164" s="1031" t="str">
        <f t="shared" si="43"/>
        <v/>
      </c>
      <c r="I164" s="1031"/>
    </row>
    <row r="165" spans="2:9" x14ac:dyDescent="0.25">
      <c r="F165" s="727"/>
      <c r="G165" s="1031" t="str">
        <f t="shared" si="42"/>
        <v/>
      </c>
      <c r="H165" s="1031" t="str">
        <f t="shared" si="43"/>
        <v/>
      </c>
      <c r="I165" s="1031" t="str">
        <f t="shared" si="44"/>
        <v/>
      </c>
    </row>
    <row r="166" spans="2:9" x14ac:dyDescent="0.25">
      <c r="F166" s="727"/>
      <c r="G166" s="1031" t="str">
        <f t="shared" si="42"/>
        <v/>
      </c>
      <c r="H166" s="1031" t="str">
        <f t="shared" si="43"/>
        <v/>
      </c>
      <c r="I166" s="1031" t="str">
        <f t="shared" si="44"/>
        <v/>
      </c>
    </row>
    <row r="167" spans="2:9" x14ac:dyDescent="0.25">
      <c r="F167" s="727"/>
      <c r="G167" s="1031" t="str">
        <f t="shared" si="42"/>
        <v/>
      </c>
      <c r="H167" s="1031" t="str">
        <f t="shared" si="43"/>
        <v/>
      </c>
      <c r="I167" s="1031" t="str">
        <f t="shared" si="44"/>
        <v/>
      </c>
    </row>
    <row r="168" spans="2:9" x14ac:dyDescent="0.25">
      <c r="F168" s="727"/>
      <c r="G168" s="1031" t="str">
        <f t="shared" si="42"/>
        <v/>
      </c>
      <c r="H168" s="1031" t="str">
        <f t="shared" si="43"/>
        <v/>
      </c>
      <c r="I168" s="1031" t="str">
        <f t="shared" si="44"/>
        <v/>
      </c>
    </row>
    <row r="169" spans="2:9" x14ac:dyDescent="0.25">
      <c r="F169" s="727"/>
      <c r="G169" s="1031" t="str">
        <f t="shared" si="42"/>
        <v/>
      </c>
      <c r="H169" s="1031" t="str">
        <f t="shared" si="43"/>
        <v/>
      </c>
      <c r="I169" s="1031" t="str">
        <f t="shared" si="44"/>
        <v/>
      </c>
    </row>
    <row r="170" spans="2:9" x14ac:dyDescent="0.25">
      <c r="F170" s="727"/>
      <c r="G170" s="1031" t="str">
        <f t="shared" si="42"/>
        <v/>
      </c>
      <c r="H170" s="1031" t="str">
        <f t="shared" si="43"/>
        <v/>
      </c>
      <c r="I170" s="1031" t="str">
        <f t="shared" si="44"/>
        <v/>
      </c>
    </row>
    <row r="171" spans="2:9" x14ac:dyDescent="0.25">
      <c r="F171" s="727"/>
      <c r="G171" s="1031" t="str">
        <f t="shared" si="42"/>
        <v/>
      </c>
      <c r="H171" s="1031" t="str">
        <f t="shared" si="43"/>
        <v/>
      </c>
      <c r="I171" s="1031" t="str">
        <f t="shared" si="44"/>
        <v/>
      </c>
    </row>
    <row r="172" spans="2:9" x14ac:dyDescent="0.25">
      <c r="F172" s="727"/>
      <c r="G172" s="1031" t="str">
        <f t="shared" si="42"/>
        <v/>
      </c>
      <c r="H172" s="1031" t="str">
        <f t="shared" si="43"/>
        <v/>
      </c>
      <c r="I172" s="1031" t="str">
        <f t="shared" si="44"/>
        <v/>
      </c>
    </row>
    <row r="173" spans="2:9" x14ac:dyDescent="0.25">
      <c r="F173" s="727"/>
      <c r="G173" s="1031" t="str">
        <f t="shared" si="42"/>
        <v/>
      </c>
      <c r="H173" s="1031" t="str">
        <f t="shared" si="43"/>
        <v/>
      </c>
      <c r="I173" s="1031" t="str">
        <f t="shared" si="44"/>
        <v/>
      </c>
    </row>
    <row r="174" spans="2:9" x14ac:dyDescent="0.25">
      <c r="F174" s="727"/>
    </row>
    <row r="175" spans="2:9" x14ac:dyDescent="0.25">
      <c r="F175" s="727"/>
    </row>
    <row r="180" spans="5:5" x14ac:dyDescent="0.25">
      <c r="E180" s="727">
        <f>SUM(E7:E179)</f>
        <v>615485</v>
      </c>
    </row>
  </sheetData>
  <sheetProtection algorithmName="SHA-512" hashValue="GKK9M4Xd5PScFi/04bPWcP1aTFwmm+5S+f2EB6o3h/oGRQXW05ZxMqko3k+IwyCxncFGZNAmC0UUjEmWdbGuVg==" saltValue="XppIsdaYwwdjpFQVcL+ndQ==" spinCount="100000" sheet="1" objects="1" scenarios="1"/>
  <sortState xmlns:xlrd2="http://schemas.microsoft.com/office/spreadsheetml/2017/richdata2" ref="B107:F107">
    <sortCondition ref="B107"/>
    <sortCondition ref="C107"/>
  </sortState>
  <phoneticPr fontId="51" type="noConversion"/>
  <dataValidations disablePrompts="1" count="1">
    <dataValidation type="textLength" allowBlank="1" showInputMessage="1" showErrorMessage="1" errorTitle="ATENCIÓ" error="Aquesta cel·la només admet 3 o 4 dígits." sqref="B35" xr:uid="{00000000-0002-0000-0600-000000000000}">
      <formula1>3</formula1>
      <formula2>4</formula2>
    </dataValidation>
  </dataValidations>
  <pageMargins left="0.39000000000000007" right="0.2" top="0.59" bottom="0.39000000000000007" header="0.51" footer="0.51"/>
  <pageSetup paperSize="9"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0"/>
  <sheetViews>
    <sheetView zoomScaleNormal="100" workbookViewId="0">
      <selection sqref="A1:XFD1048576"/>
    </sheetView>
  </sheetViews>
  <sheetFormatPr baseColWidth="10" defaultColWidth="11.6328125" defaultRowHeight="12.5" x14ac:dyDescent="0.25"/>
  <cols>
    <col min="1" max="1" width="11.6328125" style="737"/>
    <col min="2" max="2" width="10.7265625" style="737" customWidth="1"/>
    <col min="3" max="3" width="30.26953125" style="734" customWidth="1"/>
    <col min="4" max="4" width="11.81640625" style="735" customWidth="1"/>
    <col min="5" max="9" width="12.6328125" style="734" customWidth="1"/>
    <col min="10" max="10" width="11.6328125" style="734"/>
    <col min="11" max="11" width="19.6328125" style="734" bestFit="1" customWidth="1"/>
    <col min="12" max="12" width="11.26953125" style="734" customWidth="1"/>
    <col min="13" max="13" width="17.6328125" style="734" bestFit="1" customWidth="1"/>
    <col min="14" max="14" width="14.36328125" style="734" bestFit="1" customWidth="1"/>
    <col min="15" max="16384" width="11.6328125" style="734"/>
  </cols>
  <sheetData>
    <row r="1" spans="1:9" x14ac:dyDescent="0.25">
      <c r="E1" s="735"/>
      <c r="F1" s="735"/>
      <c r="G1" s="735"/>
      <c r="H1" s="735"/>
    </row>
    <row r="2" spans="1:9" ht="13" x14ac:dyDescent="0.3">
      <c r="C2" s="736" t="s">
        <v>702</v>
      </c>
      <c r="E2" s="735"/>
      <c r="F2" s="735"/>
      <c r="G2" s="735"/>
      <c r="H2" s="735"/>
    </row>
    <row r="3" spans="1:9" ht="13" x14ac:dyDescent="0.3">
      <c r="C3" s="736"/>
      <c r="D3" s="738"/>
      <c r="E3" s="739"/>
      <c r="F3" s="739"/>
      <c r="G3" s="738"/>
      <c r="H3" s="738"/>
      <c r="I3" s="738"/>
    </row>
    <row r="4" spans="1:9" ht="13" x14ac:dyDescent="0.3">
      <c r="C4" s="736"/>
      <c r="D4" s="738"/>
      <c r="E4" s="739" t="s">
        <v>386</v>
      </c>
      <c r="F4" s="739" t="s">
        <v>386</v>
      </c>
      <c r="G4" s="739"/>
      <c r="H4" s="740" t="s">
        <v>650</v>
      </c>
      <c r="I4" s="739" t="s">
        <v>74</v>
      </c>
    </row>
    <row r="5" spans="1:9" ht="13" x14ac:dyDescent="0.3">
      <c r="C5" s="741" t="s">
        <v>696</v>
      </c>
      <c r="D5" s="742" t="s">
        <v>387</v>
      </c>
      <c r="E5" s="741" t="s">
        <v>694</v>
      </c>
      <c r="F5" s="741" t="s">
        <v>697</v>
      </c>
      <c r="G5" s="742" t="s">
        <v>450</v>
      </c>
      <c r="H5" s="743" t="s">
        <v>651</v>
      </c>
      <c r="I5" s="742" t="s">
        <v>652</v>
      </c>
    </row>
    <row r="6" spans="1:9" x14ac:dyDescent="0.25">
      <c r="E6" s="744"/>
      <c r="F6" s="735"/>
      <c r="G6" s="735"/>
      <c r="H6" s="735"/>
      <c r="I6" s="735"/>
    </row>
    <row r="7" spans="1:9" x14ac:dyDescent="0.25">
      <c r="A7" s="1031">
        <v>165</v>
      </c>
      <c r="B7" s="1032">
        <v>60901</v>
      </c>
      <c r="C7" s="1033" t="s">
        <v>839</v>
      </c>
      <c r="D7" s="723">
        <v>22201</v>
      </c>
      <c r="E7" s="1022"/>
      <c r="F7" s="1027">
        <v>22141.599999999999</v>
      </c>
      <c r="G7" s="792"/>
      <c r="H7" s="793">
        <f>+D7-E7-F7-G7</f>
        <v>59.400000000001455</v>
      </c>
      <c r="I7" s="735">
        <f>SUM(E7:H7)</f>
        <v>22201</v>
      </c>
    </row>
    <row r="8" spans="1:9" x14ac:dyDescent="0.25">
      <c r="A8" s="1031">
        <v>160</v>
      </c>
      <c r="B8" s="1032">
        <v>61902</v>
      </c>
      <c r="C8" s="1033" t="s">
        <v>840</v>
      </c>
      <c r="D8" s="723">
        <v>32614</v>
      </c>
      <c r="E8" s="1027"/>
      <c r="F8" s="748">
        <v>32613</v>
      </c>
      <c r="G8" s="792"/>
      <c r="H8" s="793">
        <f t="shared" ref="H8:H12" si="0">+D8-E8-F8-G8</f>
        <v>1</v>
      </c>
      <c r="I8" s="735">
        <f t="shared" ref="I8:I12" si="1">SUM(E8:H8)</f>
        <v>32614</v>
      </c>
    </row>
    <row r="9" spans="1:9" x14ac:dyDescent="0.25">
      <c r="A9" s="1031">
        <v>160</v>
      </c>
      <c r="B9" s="1031">
        <v>61903</v>
      </c>
      <c r="C9" s="1030" t="s">
        <v>841</v>
      </c>
      <c r="D9" s="723">
        <v>39677</v>
      </c>
      <c r="E9" s="1026"/>
      <c r="F9" s="1027">
        <v>39677</v>
      </c>
      <c r="G9" s="792"/>
      <c r="H9" s="793">
        <f t="shared" si="0"/>
        <v>0</v>
      </c>
      <c r="I9" s="735">
        <f t="shared" si="1"/>
        <v>39677</v>
      </c>
    </row>
    <row r="10" spans="1:9" x14ac:dyDescent="0.25">
      <c r="A10" s="1031">
        <v>160</v>
      </c>
      <c r="B10" s="1032">
        <v>61904</v>
      </c>
      <c r="C10" s="1033" t="s">
        <v>842</v>
      </c>
      <c r="D10" s="723">
        <v>5000</v>
      </c>
      <c r="E10" s="1022"/>
      <c r="F10" s="1022"/>
      <c r="G10" s="792"/>
      <c r="H10" s="793">
        <f t="shared" si="0"/>
        <v>5000</v>
      </c>
      <c r="I10" s="735">
        <f t="shared" si="1"/>
        <v>5000</v>
      </c>
    </row>
    <row r="11" spans="1:9" x14ac:dyDescent="0.25">
      <c r="A11" s="1031">
        <v>165</v>
      </c>
      <c r="B11" s="1032">
        <v>60901</v>
      </c>
      <c r="C11" s="1033" t="s">
        <v>843</v>
      </c>
      <c r="D11" s="723">
        <v>1500</v>
      </c>
      <c r="E11" s="1022"/>
      <c r="F11" s="1027"/>
      <c r="G11" s="792"/>
      <c r="H11" s="793">
        <f t="shared" si="0"/>
        <v>1500</v>
      </c>
      <c r="I11" s="735">
        <f t="shared" si="1"/>
        <v>1500</v>
      </c>
    </row>
    <row r="12" spans="1:9" x14ac:dyDescent="0.25">
      <c r="A12" s="1031">
        <v>323</v>
      </c>
      <c r="B12" s="1031">
        <v>62200</v>
      </c>
      <c r="C12" s="1033" t="s">
        <v>844</v>
      </c>
      <c r="D12" s="723">
        <v>30000</v>
      </c>
      <c r="E12" s="1027">
        <v>30000</v>
      </c>
      <c r="F12" s="1022"/>
      <c r="G12" s="792"/>
      <c r="H12" s="793">
        <f t="shared" si="0"/>
        <v>0</v>
      </c>
      <c r="I12" s="735">
        <f t="shared" si="1"/>
        <v>30000</v>
      </c>
    </row>
    <row r="13" spans="1:9" x14ac:dyDescent="0.25">
      <c r="A13" s="1031">
        <v>459</v>
      </c>
      <c r="B13" s="1032">
        <v>61905</v>
      </c>
      <c r="C13" s="1033" t="s">
        <v>674</v>
      </c>
      <c r="D13" s="1096">
        <v>26898</v>
      </c>
      <c r="E13" s="725"/>
      <c r="F13" s="1096">
        <v>26898</v>
      </c>
      <c r="G13" s="792"/>
      <c r="H13" s="793">
        <f t="shared" ref="H13" si="2">+D13-E13-F13-G13</f>
        <v>0</v>
      </c>
      <c r="I13" s="735">
        <f t="shared" ref="I13" si="3">SUM(E13:H13)</f>
        <v>26898</v>
      </c>
    </row>
    <row r="14" spans="1:9" x14ac:dyDescent="0.25">
      <c r="A14" s="1031"/>
      <c r="B14" s="1032"/>
      <c r="C14" s="1033"/>
      <c r="D14" s="1096"/>
      <c r="E14" s="725"/>
      <c r="F14" s="1027"/>
      <c r="G14" s="792"/>
      <c r="H14" s="793"/>
      <c r="I14" s="735"/>
    </row>
    <row r="15" spans="1:9" x14ac:dyDescent="0.25">
      <c r="A15" s="1031"/>
      <c r="B15" s="1031"/>
      <c r="C15" s="1033"/>
      <c r="D15" s="1096"/>
      <c r="E15" s="725"/>
      <c r="F15" s="1022"/>
      <c r="G15" s="792"/>
      <c r="H15" s="793"/>
      <c r="I15" s="735"/>
    </row>
    <row r="16" spans="1:9" x14ac:dyDescent="0.25">
      <c r="E16" s="735"/>
      <c r="F16" s="735"/>
      <c r="G16" s="735"/>
      <c r="H16" s="735"/>
    </row>
    <row r="17" spans="3:9" ht="13.5" thickBot="1" x14ac:dyDescent="0.35">
      <c r="C17" s="749" t="s">
        <v>693</v>
      </c>
      <c r="D17" s="750">
        <f t="shared" ref="D17:I17" si="4">SUM(D7:D16)</f>
        <v>157890</v>
      </c>
      <c r="E17" s="750">
        <f t="shared" si="4"/>
        <v>30000</v>
      </c>
      <c r="F17" s="750">
        <f t="shared" si="4"/>
        <v>121329.60000000001</v>
      </c>
      <c r="G17" s="750">
        <f t="shared" si="4"/>
        <v>0</v>
      </c>
      <c r="H17" s="750">
        <f t="shared" si="4"/>
        <v>6560.4000000000015</v>
      </c>
      <c r="I17" s="750">
        <f t="shared" si="4"/>
        <v>157890</v>
      </c>
    </row>
    <row r="18" spans="3:9" ht="13" thickTop="1" x14ac:dyDescent="0.25">
      <c r="E18" s="735"/>
      <c r="F18" s="735"/>
      <c r="G18" s="735"/>
      <c r="H18" s="735"/>
    </row>
    <row r="19" spans="3:9" x14ac:dyDescent="0.25">
      <c r="E19" s="735"/>
      <c r="F19" s="735"/>
      <c r="G19" s="735"/>
      <c r="H19" s="735"/>
    </row>
    <row r="20" spans="3:9" x14ac:dyDescent="0.25">
      <c r="F20" s="735"/>
    </row>
  </sheetData>
  <sheetProtection algorithmName="SHA-512" hashValue="img+SJCf5aE5Fb3DCXarBgsijet8clh6eaUUrTEKYDYN4GcIaRZrC0Z+6gwdRd+JPqO09IbJeE6PDuBOHwP3ow==" saltValue="fZEI6zV16Qs22vwMPyckYw==" spinCount="100000" sheet="1" objects="1" scenarios="1"/>
  <phoneticPr fontId="51" type="noConversion"/>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3"/>
  <dimension ref="B3:K11"/>
  <sheetViews>
    <sheetView zoomScale="90" zoomScaleNormal="90" zoomScaleSheetLayoutView="100" zoomScalePageLayoutView="75" workbookViewId="0">
      <selection sqref="A1:XFD1048576"/>
    </sheetView>
  </sheetViews>
  <sheetFormatPr baseColWidth="10" defaultColWidth="11.36328125" defaultRowHeight="12.5" x14ac:dyDescent="0.25"/>
  <cols>
    <col min="1" max="1" width="5.26953125" style="722" customWidth="1"/>
    <col min="2" max="2" width="18.36328125" style="722" customWidth="1"/>
    <col min="3" max="3" width="10.08984375" style="751" customWidth="1"/>
    <col min="4" max="4" width="14.26953125" style="751" bestFit="1" customWidth="1"/>
    <col min="5" max="5" width="8.6328125" style="751" bestFit="1" customWidth="1"/>
    <col min="6" max="6" width="4.6328125" style="751" bestFit="1" customWidth="1"/>
    <col min="7" max="7" width="4.54296875" style="722" bestFit="1" customWidth="1"/>
    <col min="8" max="8" width="7" style="722" customWidth="1"/>
    <col min="9" max="9" width="7.81640625" style="722" bestFit="1" customWidth="1"/>
    <col min="10" max="10" width="8.08984375" style="722" bestFit="1" customWidth="1"/>
    <col min="11" max="14" width="11.6328125" style="722" customWidth="1"/>
    <col min="15" max="16384" width="11.36328125" style="722"/>
  </cols>
  <sheetData>
    <row r="3" spans="2:11" x14ac:dyDescent="0.25">
      <c r="E3" s="722"/>
      <c r="G3" s="724"/>
      <c r="H3" s="724"/>
      <c r="I3" s="724"/>
      <c r="J3" s="724"/>
      <c r="K3" s="724"/>
    </row>
    <row r="4" spans="2:11" ht="13" thickBot="1" x14ac:dyDescent="0.3">
      <c r="E4" s="722"/>
      <c r="H4" s="725"/>
    </row>
    <row r="5" spans="2:11" ht="23" x14ac:dyDescent="0.25">
      <c r="B5" s="1103" t="s">
        <v>352</v>
      </c>
      <c r="C5" s="1120" t="s">
        <v>705</v>
      </c>
      <c r="D5" s="1120" t="s">
        <v>714</v>
      </c>
      <c r="E5" s="1120" t="s">
        <v>715</v>
      </c>
      <c r="F5" s="1120" t="s">
        <v>716</v>
      </c>
      <c r="G5" s="1120" t="s">
        <v>717</v>
      </c>
      <c r="H5" s="1104" t="s">
        <v>718</v>
      </c>
      <c r="I5" s="1104" t="s">
        <v>719</v>
      </c>
      <c r="J5" s="1104" t="s">
        <v>704</v>
      </c>
    </row>
    <row r="6" spans="2:11" ht="23.5" thickBot="1" x14ac:dyDescent="0.3">
      <c r="B6" s="1105" t="s">
        <v>704</v>
      </c>
      <c r="C6" s="1121"/>
      <c r="D6" s="1121"/>
      <c r="E6" s="1121"/>
      <c r="F6" s="1121"/>
      <c r="G6" s="1121"/>
      <c r="H6" s="1106" t="s">
        <v>124</v>
      </c>
      <c r="I6" s="1106" t="s">
        <v>720</v>
      </c>
      <c r="J6" s="1106" t="s">
        <v>721</v>
      </c>
    </row>
    <row r="7" spans="2:11" ht="13" thickBot="1" x14ac:dyDescent="0.3">
      <c r="B7" s="1107" t="s">
        <v>722</v>
      </c>
      <c r="C7" s="1108" t="s">
        <v>723</v>
      </c>
      <c r="D7" s="1108" t="s">
        <v>722</v>
      </c>
      <c r="E7" s="1108" t="s">
        <v>724</v>
      </c>
      <c r="F7" s="1108">
        <v>27</v>
      </c>
      <c r="G7" s="1108" t="s">
        <v>725</v>
      </c>
      <c r="H7" s="1108">
        <v>1</v>
      </c>
      <c r="I7" s="1108">
        <v>1</v>
      </c>
      <c r="J7" s="1108" t="s">
        <v>39</v>
      </c>
    </row>
    <row r="8" spans="2:11" ht="13" thickBot="1" x14ac:dyDescent="0.3">
      <c r="B8" s="1107" t="s">
        <v>711</v>
      </c>
      <c r="C8" s="1108" t="s">
        <v>706</v>
      </c>
      <c r="D8" s="1108" t="s">
        <v>678</v>
      </c>
      <c r="E8" s="1108" t="s">
        <v>39</v>
      </c>
      <c r="F8" s="1108">
        <v>18</v>
      </c>
      <c r="G8" s="1108" t="s">
        <v>710</v>
      </c>
      <c r="H8" s="1108">
        <v>1</v>
      </c>
      <c r="I8" s="1108" t="s">
        <v>39</v>
      </c>
      <c r="J8" s="1108">
        <v>1</v>
      </c>
    </row>
    <row r="9" spans="2:11" ht="13" thickBot="1" x14ac:dyDescent="0.3">
      <c r="B9" s="1107" t="s">
        <v>711</v>
      </c>
      <c r="C9" s="1108" t="s">
        <v>706</v>
      </c>
      <c r="D9" s="1108" t="s">
        <v>678</v>
      </c>
      <c r="E9" s="1108" t="s">
        <v>39</v>
      </c>
      <c r="F9" s="1108">
        <v>14</v>
      </c>
      <c r="G9" s="1108" t="s">
        <v>710</v>
      </c>
      <c r="H9" s="1108">
        <v>1</v>
      </c>
      <c r="I9" s="1108" t="s">
        <v>39</v>
      </c>
      <c r="J9" s="1108">
        <v>1</v>
      </c>
    </row>
    <row r="10" spans="2:11" ht="13" thickBot="1" x14ac:dyDescent="0.3">
      <c r="B10" s="1107" t="s">
        <v>849</v>
      </c>
      <c r="C10" s="1108" t="s">
        <v>726</v>
      </c>
      <c r="D10" s="1108"/>
      <c r="E10" s="1108" t="s">
        <v>39</v>
      </c>
      <c r="F10" s="1108"/>
      <c r="G10" s="1108" t="s">
        <v>850</v>
      </c>
      <c r="H10" s="1108">
        <v>1</v>
      </c>
      <c r="I10" s="1108" t="s">
        <v>39</v>
      </c>
      <c r="J10" s="1108">
        <v>1</v>
      </c>
    </row>
    <row r="11" spans="2:11" ht="13" thickBot="1" x14ac:dyDescent="0.3">
      <c r="B11" s="1107" t="s">
        <v>712</v>
      </c>
      <c r="C11" s="1108" t="s">
        <v>726</v>
      </c>
      <c r="D11" s="1108"/>
      <c r="E11" s="1108" t="s">
        <v>39</v>
      </c>
      <c r="F11" s="1108"/>
      <c r="G11" s="1108" t="s">
        <v>850</v>
      </c>
      <c r="H11" s="1108">
        <v>1</v>
      </c>
      <c r="I11" s="1108" t="s">
        <v>39</v>
      </c>
      <c r="J11" s="1108">
        <v>1</v>
      </c>
    </row>
  </sheetData>
  <sheetProtection algorithmName="SHA-512" hashValue="MvZIcPm4wKdu6u/8iUBeMoJUfUDF2tEkKOpC/YGspJfFOl+ZCWC/FqK/qrOTxatd7YYFf6nHVj39kFc2JmCJ3g==" saltValue="8JErv3+dFVMp9FTMRbvP0w==" spinCount="100000" sheet="1" selectLockedCells="1" selectUnlockedCells="1"/>
  <mergeCells count="5">
    <mergeCell ref="C5:C6"/>
    <mergeCell ref="D5:D6"/>
    <mergeCell ref="E5:E6"/>
    <mergeCell ref="F5:F6"/>
    <mergeCell ref="G5:G6"/>
  </mergeCells>
  <dataValidations disablePrompts="1" count="2">
    <dataValidation type="textLength" allowBlank="1" showErrorMessage="1" errorTitle="ATENCIÓ" error="Aquesta cel·la només admet 3 dígits." sqref="IY63186:IY63187 SU63186:SU63187 ACQ63186:ACQ63187 AMM63186:AMM63187 AWI63186:AWI63187 BGE63186:BGE63187 BQA63186:BQA63187 BZW63186:BZW63187 CJS63186:CJS63187 CTO63186:CTO63187 DDK63186:DDK63187 DNG63186:DNG63187 DXC63186:DXC63187 EGY63186:EGY63187 EQU63186:EQU63187 FAQ63186:FAQ63187 FKM63186:FKM63187 FUI63186:FUI63187 GEE63186:GEE63187 GOA63186:GOA63187 GXW63186:GXW63187 HHS63186:HHS63187 HRO63186:HRO63187 IBK63186:IBK63187 ILG63186:ILG63187 IVC63186:IVC63187 JEY63186:JEY63187 JOU63186:JOU63187 JYQ63186:JYQ63187 KIM63186:KIM63187 KSI63186:KSI63187 LCE63186:LCE63187 LMA63186:LMA63187 LVW63186:LVW63187 MFS63186:MFS63187 MPO63186:MPO63187 MZK63186:MZK63187 NJG63186:NJG63187 NTC63186:NTC63187 OCY63186:OCY63187 OMU63186:OMU63187 OWQ63186:OWQ63187 PGM63186:PGM63187 PQI63186:PQI63187 QAE63186:QAE63187 QKA63186:QKA63187 QTW63186:QTW63187 RDS63186:RDS63187 RNO63186:RNO63187 RXK63186:RXK63187 SHG63186:SHG63187 SRC63186:SRC63187 TAY63186:TAY63187 TKU63186:TKU63187 TUQ63186:TUQ63187 UEM63186:UEM63187 UOI63186:UOI63187 UYE63186:UYE63187 VIA63186:VIA63187 VRW63186:VRW63187 WBS63186:WBS63187 WLO63186:WLO63187 WVK63186:WVK63187 IY128722:IY128723 SU128722:SU128723 ACQ128722:ACQ128723 AMM128722:AMM128723 AWI128722:AWI128723 BGE128722:BGE128723 BQA128722:BQA128723 BZW128722:BZW128723 CJS128722:CJS128723 CTO128722:CTO128723 DDK128722:DDK128723 DNG128722:DNG128723 DXC128722:DXC128723 EGY128722:EGY128723 EQU128722:EQU128723 FAQ128722:FAQ128723 FKM128722:FKM128723 FUI128722:FUI128723 GEE128722:GEE128723 GOA128722:GOA128723 GXW128722:GXW128723 HHS128722:HHS128723 HRO128722:HRO128723 IBK128722:IBK128723 ILG128722:ILG128723 IVC128722:IVC128723 JEY128722:JEY128723 JOU128722:JOU128723 JYQ128722:JYQ128723 KIM128722:KIM128723 KSI128722:KSI128723 LCE128722:LCE128723 LMA128722:LMA128723 LVW128722:LVW128723 MFS128722:MFS128723 MPO128722:MPO128723 MZK128722:MZK128723 NJG128722:NJG128723 NTC128722:NTC128723 OCY128722:OCY128723 OMU128722:OMU128723 OWQ128722:OWQ128723 PGM128722:PGM128723 PQI128722:PQI128723 QAE128722:QAE128723 QKA128722:QKA128723 QTW128722:QTW128723 RDS128722:RDS128723 RNO128722:RNO128723 RXK128722:RXK128723 SHG128722:SHG128723 SRC128722:SRC128723 TAY128722:TAY128723 TKU128722:TKU128723 TUQ128722:TUQ128723 UEM128722:UEM128723 UOI128722:UOI128723 UYE128722:UYE128723 VIA128722:VIA128723 VRW128722:VRW128723 WBS128722:WBS128723 WLO128722:WLO128723 WVK128722:WVK128723 IY194258:IY194259 SU194258:SU194259 ACQ194258:ACQ194259 AMM194258:AMM194259 AWI194258:AWI194259 BGE194258:BGE194259 BQA194258:BQA194259 BZW194258:BZW194259 CJS194258:CJS194259 CTO194258:CTO194259 DDK194258:DDK194259 DNG194258:DNG194259 DXC194258:DXC194259 EGY194258:EGY194259 EQU194258:EQU194259 FAQ194258:FAQ194259 FKM194258:FKM194259 FUI194258:FUI194259 GEE194258:GEE194259 GOA194258:GOA194259 GXW194258:GXW194259 HHS194258:HHS194259 HRO194258:HRO194259 IBK194258:IBK194259 ILG194258:ILG194259 IVC194258:IVC194259 JEY194258:JEY194259 JOU194258:JOU194259 JYQ194258:JYQ194259 KIM194258:KIM194259 KSI194258:KSI194259 LCE194258:LCE194259 LMA194258:LMA194259 LVW194258:LVW194259 MFS194258:MFS194259 MPO194258:MPO194259 MZK194258:MZK194259 NJG194258:NJG194259 NTC194258:NTC194259 OCY194258:OCY194259 OMU194258:OMU194259 OWQ194258:OWQ194259 PGM194258:PGM194259 PQI194258:PQI194259 QAE194258:QAE194259 QKA194258:QKA194259 QTW194258:QTW194259 RDS194258:RDS194259 RNO194258:RNO194259 RXK194258:RXK194259 SHG194258:SHG194259 SRC194258:SRC194259 TAY194258:TAY194259 TKU194258:TKU194259 TUQ194258:TUQ194259 UEM194258:UEM194259 UOI194258:UOI194259 UYE194258:UYE194259 VIA194258:VIA194259 VRW194258:VRW194259 WBS194258:WBS194259 WLO194258:WLO194259 WVK194258:WVK194259 IY259794:IY259795 SU259794:SU259795 ACQ259794:ACQ259795 AMM259794:AMM259795 AWI259794:AWI259795 BGE259794:BGE259795 BQA259794:BQA259795 BZW259794:BZW259795 CJS259794:CJS259795 CTO259794:CTO259795 DDK259794:DDK259795 DNG259794:DNG259795 DXC259794:DXC259795 EGY259794:EGY259795 EQU259794:EQU259795 FAQ259794:FAQ259795 FKM259794:FKM259795 FUI259794:FUI259795 GEE259794:GEE259795 GOA259794:GOA259795 GXW259794:GXW259795 HHS259794:HHS259795 HRO259794:HRO259795 IBK259794:IBK259795 ILG259794:ILG259795 IVC259794:IVC259795 JEY259794:JEY259795 JOU259794:JOU259795 JYQ259794:JYQ259795 KIM259794:KIM259795 KSI259794:KSI259795 LCE259794:LCE259795 LMA259794:LMA259795 LVW259794:LVW259795 MFS259794:MFS259795 MPO259794:MPO259795 MZK259794:MZK259795 NJG259794:NJG259795 NTC259794:NTC259795 OCY259794:OCY259795 OMU259794:OMU259795 OWQ259794:OWQ259795 PGM259794:PGM259795 PQI259794:PQI259795 QAE259794:QAE259795 QKA259794:QKA259795 QTW259794:QTW259795 RDS259794:RDS259795 RNO259794:RNO259795 RXK259794:RXK259795 SHG259794:SHG259795 SRC259794:SRC259795 TAY259794:TAY259795 TKU259794:TKU259795 TUQ259794:TUQ259795 UEM259794:UEM259795 UOI259794:UOI259795 UYE259794:UYE259795 VIA259794:VIA259795 VRW259794:VRW259795 WBS259794:WBS259795 WLO259794:WLO259795 WVK259794:WVK259795 IY325330:IY325331 SU325330:SU325331 ACQ325330:ACQ325331 AMM325330:AMM325331 AWI325330:AWI325331 BGE325330:BGE325331 BQA325330:BQA325331 BZW325330:BZW325331 CJS325330:CJS325331 CTO325330:CTO325331 DDK325330:DDK325331 DNG325330:DNG325331 DXC325330:DXC325331 EGY325330:EGY325331 EQU325330:EQU325331 FAQ325330:FAQ325331 FKM325330:FKM325331 FUI325330:FUI325331 GEE325330:GEE325331 GOA325330:GOA325331 GXW325330:GXW325331 HHS325330:HHS325331 HRO325330:HRO325331 IBK325330:IBK325331 ILG325330:ILG325331 IVC325330:IVC325331 JEY325330:JEY325331 JOU325330:JOU325331 JYQ325330:JYQ325331 KIM325330:KIM325331 KSI325330:KSI325331 LCE325330:LCE325331 LMA325330:LMA325331 LVW325330:LVW325331 MFS325330:MFS325331 MPO325330:MPO325331 MZK325330:MZK325331 NJG325330:NJG325331 NTC325330:NTC325331 OCY325330:OCY325331 OMU325330:OMU325331 OWQ325330:OWQ325331 PGM325330:PGM325331 PQI325330:PQI325331 QAE325330:QAE325331 QKA325330:QKA325331 QTW325330:QTW325331 RDS325330:RDS325331 RNO325330:RNO325331 RXK325330:RXK325331 SHG325330:SHG325331 SRC325330:SRC325331 TAY325330:TAY325331 TKU325330:TKU325331 TUQ325330:TUQ325331 UEM325330:UEM325331 UOI325330:UOI325331 UYE325330:UYE325331 VIA325330:VIA325331 VRW325330:VRW325331 WBS325330:WBS325331 WLO325330:WLO325331 WVK325330:WVK325331 IY390866:IY390867 SU390866:SU390867 ACQ390866:ACQ390867 AMM390866:AMM390867 AWI390866:AWI390867 BGE390866:BGE390867 BQA390866:BQA390867 BZW390866:BZW390867 CJS390866:CJS390867 CTO390866:CTO390867 DDK390866:DDK390867 DNG390866:DNG390867 DXC390866:DXC390867 EGY390866:EGY390867 EQU390866:EQU390867 FAQ390866:FAQ390867 FKM390866:FKM390867 FUI390866:FUI390867 GEE390866:GEE390867 GOA390866:GOA390867 GXW390866:GXW390867 HHS390866:HHS390867 HRO390866:HRO390867 IBK390866:IBK390867 ILG390866:ILG390867 IVC390866:IVC390867 JEY390866:JEY390867 JOU390866:JOU390867 JYQ390866:JYQ390867 KIM390866:KIM390867 KSI390866:KSI390867 LCE390866:LCE390867 LMA390866:LMA390867 LVW390866:LVW390867 MFS390866:MFS390867 MPO390866:MPO390867 MZK390866:MZK390867 NJG390866:NJG390867 NTC390866:NTC390867 OCY390866:OCY390867 OMU390866:OMU390867 OWQ390866:OWQ390867 PGM390866:PGM390867 PQI390866:PQI390867 QAE390866:QAE390867 QKA390866:QKA390867 QTW390866:QTW390867 RDS390866:RDS390867 RNO390866:RNO390867 RXK390866:RXK390867 SHG390866:SHG390867 SRC390866:SRC390867 TAY390866:TAY390867 TKU390866:TKU390867 TUQ390866:TUQ390867 UEM390866:UEM390867 UOI390866:UOI390867 UYE390866:UYE390867 VIA390866:VIA390867 VRW390866:VRW390867 WBS390866:WBS390867 WLO390866:WLO390867 WVK390866:WVK390867 IY456402:IY456403 SU456402:SU456403 ACQ456402:ACQ456403 AMM456402:AMM456403 AWI456402:AWI456403 BGE456402:BGE456403 BQA456402:BQA456403 BZW456402:BZW456403 CJS456402:CJS456403 CTO456402:CTO456403 DDK456402:DDK456403 DNG456402:DNG456403 DXC456402:DXC456403 EGY456402:EGY456403 EQU456402:EQU456403 FAQ456402:FAQ456403 FKM456402:FKM456403 FUI456402:FUI456403 GEE456402:GEE456403 GOA456402:GOA456403 GXW456402:GXW456403 HHS456402:HHS456403 HRO456402:HRO456403 IBK456402:IBK456403 ILG456402:ILG456403 IVC456402:IVC456403 JEY456402:JEY456403 JOU456402:JOU456403 JYQ456402:JYQ456403 KIM456402:KIM456403 KSI456402:KSI456403 LCE456402:LCE456403 LMA456402:LMA456403 LVW456402:LVW456403 MFS456402:MFS456403 MPO456402:MPO456403 MZK456402:MZK456403 NJG456402:NJG456403 NTC456402:NTC456403 OCY456402:OCY456403 OMU456402:OMU456403 OWQ456402:OWQ456403 PGM456402:PGM456403 PQI456402:PQI456403 QAE456402:QAE456403 QKA456402:QKA456403 QTW456402:QTW456403 RDS456402:RDS456403 RNO456402:RNO456403 RXK456402:RXK456403 SHG456402:SHG456403 SRC456402:SRC456403 TAY456402:TAY456403 TKU456402:TKU456403 TUQ456402:TUQ456403 UEM456402:UEM456403 UOI456402:UOI456403 UYE456402:UYE456403 VIA456402:VIA456403 VRW456402:VRW456403 WBS456402:WBS456403 WLO456402:WLO456403 WVK456402:WVK456403 IY521938:IY521939 SU521938:SU521939 ACQ521938:ACQ521939 AMM521938:AMM521939 AWI521938:AWI521939 BGE521938:BGE521939 BQA521938:BQA521939 BZW521938:BZW521939 CJS521938:CJS521939 CTO521938:CTO521939 DDK521938:DDK521939 DNG521938:DNG521939 DXC521938:DXC521939 EGY521938:EGY521939 EQU521938:EQU521939 FAQ521938:FAQ521939 FKM521938:FKM521939 FUI521938:FUI521939 GEE521938:GEE521939 GOA521938:GOA521939 GXW521938:GXW521939 HHS521938:HHS521939 HRO521938:HRO521939 IBK521938:IBK521939 ILG521938:ILG521939 IVC521938:IVC521939 JEY521938:JEY521939 JOU521938:JOU521939 JYQ521938:JYQ521939 KIM521938:KIM521939 KSI521938:KSI521939 LCE521938:LCE521939 LMA521938:LMA521939 LVW521938:LVW521939 MFS521938:MFS521939 MPO521938:MPO521939 MZK521938:MZK521939 NJG521938:NJG521939 NTC521938:NTC521939 OCY521938:OCY521939 OMU521938:OMU521939 OWQ521938:OWQ521939 PGM521938:PGM521939 PQI521938:PQI521939 QAE521938:QAE521939 QKA521938:QKA521939 QTW521938:QTW521939 RDS521938:RDS521939 RNO521938:RNO521939 RXK521938:RXK521939 SHG521938:SHG521939 SRC521938:SRC521939 TAY521938:TAY521939 TKU521938:TKU521939 TUQ521938:TUQ521939 UEM521938:UEM521939 UOI521938:UOI521939 UYE521938:UYE521939 VIA521938:VIA521939 VRW521938:VRW521939 WBS521938:WBS521939 WLO521938:WLO521939 WVK521938:WVK521939 IY587474:IY587475 SU587474:SU587475 ACQ587474:ACQ587475 AMM587474:AMM587475 AWI587474:AWI587475 BGE587474:BGE587475 BQA587474:BQA587475 BZW587474:BZW587475 CJS587474:CJS587475 CTO587474:CTO587475 DDK587474:DDK587475 DNG587474:DNG587475 DXC587474:DXC587475 EGY587474:EGY587475 EQU587474:EQU587475 FAQ587474:FAQ587475 FKM587474:FKM587475 FUI587474:FUI587475 GEE587474:GEE587475 GOA587474:GOA587475 GXW587474:GXW587475 HHS587474:HHS587475 HRO587474:HRO587475 IBK587474:IBK587475 ILG587474:ILG587475 IVC587474:IVC587475 JEY587474:JEY587475 JOU587474:JOU587475 JYQ587474:JYQ587475 KIM587474:KIM587475 KSI587474:KSI587475 LCE587474:LCE587475 LMA587474:LMA587475 LVW587474:LVW587475 MFS587474:MFS587475 MPO587474:MPO587475 MZK587474:MZK587475 NJG587474:NJG587475 NTC587474:NTC587475 OCY587474:OCY587475 OMU587474:OMU587475 OWQ587474:OWQ587475 PGM587474:PGM587475 PQI587474:PQI587475 QAE587474:QAE587475 QKA587474:QKA587475 QTW587474:QTW587475 RDS587474:RDS587475 RNO587474:RNO587475 RXK587474:RXK587475 SHG587474:SHG587475 SRC587474:SRC587475 TAY587474:TAY587475 TKU587474:TKU587475 TUQ587474:TUQ587475 UEM587474:UEM587475 UOI587474:UOI587475 UYE587474:UYE587475 VIA587474:VIA587475 VRW587474:VRW587475 WBS587474:WBS587475 WLO587474:WLO587475 WVK587474:WVK587475 IY653010:IY653011 SU653010:SU653011 ACQ653010:ACQ653011 AMM653010:AMM653011 AWI653010:AWI653011 BGE653010:BGE653011 BQA653010:BQA653011 BZW653010:BZW653011 CJS653010:CJS653011 CTO653010:CTO653011 DDK653010:DDK653011 DNG653010:DNG653011 DXC653010:DXC653011 EGY653010:EGY653011 EQU653010:EQU653011 FAQ653010:FAQ653011 FKM653010:FKM653011 FUI653010:FUI653011 GEE653010:GEE653011 GOA653010:GOA653011 GXW653010:GXW653011 HHS653010:HHS653011 HRO653010:HRO653011 IBK653010:IBK653011 ILG653010:ILG653011 IVC653010:IVC653011 JEY653010:JEY653011 JOU653010:JOU653011 JYQ653010:JYQ653011 KIM653010:KIM653011 KSI653010:KSI653011 LCE653010:LCE653011 LMA653010:LMA653011 LVW653010:LVW653011 MFS653010:MFS653011 MPO653010:MPO653011 MZK653010:MZK653011 NJG653010:NJG653011 NTC653010:NTC653011 OCY653010:OCY653011 OMU653010:OMU653011 OWQ653010:OWQ653011 PGM653010:PGM653011 PQI653010:PQI653011 QAE653010:QAE653011 QKA653010:QKA653011 QTW653010:QTW653011 RDS653010:RDS653011 RNO653010:RNO653011 RXK653010:RXK653011 SHG653010:SHG653011 SRC653010:SRC653011 TAY653010:TAY653011 TKU653010:TKU653011 TUQ653010:TUQ653011 UEM653010:UEM653011 UOI653010:UOI653011 UYE653010:UYE653011 VIA653010:VIA653011 VRW653010:VRW653011 WBS653010:WBS653011 WLO653010:WLO653011 WVK653010:WVK653011 IY718546:IY718547 SU718546:SU718547 ACQ718546:ACQ718547 AMM718546:AMM718547 AWI718546:AWI718547 BGE718546:BGE718547 BQA718546:BQA718547 BZW718546:BZW718547 CJS718546:CJS718547 CTO718546:CTO718547 DDK718546:DDK718547 DNG718546:DNG718547 DXC718546:DXC718547 EGY718546:EGY718547 EQU718546:EQU718547 FAQ718546:FAQ718547 FKM718546:FKM718547 FUI718546:FUI718547 GEE718546:GEE718547 GOA718546:GOA718547 GXW718546:GXW718547 HHS718546:HHS718547 HRO718546:HRO718547 IBK718546:IBK718547 ILG718546:ILG718547 IVC718546:IVC718547 JEY718546:JEY718547 JOU718546:JOU718547 JYQ718546:JYQ718547 KIM718546:KIM718547 KSI718546:KSI718547 LCE718546:LCE718547 LMA718546:LMA718547 LVW718546:LVW718547 MFS718546:MFS718547 MPO718546:MPO718547 MZK718546:MZK718547 NJG718546:NJG718547 NTC718546:NTC718547 OCY718546:OCY718547 OMU718546:OMU718547 OWQ718546:OWQ718547 PGM718546:PGM718547 PQI718546:PQI718547 QAE718546:QAE718547 QKA718546:QKA718547 QTW718546:QTW718547 RDS718546:RDS718547 RNO718546:RNO718547 RXK718546:RXK718547 SHG718546:SHG718547 SRC718546:SRC718547 TAY718546:TAY718547 TKU718546:TKU718547 TUQ718546:TUQ718547 UEM718546:UEM718547 UOI718546:UOI718547 UYE718546:UYE718547 VIA718546:VIA718547 VRW718546:VRW718547 WBS718546:WBS718547 WLO718546:WLO718547 WVK718546:WVK718547 IY784082:IY784083 SU784082:SU784083 ACQ784082:ACQ784083 AMM784082:AMM784083 AWI784082:AWI784083 BGE784082:BGE784083 BQA784082:BQA784083 BZW784082:BZW784083 CJS784082:CJS784083 CTO784082:CTO784083 DDK784082:DDK784083 DNG784082:DNG784083 DXC784082:DXC784083 EGY784082:EGY784083 EQU784082:EQU784083 FAQ784082:FAQ784083 FKM784082:FKM784083 FUI784082:FUI784083 GEE784082:GEE784083 GOA784082:GOA784083 GXW784082:GXW784083 HHS784082:HHS784083 HRO784082:HRO784083 IBK784082:IBK784083 ILG784082:ILG784083 IVC784082:IVC784083 JEY784082:JEY784083 JOU784082:JOU784083 JYQ784082:JYQ784083 KIM784082:KIM784083 KSI784082:KSI784083 LCE784082:LCE784083 LMA784082:LMA784083 LVW784082:LVW784083 MFS784082:MFS784083 MPO784082:MPO784083 MZK784082:MZK784083 NJG784082:NJG784083 NTC784082:NTC784083 OCY784082:OCY784083 OMU784082:OMU784083 OWQ784082:OWQ784083 PGM784082:PGM784083 PQI784082:PQI784083 QAE784082:QAE784083 QKA784082:QKA784083 QTW784082:QTW784083 RDS784082:RDS784083 RNO784082:RNO784083 RXK784082:RXK784083 SHG784082:SHG784083 SRC784082:SRC784083 TAY784082:TAY784083 TKU784082:TKU784083 TUQ784082:TUQ784083 UEM784082:UEM784083 UOI784082:UOI784083 UYE784082:UYE784083 VIA784082:VIA784083 VRW784082:VRW784083 WBS784082:WBS784083 WLO784082:WLO784083 WVK784082:WVK784083 IY849618:IY849619 SU849618:SU849619 ACQ849618:ACQ849619 AMM849618:AMM849619 AWI849618:AWI849619 BGE849618:BGE849619 BQA849618:BQA849619 BZW849618:BZW849619 CJS849618:CJS849619 CTO849618:CTO849619 DDK849618:DDK849619 DNG849618:DNG849619 DXC849618:DXC849619 EGY849618:EGY849619 EQU849618:EQU849619 FAQ849618:FAQ849619 FKM849618:FKM849619 FUI849618:FUI849619 GEE849618:GEE849619 GOA849618:GOA849619 GXW849618:GXW849619 HHS849618:HHS849619 HRO849618:HRO849619 IBK849618:IBK849619 ILG849618:ILG849619 IVC849618:IVC849619 JEY849618:JEY849619 JOU849618:JOU849619 JYQ849618:JYQ849619 KIM849618:KIM849619 KSI849618:KSI849619 LCE849618:LCE849619 LMA849618:LMA849619 LVW849618:LVW849619 MFS849618:MFS849619 MPO849618:MPO849619 MZK849618:MZK849619 NJG849618:NJG849619 NTC849618:NTC849619 OCY849618:OCY849619 OMU849618:OMU849619 OWQ849618:OWQ849619 PGM849618:PGM849619 PQI849618:PQI849619 QAE849618:QAE849619 QKA849618:QKA849619 QTW849618:QTW849619 RDS849618:RDS849619 RNO849618:RNO849619 RXK849618:RXK849619 SHG849618:SHG849619 SRC849618:SRC849619 TAY849618:TAY849619 TKU849618:TKU849619 TUQ849618:TUQ849619 UEM849618:UEM849619 UOI849618:UOI849619 UYE849618:UYE849619 VIA849618:VIA849619 VRW849618:VRW849619 WBS849618:WBS849619 WLO849618:WLO849619 WVK849618:WVK849619 IY915154:IY915155 SU915154:SU915155 ACQ915154:ACQ915155 AMM915154:AMM915155 AWI915154:AWI915155 BGE915154:BGE915155 BQA915154:BQA915155 BZW915154:BZW915155 CJS915154:CJS915155 CTO915154:CTO915155 DDK915154:DDK915155 DNG915154:DNG915155 DXC915154:DXC915155 EGY915154:EGY915155 EQU915154:EQU915155 FAQ915154:FAQ915155 FKM915154:FKM915155 FUI915154:FUI915155 GEE915154:GEE915155 GOA915154:GOA915155 GXW915154:GXW915155 HHS915154:HHS915155 HRO915154:HRO915155 IBK915154:IBK915155 ILG915154:ILG915155 IVC915154:IVC915155 JEY915154:JEY915155 JOU915154:JOU915155 JYQ915154:JYQ915155 KIM915154:KIM915155 KSI915154:KSI915155 LCE915154:LCE915155 LMA915154:LMA915155 LVW915154:LVW915155 MFS915154:MFS915155 MPO915154:MPO915155 MZK915154:MZK915155 NJG915154:NJG915155 NTC915154:NTC915155 OCY915154:OCY915155 OMU915154:OMU915155 OWQ915154:OWQ915155 PGM915154:PGM915155 PQI915154:PQI915155 QAE915154:QAE915155 QKA915154:QKA915155 QTW915154:QTW915155 RDS915154:RDS915155 RNO915154:RNO915155 RXK915154:RXK915155 SHG915154:SHG915155 SRC915154:SRC915155 TAY915154:TAY915155 TKU915154:TKU915155 TUQ915154:TUQ915155 UEM915154:UEM915155 UOI915154:UOI915155 UYE915154:UYE915155 VIA915154:VIA915155 VRW915154:VRW915155 WBS915154:WBS915155 WLO915154:WLO915155 WVK915154:WVK915155 IY980690:IY980691 SU980690:SU980691 ACQ980690:ACQ980691 AMM980690:AMM980691 AWI980690:AWI980691 BGE980690:BGE980691 BQA980690:BQA980691 BZW980690:BZW980691 CJS980690:CJS980691 CTO980690:CTO980691 DDK980690:DDK980691 DNG980690:DNG980691 DXC980690:DXC980691 EGY980690:EGY980691 EQU980690:EQU980691 FAQ980690:FAQ980691 FKM980690:FKM980691 FUI980690:FUI980691 GEE980690:GEE980691 GOA980690:GOA980691 GXW980690:GXW980691 HHS980690:HHS980691 HRO980690:HRO980691 IBK980690:IBK980691 ILG980690:ILG980691 IVC980690:IVC980691 JEY980690:JEY980691 JOU980690:JOU980691 JYQ980690:JYQ980691 KIM980690:KIM980691 KSI980690:KSI980691 LCE980690:LCE980691 LMA980690:LMA980691 LVW980690:LVW980691 MFS980690:MFS980691 MPO980690:MPO980691 MZK980690:MZK980691 NJG980690:NJG980691 NTC980690:NTC980691 OCY980690:OCY980691 OMU980690:OMU980691 OWQ980690:OWQ980691 PGM980690:PGM980691 PQI980690:PQI980691 QAE980690:QAE980691 QKA980690:QKA980691 QTW980690:QTW980691 RDS980690:RDS980691 RNO980690:RNO980691 RXK980690:RXK980691 SHG980690:SHG980691 SRC980690:SRC980691 TAY980690:TAY980691 TKU980690:TKU980691 TUQ980690:TUQ980691 UEM980690:UEM980691 UOI980690:UOI980691 UYE980690:UYE980691 VIA980690:VIA980691 VRW980690:VRW980691 WBS980690:WBS980691 WLO980690:WLO980691 WVK980690:WVK980691 IY63215 SU63215 ACQ63215 AMM63215 AWI63215 BGE63215 BQA63215 BZW63215 CJS63215 CTO63215 DDK63215 DNG63215 DXC63215 EGY63215 EQU63215 FAQ63215 FKM63215 FUI63215 GEE63215 GOA63215 GXW63215 HHS63215 HRO63215 IBK63215 ILG63215 IVC63215 JEY63215 JOU63215 JYQ63215 KIM63215 KSI63215 LCE63215 LMA63215 LVW63215 MFS63215 MPO63215 MZK63215 NJG63215 NTC63215 OCY63215 OMU63215 OWQ63215 PGM63215 PQI63215 QAE63215 QKA63215 QTW63215 RDS63215 RNO63215 RXK63215 SHG63215 SRC63215 TAY63215 TKU63215 TUQ63215 UEM63215 UOI63215 UYE63215 VIA63215 VRW63215 WBS63215 WLO63215 WVK63215 IY128751 SU128751 ACQ128751 AMM128751 AWI128751 BGE128751 BQA128751 BZW128751 CJS128751 CTO128751 DDK128751 DNG128751 DXC128751 EGY128751 EQU128751 FAQ128751 FKM128751 FUI128751 GEE128751 GOA128751 GXW128751 HHS128751 HRO128751 IBK128751 ILG128751 IVC128751 JEY128751 JOU128751 JYQ128751 KIM128751 KSI128751 LCE128751 LMA128751 LVW128751 MFS128751 MPO128751 MZK128751 NJG128751 NTC128751 OCY128751 OMU128751 OWQ128751 PGM128751 PQI128751 QAE128751 QKA128751 QTW128751 RDS128751 RNO128751 RXK128751 SHG128751 SRC128751 TAY128751 TKU128751 TUQ128751 UEM128751 UOI128751 UYE128751 VIA128751 VRW128751 WBS128751 WLO128751 WVK128751 IY194287 SU194287 ACQ194287 AMM194287 AWI194287 BGE194287 BQA194287 BZW194287 CJS194287 CTO194287 DDK194287 DNG194287 DXC194287 EGY194287 EQU194287 FAQ194287 FKM194287 FUI194287 GEE194287 GOA194287 GXW194287 HHS194287 HRO194287 IBK194287 ILG194287 IVC194287 JEY194287 JOU194287 JYQ194287 KIM194287 KSI194287 LCE194287 LMA194287 LVW194287 MFS194287 MPO194287 MZK194287 NJG194287 NTC194287 OCY194287 OMU194287 OWQ194287 PGM194287 PQI194287 QAE194287 QKA194287 QTW194287 RDS194287 RNO194287 RXK194287 SHG194287 SRC194287 TAY194287 TKU194287 TUQ194287 UEM194287 UOI194287 UYE194287 VIA194287 VRW194287 WBS194287 WLO194287 WVK194287 IY259823 SU259823 ACQ259823 AMM259823 AWI259823 BGE259823 BQA259823 BZW259823 CJS259823 CTO259823 DDK259823 DNG259823 DXC259823 EGY259823 EQU259823 FAQ259823 FKM259823 FUI259823 GEE259823 GOA259823 GXW259823 HHS259823 HRO259823 IBK259823 ILG259823 IVC259823 JEY259823 JOU259823 JYQ259823 KIM259823 KSI259823 LCE259823 LMA259823 LVW259823 MFS259823 MPO259823 MZK259823 NJG259823 NTC259823 OCY259823 OMU259823 OWQ259823 PGM259823 PQI259823 QAE259823 QKA259823 QTW259823 RDS259823 RNO259823 RXK259823 SHG259823 SRC259823 TAY259823 TKU259823 TUQ259823 UEM259823 UOI259823 UYE259823 VIA259823 VRW259823 WBS259823 WLO259823 WVK259823 IY325359 SU325359 ACQ325359 AMM325359 AWI325359 BGE325359 BQA325359 BZW325359 CJS325359 CTO325359 DDK325359 DNG325359 DXC325359 EGY325359 EQU325359 FAQ325359 FKM325359 FUI325359 GEE325359 GOA325359 GXW325359 HHS325359 HRO325359 IBK325359 ILG325359 IVC325359 JEY325359 JOU325359 JYQ325359 KIM325359 KSI325359 LCE325359 LMA325359 LVW325359 MFS325359 MPO325359 MZK325359 NJG325359 NTC325359 OCY325359 OMU325359 OWQ325359 PGM325359 PQI325359 QAE325359 QKA325359 QTW325359 RDS325359 RNO325359 RXK325359 SHG325359 SRC325359 TAY325359 TKU325359 TUQ325359 UEM325359 UOI325359 UYE325359 VIA325359 VRW325359 WBS325359 WLO325359 WVK325359 IY390895 SU390895 ACQ390895 AMM390895 AWI390895 BGE390895 BQA390895 BZW390895 CJS390895 CTO390895 DDK390895 DNG390895 DXC390895 EGY390895 EQU390895 FAQ390895 FKM390895 FUI390895 GEE390895 GOA390895 GXW390895 HHS390895 HRO390895 IBK390895 ILG390895 IVC390895 JEY390895 JOU390895 JYQ390895 KIM390895 KSI390895 LCE390895 LMA390895 LVW390895 MFS390895 MPO390895 MZK390895 NJG390895 NTC390895 OCY390895 OMU390895 OWQ390895 PGM390895 PQI390895 QAE390895 QKA390895 QTW390895 RDS390895 RNO390895 RXK390895 SHG390895 SRC390895 TAY390895 TKU390895 TUQ390895 UEM390895 UOI390895 UYE390895 VIA390895 VRW390895 WBS390895 WLO390895 WVK390895 IY456431 SU456431 ACQ456431 AMM456431 AWI456431 BGE456431 BQA456431 BZW456431 CJS456431 CTO456431 DDK456431 DNG456431 DXC456431 EGY456431 EQU456431 FAQ456431 FKM456431 FUI456431 GEE456431 GOA456431 GXW456431 HHS456431 HRO456431 IBK456431 ILG456431 IVC456431 JEY456431 JOU456431 JYQ456431 KIM456431 KSI456431 LCE456431 LMA456431 LVW456431 MFS456431 MPO456431 MZK456431 NJG456431 NTC456431 OCY456431 OMU456431 OWQ456431 PGM456431 PQI456431 QAE456431 QKA456431 QTW456431 RDS456431 RNO456431 RXK456431 SHG456431 SRC456431 TAY456431 TKU456431 TUQ456431 UEM456431 UOI456431 UYE456431 VIA456431 VRW456431 WBS456431 WLO456431 WVK456431 IY521967 SU521967 ACQ521967 AMM521967 AWI521967 BGE521967 BQA521967 BZW521967 CJS521967 CTO521967 DDK521967 DNG521967 DXC521967 EGY521967 EQU521967 FAQ521967 FKM521967 FUI521967 GEE521967 GOA521967 GXW521967 HHS521967 HRO521967 IBK521967 ILG521967 IVC521967 JEY521967 JOU521967 JYQ521967 KIM521967 KSI521967 LCE521967 LMA521967 LVW521967 MFS521967 MPO521967 MZK521967 NJG521967 NTC521967 OCY521967 OMU521967 OWQ521967 PGM521967 PQI521967 QAE521967 QKA521967 QTW521967 RDS521967 RNO521967 RXK521967 SHG521967 SRC521967 TAY521967 TKU521967 TUQ521967 UEM521967 UOI521967 UYE521967 VIA521967 VRW521967 WBS521967 WLO521967 WVK521967 IY587503 SU587503 ACQ587503 AMM587503 AWI587503 BGE587503 BQA587503 BZW587503 CJS587503 CTO587503 DDK587503 DNG587503 DXC587503 EGY587503 EQU587503 FAQ587503 FKM587503 FUI587503 GEE587503 GOA587503 GXW587503 HHS587503 HRO587503 IBK587503 ILG587503 IVC587503 JEY587503 JOU587503 JYQ587503 KIM587503 KSI587503 LCE587503 LMA587503 LVW587503 MFS587503 MPO587503 MZK587503 NJG587503 NTC587503 OCY587503 OMU587503 OWQ587503 PGM587503 PQI587503 QAE587503 QKA587503 QTW587503 RDS587503 RNO587503 RXK587503 SHG587503 SRC587503 TAY587503 TKU587503 TUQ587503 UEM587503 UOI587503 UYE587503 VIA587503 VRW587503 WBS587503 WLO587503 WVK587503 IY653039 SU653039 ACQ653039 AMM653039 AWI653039 BGE653039 BQA653039 BZW653039 CJS653039 CTO653039 DDK653039 DNG653039 DXC653039 EGY653039 EQU653039 FAQ653039 FKM653039 FUI653039 GEE653039 GOA653039 GXW653039 HHS653039 HRO653039 IBK653039 ILG653039 IVC653039 JEY653039 JOU653039 JYQ653039 KIM653039 KSI653039 LCE653039 LMA653039 LVW653039 MFS653039 MPO653039 MZK653039 NJG653039 NTC653039 OCY653039 OMU653039 OWQ653039 PGM653039 PQI653039 QAE653039 QKA653039 QTW653039 RDS653039 RNO653039 RXK653039 SHG653039 SRC653039 TAY653039 TKU653039 TUQ653039 UEM653039 UOI653039 UYE653039 VIA653039 VRW653039 WBS653039 WLO653039 WVK653039 IY718575 SU718575 ACQ718575 AMM718575 AWI718575 BGE718575 BQA718575 BZW718575 CJS718575 CTO718575 DDK718575 DNG718575 DXC718575 EGY718575 EQU718575 FAQ718575 FKM718575 FUI718575 GEE718575 GOA718575 GXW718575 HHS718575 HRO718575 IBK718575 ILG718575 IVC718575 JEY718575 JOU718575 JYQ718575 KIM718575 KSI718575 LCE718575 LMA718575 LVW718575 MFS718575 MPO718575 MZK718575 NJG718575 NTC718575 OCY718575 OMU718575 OWQ718575 PGM718575 PQI718575 QAE718575 QKA718575 QTW718575 RDS718575 RNO718575 RXK718575 SHG718575 SRC718575 TAY718575 TKU718575 TUQ718575 UEM718575 UOI718575 UYE718575 VIA718575 VRW718575 WBS718575 WLO718575 WVK718575 IY784111 SU784111 ACQ784111 AMM784111 AWI784111 BGE784111 BQA784111 BZW784111 CJS784111 CTO784111 DDK784111 DNG784111 DXC784111 EGY784111 EQU784111 FAQ784111 FKM784111 FUI784111 GEE784111 GOA784111 GXW784111 HHS784111 HRO784111 IBK784111 ILG784111 IVC784111 JEY784111 JOU784111 JYQ784111 KIM784111 KSI784111 LCE784111 LMA784111 LVW784111 MFS784111 MPO784111 MZK784111 NJG784111 NTC784111 OCY784111 OMU784111 OWQ784111 PGM784111 PQI784111 QAE784111 QKA784111 QTW784111 RDS784111 RNO784111 RXK784111 SHG784111 SRC784111 TAY784111 TKU784111 TUQ784111 UEM784111 UOI784111 UYE784111 VIA784111 VRW784111 WBS784111 WLO784111 WVK784111 IY849647 SU849647 ACQ849647 AMM849647 AWI849647 BGE849647 BQA849647 BZW849647 CJS849647 CTO849647 DDK849647 DNG849647 DXC849647 EGY849647 EQU849647 FAQ849647 FKM849647 FUI849647 GEE849647 GOA849647 GXW849647 HHS849647 HRO849647 IBK849647 ILG849647 IVC849647 JEY849647 JOU849647 JYQ849647 KIM849647 KSI849647 LCE849647 LMA849647 LVW849647 MFS849647 MPO849647 MZK849647 NJG849647 NTC849647 OCY849647 OMU849647 OWQ849647 PGM849647 PQI849647 QAE849647 QKA849647 QTW849647 RDS849647 RNO849647 RXK849647 SHG849647 SRC849647 TAY849647 TKU849647 TUQ849647 UEM849647 UOI849647 UYE849647 VIA849647 VRW849647 WBS849647 WLO849647 WVK849647 IY915183 SU915183 ACQ915183 AMM915183 AWI915183 BGE915183 BQA915183 BZW915183 CJS915183 CTO915183 DDK915183 DNG915183 DXC915183 EGY915183 EQU915183 FAQ915183 FKM915183 FUI915183 GEE915183 GOA915183 GXW915183 HHS915183 HRO915183 IBK915183 ILG915183 IVC915183 JEY915183 JOU915183 JYQ915183 KIM915183 KSI915183 LCE915183 LMA915183 LVW915183 MFS915183 MPO915183 MZK915183 NJG915183 NTC915183 OCY915183 OMU915183 OWQ915183 PGM915183 PQI915183 QAE915183 QKA915183 QTW915183 RDS915183 RNO915183 RXK915183 SHG915183 SRC915183 TAY915183 TKU915183 TUQ915183 UEM915183 UOI915183 UYE915183 VIA915183 VRW915183 WBS915183 WLO915183 WVK915183 IY980719 SU980719 ACQ980719 AMM980719 AWI980719 BGE980719 BQA980719 BZW980719 CJS980719 CTO980719 DDK980719 DNG980719 DXC980719 EGY980719 EQU980719 FAQ980719 FKM980719 FUI980719 GEE980719 GOA980719 GXW980719 HHS980719 HRO980719 IBK980719 ILG980719 IVC980719 JEY980719 JOU980719 JYQ980719 KIM980719 KSI980719 LCE980719 LMA980719 LVW980719 MFS980719 MPO980719 MZK980719 NJG980719 NTC980719 OCY980719 OMU980719 OWQ980719 PGM980719 PQI980719 QAE980719 QKA980719 QTW980719 RDS980719 RNO980719 RXK980719 SHG980719 SRC980719 TAY980719 TKU980719 TUQ980719 UEM980719 UOI980719 UYE980719 VIA980719 VRW980719 WBS980719 WLO980719 WVK980719" xr:uid="{00000000-0002-0000-0300-000000000000}">
      <formula1>3</formula1>
      <formula2>3</formula2>
    </dataValidation>
    <dataValidation type="textLength" allowBlank="1" showErrorMessage="1" errorTitle="ATENCIÓ" error="Aquesta cel·la només admet 3 dígits." sqref="IY63167:IY63185 SU63167:SU63185 ACQ63167:ACQ63185 AMM63167:AMM63185 AWI63167:AWI63185 BGE63167:BGE63185 BQA63167:BQA63185 BZW63167:BZW63185 CJS63167:CJS63185 CTO63167:CTO63185 DDK63167:DDK63185 DNG63167:DNG63185 DXC63167:DXC63185 EGY63167:EGY63185 EQU63167:EQU63185 FAQ63167:FAQ63185 FKM63167:FKM63185 FUI63167:FUI63185 GEE63167:GEE63185 GOA63167:GOA63185 GXW63167:GXW63185 HHS63167:HHS63185 HRO63167:HRO63185 IBK63167:IBK63185 ILG63167:ILG63185 IVC63167:IVC63185 JEY63167:JEY63185 JOU63167:JOU63185 JYQ63167:JYQ63185 KIM63167:KIM63185 KSI63167:KSI63185 LCE63167:LCE63185 LMA63167:LMA63185 LVW63167:LVW63185 MFS63167:MFS63185 MPO63167:MPO63185 MZK63167:MZK63185 NJG63167:NJG63185 NTC63167:NTC63185 OCY63167:OCY63185 OMU63167:OMU63185 OWQ63167:OWQ63185 PGM63167:PGM63185 PQI63167:PQI63185 QAE63167:QAE63185 QKA63167:QKA63185 QTW63167:QTW63185 RDS63167:RDS63185 RNO63167:RNO63185 RXK63167:RXK63185 SHG63167:SHG63185 SRC63167:SRC63185 TAY63167:TAY63185 TKU63167:TKU63185 TUQ63167:TUQ63185 UEM63167:UEM63185 UOI63167:UOI63185 UYE63167:UYE63185 VIA63167:VIA63185 VRW63167:VRW63185 WBS63167:WBS63185 WLO63167:WLO63185 WVK63167:WVK63185 IY128703:IY128721 SU128703:SU128721 ACQ128703:ACQ128721 AMM128703:AMM128721 AWI128703:AWI128721 BGE128703:BGE128721 BQA128703:BQA128721 BZW128703:BZW128721 CJS128703:CJS128721 CTO128703:CTO128721 DDK128703:DDK128721 DNG128703:DNG128721 DXC128703:DXC128721 EGY128703:EGY128721 EQU128703:EQU128721 FAQ128703:FAQ128721 FKM128703:FKM128721 FUI128703:FUI128721 GEE128703:GEE128721 GOA128703:GOA128721 GXW128703:GXW128721 HHS128703:HHS128721 HRO128703:HRO128721 IBK128703:IBK128721 ILG128703:ILG128721 IVC128703:IVC128721 JEY128703:JEY128721 JOU128703:JOU128721 JYQ128703:JYQ128721 KIM128703:KIM128721 KSI128703:KSI128721 LCE128703:LCE128721 LMA128703:LMA128721 LVW128703:LVW128721 MFS128703:MFS128721 MPO128703:MPO128721 MZK128703:MZK128721 NJG128703:NJG128721 NTC128703:NTC128721 OCY128703:OCY128721 OMU128703:OMU128721 OWQ128703:OWQ128721 PGM128703:PGM128721 PQI128703:PQI128721 QAE128703:QAE128721 QKA128703:QKA128721 QTW128703:QTW128721 RDS128703:RDS128721 RNO128703:RNO128721 RXK128703:RXK128721 SHG128703:SHG128721 SRC128703:SRC128721 TAY128703:TAY128721 TKU128703:TKU128721 TUQ128703:TUQ128721 UEM128703:UEM128721 UOI128703:UOI128721 UYE128703:UYE128721 VIA128703:VIA128721 VRW128703:VRW128721 WBS128703:WBS128721 WLO128703:WLO128721 WVK128703:WVK128721 IY194239:IY194257 SU194239:SU194257 ACQ194239:ACQ194257 AMM194239:AMM194257 AWI194239:AWI194257 BGE194239:BGE194257 BQA194239:BQA194257 BZW194239:BZW194257 CJS194239:CJS194257 CTO194239:CTO194257 DDK194239:DDK194257 DNG194239:DNG194257 DXC194239:DXC194257 EGY194239:EGY194257 EQU194239:EQU194257 FAQ194239:FAQ194257 FKM194239:FKM194257 FUI194239:FUI194257 GEE194239:GEE194257 GOA194239:GOA194257 GXW194239:GXW194257 HHS194239:HHS194257 HRO194239:HRO194257 IBK194239:IBK194257 ILG194239:ILG194257 IVC194239:IVC194257 JEY194239:JEY194257 JOU194239:JOU194257 JYQ194239:JYQ194257 KIM194239:KIM194257 KSI194239:KSI194257 LCE194239:LCE194257 LMA194239:LMA194257 LVW194239:LVW194257 MFS194239:MFS194257 MPO194239:MPO194257 MZK194239:MZK194257 NJG194239:NJG194257 NTC194239:NTC194257 OCY194239:OCY194257 OMU194239:OMU194257 OWQ194239:OWQ194257 PGM194239:PGM194257 PQI194239:PQI194257 QAE194239:QAE194257 QKA194239:QKA194257 QTW194239:QTW194257 RDS194239:RDS194257 RNO194239:RNO194257 RXK194239:RXK194257 SHG194239:SHG194257 SRC194239:SRC194257 TAY194239:TAY194257 TKU194239:TKU194257 TUQ194239:TUQ194257 UEM194239:UEM194257 UOI194239:UOI194257 UYE194239:UYE194257 VIA194239:VIA194257 VRW194239:VRW194257 WBS194239:WBS194257 WLO194239:WLO194257 WVK194239:WVK194257 IY259775:IY259793 SU259775:SU259793 ACQ259775:ACQ259793 AMM259775:AMM259793 AWI259775:AWI259793 BGE259775:BGE259793 BQA259775:BQA259793 BZW259775:BZW259793 CJS259775:CJS259793 CTO259775:CTO259793 DDK259775:DDK259793 DNG259775:DNG259793 DXC259775:DXC259793 EGY259775:EGY259793 EQU259775:EQU259793 FAQ259775:FAQ259793 FKM259775:FKM259793 FUI259775:FUI259793 GEE259775:GEE259793 GOA259775:GOA259793 GXW259775:GXW259793 HHS259775:HHS259793 HRO259775:HRO259793 IBK259775:IBK259793 ILG259775:ILG259793 IVC259775:IVC259793 JEY259775:JEY259793 JOU259775:JOU259793 JYQ259775:JYQ259793 KIM259775:KIM259793 KSI259775:KSI259793 LCE259775:LCE259793 LMA259775:LMA259793 LVW259775:LVW259793 MFS259775:MFS259793 MPO259775:MPO259793 MZK259775:MZK259793 NJG259775:NJG259793 NTC259775:NTC259793 OCY259775:OCY259793 OMU259775:OMU259793 OWQ259775:OWQ259793 PGM259775:PGM259793 PQI259775:PQI259793 QAE259775:QAE259793 QKA259775:QKA259793 QTW259775:QTW259793 RDS259775:RDS259793 RNO259775:RNO259793 RXK259775:RXK259793 SHG259775:SHG259793 SRC259775:SRC259793 TAY259775:TAY259793 TKU259775:TKU259793 TUQ259775:TUQ259793 UEM259775:UEM259793 UOI259775:UOI259793 UYE259775:UYE259793 VIA259775:VIA259793 VRW259775:VRW259793 WBS259775:WBS259793 WLO259775:WLO259793 WVK259775:WVK259793 IY325311:IY325329 SU325311:SU325329 ACQ325311:ACQ325329 AMM325311:AMM325329 AWI325311:AWI325329 BGE325311:BGE325329 BQA325311:BQA325329 BZW325311:BZW325329 CJS325311:CJS325329 CTO325311:CTO325329 DDK325311:DDK325329 DNG325311:DNG325329 DXC325311:DXC325329 EGY325311:EGY325329 EQU325311:EQU325329 FAQ325311:FAQ325329 FKM325311:FKM325329 FUI325311:FUI325329 GEE325311:GEE325329 GOA325311:GOA325329 GXW325311:GXW325329 HHS325311:HHS325329 HRO325311:HRO325329 IBK325311:IBK325329 ILG325311:ILG325329 IVC325311:IVC325329 JEY325311:JEY325329 JOU325311:JOU325329 JYQ325311:JYQ325329 KIM325311:KIM325329 KSI325311:KSI325329 LCE325311:LCE325329 LMA325311:LMA325329 LVW325311:LVW325329 MFS325311:MFS325329 MPO325311:MPO325329 MZK325311:MZK325329 NJG325311:NJG325329 NTC325311:NTC325329 OCY325311:OCY325329 OMU325311:OMU325329 OWQ325311:OWQ325329 PGM325311:PGM325329 PQI325311:PQI325329 QAE325311:QAE325329 QKA325311:QKA325329 QTW325311:QTW325329 RDS325311:RDS325329 RNO325311:RNO325329 RXK325311:RXK325329 SHG325311:SHG325329 SRC325311:SRC325329 TAY325311:TAY325329 TKU325311:TKU325329 TUQ325311:TUQ325329 UEM325311:UEM325329 UOI325311:UOI325329 UYE325311:UYE325329 VIA325311:VIA325329 VRW325311:VRW325329 WBS325311:WBS325329 WLO325311:WLO325329 WVK325311:WVK325329 IY390847:IY390865 SU390847:SU390865 ACQ390847:ACQ390865 AMM390847:AMM390865 AWI390847:AWI390865 BGE390847:BGE390865 BQA390847:BQA390865 BZW390847:BZW390865 CJS390847:CJS390865 CTO390847:CTO390865 DDK390847:DDK390865 DNG390847:DNG390865 DXC390847:DXC390865 EGY390847:EGY390865 EQU390847:EQU390865 FAQ390847:FAQ390865 FKM390847:FKM390865 FUI390847:FUI390865 GEE390847:GEE390865 GOA390847:GOA390865 GXW390847:GXW390865 HHS390847:HHS390865 HRO390847:HRO390865 IBK390847:IBK390865 ILG390847:ILG390865 IVC390847:IVC390865 JEY390847:JEY390865 JOU390847:JOU390865 JYQ390847:JYQ390865 KIM390847:KIM390865 KSI390847:KSI390865 LCE390847:LCE390865 LMA390847:LMA390865 LVW390847:LVW390865 MFS390847:MFS390865 MPO390847:MPO390865 MZK390847:MZK390865 NJG390847:NJG390865 NTC390847:NTC390865 OCY390847:OCY390865 OMU390847:OMU390865 OWQ390847:OWQ390865 PGM390847:PGM390865 PQI390847:PQI390865 QAE390847:QAE390865 QKA390847:QKA390865 QTW390847:QTW390865 RDS390847:RDS390865 RNO390847:RNO390865 RXK390847:RXK390865 SHG390847:SHG390865 SRC390847:SRC390865 TAY390847:TAY390865 TKU390847:TKU390865 TUQ390847:TUQ390865 UEM390847:UEM390865 UOI390847:UOI390865 UYE390847:UYE390865 VIA390847:VIA390865 VRW390847:VRW390865 WBS390847:WBS390865 WLO390847:WLO390865 WVK390847:WVK390865 IY456383:IY456401 SU456383:SU456401 ACQ456383:ACQ456401 AMM456383:AMM456401 AWI456383:AWI456401 BGE456383:BGE456401 BQA456383:BQA456401 BZW456383:BZW456401 CJS456383:CJS456401 CTO456383:CTO456401 DDK456383:DDK456401 DNG456383:DNG456401 DXC456383:DXC456401 EGY456383:EGY456401 EQU456383:EQU456401 FAQ456383:FAQ456401 FKM456383:FKM456401 FUI456383:FUI456401 GEE456383:GEE456401 GOA456383:GOA456401 GXW456383:GXW456401 HHS456383:HHS456401 HRO456383:HRO456401 IBK456383:IBK456401 ILG456383:ILG456401 IVC456383:IVC456401 JEY456383:JEY456401 JOU456383:JOU456401 JYQ456383:JYQ456401 KIM456383:KIM456401 KSI456383:KSI456401 LCE456383:LCE456401 LMA456383:LMA456401 LVW456383:LVW456401 MFS456383:MFS456401 MPO456383:MPO456401 MZK456383:MZK456401 NJG456383:NJG456401 NTC456383:NTC456401 OCY456383:OCY456401 OMU456383:OMU456401 OWQ456383:OWQ456401 PGM456383:PGM456401 PQI456383:PQI456401 QAE456383:QAE456401 QKA456383:QKA456401 QTW456383:QTW456401 RDS456383:RDS456401 RNO456383:RNO456401 RXK456383:RXK456401 SHG456383:SHG456401 SRC456383:SRC456401 TAY456383:TAY456401 TKU456383:TKU456401 TUQ456383:TUQ456401 UEM456383:UEM456401 UOI456383:UOI456401 UYE456383:UYE456401 VIA456383:VIA456401 VRW456383:VRW456401 WBS456383:WBS456401 WLO456383:WLO456401 WVK456383:WVK456401 IY521919:IY521937 SU521919:SU521937 ACQ521919:ACQ521937 AMM521919:AMM521937 AWI521919:AWI521937 BGE521919:BGE521937 BQA521919:BQA521937 BZW521919:BZW521937 CJS521919:CJS521937 CTO521919:CTO521937 DDK521919:DDK521937 DNG521919:DNG521937 DXC521919:DXC521937 EGY521919:EGY521937 EQU521919:EQU521937 FAQ521919:FAQ521937 FKM521919:FKM521937 FUI521919:FUI521937 GEE521919:GEE521937 GOA521919:GOA521937 GXW521919:GXW521937 HHS521919:HHS521937 HRO521919:HRO521937 IBK521919:IBK521937 ILG521919:ILG521937 IVC521919:IVC521937 JEY521919:JEY521937 JOU521919:JOU521937 JYQ521919:JYQ521937 KIM521919:KIM521937 KSI521919:KSI521937 LCE521919:LCE521937 LMA521919:LMA521937 LVW521919:LVW521937 MFS521919:MFS521937 MPO521919:MPO521937 MZK521919:MZK521937 NJG521919:NJG521937 NTC521919:NTC521937 OCY521919:OCY521937 OMU521919:OMU521937 OWQ521919:OWQ521937 PGM521919:PGM521937 PQI521919:PQI521937 QAE521919:QAE521937 QKA521919:QKA521937 QTW521919:QTW521937 RDS521919:RDS521937 RNO521919:RNO521937 RXK521919:RXK521937 SHG521919:SHG521937 SRC521919:SRC521937 TAY521919:TAY521937 TKU521919:TKU521937 TUQ521919:TUQ521937 UEM521919:UEM521937 UOI521919:UOI521937 UYE521919:UYE521937 VIA521919:VIA521937 VRW521919:VRW521937 WBS521919:WBS521937 WLO521919:WLO521937 WVK521919:WVK521937 IY587455:IY587473 SU587455:SU587473 ACQ587455:ACQ587473 AMM587455:AMM587473 AWI587455:AWI587473 BGE587455:BGE587473 BQA587455:BQA587473 BZW587455:BZW587473 CJS587455:CJS587473 CTO587455:CTO587473 DDK587455:DDK587473 DNG587455:DNG587473 DXC587455:DXC587473 EGY587455:EGY587473 EQU587455:EQU587473 FAQ587455:FAQ587473 FKM587455:FKM587473 FUI587455:FUI587473 GEE587455:GEE587473 GOA587455:GOA587473 GXW587455:GXW587473 HHS587455:HHS587473 HRO587455:HRO587473 IBK587455:IBK587473 ILG587455:ILG587473 IVC587455:IVC587473 JEY587455:JEY587473 JOU587455:JOU587473 JYQ587455:JYQ587473 KIM587455:KIM587473 KSI587455:KSI587473 LCE587455:LCE587473 LMA587455:LMA587473 LVW587455:LVW587473 MFS587455:MFS587473 MPO587455:MPO587473 MZK587455:MZK587473 NJG587455:NJG587473 NTC587455:NTC587473 OCY587455:OCY587473 OMU587455:OMU587473 OWQ587455:OWQ587473 PGM587455:PGM587473 PQI587455:PQI587473 QAE587455:QAE587473 QKA587455:QKA587473 QTW587455:QTW587473 RDS587455:RDS587473 RNO587455:RNO587473 RXK587455:RXK587473 SHG587455:SHG587473 SRC587455:SRC587473 TAY587455:TAY587473 TKU587455:TKU587473 TUQ587455:TUQ587473 UEM587455:UEM587473 UOI587455:UOI587473 UYE587455:UYE587473 VIA587455:VIA587473 VRW587455:VRW587473 WBS587455:WBS587473 WLO587455:WLO587473 WVK587455:WVK587473 IY652991:IY653009 SU652991:SU653009 ACQ652991:ACQ653009 AMM652991:AMM653009 AWI652991:AWI653009 BGE652991:BGE653009 BQA652991:BQA653009 BZW652991:BZW653009 CJS652991:CJS653009 CTO652991:CTO653009 DDK652991:DDK653009 DNG652991:DNG653009 DXC652991:DXC653009 EGY652991:EGY653009 EQU652991:EQU653009 FAQ652991:FAQ653009 FKM652991:FKM653009 FUI652991:FUI653009 GEE652991:GEE653009 GOA652991:GOA653009 GXW652991:GXW653009 HHS652991:HHS653009 HRO652991:HRO653009 IBK652991:IBK653009 ILG652991:ILG653009 IVC652991:IVC653009 JEY652991:JEY653009 JOU652991:JOU653009 JYQ652991:JYQ653009 KIM652991:KIM653009 KSI652991:KSI653009 LCE652991:LCE653009 LMA652991:LMA653009 LVW652991:LVW653009 MFS652991:MFS653009 MPO652991:MPO653009 MZK652991:MZK653009 NJG652991:NJG653009 NTC652991:NTC653009 OCY652991:OCY653009 OMU652991:OMU653009 OWQ652991:OWQ653009 PGM652991:PGM653009 PQI652991:PQI653009 QAE652991:QAE653009 QKA652991:QKA653009 QTW652991:QTW653009 RDS652991:RDS653009 RNO652991:RNO653009 RXK652991:RXK653009 SHG652991:SHG653009 SRC652991:SRC653009 TAY652991:TAY653009 TKU652991:TKU653009 TUQ652991:TUQ653009 UEM652991:UEM653009 UOI652991:UOI653009 UYE652991:UYE653009 VIA652991:VIA653009 VRW652991:VRW653009 WBS652991:WBS653009 WLO652991:WLO653009 WVK652991:WVK653009 IY718527:IY718545 SU718527:SU718545 ACQ718527:ACQ718545 AMM718527:AMM718545 AWI718527:AWI718545 BGE718527:BGE718545 BQA718527:BQA718545 BZW718527:BZW718545 CJS718527:CJS718545 CTO718527:CTO718545 DDK718527:DDK718545 DNG718527:DNG718545 DXC718527:DXC718545 EGY718527:EGY718545 EQU718527:EQU718545 FAQ718527:FAQ718545 FKM718527:FKM718545 FUI718527:FUI718545 GEE718527:GEE718545 GOA718527:GOA718545 GXW718527:GXW718545 HHS718527:HHS718545 HRO718527:HRO718545 IBK718527:IBK718545 ILG718527:ILG718545 IVC718527:IVC718545 JEY718527:JEY718545 JOU718527:JOU718545 JYQ718527:JYQ718545 KIM718527:KIM718545 KSI718527:KSI718545 LCE718527:LCE718545 LMA718527:LMA718545 LVW718527:LVW718545 MFS718527:MFS718545 MPO718527:MPO718545 MZK718527:MZK718545 NJG718527:NJG718545 NTC718527:NTC718545 OCY718527:OCY718545 OMU718527:OMU718545 OWQ718527:OWQ718545 PGM718527:PGM718545 PQI718527:PQI718545 QAE718527:QAE718545 QKA718527:QKA718545 QTW718527:QTW718545 RDS718527:RDS718545 RNO718527:RNO718545 RXK718527:RXK718545 SHG718527:SHG718545 SRC718527:SRC718545 TAY718527:TAY718545 TKU718527:TKU718545 TUQ718527:TUQ718545 UEM718527:UEM718545 UOI718527:UOI718545 UYE718527:UYE718545 VIA718527:VIA718545 VRW718527:VRW718545 WBS718527:WBS718545 WLO718527:WLO718545 WVK718527:WVK718545 IY784063:IY784081 SU784063:SU784081 ACQ784063:ACQ784081 AMM784063:AMM784081 AWI784063:AWI784081 BGE784063:BGE784081 BQA784063:BQA784081 BZW784063:BZW784081 CJS784063:CJS784081 CTO784063:CTO784081 DDK784063:DDK784081 DNG784063:DNG784081 DXC784063:DXC784081 EGY784063:EGY784081 EQU784063:EQU784081 FAQ784063:FAQ784081 FKM784063:FKM784081 FUI784063:FUI784081 GEE784063:GEE784081 GOA784063:GOA784081 GXW784063:GXW784081 HHS784063:HHS784081 HRO784063:HRO784081 IBK784063:IBK784081 ILG784063:ILG784081 IVC784063:IVC784081 JEY784063:JEY784081 JOU784063:JOU784081 JYQ784063:JYQ784081 KIM784063:KIM784081 KSI784063:KSI784081 LCE784063:LCE784081 LMA784063:LMA784081 LVW784063:LVW784081 MFS784063:MFS784081 MPO784063:MPO784081 MZK784063:MZK784081 NJG784063:NJG784081 NTC784063:NTC784081 OCY784063:OCY784081 OMU784063:OMU784081 OWQ784063:OWQ784081 PGM784063:PGM784081 PQI784063:PQI784081 QAE784063:QAE784081 QKA784063:QKA784081 QTW784063:QTW784081 RDS784063:RDS784081 RNO784063:RNO784081 RXK784063:RXK784081 SHG784063:SHG784081 SRC784063:SRC784081 TAY784063:TAY784081 TKU784063:TKU784081 TUQ784063:TUQ784081 UEM784063:UEM784081 UOI784063:UOI784081 UYE784063:UYE784081 VIA784063:VIA784081 VRW784063:VRW784081 WBS784063:WBS784081 WLO784063:WLO784081 WVK784063:WVK784081 IY849599:IY849617 SU849599:SU849617 ACQ849599:ACQ849617 AMM849599:AMM849617 AWI849599:AWI849617 BGE849599:BGE849617 BQA849599:BQA849617 BZW849599:BZW849617 CJS849599:CJS849617 CTO849599:CTO849617 DDK849599:DDK849617 DNG849599:DNG849617 DXC849599:DXC849617 EGY849599:EGY849617 EQU849599:EQU849617 FAQ849599:FAQ849617 FKM849599:FKM849617 FUI849599:FUI849617 GEE849599:GEE849617 GOA849599:GOA849617 GXW849599:GXW849617 HHS849599:HHS849617 HRO849599:HRO849617 IBK849599:IBK849617 ILG849599:ILG849617 IVC849599:IVC849617 JEY849599:JEY849617 JOU849599:JOU849617 JYQ849599:JYQ849617 KIM849599:KIM849617 KSI849599:KSI849617 LCE849599:LCE849617 LMA849599:LMA849617 LVW849599:LVW849617 MFS849599:MFS849617 MPO849599:MPO849617 MZK849599:MZK849617 NJG849599:NJG849617 NTC849599:NTC849617 OCY849599:OCY849617 OMU849599:OMU849617 OWQ849599:OWQ849617 PGM849599:PGM849617 PQI849599:PQI849617 QAE849599:QAE849617 QKA849599:QKA849617 QTW849599:QTW849617 RDS849599:RDS849617 RNO849599:RNO849617 RXK849599:RXK849617 SHG849599:SHG849617 SRC849599:SRC849617 TAY849599:TAY849617 TKU849599:TKU849617 TUQ849599:TUQ849617 UEM849599:UEM849617 UOI849599:UOI849617 UYE849599:UYE849617 VIA849599:VIA849617 VRW849599:VRW849617 WBS849599:WBS849617 WLO849599:WLO849617 WVK849599:WVK849617 IY915135:IY915153 SU915135:SU915153 ACQ915135:ACQ915153 AMM915135:AMM915153 AWI915135:AWI915153 BGE915135:BGE915153 BQA915135:BQA915153 BZW915135:BZW915153 CJS915135:CJS915153 CTO915135:CTO915153 DDK915135:DDK915153 DNG915135:DNG915153 DXC915135:DXC915153 EGY915135:EGY915153 EQU915135:EQU915153 FAQ915135:FAQ915153 FKM915135:FKM915153 FUI915135:FUI915153 GEE915135:GEE915153 GOA915135:GOA915153 GXW915135:GXW915153 HHS915135:HHS915153 HRO915135:HRO915153 IBK915135:IBK915153 ILG915135:ILG915153 IVC915135:IVC915153 JEY915135:JEY915153 JOU915135:JOU915153 JYQ915135:JYQ915153 KIM915135:KIM915153 KSI915135:KSI915153 LCE915135:LCE915153 LMA915135:LMA915153 LVW915135:LVW915153 MFS915135:MFS915153 MPO915135:MPO915153 MZK915135:MZK915153 NJG915135:NJG915153 NTC915135:NTC915153 OCY915135:OCY915153 OMU915135:OMU915153 OWQ915135:OWQ915153 PGM915135:PGM915153 PQI915135:PQI915153 QAE915135:QAE915153 QKA915135:QKA915153 QTW915135:QTW915153 RDS915135:RDS915153 RNO915135:RNO915153 RXK915135:RXK915153 SHG915135:SHG915153 SRC915135:SRC915153 TAY915135:TAY915153 TKU915135:TKU915153 TUQ915135:TUQ915153 UEM915135:UEM915153 UOI915135:UOI915153 UYE915135:UYE915153 VIA915135:VIA915153 VRW915135:VRW915153 WBS915135:WBS915153 WLO915135:WLO915153 WVK915135:WVK915153 IY980671:IY980689 SU980671:SU980689 ACQ980671:ACQ980689 AMM980671:AMM980689 AWI980671:AWI980689 BGE980671:BGE980689 BQA980671:BQA980689 BZW980671:BZW980689 CJS980671:CJS980689 CTO980671:CTO980689 DDK980671:DDK980689 DNG980671:DNG980689 DXC980671:DXC980689 EGY980671:EGY980689 EQU980671:EQU980689 FAQ980671:FAQ980689 FKM980671:FKM980689 FUI980671:FUI980689 GEE980671:GEE980689 GOA980671:GOA980689 GXW980671:GXW980689 HHS980671:HHS980689 HRO980671:HRO980689 IBK980671:IBK980689 ILG980671:ILG980689 IVC980671:IVC980689 JEY980671:JEY980689 JOU980671:JOU980689 JYQ980671:JYQ980689 KIM980671:KIM980689 KSI980671:KSI980689 LCE980671:LCE980689 LMA980671:LMA980689 LVW980671:LVW980689 MFS980671:MFS980689 MPO980671:MPO980689 MZK980671:MZK980689 NJG980671:NJG980689 NTC980671:NTC980689 OCY980671:OCY980689 OMU980671:OMU980689 OWQ980671:OWQ980689 PGM980671:PGM980689 PQI980671:PQI980689 QAE980671:QAE980689 QKA980671:QKA980689 QTW980671:QTW980689 RDS980671:RDS980689 RNO980671:RNO980689 RXK980671:RXK980689 SHG980671:SHG980689 SRC980671:SRC980689 TAY980671:TAY980689 TKU980671:TKU980689 TUQ980671:TUQ980689 UEM980671:UEM980689 UOI980671:UOI980689 UYE980671:UYE980689 VIA980671:VIA980689 VRW980671:VRW980689 WBS980671:WBS980689 WLO980671:WLO980689 WVK980671:WVK980689 IY63208:IY63214 SU63208:SU63214 ACQ63208:ACQ63214 AMM63208:AMM63214 AWI63208:AWI63214 BGE63208:BGE63214 BQA63208:BQA63214 BZW63208:BZW63214 CJS63208:CJS63214 CTO63208:CTO63214 DDK63208:DDK63214 DNG63208:DNG63214 DXC63208:DXC63214 EGY63208:EGY63214 EQU63208:EQU63214 FAQ63208:FAQ63214 FKM63208:FKM63214 FUI63208:FUI63214 GEE63208:GEE63214 GOA63208:GOA63214 GXW63208:GXW63214 HHS63208:HHS63214 HRO63208:HRO63214 IBK63208:IBK63214 ILG63208:ILG63214 IVC63208:IVC63214 JEY63208:JEY63214 JOU63208:JOU63214 JYQ63208:JYQ63214 KIM63208:KIM63214 KSI63208:KSI63214 LCE63208:LCE63214 LMA63208:LMA63214 LVW63208:LVW63214 MFS63208:MFS63214 MPO63208:MPO63214 MZK63208:MZK63214 NJG63208:NJG63214 NTC63208:NTC63214 OCY63208:OCY63214 OMU63208:OMU63214 OWQ63208:OWQ63214 PGM63208:PGM63214 PQI63208:PQI63214 QAE63208:QAE63214 QKA63208:QKA63214 QTW63208:QTW63214 RDS63208:RDS63214 RNO63208:RNO63214 RXK63208:RXK63214 SHG63208:SHG63214 SRC63208:SRC63214 TAY63208:TAY63214 TKU63208:TKU63214 TUQ63208:TUQ63214 UEM63208:UEM63214 UOI63208:UOI63214 UYE63208:UYE63214 VIA63208:VIA63214 VRW63208:VRW63214 WBS63208:WBS63214 WLO63208:WLO63214 WVK63208:WVK63214 IY128744:IY128750 SU128744:SU128750 ACQ128744:ACQ128750 AMM128744:AMM128750 AWI128744:AWI128750 BGE128744:BGE128750 BQA128744:BQA128750 BZW128744:BZW128750 CJS128744:CJS128750 CTO128744:CTO128750 DDK128744:DDK128750 DNG128744:DNG128750 DXC128744:DXC128750 EGY128744:EGY128750 EQU128744:EQU128750 FAQ128744:FAQ128750 FKM128744:FKM128750 FUI128744:FUI128750 GEE128744:GEE128750 GOA128744:GOA128750 GXW128744:GXW128750 HHS128744:HHS128750 HRO128744:HRO128750 IBK128744:IBK128750 ILG128744:ILG128750 IVC128744:IVC128750 JEY128744:JEY128750 JOU128744:JOU128750 JYQ128744:JYQ128750 KIM128744:KIM128750 KSI128744:KSI128750 LCE128744:LCE128750 LMA128744:LMA128750 LVW128744:LVW128750 MFS128744:MFS128750 MPO128744:MPO128750 MZK128744:MZK128750 NJG128744:NJG128750 NTC128744:NTC128750 OCY128744:OCY128750 OMU128744:OMU128750 OWQ128744:OWQ128750 PGM128744:PGM128750 PQI128744:PQI128750 QAE128744:QAE128750 QKA128744:QKA128750 QTW128744:QTW128750 RDS128744:RDS128750 RNO128744:RNO128750 RXK128744:RXK128750 SHG128744:SHG128750 SRC128744:SRC128750 TAY128744:TAY128750 TKU128744:TKU128750 TUQ128744:TUQ128750 UEM128744:UEM128750 UOI128744:UOI128750 UYE128744:UYE128750 VIA128744:VIA128750 VRW128744:VRW128750 WBS128744:WBS128750 WLO128744:WLO128750 WVK128744:WVK128750 IY194280:IY194286 SU194280:SU194286 ACQ194280:ACQ194286 AMM194280:AMM194286 AWI194280:AWI194286 BGE194280:BGE194286 BQA194280:BQA194286 BZW194280:BZW194286 CJS194280:CJS194286 CTO194280:CTO194286 DDK194280:DDK194286 DNG194280:DNG194286 DXC194280:DXC194286 EGY194280:EGY194286 EQU194280:EQU194286 FAQ194280:FAQ194286 FKM194280:FKM194286 FUI194280:FUI194286 GEE194280:GEE194286 GOA194280:GOA194286 GXW194280:GXW194286 HHS194280:HHS194286 HRO194280:HRO194286 IBK194280:IBK194286 ILG194280:ILG194286 IVC194280:IVC194286 JEY194280:JEY194286 JOU194280:JOU194286 JYQ194280:JYQ194286 KIM194280:KIM194286 KSI194280:KSI194286 LCE194280:LCE194286 LMA194280:LMA194286 LVW194280:LVW194286 MFS194280:MFS194286 MPO194280:MPO194286 MZK194280:MZK194286 NJG194280:NJG194286 NTC194280:NTC194286 OCY194280:OCY194286 OMU194280:OMU194286 OWQ194280:OWQ194286 PGM194280:PGM194286 PQI194280:PQI194286 QAE194280:QAE194286 QKA194280:QKA194286 QTW194280:QTW194286 RDS194280:RDS194286 RNO194280:RNO194286 RXK194280:RXK194286 SHG194280:SHG194286 SRC194280:SRC194286 TAY194280:TAY194286 TKU194280:TKU194286 TUQ194280:TUQ194286 UEM194280:UEM194286 UOI194280:UOI194286 UYE194280:UYE194286 VIA194280:VIA194286 VRW194280:VRW194286 WBS194280:WBS194286 WLO194280:WLO194286 WVK194280:WVK194286 IY259816:IY259822 SU259816:SU259822 ACQ259816:ACQ259822 AMM259816:AMM259822 AWI259816:AWI259822 BGE259816:BGE259822 BQA259816:BQA259822 BZW259816:BZW259822 CJS259816:CJS259822 CTO259816:CTO259822 DDK259816:DDK259822 DNG259816:DNG259822 DXC259816:DXC259822 EGY259816:EGY259822 EQU259816:EQU259822 FAQ259816:FAQ259822 FKM259816:FKM259822 FUI259816:FUI259822 GEE259816:GEE259822 GOA259816:GOA259822 GXW259816:GXW259822 HHS259816:HHS259822 HRO259816:HRO259822 IBK259816:IBK259822 ILG259816:ILG259822 IVC259816:IVC259822 JEY259816:JEY259822 JOU259816:JOU259822 JYQ259816:JYQ259822 KIM259816:KIM259822 KSI259816:KSI259822 LCE259816:LCE259822 LMA259816:LMA259822 LVW259816:LVW259822 MFS259816:MFS259822 MPO259816:MPO259822 MZK259816:MZK259822 NJG259816:NJG259822 NTC259816:NTC259822 OCY259816:OCY259822 OMU259816:OMU259822 OWQ259816:OWQ259822 PGM259816:PGM259822 PQI259816:PQI259822 QAE259816:QAE259822 QKA259816:QKA259822 QTW259816:QTW259822 RDS259816:RDS259822 RNO259816:RNO259822 RXK259816:RXK259822 SHG259816:SHG259822 SRC259816:SRC259822 TAY259816:TAY259822 TKU259816:TKU259822 TUQ259816:TUQ259822 UEM259816:UEM259822 UOI259816:UOI259822 UYE259816:UYE259822 VIA259816:VIA259822 VRW259816:VRW259822 WBS259816:WBS259822 WLO259816:WLO259822 WVK259816:WVK259822 IY325352:IY325358 SU325352:SU325358 ACQ325352:ACQ325358 AMM325352:AMM325358 AWI325352:AWI325358 BGE325352:BGE325358 BQA325352:BQA325358 BZW325352:BZW325358 CJS325352:CJS325358 CTO325352:CTO325358 DDK325352:DDK325358 DNG325352:DNG325358 DXC325352:DXC325358 EGY325352:EGY325358 EQU325352:EQU325358 FAQ325352:FAQ325358 FKM325352:FKM325358 FUI325352:FUI325358 GEE325352:GEE325358 GOA325352:GOA325358 GXW325352:GXW325358 HHS325352:HHS325358 HRO325352:HRO325358 IBK325352:IBK325358 ILG325352:ILG325358 IVC325352:IVC325358 JEY325352:JEY325358 JOU325352:JOU325358 JYQ325352:JYQ325358 KIM325352:KIM325358 KSI325352:KSI325358 LCE325352:LCE325358 LMA325352:LMA325358 LVW325352:LVW325358 MFS325352:MFS325358 MPO325352:MPO325358 MZK325352:MZK325358 NJG325352:NJG325358 NTC325352:NTC325358 OCY325352:OCY325358 OMU325352:OMU325358 OWQ325352:OWQ325358 PGM325352:PGM325358 PQI325352:PQI325358 QAE325352:QAE325358 QKA325352:QKA325358 QTW325352:QTW325358 RDS325352:RDS325358 RNO325352:RNO325358 RXK325352:RXK325358 SHG325352:SHG325358 SRC325352:SRC325358 TAY325352:TAY325358 TKU325352:TKU325358 TUQ325352:TUQ325358 UEM325352:UEM325358 UOI325352:UOI325358 UYE325352:UYE325358 VIA325352:VIA325358 VRW325352:VRW325358 WBS325352:WBS325358 WLO325352:WLO325358 WVK325352:WVK325358 IY390888:IY390894 SU390888:SU390894 ACQ390888:ACQ390894 AMM390888:AMM390894 AWI390888:AWI390894 BGE390888:BGE390894 BQA390888:BQA390894 BZW390888:BZW390894 CJS390888:CJS390894 CTO390888:CTO390894 DDK390888:DDK390894 DNG390888:DNG390894 DXC390888:DXC390894 EGY390888:EGY390894 EQU390888:EQU390894 FAQ390888:FAQ390894 FKM390888:FKM390894 FUI390888:FUI390894 GEE390888:GEE390894 GOA390888:GOA390894 GXW390888:GXW390894 HHS390888:HHS390894 HRO390888:HRO390894 IBK390888:IBK390894 ILG390888:ILG390894 IVC390888:IVC390894 JEY390888:JEY390894 JOU390888:JOU390894 JYQ390888:JYQ390894 KIM390888:KIM390894 KSI390888:KSI390894 LCE390888:LCE390894 LMA390888:LMA390894 LVW390888:LVW390894 MFS390888:MFS390894 MPO390888:MPO390894 MZK390888:MZK390894 NJG390888:NJG390894 NTC390888:NTC390894 OCY390888:OCY390894 OMU390888:OMU390894 OWQ390888:OWQ390894 PGM390888:PGM390894 PQI390888:PQI390894 QAE390888:QAE390894 QKA390888:QKA390894 QTW390888:QTW390894 RDS390888:RDS390894 RNO390888:RNO390894 RXK390888:RXK390894 SHG390888:SHG390894 SRC390888:SRC390894 TAY390888:TAY390894 TKU390888:TKU390894 TUQ390888:TUQ390894 UEM390888:UEM390894 UOI390888:UOI390894 UYE390888:UYE390894 VIA390888:VIA390894 VRW390888:VRW390894 WBS390888:WBS390894 WLO390888:WLO390894 WVK390888:WVK390894 IY456424:IY456430 SU456424:SU456430 ACQ456424:ACQ456430 AMM456424:AMM456430 AWI456424:AWI456430 BGE456424:BGE456430 BQA456424:BQA456430 BZW456424:BZW456430 CJS456424:CJS456430 CTO456424:CTO456430 DDK456424:DDK456430 DNG456424:DNG456430 DXC456424:DXC456430 EGY456424:EGY456430 EQU456424:EQU456430 FAQ456424:FAQ456430 FKM456424:FKM456430 FUI456424:FUI456430 GEE456424:GEE456430 GOA456424:GOA456430 GXW456424:GXW456430 HHS456424:HHS456430 HRO456424:HRO456430 IBK456424:IBK456430 ILG456424:ILG456430 IVC456424:IVC456430 JEY456424:JEY456430 JOU456424:JOU456430 JYQ456424:JYQ456430 KIM456424:KIM456430 KSI456424:KSI456430 LCE456424:LCE456430 LMA456424:LMA456430 LVW456424:LVW456430 MFS456424:MFS456430 MPO456424:MPO456430 MZK456424:MZK456430 NJG456424:NJG456430 NTC456424:NTC456430 OCY456424:OCY456430 OMU456424:OMU456430 OWQ456424:OWQ456430 PGM456424:PGM456430 PQI456424:PQI456430 QAE456424:QAE456430 QKA456424:QKA456430 QTW456424:QTW456430 RDS456424:RDS456430 RNO456424:RNO456430 RXK456424:RXK456430 SHG456424:SHG456430 SRC456424:SRC456430 TAY456424:TAY456430 TKU456424:TKU456430 TUQ456424:TUQ456430 UEM456424:UEM456430 UOI456424:UOI456430 UYE456424:UYE456430 VIA456424:VIA456430 VRW456424:VRW456430 WBS456424:WBS456430 WLO456424:WLO456430 WVK456424:WVK456430 IY521960:IY521966 SU521960:SU521966 ACQ521960:ACQ521966 AMM521960:AMM521966 AWI521960:AWI521966 BGE521960:BGE521966 BQA521960:BQA521966 BZW521960:BZW521966 CJS521960:CJS521966 CTO521960:CTO521966 DDK521960:DDK521966 DNG521960:DNG521966 DXC521960:DXC521966 EGY521960:EGY521966 EQU521960:EQU521966 FAQ521960:FAQ521966 FKM521960:FKM521966 FUI521960:FUI521966 GEE521960:GEE521966 GOA521960:GOA521966 GXW521960:GXW521966 HHS521960:HHS521966 HRO521960:HRO521966 IBK521960:IBK521966 ILG521960:ILG521966 IVC521960:IVC521966 JEY521960:JEY521966 JOU521960:JOU521966 JYQ521960:JYQ521966 KIM521960:KIM521966 KSI521960:KSI521966 LCE521960:LCE521966 LMA521960:LMA521966 LVW521960:LVW521966 MFS521960:MFS521966 MPO521960:MPO521966 MZK521960:MZK521966 NJG521960:NJG521966 NTC521960:NTC521966 OCY521960:OCY521966 OMU521960:OMU521966 OWQ521960:OWQ521966 PGM521960:PGM521966 PQI521960:PQI521966 QAE521960:QAE521966 QKA521960:QKA521966 QTW521960:QTW521966 RDS521960:RDS521966 RNO521960:RNO521966 RXK521960:RXK521966 SHG521960:SHG521966 SRC521960:SRC521966 TAY521960:TAY521966 TKU521960:TKU521966 TUQ521960:TUQ521966 UEM521960:UEM521966 UOI521960:UOI521966 UYE521960:UYE521966 VIA521960:VIA521966 VRW521960:VRW521966 WBS521960:WBS521966 WLO521960:WLO521966 WVK521960:WVK521966 IY587496:IY587502 SU587496:SU587502 ACQ587496:ACQ587502 AMM587496:AMM587502 AWI587496:AWI587502 BGE587496:BGE587502 BQA587496:BQA587502 BZW587496:BZW587502 CJS587496:CJS587502 CTO587496:CTO587502 DDK587496:DDK587502 DNG587496:DNG587502 DXC587496:DXC587502 EGY587496:EGY587502 EQU587496:EQU587502 FAQ587496:FAQ587502 FKM587496:FKM587502 FUI587496:FUI587502 GEE587496:GEE587502 GOA587496:GOA587502 GXW587496:GXW587502 HHS587496:HHS587502 HRO587496:HRO587502 IBK587496:IBK587502 ILG587496:ILG587502 IVC587496:IVC587502 JEY587496:JEY587502 JOU587496:JOU587502 JYQ587496:JYQ587502 KIM587496:KIM587502 KSI587496:KSI587502 LCE587496:LCE587502 LMA587496:LMA587502 LVW587496:LVW587502 MFS587496:MFS587502 MPO587496:MPO587502 MZK587496:MZK587502 NJG587496:NJG587502 NTC587496:NTC587502 OCY587496:OCY587502 OMU587496:OMU587502 OWQ587496:OWQ587502 PGM587496:PGM587502 PQI587496:PQI587502 QAE587496:QAE587502 QKA587496:QKA587502 QTW587496:QTW587502 RDS587496:RDS587502 RNO587496:RNO587502 RXK587496:RXK587502 SHG587496:SHG587502 SRC587496:SRC587502 TAY587496:TAY587502 TKU587496:TKU587502 TUQ587496:TUQ587502 UEM587496:UEM587502 UOI587496:UOI587502 UYE587496:UYE587502 VIA587496:VIA587502 VRW587496:VRW587502 WBS587496:WBS587502 WLO587496:WLO587502 WVK587496:WVK587502 IY653032:IY653038 SU653032:SU653038 ACQ653032:ACQ653038 AMM653032:AMM653038 AWI653032:AWI653038 BGE653032:BGE653038 BQA653032:BQA653038 BZW653032:BZW653038 CJS653032:CJS653038 CTO653032:CTO653038 DDK653032:DDK653038 DNG653032:DNG653038 DXC653032:DXC653038 EGY653032:EGY653038 EQU653032:EQU653038 FAQ653032:FAQ653038 FKM653032:FKM653038 FUI653032:FUI653038 GEE653032:GEE653038 GOA653032:GOA653038 GXW653032:GXW653038 HHS653032:HHS653038 HRO653032:HRO653038 IBK653032:IBK653038 ILG653032:ILG653038 IVC653032:IVC653038 JEY653032:JEY653038 JOU653032:JOU653038 JYQ653032:JYQ653038 KIM653032:KIM653038 KSI653032:KSI653038 LCE653032:LCE653038 LMA653032:LMA653038 LVW653032:LVW653038 MFS653032:MFS653038 MPO653032:MPO653038 MZK653032:MZK653038 NJG653032:NJG653038 NTC653032:NTC653038 OCY653032:OCY653038 OMU653032:OMU653038 OWQ653032:OWQ653038 PGM653032:PGM653038 PQI653032:PQI653038 QAE653032:QAE653038 QKA653032:QKA653038 QTW653032:QTW653038 RDS653032:RDS653038 RNO653032:RNO653038 RXK653032:RXK653038 SHG653032:SHG653038 SRC653032:SRC653038 TAY653032:TAY653038 TKU653032:TKU653038 TUQ653032:TUQ653038 UEM653032:UEM653038 UOI653032:UOI653038 UYE653032:UYE653038 VIA653032:VIA653038 VRW653032:VRW653038 WBS653032:WBS653038 WLO653032:WLO653038 WVK653032:WVK653038 IY718568:IY718574 SU718568:SU718574 ACQ718568:ACQ718574 AMM718568:AMM718574 AWI718568:AWI718574 BGE718568:BGE718574 BQA718568:BQA718574 BZW718568:BZW718574 CJS718568:CJS718574 CTO718568:CTO718574 DDK718568:DDK718574 DNG718568:DNG718574 DXC718568:DXC718574 EGY718568:EGY718574 EQU718568:EQU718574 FAQ718568:FAQ718574 FKM718568:FKM718574 FUI718568:FUI718574 GEE718568:GEE718574 GOA718568:GOA718574 GXW718568:GXW718574 HHS718568:HHS718574 HRO718568:HRO718574 IBK718568:IBK718574 ILG718568:ILG718574 IVC718568:IVC718574 JEY718568:JEY718574 JOU718568:JOU718574 JYQ718568:JYQ718574 KIM718568:KIM718574 KSI718568:KSI718574 LCE718568:LCE718574 LMA718568:LMA718574 LVW718568:LVW718574 MFS718568:MFS718574 MPO718568:MPO718574 MZK718568:MZK718574 NJG718568:NJG718574 NTC718568:NTC718574 OCY718568:OCY718574 OMU718568:OMU718574 OWQ718568:OWQ718574 PGM718568:PGM718574 PQI718568:PQI718574 QAE718568:QAE718574 QKA718568:QKA718574 QTW718568:QTW718574 RDS718568:RDS718574 RNO718568:RNO718574 RXK718568:RXK718574 SHG718568:SHG718574 SRC718568:SRC718574 TAY718568:TAY718574 TKU718568:TKU718574 TUQ718568:TUQ718574 UEM718568:UEM718574 UOI718568:UOI718574 UYE718568:UYE718574 VIA718568:VIA718574 VRW718568:VRW718574 WBS718568:WBS718574 WLO718568:WLO718574 WVK718568:WVK718574 IY784104:IY784110 SU784104:SU784110 ACQ784104:ACQ784110 AMM784104:AMM784110 AWI784104:AWI784110 BGE784104:BGE784110 BQA784104:BQA784110 BZW784104:BZW784110 CJS784104:CJS784110 CTO784104:CTO784110 DDK784104:DDK784110 DNG784104:DNG784110 DXC784104:DXC784110 EGY784104:EGY784110 EQU784104:EQU784110 FAQ784104:FAQ784110 FKM784104:FKM784110 FUI784104:FUI784110 GEE784104:GEE784110 GOA784104:GOA784110 GXW784104:GXW784110 HHS784104:HHS784110 HRO784104:HRO784110 IBK784104:IBK784110 ILG784104:ILG784110 IVC784104:IVC784110 JEY784104:JEY784110 JOU784104:JOU784110 JYQ784104:JYQ784110 KIM784104:KIM784110 KSI784104:KSI784110 LCE784104:LCE784110 LMA784104:LMA784110 LVW784104:LVW784110 MFS784104:MFS784110 MPO784104:MPO784110 MZK784104:MZK784110 NJG784104:NJG784110 NTC784104:NTC784110 OCY784104:OCY784110 OMU784104:OMU784110 OWQ784104:OWQ784110 PGM784104:PGM784110 PQI784104:PQI784110 QAE784104:QAE784110 QKA784104:QKA784110 QTW784104:QTW784110 RDS784104:RDS784110 RNO784104:RNO784110 RXK784104:RXK784110 SHG784104:SHG784110 SRC784104:SRC784110 TAY784104:TAY784110 TKU784104:TKU784110 TUQ784104:TUQ784110 UEM784104:UEM784110 UOI784104:UOI784110 UYE784104:UYE784110 VIA784104:VIA784110 VRW784104:VRW784110 WBS784104:WBS784110 WLO784104:WLO784110 WVK784104:WVK784110 IY849640:IY849646 SU849640:SU849646 ACQ849640:ACQ849646 AMM849640:AMM849646 AWI849640:AWI849646 BGE849640:BGE849646 BQA849640:BQA849646 BZW849640:BZW849646 CJS849640:CJS849646 CTO849640:CTO849646 DDK849640:DDK849646 DNG849640:DNG849646 DXC849640:DXC849646 EGY849640:EGY849646 EQU849640:EQU849646 FAQ849640:FAQ849646 FKM849640:FKM849646 FUI849640:FUI849646 GEE849640:GEE849646 GOA849640:GOA849646 GXW849640:GXW849646 HHS849640:HHS849646 HRO849640:HRO849646 IBK849640:IBK849646 ILG849640:ILG849646 IVC849640:IVC849646 JEY849640:JEY849646 JOU849640:JOU849646 JYQ849640:JYQ849646 KIM849640:KIM849646 KSI849640:KSI849646 LCE849640:LCE849646 LMA849640:LMA849646 LVW849640:LVW849646 MFS849640:MFS849646 MPO849640:MPO849646 MZK849640:MZK849646 NJG849640:NJG849646 NTC849640:NTC849646 OCY849640:OCY849646 OMU849640:OMU849646 OWQ849640:OWQ849646 PGM849640:PGM849646 PQI849640:PQI849646 QAE849640:QAE849646 QKA849640:QKA849646 QTW849640:QTW849646 RDS849640:RDS849646 RNO849640:RNO849646 RXK849640:RXK849646 SHG849640:SHG849646 SRC849640:SRC849646 TAY849640:TAY849646 TKU849640:TKU849646 TUQ849640:TUQ849646 UEM849640:UEM849646 UOI849640:UOI849646 UYE849640:UYE849646 VIA849640:VIA849646 VRW849640:VRW849646 WBS849640:WBS849646 WLO849640:WLO849646 WVK849640:WVK849646 IY915176:IY915182 SU915176:SU915182 ACQ915176:ACQ915182 AMM915176:AMM915182 AWI915176:AWI915182 BGE915176:BGE915182 BQA915176:BQA915182 BZW915176:BZW915182 CJS915176:CJS915182 CTO915176:CTO915182 DDK915176:DDK915182 DNG915176:DNG915182 DXC915176:DXC915182 EGY915176:EGY915182 EQU915176:EQU915182 FAQ915176:FAQ915182 FKM915176:FKM915182 FUI915176:FUI915182 GEE915176:GEE915182 GOA915176:GOA915182 GXW915176:GXW915182 HHS915176:HHS915182 HRO915176:HRO915182 IBK915176:IBK915182 ILG915176:ILG915182 IVC915176:IVC915182 JEY915176:JEY915182 JOU915176:JOU915182 JYQ915176:JYQ915182 KIM915176:KIM915182 KSI915176:KSI915182 LCE915176:LCE915182 LMA915176:LMA915182 LVW915176:LVW915182 MFS915176:MFS915182 MPO915176:MPO915182 MZK915176:MZK915182 NJG915176:NJG915182 NTC915176:NTC915182 OCY915176:OCY915182 OMU915176:OMU915182 OWQ915176:OWQ915182 PGM915176:PGM915182 PQI915176:PQI915182 QAE915176:QAE915182 QKA915176:QKA915182 QTW915176:QTW915182 RDS915176:RDS915182 RNO915176:RNO915182 RXK915176:RXK915182 SHG915176:SHG915182 SRC915176:SRC915182 TAY915176:TAY915182 TKU915176:TKU915182 TUQ915176:TUQ915182 UEM915176:UEM915182 UOI915176:UOI915182 UYE915176:UYE915182 VIA915176:VIA915182 VRW915176:VRW915182 WBS915176:WBS915182 WLO915176:WLO915182 WVK915176:WVK915182 IY980712:IY980718 SU980712:SU980718 ACQ980712:ACQ980718 AMM980712:AMM980718 AWI980712:AWI980718 BGE980712:BGE980718 BQA980712:BQA980718 BZW980712:BZW980718 CJS980712:CJS980718 CTO980712:CTO980718 DDK980712:DDK980718 DNG980712:DNG980718 DXC980712:DXC980718 EGY980712:EGY980718 EQU980712:EQU980718 FAQ980712:FAQ980718 FKM980712:FKM980718 FUI980712:FUI980718 GEE980712:GEE980718 GOA980712:GOA980718 GXW980712:GXW980718 HHS980712:HHS980718 HRO980712:HRO980718 IBK980712:IBK980718 ILG980712:ILG980718 IVC980712:IVC980718 JEY980712:JEY980718 JOU980712:JOU980718 JYQ980712:JYQ980718 KIM980712:KIM980718 KSI980712:KSI980718 LCE980712:LCE980718 LMA980712:LMA980718 LVW980712:LVW980718 MFS980712:MFS980718 MPO980712:MPO980718 MZK980712:MZK980718 NJG980712:NJG980718 NTC980712:NTC980718 OCY980712:OCY980718 OMU980712:OMU980718 OWQ980712:OWQ980718 PGM980712:PGM980718 PQI980712:PQI980718 QAE980712:QAE980718 QKA980712:QKA980718 QTW980712:QTW980718 RDS980712:RDS980718 RNO980712:RNO980718 RXK980712:RXK980718 SHG980712:SHG980718 SRC980712:SRC980718 TAY980712:TAY980718 TKU980712:TKU980718 TUQ980712:TUQ980718 UEM980712:UEM980718 UOI980712:UOI980718 UYE980712:UYE980718 VIA980712:VIA980718 VRW980712:VRW980718 WBS980712:WBS980718 WLO980712:WLO980718 WVK980712:WVK980718 IY63224:IY63231 SU63224:SU63231 ACQ63224:ACQ63231 AMM63224:AMM63231 AWI63224:AWI63231 BGE63224:BGE63231 BQA63224:BQA63231 BZW63224:BZW63231 CJS63224:CJS63231 CTO63224:CTO63231 DDK63224:DDK63231 DNG63224:DNG63231 DXC63224:DXC63231 EGY63224:EGY63231 EQU63224:EQU63231 FAQ63224:FAQ63231 FKM63224:FKM63231 FUI63224:FUI63231 GEE63224:GEE63231 GOA63224:GOA63231 GXW63224:GXW63231 HHS63224:HHS63231 HRO63224:HRO63231 IBK63224:IBK63231 ILG63224:ILG63231 IVC63224:IVC63231 JEY63224:JEY63231 JOU63224:JOU63231 JYQ63224:JYQ63231 KIM63224:KIM63231 KSI63224:KSI63231 LCE63224:LCE63231 LMA63224:LMA63231 LVW63224:LVW63231 MFS63224:MFS63231 MPO63224:MPO63231 MZK63224:MZK63231 NJG63224:NJG63231 NTC63224:NTC63231 OCY63224:OCY63231 OMU63224:OMU63231 OWQ63224:OWQ63231 PGM63224:PGM63231 PQI63224:PQI63231 QAE63224:QAE63231 QKA63224:QKA63231 QTW63224:QTW63231 RDS63224:RDS63231 RNO63224:RNO63231 RXK63224:RXK63231 SHG63224:SHG63231 SRC63224:SRC63231 TAY63224:TAY63231 TKU63224:TKU63231 TUQ63224:TUQ63231 UEM63224:UEM63231 UOI63224:UOI63231 UYE63224:UYE63231 VIA63224:VIA63231 VRW63224:VRW63231 WBS63224:WBS63231 WLO63224:WLO63231 WVK63224:WVK63231 IY128760:IY128767 SU128760:SU128767 ACQ128760:ACQ128767 AMM128760:AMM128767 AWI128760:AWI128767 BGE128760:BGE128767 BQA128760:BQA128767 BZW128760:BZW128767 CJS128760:CJS128767 CTO128760:CTO128767 DDK128760:DDK128767 DNG128760:DNG128767 DXC128760:DXC128767 EGY128760:EGY128767 EQU128760:EQU128767 FAQ128760:FAQ128767 FKM128760:FKM128767 FUI128760:FUI128767 GEE128760:GEE128767 GOA128760:GOA128767 GXW128760:GXW128767 HHS128760:HHS128767 HRO128760:HRO128767 IBK128760:IBK128767 ILG128760:ILG128767 IVC128760:IVC128767 JEY128760:JEY128767 JOU128760:JOU128767 JYQ128760:JYQ128767 KIM128760:KIM128767 KSI128760:KSI128767 LCE128760:LCE128767 LMA128760:LMA128767 LVW128760:LVW128767 MFS128760:MFS128767 MPO128760:MPO128767 MZK128760:MZK128767 NJG128760:NJG128767 NTC128760:NTC128767 OCY128760:OCY128767 OMU128760:OMU128767 OWQ128760:OWQ128767 PGM128760:PGM128767 PQI128760:PQI128767 QAE128760:QAE128767 QKA128760:QKA128767 QTW128760:QTW128767 RDS128760:RDS128767 RNO128760:RNO128767 RXK128760:RXK128767 SHG128760:SHG128767 SRC128760:SRC128767 TAY128760:TAY128767 TKU128760:TKU128767 TUQ128760:TUQ128767 UEM128760:UEM128767 UOI128760:UOI128767 UYE128760:UYE128767 VIA128760:VIA128767 VRW128760:VRW128767 WBS128760:WBS128767 WLO128760:WLO128767 WVK128760:WVK128767 IY194296:IY194303 SU194296:SU194303 ACQ194296:ACQ194303 AMM194296:AMM194303 AWI194296:AWI194303 BGE194296:BGE194303 BQA194296:BQA194303 BZW194296:BZW194303 CJS194296:CJS194303 CTO194296:CTO194303 DDK194296:DDK194303 DNG194296:DNG194303 DXC194296:DXC194303 EGY194296:EGY194303 EQU194296:EQU194303 FAQ194296:FAQ194303 FKM194296:FKM194303 FUI194296:FUI194303 GEE194296:GEE194303 GOA194296:GOA194303 GXW194296:GXW194303 HHS194296:HHS194303 HRO194296:HRO194303 IBK194296:IBK194303 ILG194296:ILG194303 IVC194296:IVC194303 JEY194296:JEY194303 JOU194296:JOU194303 JYQ194296:JYQ194303 KIM194296:KIM194303 KSI194296:KSI194303 LCE194296:LCE194303 LMA194296:LMA194303 LVW194296:LVW194303 MFS194296:MFS194303 MPO194296:MPO194303 MZK194296:MZK194303 NJG194296:NJG194303 NTC194296:NTC194303 OCY194296:OCY194303 OMU194296:OMU194303 OWQ194296:OWQ194303 PGM194296:PGM194303 PQI194296:PQI194303 QAE194296:QAE194303 QKA194296:QKA194303 QTW194296:QTW194303 RDS194296:RDS194303 RNO194296:RNO194303 RXK194296:RXK194303 SHG194296:SHG194303 SRC194296:SRC194303 TAY194296:TAY194303 TKU194296:TKU194303 TUQ194296:TUQ194303 UEM194296:UEM194303 UOI194296:UOI194303 UYE194296:UYE194303 VIA194296:VIA194303 VRW194296:VRW194303 WBS194296:WBS194303 WLO194296:WLO194303 WVK194296:WVK194303 IY259832:IY259839 SU259832:SU259839 ACQ259832:ACQ259839 AMM259832:AMM259839 AWI259832:AWI259839 BGE259832:BGE259839 BQA259832:BQA259839 BZW259832:BZW259839 CJS259832:CJS259839 CTO259832:CTO259839 DDK259832:DDK259839 DNG259832:DNG259839 DXC259832:DXC259839 EGY259832:EGY259839 EQU259832:EQU259839 FAQ259832:FAQ259839 FKM259832:FKM259839 FUI259832:FUI259839 GEE259832:GEE259839 GOA259832:GOA259839 GXW259832:GXW259839 HHS259832:HHS259839 HRO259832:HRO259839 IBK259832:IBK259839 ILG259832:ILG259839 IVC259832:IVC259839 JEY259832:JEY259839 JOU259832:JOU259839 JYQ259832:JYQ259839 KIM259832:KIM259839 KSI259832:KSI259839 LCE259832:LCE259839 LMA259832:LMA259839 LVW259832:LVW259839 MFS259832:MFS259839 MPO259832:MPO259839 MZK259832:MZK259839 NJG259832:NJG259839 NTC259832:NTC259839 OCY259832:OCY259839 OMU259832:OMU259839 OWQ259832:OWQ259839 PGM259832:PGM259839 PQI259832:PQI259839 QAE259832:QAE259839 QKA259832:QKA259839 QTW259832:QTW259839 RDS259832:RDS259839 RNO259832:RNO259839 RXK259832:RXK259839 SHG259832:SHG259839 SRC259832:SRC259839 TAY259832:TAY259839 TKU259832:TKU259839 TUQ259832:TUQ259839 UEM259832:UEM259839 UOI259832:UOI259839 UYE259832:UYE259839 VIA259832:VIA259839 VRW259832:VRW259839 WBS259832:WBS259839 WLO259832:WLO259839 WVK259832:WVK259839 IY325368:IY325375 SU325368:SU325375 ACQ325368:ACQ325375 AMM325368:AMM325375 AWI325368:AWI325375 BGE325368:BGE325375 BQA325368:BQA325375 BZW325368:BZW325375 CJS325368:CJS325375 CTO325368:CTO325375 DDK325368:DDK325375 DNG325368:DNG325375 DXC325368:DXC325375 EGY325368:EGY325375 EQU325368:EQU325375 FAQ325368:FAQ325375 FKM325368:FKM325375 FUI325368:FUI325375 GEE325368:GEE325375 GOA325368:GOA325375 GXW325368:GXW325375 HHS325368:HHS325375 HRO325368:HRO325375 IBK325368:IBK325375 ILG325368:ILG325375 IVC325368:IVC325375 JEY325368:JEY325375 JOU325368:JOU325375 JYQ325368:JYQ325375 KIM325368:KIM325375 KSI325368:KSI325375 LCE325368:LCE325375 LMA325368:LMA325375 LVW325368:LVW325375 MFS325368:MFS325375 MPO325368:MPO325375 MZK325368:MZK325375 NJG325368:NJG325375 NTC325368:NTC325375 OCY325368:OCY325375 OMU325368:OMU325375 OWQ325368:OWQ325375 PGM325368:PGM325375 PQI325368:PQI325375 QAE325368:QAE325375 QKA325368:QKA325375 QTW325368:QTW325375 RDS325368:RDS325375 RNO325368:RNO325375 RXK325368:RXK325375 SHG325368:SHG325375 SRC325368:SRC325375 TAY325368:TAY325375 TKU325368:TKU325375 TUQ325368:TUQ325375 UEM325368:UEM325375 UOI325368:UOI325375 UYE325368:UYE325375 VIA325368:VIA325375 VRW325368:VRW325375 WBS325368:WBS325375 WLO325368:WLO325375 WVK325368:WVK325375 IY390904:IY390911 SU390904:SU390911 ACQ390904:ACQ390911 AMM390904:AMM390911 AWI390904:AWI390911 BGE390904:BGE390911 BQA390904:BQA390911 BZW390904:BZW390911 CJS390904:CJS390911 CTO390904:CTO390911 DDK390904:DDK390911 DNG390904:DNG390911 DXC390904:DXC390911 EGY390904:EGY390911 EQU390904:EQU390911 FAQ390904:FAQ390911 FKM390904:FKM390911 FUI390904:FUI390911 GEE390904:GEE390911 GOA390904:GOA390911 GXW390904:GXW390911 HHS390904:HHS390911 HRO390904:HRO390911 IBK390904:IBK390911 ILG390904:ILG390911 IVC390904:IVC390911 JEY390904:JEY390911 JOU390904:JOU390911 JYQ390904:JYQ390911 KIM390904:KIM390911 KSI390904:KSI390911 LCE390904:LCE390911 LMA390904:LMA390911 LVW390904:LVW390911 MFS390904:MFS390911 MPO390904:MPO390911 MZK390904:MZK390911 NJG390904:NJG390911 NTC390904:NTC390911 OCY390904:OCY390911 OMU390904:OMU390911 OWQ390904:OWQ390911 PGM390904:PGM390911 PQI390904:PQI390911 QAE390904:QAE390911 QKA390904:QKA390911 QTW390904:QTW390911 RDS390904:RDS390911 RNO390904:RNO390911 RXK390904:RXK390911 SHG390904:SHG390911 SRC390904:SRC390911 TAY390904:TAY390911 TKU390904:TKU390911 TUQ390904:TUQ390911 UEM390904:UEM390911 UOI390904:UOI390911 UYE390904:UYE390911 VIA390904:VIA390911 VRW390904:VRW390911 WBS390904:WBS390911 WLO390904:WLO390911 WVK390904:WVK390911 IY456440:IY456447 SU456440:SU456447 ACQ456440:ACQ456447 AMM456440:AMM456447 AWI456440:AWI456447 BGE456440:BGE456447 BQA456440:BQA456447 BZW456440:BZW456447 CJS456440:CJS456447 CTO456440:CTO456447 DDK456440:DDK456447 DNG456440:DNG456447 DXC456440:DXC456447 EGY456440:EGY456447 EQU456440:EQU456447 FAQ456440:FAQ456447 FKM456440:FKM456447 FUI456440:FUI456447 GEE456440:GEE456447 GOA456440:GOA456447 GXW456440:GXW456447 HHS456440:HHS456447 HRO456440:HRO456447 IBK456440:IBK456447 ILG456440:ILG456447 IVC456440:IVC456447 JEY456440:JEY456447 JOU456440:JOU456447 JYQ456440:JYQ456447 KIM456440:KIM456447 KSI456440:KSI456447 LCE456440:LCE456447 LMA456440:LMA456447 LVW456440:LVW456447 MFS456440:MFS456447 MPO456440:MPO456447 MZK456440:MZK456447 NJG456440:NJG456447 NTC456440:NTC456447 OCY456440:OCY456447 OMU456440:OMU456447 OWQ456440:OWQ456447 PGM456440:PGM456447 PQI456440:PQI456447 QAE456440:QAE456447 QKA456440:QKA456447 QTW456440:QTW456447 RDS456440:RDS456447 RNO456440:RNO456447 RXK456440:RXK456447 SHG456440:SHG456447 SRC456440:SRC456447 TAY456440:TAY456447 TKU456440:TKU456447 TUQ456440:TUQ456447 UEM456440:UEM456447 UOI456440:UOI456447 UYE456440:UYE456447 VIA456440:VIA456447 VRW456440:VRW456447 WBS456440:WBS456447 WLO456440:WLO456447 WVK456440:WVK456447 IY521976:IY521983 SU521976:SU521983 ACQ521976:ACQ521983 AMM521976:AMM521983 AWI521976:AWI521983 BGE521976:BGE521983 BQA521976:BQA521983 BZW521976:BZW521983 CJS521976:CJS521983 CTO521976:CTO521983 DDK521976:DDK521983 DNG521976:DNG521983 DXC521976:DXC521983 EGY521976:EGY521983 EQU521976:EQU521983 FAQ521976:FAQ521983 FKM521976:FKM521983 FUI521976:FUI521983 GEE521976:GEE521983 GOA521976:GOA521983 GXW521976:GXW521983 HHS521976:HHS521983 HRO521976:HRO521983 IBK521976:IBK521983 ILG521976:ILG521983 IVC521976:IVC521983 JEY521976:JEY521983 JOU521976:JOU521983 JYQ521976:JYQ521983 KIM521976:KIM521983 KSI521976:KSI521983 LCE521976:LCE521983 LMA521976:LMA521983 LVW521976:LVW521983 MFS521976:MFS521983 MPO521976:MPO521983 MZK521976:MZK521983 NJG521976:NJG521983 NTC521976:NTC521983 OCY521976:OCY521983 OMU521976:OMU521983 OWQ521976:OWQ521983 PGM521976:PGM521983 PQI521976:PQI521983 QAE521976:QAE521983 QKA521976:QKA521983 QTW521976:QTW521983 RDS521976:RDS521983 RNO521976:RNO521983 RXK521976:RXK521983 SHG521976:SHG521983 SRC521976:SRC521983 TAY521976:TAY521983 TKU521976:TKU521983 TUQ521976:TUQ521983 UEM521976:UEM521983 UOI521976:UOI521983 UYE521976:UYE521983 VIA521976:VIA521983 VRW521976:VRW521983 WBS521976:WBS521983 WLO521976:WLO521983 WVK521976:WVK521983 IY587512:IY587519 SU587512:SU587519 ACQ587512:ACQ587519 AMM587512:AMM587519 AWI587512:AWI587519 BGE587512:BGE587519 BQA587512:BQA587519 BZW587512:BZW587519 CJS587512:CJS587519 CTO587512:CTO587519 DDK587512:DDK587519 DNG587512:DNG587519 DXC587512:DXC587519 EGY587512:EGY587519 EQU587512:EQU587519 FAQ587512:FAQ587519 FKM587512:FKM587519 FUI587512:FUI587519 GEE587512:GEE587519 GOA587512:GOA587519 GXW587512:GXW587519 HHS587512:HHS587519 HRO587512:HRO587519 IBK587512:IBK587519 ILG587512:ILG587519 IVC587512:IVC587519 JEY587512:JEY587519 JOU587512:JOU587519 JYQ587512:JYQ587519 KIM587512:KIM587519 KSI587512:KSI587519 LCE587512:LCE587519 LMA587512:LMA587519 LVW587512:LVW587519 MFS587512:MFS587519 MPO587512:MPO587519 MZK587512:MZK587519 NJG587512:NJG587519 NTC587512:NTC587519 OCY587512:OCY587519 OMU587512:OMU587519 OWQ587512:OWQ587519 PGM587512:PGM587519 PQI587512:PQI587519 QAE587512:QAE587519 QKA587512:QKA587519 QTW587512:QTW587519 RDS587512:RDS587519 RNO587512:RNO587519 RXK587512:RXK587519 SHG587512:SHG587519 SRC587512:SRC587519 TAY587512:TAY587519 TKU587512:TKU587519 TUQ587512:TUQ587519 UEM587512:UEM587519 UOI587512:UOI587519 UYE587512:UYE587519 VIA587512:VIA587519 VRW587512:VRW587519 WBS587512:WBS587519 WLO587512:WLO587519 WVK587512:WVK587519 IY653048:IY653055 SU653048:SU653055 ACQ653048:ACQ653055 AMM653048:AMM653055 AWI653048:AWI653055 BGE653048:BGE653055 BQA653048:BQA653055 BZW653048:BZW653055 CJS653048:CJS653055 CTO653048:CTO653055 DDK653048:DDK653055 DNG653048:DNG653055 DXC653048:DXC653055 EGY653048:EGY653055 EQU653048:EQU653055 FAQ653048:FAQ653055 FKM653048:FKM653055 FUI653048:FUI653055 GEE653048:GEE653055 GOA653048:GOA653055 GXW653048:GXW653055 HHS653048:HHS653055 HRO653048:HRO653055 IBK653048:IBK653055 ILG653048:ILG653055 IVC653048:IVC653055 JEY653048:JEY653055 JOU653048:JOU653055 JYQ653048:JYQ653055 KIM653048:KIM653055 KSI653048:KSI653055 LCE653048:LCE653055 LMA653048:LMA653055 LVW653048:LVW653055 MFS653048:MFS653055 MPO653048:MPO653055 MZK653048:MZK653055 NJG653048:NJG653055 NTC653048:NTC653055 OCY653048:OCY653055 OMU653048:OMU653055 OWQ653048:OWQ653055 PGM653048:PGM653055 PQI653048:PQI653055 QAE653048:QAE653055 QKA653048:QKA653055 QTW653048:QTW653055 RDS653048:RDS653055 RNO653048:RNO653055 RXK653048:RXK653055 SHG653048:SHG653055 SRC653048:SRC653055 TAY653048:TAY653055 TKU653048:TKU653055 TUQ653048:TUQ653055 UEM653048:UEM653055 UOI653048:UOI653055 UYE653048:UYE653055 VIA653048:VIA653055 VRW653048:VRW653055 WBS653048:WBS653055 WLO653048:WLO653055 WVK653048:WVK653055 IY718584:IY718591 SU718584:SU718591 ACQ718584:ACQ718591 AMM718584:AMM718591 AWI718584:AWI718591 BGE718584:BGE718591 BQA718584:BQA718591 BZW718584:BZW718591 CJS718584:CJS718591 CTO718584:CTO718591 DDK718584:DDK718591 DNG718584:DNG718591 DXC718584:DXC718591 EGY718584:EGY718591 EQU718584:EQU718591 FAQ718584:FAQ718591 FKM718584:FKM718591 FUI718584:FUI718591 GEE718584:GEE718591 GOA718584:GOA718591 GXW718584:GXW718591 HHS718584:HHS718591 HRO718584:HRO718591 IBK718584:IBK718591 ILG718584:ILG718591 IVC718584:IVC718591 JEY718584:JEY718591 JOU718584:JOU718591 JYQ718584:JYQ718591 KIM718584:KIM718591 KSI718584:KSI718591 LCE718584:LCE718591 LMA718584:LMA718591 LVW718584:LVW718591 MFS718584:MFS718591 MPO718584:MPO718591 MZK718584:MZK718591 NJG718584:NJG718591 NTC718584:NTC718591 OCY718584:OCY718591 OMU718584:OMU718591 OWQ718584:OWQ718591 PGM718584:PGM718591 PQI718584:PQI718591 QAE718584:QAE718591 QKA718584:QKA718591 QTW718584:QTW718591 RDS718584:RDS718591 RNO718584:RNO718591 RXK718584:RXK718591 SHG718584:SHG718591 SRC718584:SRC718591 TAY718584:TAY718591 TKU718584:TKU718591 TUQ718584:TUQ718591 UEM718584:UEM718591 UOI718584:UOI718591 UYE718584:UYE718591 VIA718584:VIA718591 VRW718584:VRW718591 WBS718584:WBS718591 WLO718584:WLO718591 WVK718584:WVK718591 IY784120:IY784127 SU784120:SU784127 ACQ784120:ACQ784127 AMM784120:AMM784127 AWI784120:AWI784127 BGE784120:BGE784127 BQA784120:BQA784127 BZW784120:BZW784127 CJS784120:CJS784127 CTO784120:CTO784127 DDK784120:DDK784127 DNG784120:DNG784127 DXC784120:DXC784127 EGY784120:EGY784127 EQU784120:EQU784127 FAQ784120:FAQ784127 FKM784120:FKM784127 FUI784120:FUI784127 GEE784120:GEE784127 GOA784120:GOA784127 GXW784120:GXW784127 HHS784120:HHS784127 HRO784120:HRO784127 IBK784120:IBK784127 ILG784120:ILG784127 IVC784120:IVC784127 JEY784120:JEY784127 JOU784120:JOU784127 JYQ784120:JYQ784127 KIM784120:KIM784127 KSI784120:KSI784127 LCE784120:LCE784127 LMA784120:LMA784127 LVW784120:LVW784127 MFS784120:MFS784127 MPO784120:MPO784127 MZK784120:MZK784127 NJG784120:NJG784127 NTC784120:NTC784127 OCY784120:OCY784127 OMU784120:OMU784127 OWQ784120:OWQ784127 PGM784120:PGM784127 PQI784120:PQI784127 QAE784120:QAE784127 QKA784120:QKA784127 QTW784120:QTW784127 RDS784120:RDS784127 RNO784120:RNO784127 RXK784120:RXK784127 SHG784120:SHG784127 SRC784120:SRC784127 TAY784120:TAY784127 TKU784120:TKU784127 TUQ784120:TUQ784127 UEM784120:UEM784127 UOI784120:UOI784127 UYE784120:UYE784127 VIA784120:VIA784127 VRW784120:VRW784127 WBS784120:WBS784127 WLO784120:WLO784127 WVK784120:WVK784127 IY849656:IY849663 SU849656:SU849663 ACQ849656:ACQ849663 AMM849656:AMM849663 AWI849656:AWI849663 BGE849656:BGE849663 BQA849656:BQA849663 BZW849656:BZW849663 CJS849656:CJS849663 CTO849656:CTO849663 DDK849656:DDK849663 DNG849656:DNG849663 DXC849656:DXC849663 EGY849656:EGY849663 EQU849656:EQU849663 FAQ849656:FAQ849663 FKM849656:FKM849663 FUI849656:FUI849663 GEE849656:GEE849663 GOA849656:GOA849663 GXW849656:GXW849663 HHS849656:HHS849663 HRO849656:HRO849663 IBK849656:IBK849663 ILG849656:ILG849663 IVC849656:IVC849663 JEY849656:JEY849663 JOU849656:JOU849663 JYQ849656:JYQ849663 KIM849656:KIM849663 KSI849656:KSI849663 LCE849656:LCE849663 LMA849656:LMA849663 LVW849656:LVW849663 MFS849656:MFS849663 MPO849656:MPO849663 MZK849656:MZK849663 NJG849656:NJG849663 NTC849656:NTC849663 OCY849656:OCY849663 OMU849656:OMU849663 OWQ849656:OWQ849663 PGM849656:PGM849663 PQI849656:PQI849663 QAE849656:QAE849663 QKA849656:QKA849663 QTW849656:QTW849663 RDS849656:RDS849663 RNO849656:RNO849663 RXK849656:RXK849663 SHG849656:SHG849663 SRC849656:SRC849663 TAY849656:TAY849663 TKU849656:TKU849663 TUQ849656:TUQ849663 UEM849656:UEM849663 UOI849656:UOI849663 UYE849656:UYE849663 VIA849656:VIA849663 VRW849656:VRW849663 WBS849656:WBS849663 WLO849656:WLO849663 WVK849656:WVK849663 IY915192:IY915199 SU915192:SU915199 ACQ915192:ACQ915199 AMM915192:AMM915199 AWI915192:AWI915199 BGE915192:BGE915199 BQA915192:BQA915199 BZW915192:BZW915199 CJS915192:CJS915199 CTO915192:CTO915199 DDK915192:DDK915199 DNG915192:DNG915199 DXC915192:DXC915199 EGY915192:EGY915199 EQU915192:EQU915199 FAQ915192:FAQ915199 FKM915192:FKM915199 FUI915192:FUI915199 GEE915192:GEE915199 GOA915192:GOA915199 GXW915192:GXW915199 HHS915192:HHS915199 HRO915192:HRO915199 IBK915192:IBK915199 ILG915192:ILG915199 IVC915192:IVC915199 JEY915192:JEY915199 JOU915192:JOU915199 JYQ915192:JYQ915199 KIM915192:KIM915199 KSI915192:KSI915199 LCE915192:LCE915199 LMA915192:LMA915199 LVW915192:LVW915199 MFS915192:MFS915199 MPO915192:MPO915199 MZK915192:MZK915199 NJG915192:NJG915199 NTC915192:NTC915199 OCY915192:OCY915199 OMU915192:OMU915199 OWQ915192:OWQ915199 PGM915192:PGM915199 PQI915192:PQI915199 QAE915192:QAE915199 QKA915192:QKA915199 QTW915192:QTW915199 RDS915192:RDS915199 RNO915192:RNO915199 RXK915192:RXK915199 SHG915192:SHG915199 SRC915192:SRC915199 TAY915192:TAY915199 TKU915192:TKU915199 TUQ915192:TUQ915199 UEM915192:UEM915199 UOI915192:UOI915199 UYE915192:UYE915199 VIA915192:VIA915199 VRW915192:VRW915199 WBS915192:WBS915199 WLO915192:WLO915199 WVK915192:WVK915199 IY980728:IY980735 SU980728:SU980735 ACQ980728:ACQ980735 AMM980728:AMM980735 AWI980728:AWI980735 BGE980728:BGE980735 BQA980728:BQA980735 BZW980728:BZW980735 CJS980728:CJS980735 CTO980728:CTO980735 DDK980728:DDK980735 DNG980728:DNG980735 DXC980728:DXC980735 EGY980728:EGY980735 EQU980728:EQU980735 FAQ980728:FAQ980735 FKM980728:FKM980735 FUI980728:FUI980735 GEE980728:GEE980735 GOA980728:GOA980735 GXW980728:GXW980735 HHS980728:HHS980735 HRO980728:HRO980735 IBK980728:IBK980735 ILG980728:ILG980735 IVC980728:IVC980735 JEY980728:JEY980735 JOU980728:JOU980735 JYQ980728:JYQ980735 KIM980728:KIM980735 KSI980728:KSI980735 LCE980728:LCE980735 LMA980728:LMA980735 LVW980728:LVW980735 MFS980728:MFS980735 MPO980728:MPO980735 MZK980728:MZK980735 NJG980728:NJG980735 NTC980728:NTC980735 OCY980728:OCY980735 OMU980728:OMU980735 OWQ980728:OWQ980735 PGM980728:PGM980735 PQI980728:PQI980735 QAE980728:QAE980735 QKA980728:QKA980735 QTW980728:QTW980735 RDS980728:RDS980735 RNO980728:RNO980735 RXK980728:RXK980735 SHG980728:SHG980735 SRC980728:SRC980735 TAY980728:TAY980735 TKU980728:TKU980735 TUQ980728:TUQ980735 UEM980728:UEM980735 UOI980728:UOI980735 UYE980728:UYE980735 VIA980728:VIA980735 VRW980728:VRW980735 WBS980728:WBS980735 WLO980728:WLO980735 WVK980728:WVK980735 IY63252:IY63257 SU63252:SU63257 ACQ63252:ACQ63257 AMM63252:AMM63257 AWI63252:AWI63257 BGE63252:BGE63257 BQA63252:BQA63257 BZW63252:BZW63257 CJS63252:CJS63257 CTO63252:CTO63257 DDK63252:DDK63257 DNG63252:DNG63257 DXC63252:DXC63257 EGY63252:EGY63257 EQU63252:EQU63257 FAQ63252:FAQ63257 FKM63252:FKM63257 FUI63252:FUI63257 GEE63252:GEE63257 GOA63252:GOA63257 GXW63252:GXW63257 HHS63252:HHS63257 HRO63252:HRO63257 IBK63252:IBK63257 ILG63252:ILG63257 IVC63252:IVC63257 JEY63252:JEY63257 JOU63252:JOU63257 JYQ63252:JYQ63257 KIM63252:KIM63257 KSI63252:KSI63257 LCE63252:LCE63257 LMA63252:LMA63257 LVW63252:LVW63257 MFS63252:MFS63257 MPO63252:MPO63257 MZK63252:MZK63257 NJG63252:NJG63257 NTC63252:NTC63257 OCY63252:OCY63257 OMU63252:OMU63257 OWQ63252:OWQ63257 PGM63252:PGM63257 PQI63252:PQI63257 QAE63252:QAE63257 QKA63252:QKA63257 QTW63252:QTW63257 RDS63252:RDS63257 RNO63252:RNO63257 RXK63252:RXK63257 SHG63252:SHG63257 SRC63252:SRC63257 TAY63252:TAY63257 TKU63252:TKU63257 TUQ63252:TUQ63257 UEM63252:UEM63257 UOI63252:UOI63257 UYE63252:UYE63257 VIA63252:VIA63257 VRW63252:VRW63257 WBS63252:WBS63257 WLO63252:WLO63257 WVK63252:WVK63257 IY128788:IY128793 SU128788:SU128793 ACQ128788:ACQ128793 AMM128788:AMM128793 AWI128788:AWI128793 BGE128788:BGE128793 BQA128788:BQA128793 BZW128788:BZW128793 CJS128788:CJS128793 CTO128788:CTO128793 DDK128788:DDK128793 DNG128788:DNG128793 DXC128788:DXC128793 EGY128788:EGY128793 EQU128788:EQU128793 FAQ128788:FAQ128793 FKM128788:FKM128793 FUI128788:FUI128793 GEE128788:GEE128793 GOA128788:GOA128793 GXW128788:GXW128793 HHS128788:HHS128793 HRO128788:HRO128793 IBK128788:IBK128793 ILG128788:ILG128793 IVC128788:IVC128793 JEY128788:JEY128793 JOU128788:JOU128793 JYQ128788:JYQ128793 KIM128788:KIM128793 KSI128788:KSI128793 LCE128788:LCE128793 LMA128788:LMA128793 LVW128788:LVW128793 MFS128788:MFS128793 MPO128788:MPO128793 MZK128788:MZK128793 NJG128788:NJG128793 NTC128788:NTC128793 OCY128788:OCY128793 OMU128788:OMU128793 OWQ128788:OWQ128793 PGM128788:PGM128793 PQI128788:PQI128793 QAE128788:QAE128793 QKA128788:QKA128793 QTW128788:QTW128793 RDS128788:RDS128793 RNO128788:RNO128793 RXK128788:RXK128793 SHG128788:SHG128793 SRC128788:SRC128793 TAY128788:TAY128793 TKU128788:TKU128793 TUQ128788:TUQ128793 UEM128788:UEM128793 UOI128788:UOI128793 UYE128788:UYE128793 VIA128788:VIA128793 VRW128788:VRW128793 WBS128788:WBS128793 WLO128788:WLO128793 WVK128788:WVK128793 IY194324:IY194329 SU194324:SU194329 ACQ194324:ACQ194329 AMM194324:AMM194329 AWI194324:AWI194329 BGE194324:BGE194329 BQA194324:BQA194329 BZW194324:BZW194329 CJS194324:CJS194329 CTO194324:CTO194329 DDK194324:DDK194329 DNG194324:DNG194329 DXC194324:DXC194329 EGY194324:EGY194329 EQU194324:EQU194329 FAQ194324:FAQ194329 FKM194324:FKM194329 FUI194324:FUI194329 GEE194324:GEE194329 GOA194324:GOA194329 GXW194324:GXW194329 HHS194324:HHS194329 HRO194324:HRO194329 IBK194324:IBK194329 ILG194324:ILG194329 IVC194324:IVC194329 JEY194324:JEY194329 JOU194324:JOU194329 JYQ194324:JYQ194329 KIM194324:KIM194329 KSI194324:KSI194329 LCE194324:LCE194329 LMA194324:LMA194329 LVW194324:LVW194329 MFS194324:MFS194329 MPO194324:MPO194329 MZK194324:MZK194329 NJG194324:NJG194329 NTC194324:NTC194329 OCY194324:OCY194329 OMU194324:OMU194329 OWQ194324:OWQ194329 PGM194324:PGM194329 PQI194324:PQI194329 QAE194324:QAE194329 QKA194324:QKA194329 QTW194324:QTW194329 RDS194324:RDS194329 RNO194324:RNO194329 RXK194324:RXK194329 SHG194324:SHG194329 SRC194324:SRC194329 TAY194324:TAY194329 TKU194324:TKU194329 TUQ194324:TUQ194329 UEM194324:UEM194329 UOI194324:UOI194329 UYE194324:UYE194329 VIA194324:VIA194329 VRW194324:VRW194329 WBS194324:WBS194329 WLO194324:WLO194329 WVK194324:WVK194329 IY259860:IY259865 SU259860:SU259865 ACQ259860:ACQ259865 AMM259860:AMM259865 AWI259860:AWI259865 BGE259860:BGE259865 BQA259860:BQA259865 BZW259860:BZW259865 CJS259860:CJS259865 CTO259860:CTO259865 DDK259860:DDK259865 DNG259860:DNG259865 DXC259860:DXC259865 EGY259860:EGY259865 EQU259860:EQU259865 FAQ259860:FAQ259865 FKM259860:FKM259865 FUI259860:FUI259865 GEE259860:GEE259865 GOA259860:GOA259865 GXW259860:GXW259865 HHS259860:HHS259865 HRO259860:HRO259865 IBK259860:IBK259865 ILG259860:ILG259865 IVC259860:IVC259865 JEY259860:JEY259865 JOU259860:JOU259865 JYQ259860:JYQ259865 KIM259860:KIM259865 KSI259860:KSI259865 LCE259860:LCE259865 LMA259860:LMA259865 LVW259860:LVW259865 MFS259860:MFS259865 MPO259860:MPO259865 MZK259860:MZK259865 NJG259860:NJG259865 NTC259860:NTC259865 OCY259860:OCY259865 OMU259860:OMU259865 OWQ259860:OWQ259865 PGM259860:PGM259865 PQI259860:PQI259865 QAE259860:QAE259865 QKA259860:QKA259865 QTW259860:QTW259865 RDS259860:RDS259865 RNO259860:RNO259865 RXK259860:RXK259865 SHG259860:SHG259865 SRC259860:SRC259865 TAY259860:TAY259865 TKU259860:TKU259865 TUQ259860:TUQ259865 UEM259860:UEM259865 UOI259860:UOI259865 UYE259860:UYE259865 VIA259860:VIA259865 VRW259860:VRW259865 WBS259860:WBS259865 WLO259860:WLO259865 WVK259860:WVK259865 IY325396:IY325401 SU325396:SU325401 ACQ325396:ACQ325401 AMM325396:AMM325401 AWI325396:AWI325401 BGE325396:BGE325401 BQA325396:BQA325401 BZW325396:BZW325401 CJS325396:CJS325401 CTO325396:CTO325401 DDK325396:DDK325401 DNG325396:DNG325401 DXC325396:DXC325401 EGY325396:EGY325401 EQU325396:EQU325401 FAQ325396:FAQ325401 FKM325396:FKM325401 FUI325396:FUI325401 GEE325396:GEE325401 GOA325396:GOA325401 GXW325396:GXW325401 HHS325396:HHS325401 HRO325396:HRO325401 IBK325396:IBK325401 ILG325396:ILG325401 IVC325396:IVC325401 JEY325396:JEY325401 JOU325396:JOU325401 JYQ325396:JYQ325401 KIM325396:KIM325401 KSI325396:KSI325401 LCE325396:LCE325401 LMA325396:LMA325401 LVW325396:LVW325401 MFS325396:MFS325401 MPO325396:MPO325401 MZK325396:MZK325401 NJG325396:NJG325401 NTC325396:NTC325401 OCY325396:OCY325401 OMU325396:OMU325401 OWQ325396:OWQ325401 PGM325396:PGM325401 PQI325396:PQI325401 QAE325396:QAE325401 QKA325396:QKA325401 QTW325396:QTW325401 RDS325396:RDS325401 RNO325396:RNO325401 RXK325396:RXK325401 SHG325396:SHG325401 SRC325396:SRC325401 TAY325396:TAY325401 TKU325396:TKU325401 TUQ325396:TUQ325401 UEM325396:UEM325401 UOI325396:UOI325401 UYE325396:UYE325401 VIA325396:VIA325401 VRW325396:VRW325401 WBS325396:WBS325401 WLO325396:WLO325401 WVK325396:WVK325401 IY390932:IY390937 SU390932:SU390937 ACQ390932:ACQ390937 AMM390932:AMM390937 AWI390932:AWI390937 BGE390932:BGE390937 BQA390932:BQA390937 BZW390932:BZW390937 CJS390932:CJS390937 CTO390932:CTO390937 DDK390932:DDK390937 DNG390932:DNG390937 DXC390932:DXC390937 EGY390932:EGY390937 EQU390932:EQU390937 FAQ390932:FAQ390937 FKM390932:FKM390937 FUI390932:FUI390937 GEE390932:GEE390937 GOA390932:GOA390937 GXW390932:GXW390937 HHS390932:HHS390937 HRO390932:HRO390937 IBK390932:IBK390937 ILG390932:ILG390937 IVC390932:IVC390937 JEY390932:JEY390937 JOU390932:JOU390937 JYQ390932:JYQ390937 KIM390932:KIM390937 KSI390932:KSI390937 LCE390932:LCE390937 LMA390932:LMA390937 LVW390932:LVW390937 MFS390932:MFS390937 MPO390932:MPO390937 MZK390932:MZK390937 NJG390932:NJG390937 NTC390932:NTC390937 OCY390932:OCY390937 OMU390932:OMU390937 OWQ390932:OWQ390937 PGM390932:PGM390937 PQI390932:PQI390937 QAE390932:QAE390937 QKA390932:QKA390937 QTW390932:QTW390937 RDS390932:RDS390937 RNO390932:RNO390937 RXK390932:RXK390937 SHG390932:SHG390937 SRC390932:SRC390937 TAY390932:TAY390937 TKU390932:TKU390937 TUQ390932:TUQ390937 UEM390932:UEM390937 UOI390932:UOI390937 UYE390932:UYE390937 VIA390932:VIA390937 VRW390932:VRW390937 WBS390932:WBS390937 WLO390932:WLO390937 WVK390932:WVK390937 IY456468:IY456473 SU456468:SU456473 ACQ456468:ACQ456473 AMM456468:AMM456473 AWI456468:AWI456473 BGE456468:BGE456473 BQA456468:BQA456473 BZW456468:BZW456473 CJS456468:CJS456473 CTO456468:CTO456473 DDK456468:DDK456473 DNG456468:DNG456473 DXC456468:DXC456473 EGY456468:EGY456473 EQU456468:EQU456473 FAQ456468:FAQ456473 FKM456468:FKM456473 FUI456468:FUI456473 GEE456468:GEE456473 GOA456468:GOA456473 GXW456468:GXW456473 HHS456468:HHS456473 HRO456468:HRO456473 IBK456468:IBK456473 ILG456468:ILG456473 IVC456468:IVC456473 JEY456468:JEY456473 JOU456468:JOU456473 JYQ456468:JYQ456473 KIM456468:KIM456473 KSI456468:KSI456473 LCE456468:LCE456473 LMA456468:LMA456473 LVW456468:LVW456473 MFS456468:MFS456473 MPO456468:MPO456473 MZK456468:MZK456473 NJG456468:NJG456473 NTC456468:NTC456473 OCY456468:OCY456473 OMU456468:OMU456473 OWQ456468:OWQ456473 PGM456468:PGM456473 PQI456468:PQI456473 QAE456468:QAE456473 QKA456468:QKA456473 QTW456468:QTW456473 RDS456468:RDS456473 RNO456468:RNO456473 RXK456468:RXK456473 SHG456468:SHG456473 SRC456468:SRC456473 TAY456468:TAY456473 TKU456468:TKU456473 TUQ456468:TUQ456473 UEM456468:UEM456473 UOI456468:UOI456473 UYE456468:UYE456473 VIA456468:VIA456473 VRW456468:VRW456473 WBS456468:WBS456473 WLO456468:WLO456473 WVK456468:WVK456473 IY522004:IY522009 SU522004:SU522009 ACQ522004:ACQ522009 AMM522004:AMM522009 AWI522004:AWI522009 BGE522004:BGE522009 BQA522004:BQA522009 BZW522004:BZW522009 CJS522004:CJS522009 CTO522004:CTO522009 DDK522004:DDK522009 DNG522004:DNG522009 DXC522004:DXC522009 EGY522004:EGY522009 EQU522004:EQU522009 FAQ522004:FAQ522009 FKM522004:FKM522009 FUI522004:FUI522009 GEE522004:GEE522009 GOA522004:GOA522009 GXW522004:GXW522009 HHS522004:HHS522009 HRO522004:HRO522009 IBK522004:IBK522009 ILG522004:ILG522009 IVC522004:IVC522009 JEY522004:JEY522009 JOU522004:JOU522009 JYQ522004:JYQ522009 KIM522004:KIM522009 KSI522004:KSI522009 LCE522004:LCE522009 LMA522004:LMA522009 LVW522004:LVW522009 MFS522004:MFS522009 MPO522004:MPO522009 MZK522004:MZK522009 NJG522004:NJG522009 NTC522004:NTC522009 OCY522004:OCY522009 OMU522004:OMU522009 OWQ522004:OWQ522009 PGM522004:PGM522009 PQI522004:PQI522009 QAE522004:QAE522009 QKA522004:QKA522009 QTW522004:QTW522009 RDS522004:RDS522009 RNO522004:RNO522009 RXK522004:RXK522009 SHG522004:SHG522009 SRC522004:SRC522009 TAY522004:TAY522009 TKU522004:TKU522009 TUQ522004:TUQ522009 UEM522004:UEM522009 UOI522004:UOI522009 UYE522004:UYE522009 VIA522004:VIA522009 VRW522004:VRW522009 WBS522004:WBS522009 WLO522004:WLO522009 WVK522004:WVK522009 IY587540:IY587545 SU587540:SU587545 ACQ587540:ACQ587545 AMM587540:AMM587545 AWI587540:AWI587545 BGE587540:BGE587545 BQA587540:BQA587545 BZW587540:BZW587545 CJS587540:CJS587545 CTO587540:CTO587545 DDK587540:DDK587545 DNG587540:DNG587545 DXC587540:DXC587545 EGY587540:EGY587545 EQU587540:EQU587545 FAQ587540:FAQ587545 FKM587540:FKM587545 FUI587540:FUI587545 GEE587540:GEE587545 GOA587540:GOA587545 GXW587540:GXW587545 HHS587540:HHS587545 HRO587540:HRO587545 IBK587540:IBK587545 ILG587540:ILG587545 IVC587540:IVC587545 JEY587540:JEY587545 JOU587540:JOU587545 JYQ587540:JYQ587545 KIM587540:KIM587545 KSI587540:KSI587545 LCE587540:LCE587545 LMA587540:LMA587545 LVW587540:LVW587545 MFS587540:MFS587545 MPO587540:MPO587545 MZK587540:MZK587545 NJG587540:NJG587545 NTC587540:NTC587545 OCY587540:OCY587545 OMU587540:OMU587545 OWQ587540:OWQ587545 PGM587540:PGM587545 PQI587540:PQI587545 QAE587540:QAE587545 QKA587540:QKA587545 QTW587540:QTW587545 RDS587540:RDS587545 RNO587540:RNO587545 RXK587540:RXK587545 SHG587540:SHG587545 SRC587540:SRC587545 TAY587540:TAY587545 TKU587540:TKU587545 TUQ587540:TUQ587545 UEM587540:UEM587545 UOI587540:UOI587545 UYE587540:UYE587545 VIA587540:VIA587545 VRW587540:VRW587545 WBS587540:WBS587545 WLO587540:WLO587545 WVK587540:WVK587545 IY653076:IY653081 SU653076:SU653081 ACQ653076:ACQ653081 AMM653076:AMM653081 AWI653076:AWI653081 BGE653076:BGE653081 BQA653076:BQA653081 BZW653076:BZW653081 CJS653076:CJS653081 CTO653076:CTO653081 DDK653076:DDK653081 DNG653076:DNG653081 DXC653076:DXC653081 EGY653076:EGY653081 EQU653076:EQU653081 FAQ653076:FAQ653081 FKM653076:FKM653081 FUI653076:FUI653081 GEE653076:GEE653081 GOA653076:GOA653081 GXW653076:GXW653081 HHS653076:HHS653081 HRO653076:HRO653081 IBK653076:IBK653081 ILG653076:ILG653081 IVC653076:IVC653081 JEY653076:JEY653081 JOU653076:JOU653081 JYQ653076:JYQ653081 KIM653076:KIM653081 KSI653076:KSI653081 LCE653076:LCE653081 LMA653076:LMA653081 LVW653076:LVW653081 MFS653076:MFS653081 MPO653076:MPO653081 MZK653076:MZK653081 NJG653076:NJG653081 NTC653076:NTC653081 OCY653076:OCY653081 OMU653076:OMU653081 OWQ653076:OWQ653081 PGM653076:PGM653081 PQI653076:PQI653081 QAE653076:QAE653081 QKA653076:QKA653081 QTW653076:QTW653081 RDS653076:RDS653081 RNO653076:RNO653081 RXK653076:RXK653081 SHG653076:SHG653081 SRC653076:SRC653081 TAY653076:TAY653081 TKU653076:TKU653081 TUQ653076:TUQ653081 UEM653076:UEM653081 UOI653076:UOI653081 UYE653076:UYE653081 VIA653076:VIA653081 VRW653076:VRW653081 WBS653076:WBS653081 WLO653076:WLO653081 WVK653076:WVK653081 IY718612:IY718617 SU718612:SU718617 ACQ718612:ACQ718617 AMM718612:AMM718617 AWI718612:AWI718617 BGE718612:BGE718617 BQA718612:BQA718617 BZW718612:BZW718617 CJS718612:CJS718617 CTO718612:CTO718617 DDK718612:DDK718617 DNG718612:DNG718617 DXC718612:DXC718617 EGY718612:EGY718617 EQU718612:EQU718617 FAQ718612:FAQ718617 FKM718612:FKM718617 FUI718612:FUI718617 GEE718612:GEE718617 GOA718612:GOA718617 GXW718612:GXW718617 HHS718612:HHS718617 HRO718612:HRO718617 IBK718612:IBK718617 ILG718612:ILG718617 IVC718612:IVC718617 JEY718612:JEY718617 JOU718612:JOU718617 JYQ718612:JYQ718617 KIM718612:KIM718617 KSI718612:KSI718617 LCE718612:LCE718617 LMA718612:LMA718617 LVW718612:LVW718617 MFS718612:MFS718617 MPO718612:MPO718617 MZK718612:MZK718617 NJG718612:NJG718617 NTC718612:NTC718617 OCY718612:OCY718617 OMU718612:OMU718617 OWQ718612:OWQ718617 PGM718612:PGM718617 PQI718612:PQI718617 QAE718612:QAE718617 QKA718612:QKA718617 QTW718612:QTW718617 RDS718612:RDS718617 RNO718612:RNO718617 RXK718612:RXK718617 SHG718612:SHG718617 SRC718612:SRC718617 TAY718612:TAY718617 TKU718612:TKU718617 TUQ718612:TUQ718617 UEM718612:UEM718617 UOI718612:UOI718617 UYE718612:UYE718617 VIA718612:VIA718617 VRW718612:VRW718617 WBS718612:WBS718617 WLO718612:WLO718617 WVK718612:WVK718617 IY784148:IY784153 SU784148:SU784153 ACQ784148:ACQ784153 AMM784148:AMM784153 AWI784148:AWI784153 BGE784148:BGE784153 BQA784148:BQA784153 BZW784148:BZW784153 CJS784148:CJS784153 CTO784148:CTO784153 DDK784148:DDK784153 DNG784148:DNG784153 DXC784148:DXC784153 EGY784148:EGY784153 EQU784148:EQU784153 FAQ784148:FAQ784153 FKM784148:FKM784153 FUI784148:FUI784153 GEE784148:GEE784153 GOA784148:GOA784153 GXW784148:GXW784153 HHS784148:HHS784153 HRO784148:HRO784153 IBK784148:IBK784153 ILG784148:ILG784153 IVC784148:IVC784153 JEY784148:JEY784153 JOU784148:JOU784153 JYQ784148:JYQ784153 KIM784148:KIM784153 KSI784148:KSI784153 LCE784148:LCE784153 LMA784148:LMA784153 LVW784148:LVW784153 MFS784148:MFS784153 MPO784148:MPO784153 MZK784148:MZK784153 NJG784148:NJG784153 NTC784148:NTC784153 OCY784148:OCY784153 OMU784148:OMU784153 OWQ784148:OWQ784153 PGM784148:PGM784153 PQI784148:PQI784153 QAE784148:QAE784153 QKA784148:QKA784153 QTW784148:QTW784153 RDS784148:RDS784153 RNO784148:RNO784153 RXK784148:RXK784153 SHG784148:SHG784153 SRC784148:SRC784153 TAY784148:TAY784153 TKU784148:TKU784153 TUQ784148:TUQ784153 UEM784148:UEM784153 UOI784148:UOI784153 UYE784148:UYE784153 VIA784148:VIA784153 VRW784148:VRW784153 WBS784148:WBS784153 WLO784148:WLO784153 WVK784148:WVK784153 IY849684:IY849689 SU849684:SU849689 ACQ849684:ACQ849689 AMM849684:AMM849689 AWI849684:AWI849689 BGE849684:BGE849689 BQA849684:BQA849689 BZW849684:BZW849689 CJS849684:CJS849689 CTO849684:CTO849689 DDK849684:DDK849689 DNG849684:DNG849689 DXC849684:DXC849689 EGY849684:EGY849689 EQU849684:EQU849689 FAQ849684:FAQ849689 FKM849684:FKM849689 FUI849684:FUI849689 GEE849684:GEE849689 GOA849684:GOA849689 GXW849684:GXW849689 HHS849684:HHS849689 HRO849684:HRO849689 IBK849684:IBK849689 ILG849684:ILG849689 IVC849684:IVC849689 JEY849684:JEY849689 JOU849684:JOU849689 JYQ849684:JYQ849689 KIM849684:KIM849689 KSI849684:KSI849689 LCE849684:LCE849689 LMA849684:LMA849689 LVW849684:LVW849689 MFS849684:MFS849689 MPO849684:MPO849689 MZK849684:MZK849689 NJG849684:NJG849689 NTC849684:NTC849689 OCY849684:OCY849689 OMU849684:OMU849689 OWQ849684:OWQ849689 PGM849684:PGM849689 PQI849684:PQI849689 QAE849684:QAE849689 QKA849684:QKA849689 QTW849684:QTW849689 RDS849684:RDS849689 RNO849684:RNO849689 RXK849684:RXK849689 SHG849684:SHG849689 SRC849684:SRC849689 TAY849684:TAY849689 TKU849684:TKU849689 TUQ849684:TUQ849689 UEM849684:UEM849689 UOI849684:UOI849689 UYE849684:UYE849689 VIA849684:VIA849689 VRW849684:VRW849689 WBS849684:WBS849689 WLO849684:WLO849689 WVK849684:WVK849689 IY915220:IY915225 SU915220:SU915225 ACQ915220:ACQ915225 AMM915220:AMM915225 AWI915220:AWI915225 BGE915220:BGE915225 BQA915220:BQA915225 BZW915220:BZW915225 CJS915220:CJS915225 CTO915220:CTO915225 DDK915220:DDK915225 DNG915220:DNG915225 DXC915220:DXC915225 EGY915220:EGY915225 EQU915220:EQU915225 FAQ915220:FAQ915225 FKM915220:FKM915225 FUI915220:FUI915225 GEE915220:GEE915225 GOA915220:GOA915225 GXW915220:GXW915225 HHS915220:HHS915225 HRO915220:HRO915225 IBK915220:IBK915225 ILG915220:ILG915225 IVC915220:IVC915225 JEY915220:JEY915225 JOU915220:JOU915225 JYQ915220:JYQ915225 KIM915220:KIM915225 KSI915220:KSI915225 LCE915220:LCE915225 LMA915220:LMA915225 LVW915220:LVW915225 MFS915220:MFS915225 MPO915220:MPO915225 MZK915220:MZK915225 NJG915220:NJG915225 NTC915220:NTC915225 OCY915220:OCY915225 OMU915220:OMU915225 OWQ915220:OWQ915225 PGM915220:PGM915225 PQI915220:PQI915225 QAE915220:QAE915225 QKA915220:QKA915225 QTW915220:QTW915225 RDS915220:RDS915225 RNO915220:RNO915225 RXK915220:RXK915225 SHG915220:SHG915225 SRC915220:SRC915225 TAY915220:TAY915225 TKU915220:TKU915225 TUQ915220:TUQ915225 UEM915220:UEM915225 UOI915220:UOI915225 UYE915220:UYE915225 VIA915220:VIA915225 VRW915220:VRW915225 WBS915220:WBS915225 WLO915220:WLO915225 WVK915220:WVK915225 IY980756:IY980761 SU980756:SU980761 ACQ980756:ACQ980761 AMM980756:AMM980761 AWI980756:AWI980761 BGE980756:BGE980761 BQA980756:BQA980761 BZW980756:BZW980761 CJS980756:CJS980761 CTO980756:CTO980761 DDK980756:DDK980761 DNG980756:DNG980761 DXC980756:DXC980761 EGY980756:EGY980761 EQU980756:EQU980761 FAQ980756:FAQ980761 FKM980756:FKM980761 FUI980756:FUI980761 GEE980756:GEE980761 GOA980756:GOA980761 GXW980756:GXW980761 HHS980756:HHS980761 HRO980756:HRO980761 IBK980756:IBK980761 ILG980756:ILG980761 IVC980756:IVC980761 JEY980756:JEY980761 JOU980756:JOU980761 JYQ980756:JYQ980761 KIM980756:KIM980761 KSI980756:KSI980761 LCE980756:LCE980761 LMA980756:LMA980761 LVW980756:LVW980761 MFS980756:MFS980761 MPO980756:MPO980761 MZK980756:MZK980761 NJG980756:NJG980761 NTC980756:NTC980761 OCY980756:OCY980761 OMU980756:OMU980761 OWQ980756:OWQ980761 PGM980756:PGM980761 PQI980756:PQI980761 QAE980756:QAE980761 QKA980756:QKA980761 QTW980756:QTW980761 RDS980756:RDS980761 RNO980756:RNO980761 RXK980756:RXK980761 SHG980756:SHG980761 SRC980756:SRC980761 TAY980756:TAY980761 TKU980756:TKU980761 TUQ980756:TUQ980761 UEM980756:UEM980761 UOI980756:UOI980761 UYE980756:UYE980761 VIA980756:VIA980761 VRW980756:VRW980761 WBS980756:WBS980761 WLO980756:WLO980761 WVK980756:WVK980761 IY63265:IY63271 SU63265:SU63271 ACQ63265:ACQ63271 AMM63265:AMM63271 AWI63265:AWI63271 BGE63265:BGE63271 BQA63265:BQA63271 BZW63265:BZW63271 CJS63265:CJS63271 CTO63265:CTO63271 DDK63265:DDK63271 DNG63265:DNG63271 DXC63265:DXC63271 EGY63265:EGY63271 EQU63265:EQU63271 FAQ63265:FAQ63271 FKM63265:FKM63271 FUI63265:FUI63271 GEE63265:GEE63271 GOA63265:GOA63271 GXW63265:GXW63271 HHS63265:HHS63271 HRO63265:HRO63271 IBK63265:IBK63271 ILG63265:ILG63271 IVC63265:IVC63271 JEY63265:JEY63271 JOU63265:JOU63271 JYQ63265:JYQ63271 KIM63265:KIM63271 KSI63265:KSI63271 LCE63265:LCE63271 LMA63265:LMA63271 LVW63265:LVW63271 MFS63265:MFS63271 MPO63265:MPO63271 MZK63265:MZK63271 NJG63265:NJG63271 NTC63265:NTC63271 OCY63265:OCY63271 OMU63265:OMU63271 OWQ63265:OWQ63271 PGM63265:PGM63271 PQI63265:PQI63271 QAE63265:QAE63271 QKA63265:QKA63271 QTW63265:QTW63271 RDS63265:RDS63271 RNO63265:RNO63271 RXK63265:RXK63271 SHG63265:SHG63271 SRC63265:SRC63271 TAY63265:TAY63271 TKU63265:TKU63271 TUQ63265:TUQ63271 UEM63265:UEM63271 UOI63265:UOI63271 UYE63265:UYE63271 VIA63265:VIA63271 VRW63265:VRW63271 WBS63265:WBS63271 WLO63265:WLO63271 WVK63265:WVK63271 IY128801:IY128807 SU128801:SU128807 ACQ128801:ACQ128807 AMM128801:AMM128807 AWI128801:AWI128807 BGE128801:BGE128807 BQA128801:BQA128807 BZW128801:BZW128807 CJS128801:CJS128807 CTO128801:CTO128807 DDK128801:DDK128807 DNG128801:DNG128807 DXC128801:DXC128807 EGY128801:EGY128807 EQU128801:EQU128807 FAQ128801:FAQ128807 FKM128801:FKM128807 FUI128801:FUI128807 GEE128801:GEE128807 GOA128801:GOA128807 GXW128801:GXW128807 HHS128801:HHS128807 HRO128801:HRO128807 IBK128801:IBK128807 ILG128801:ILG128807 IVC128801:IVC128807 JEY128801:JEY128807 JOU128801:JOU128807 JYQ128801:JYQ128807 KIM128801:KIM128807 KSI128801:KSI128807 LCE128801:LCE128807 LMA128801:LMA128807 LVW128801:LVW128807 MFS128801:MFS128807 MPO128801:MPO128807 MZK128801:MZK128807 NJG128801:NJG128807 NTC128801:NTC128807 OCY128801:OCY128807 OMU128801:OMU128807 OWQ128801:OWQ128807 PGM128801:PGM128807 PQI128801:PQI128807 QAE128801:QAE128807 QKA128801:QKA128807 QTW128801:QTW128807 RDS128801:RDS128807 RNO128801:RNO128807 RXK128801:RXK128807 SHG128801:SHG128807 SRC128801:SRC128807 TAY128801:TAY128807 TKU128801:TKU128807 TUQ128801:TUQ128807 UEM128801:UEM128807 UOI128801:UOI128807 UYE128801:UYE128807 VIA128801:VIA128807 VRW128801:VRW128807 WBS128801:WBS128807 WLO128801:WLO128807 WVK128801:WVK128807 IY194337:IY194343 SU194337:SU194343 ACQ194337:ACQ194343 AMM194337:AMM194343 AWI194337:AWI194343 BGE194337:BGE194343 BQA194337:BQA194343 BZW194337:BZW194343 CJS194337:CJS194343 CTO194337:CTO194343 DDK194337:DDK194343 DNG194337:DNG194343 DXC194337:DXC194343 EGY194337:EGY194343 EQU194337:EQU194343 FAQ194337:FAQ194343 FKM194337:FKM194343 FUI194337:FUI194343 GEE194337:GEE194343 GOA194337:GOA194343 GXW194337:GXW194343 HHS194337:HHS194343 HRO194337:HRO194343 IBK194337:IBK194343 ILG194337:ILG194343 IVC194337:IVC194343 JEY194337:JEY194343 JOU194337:JOU194343 JYQ194337:JYQ194343 KIM194337:KIM194343 KSI194337:KSI194343 LCE194337:LCE194343 LMA194337:LMA194343 LVW194337:LVW194343 MFS194337:MFS194343 MPO194337:MPO194343 MZK194337:MZK194343 NJG194337:NJG194343 NTC194337:NTC194343 OCY194337:OCY194343 OMU194337:OMU194343 OWQ194337:OWQ194343 PGM194337:PGM194343 PQI194337:PQI194343 QAE194337:QAE194343 QKA194337:QKA194343 QTW194337:QTW194343 RDS194337:RDS194343 RNO194337:RNO194343 RXK194337:RXK194343 SHG194337:SHG194343 SRC194337:SRC194343 TAY194337:TAY194343 TKU194337:TKU194343 TUQ194337:TUQ194343 UEM194337:UEM194343 UOI194337:UOI194343 UYE194337:UYE194343 VIA194337:VIA194343 VRW194337:VRW194343 WBS194337:WBS194343 WLO194337:WLO194343 WVK194337:WVK194343 IY259873:IY259879 SU259873:SU259879 ACQ259873:ACQ259879 AMM259873:AMM259879 AWI259873:AWI259879 BGE259873:BGE259879 BQA259873:BQA259879 BZW259873:BZW259879 CJS259873:CJS259879 CTO259873:CTO259879 DDK259873:DDK259879 DNG259873:DNG259879 DXC259873:DXC259879 EGY259873:EGY259879 EQU259873:EQU259879 FAQ259873:FAQ259879 FKM259873:FKM259879 FUI259873:FUI259879 GEE259873:GEE259879 GOA259873:GOA259879 GXW259873:GXW259879 HHS259873:HHS259879 HRO259873:HRO259879 IBK259873:IBK259879 ILG259873:ILG259879 IVC259873:IVC259879 JEY259873:JEY259879 JOU259873:JOU259879 JYQ259873:JYQ259879 KIM259873:KIM259879 KSI259873:KSI259879 LCE259873:LCE259879 LMA259873:LMA259879 LVW259873:LVW259879 MFS259873:MFS259879 MPO259873:MPO259879 MZK259873:MZK259879 NJG259873:NJG259879 NTC259873:NTC259879 OCY259873:OCY259879 OMU259873:OMU259879 OWQ259873:OWQ259879 PGM259873:PGM259879 PQI259873:PQI259879 QAE259873:QAE259879 QKA259873:QKA259879 QTW259873:QTW259879 RDS259873:RDS259879 RNO259873:RNO259879 RXK259873:RXK259879 SHG259873:SHG259879 SRC259873:SRC259879 TAY259873:TAY259879 TKU259873:TKU259879 TUQ259873:TUQ259879 UEM259873:UEM259879 UOI259873:UOI259879 UYE259873:UYE259879 VIA259873:VIA259879 VRW259873:VRW259879 WBS259873:WBS259879 WLO259873:WLO259879 WVK259873:WVK259879 IY325409:IY325415 SU325409:SU325415 ACQ325409:ACQ325415 AMM325409:AMM325415 AWI325409:AWI325415 BGE325409:BGE325415 BQA325409:BQA325415 BZW325409:BZW325415 CJS325409:CJS325415 CTO325409:CTO325415 DDK325409:DDK325415 DNG325409:DNG325415 DXC325409:DXC325415 EGY325409:EGY325415 EQU325409:EQU325415 FAQ325409:FAQ325415 FKM325409:FKM325415 FUI325409:FUI325415 GEE325409:GEE325415 GOA325409:GOA325415 GXW325409:GXW325415 HHS325409:HHS325415 HRO325409:HRO325415 IBK325409:IBK325415 ILG325409:ILG325415 IVC325409:IVC325415 JEY325409:JEY325415 JOU325409:JOU325415 JYQ325409:JYQ325415 KIM325409:KIM325415 KSI325409:KSI325415 LCE325409:LCE325415 LMA325409:LMA325415 LVW325409:LVW325415 MFS325409:MFS325415 MPO325409:MPO325415 MZK325409:MZK325415 NJG325409:NJG325415 NTC325409:NTC325415 OCY325409:OCY325415 OMU325409:OMU325415 OWQ325409:OWQ325415 PGM325409:PGM325415 PQI325409:PQI325415 QAE325409:QAE325415 QKA325409:QKA325415 QTW325409:QTW325415 RDS325409:RDS325415 RNO325409:RNO325415 RXK325409:RXK325415 SHG325409:SHG325415 SRC325409:SRC325415 TAY325409:TAY325415 TKU325409:TKU325415 TUQ325409:TUQ325415 UEM325409:UEM325415 UOI325409:UOI325415 UYE325409:UYE325415 VIA325409:VIA325415 VRW325409:VRW325415 WBS325409:WBS325415 WLO325409:WLO325415 WVK325409:WVK325415 IY390945:IY390951 SU390945:SU390951 ACQ390945:ACQ390951 AMM390945:AMM390951 AWI390945:AWI390951 BGE390945:BGE390951 BQA390945:BQA390951 BZW390945:BZW390951 CJS390945:CJS390951 CTO390945:CTO390951 DDK390945:DDK390951 DNG390945:DNG390951 DXC390945:DXC390951 EGY390945:EGY390951 EQU390945:EQU390951 FAQ390945:FAQ390951 FKM390945:FKM390951 FUI390945:FUI390951 GEE390945:GEE390951 GOA390945:GOA390951 GXW390945:GXW390951 HHS390945:HHS390951 HRO390945:HRO390951 IBK390945:IBK390951 ILG390945:ILG390951 IVC390945:IVC390951 JEY390945:JEY390951 JOU390945:JOU390951 JYQ390945:JYQ390951 KIM390945:KIM390951 KSI390945:KSI390951 LCE390945:LCE390951 LMA390945:LMA390951 LVW390945:LVW390951 MFS390945:MFS390951 MPO390945:MPO390951 MZK390945:MZK390951 NJG390945:NJG390951 NTC390945:NTC390951 OCY390945:OCY390951 OMU390945:OMU390951 OWQ390945:OWQ390951 PGM390945:PGM390951 PQI390945:PQI390951 QAE390945:QAE390951 QKA390945:QKA390951 QTW390945:QTW390951 RDS390945:RDS390951 RNO390945:RNO390951 RXK390945:RXK390951 SHG390945:SHG390951 SRC390945:SRC390951 TAY390945:TAY390951 TKU390945:TKU390951 TUQ390945:TUQ390951 UEM390945:UEM390951 UOI390945:UOI390951 UYE390945:UYE390951 VIA390945:VIA390951 VRW390945:VRW390951 WBS390945:WBS390951 WLO390945:WLO390951 WVK390945:WVK390951 IY456481:IY456487 SU456481:SU456487 ACQ456481:ACQ456487 AMM456481:AMM456487 AWI456481:AWI456487 BGE456481:BGE456487 BQA456481:BQA456487 BZW456481:BZW456487 CJS456481:CJS456487 CTO456481:CTO456487 DDK456481:DDK456487 DNG456481:DNG456487 DXC456481:DXC456487 EGY456481:EGY456487 EQU456481:EQU456487 FAQ456481:FAQ456487 FKM456481:FKM456487 FUI456481:FUI456487 GEE456481:GEE456487 GOA456481:GOA456487 GXW456481:GXW456487 HHS456481:HHS456487 HRO456481:HRO456487 IBK456481:IBK456487 ILG456481:ILG456487 IVC456481:IVC456487 JEY456481:JEY456487 JOU456481:JOU456487 JYQ456481:JYQ456487 KIM456481:KIM456487 KSI456481:KSI456487 LCE456481:LCE456487 LMA456481:LMA456487 LVW456481:LVW456487 MFS456481:MFS456487 MPO456481:MPO456487 MZK456481:MZK456487 NJG456481:NJG456487 NTC456481:NTC456487 OCY456481:OCY456487 OMU456481:OMU456487 OWQ456481:OWQ456487 PGM456481:PGM456487 PQI456481:PQI456487 QAE456481:QAE456487 QKA456481:QKA456487 QTW456481:QTW456487 RDS456481:RDS456487 RNO456481:RNO456487 RXK456481:RXK456487 SHG456481:SHG456487 SRC456481:SRC456487 TAY456481:TAY456487 TKU456481:TKU456487 TUQ456481:TUQ456487 UEM456481:UEM456487 UOI456481:UOI456487 UYE456481:UYE456487 VIA456481:VIA456487 VRW456481:VRW456487 WBS456481:WBS456487 WLO456481:WLO456487 WVK456481:WVK456487 IY522017:IY522023 SU522017:SU522023 ACQ522017:ACQ522023 AMM522017:AMM522023 AWI522017:AWI522023 BGE522017:BGE522023 BQA522017:BQA522023 BZW522017:BZW522023 CJS522017:CJS522023 CTO522017:CTO522023 DDK522017:DDK522023 DNG522017:DNG522023 DXC522017:DXC522023 EGY522017:EGY522023 EQU522017:EQU522023 FAQ522017:FAQ522023 FKM522017:FKM522023 FUI522017:FUI522023 GEE522017:GEE522023 GOA522017:GOA522023 GXW522017:GXW522023 HHS522017:HHS522023 HRO522017:HRO522023 IBK522017:IBK522023 ILG522017:ILG522023 IVC522017:IVC522023 JEY522017:JEY522023 JOU522017:JOU522023 JYQ522017:JYQ522023 KIM522017:KIM522023 KSI522017:KSI522023 LCE522017:LCE522023 LMA522017:LMA522023 LVW522017:LVW522023 MFS522017:MFS522023 MPO522017:MPO522023 MZK522017:MZK522023 NJG522017:NJG522023 NTC522017:NTC522023 OCY522017:OCY522023 OMU522017:OMU522023 OWQ522017:OWQ522023 PGM522017:PGM522023 PQI522017:PQI522023 QAE522017:QAE522023 QKA522017:QKA522023 QTW522017:QTW522023 RDS522017:RDS522023 RNO522017:RNO522023 RXK522017:RXK522023 SHG522017:SHG522023 SRC522017:SRC522023 TAY522017:TAY522023 TKU522017:TKU522023 TUQ522017:TUQ522023 UEM522017:UEM522023 UOI522017:UOI522023 UYE522017:UYE522023 VIA522017:VIA522023 VRW522017:VRW522023 WBS522017:WBS522023 WLO522017:WLO522023 WVK522017:WVK522023 IY587553:IY587559 SU587553:SU587559 ACQ587553:ACQ587559 AMM587553:AMM587559 AWI587553:AWI587559 BGE587553:BGE587559 BQA587553:BQA587559 BZW587553:BZW587559 CJS587553:CJS587559 CTO587553:CTO587559 DDK587553:DDK587559 DNG587553:DNG587559 DXC587553:DXC587559 EGY587553:EGY587559 EQU587553:EQU587559 FAQ587553:FAQ587559 FKM587553:FKM587559 FUI587553:FUI587559 GEE587553:GEE587559 GOA587553:GOA587559 GXW587553:GXW587559 HHS587553:HHS587559 HRO587553:HRO587559 IBK587553:IBK587559 ILG587553:ILG587559 IVC587553:IVC587559 JEY587553:JEY587559 JOU587553:JOU587559 JYQ587553:JYQ587559 KIM587553:KIM587559 KSI587553:KSI587559 LCE587553:LCE587559 LMA587553:LMA587559 LVW587553:LVW587559 MFS587553:MFS587559 MPO587553:MPO587559 MZK587553:MZK587559 NJG587553:NJG587559 NTC587553:NTC587559 OCY587553:OCY587559 OMU587553:OMU587559 OWQ587553:OWQ587559 PGM587553:PGM587559 PQI587553:PQI587559 QAE587553:QAE587559 QKA587553:QKA587559 QTW587553:QTW587559 RDS587553:RDS587559 RNO587553:RNO587559 RXK587553:RXK587559 SHG587553:SHG587559 SRC587553:SRC587559 TAY587553:TAY587559 TKU587553:TKU587559 TUQ587553:TUQ587559 UEM587553:UEM587559 UOI587553:UOI587559 UYE587553:UYE587559 VIA587553:VIA587559 VRW587553:VRW587559 WBS587553:WBS587559 WLO587553:WLO587559 WVK587553:WVK587559 IY653089:IY653095 SU653089:SU653095 ACQ653089:ACQ653095 AMM653089:AMM653095 AWI653089:AWI653095 BGE653089:BGE653095 BQA653089:BQA653095 BZW653089:BZW653095 CJS653089:CJS653095 CTO653089:CTO653095 DDK653089:DDK653095 DNG653089:DNG653095 DXC653089:DXC653095 EGY653089:EGY653095 EQU653089:EQU653095 FAQ653089:FAQ653095 FKM653089:FKM653095 FUI653089:FUI653095 GEE653089:GEE653095 GOA653089:GOA653095 GXW653089:GXW653095 HHS653089:HHS653095 HRO653089:HRO653095 IBK653089:IBK653095 ILG653089:ILG653095 IVC653089:IVC653095 JEY653089:JEY653095 JOU653089:JOU653095 JYQ653089:JYQ653095 KIM653089:KIM653095 KSI653089:KSI653095 LCE653089:LCE653095 LMA653089:LMA653095 LVW653089:LVW653095 MFS653089:MFS653095 MPO653089:MPO653095 MZK653089:MZK653095 NJG653089:NJG653095 NTC653089:NTC653095 OCY653089:OCY653095 OMU653089:OMU653095 OWQ653089:OWQ653095 PGM653089:PGM653095 PQI653089:PQI653095 QAE653089:QAE653095 QKA653089:QKA653095 QTW653089:QTW653095 RDS653089:RDS653095 RNO653089:RNO653095 RXK653089:RXK653095 SHG653089:SHG653095 SRC653089:SRC653095 TAY653089:TAY653095 TKU653089:TKU653095 TUQ653089:TUQ653095 UEM653089:UEM653095 UOI653089:UOI653095 UYE653089:UYE653095 VIA653089:VIA653095 VRW653089:VRW653095 WBS653089:WBS653095 WLO653089:WLO653095 WVK653089:WVK653095 IY718625:IY718631 SU718625:SU718631 ACQ718625:ACQ718631 AMM718625:AMM718631 AWI718625:AWI718631 BGE718625:BGE718631 BQA718625:BQA718631 BZW718625:BZW718631 CJS718625:CJS718631 CTO718625:CTO718631 DDK718625:DDK718631 DNG718625:DNG718631 DXC718625:DXC718631 EGY718625:EGY718631 EQU718625:EQU718631 FAQ718625:FAQ718631 FKM718625:FKM718631 FUI718625:FUI718631 GEE718625:GEE718631 GOA718625:GOA718631 GXW718625:GXW718631 HHS718625:HHS718631 HRO718625:HRO718631 IBK718625:IBK718631 ILG718625:ILG718631 IVC718625:IVC718631 JEY718625:JEY718631 JOU718625:JOU718631 JYQ718625:JYQ718631 KIM718625:KIM718631 KSI718625:KSI718631 LCE718625:LCE718631 LMA718625:LMA718631 LVW718625:LVW718631 MFS718625:MFS718631 MPO718625:MPO718631 MZK718625:MZK718631 NJG718625:NJG718631 NTC718625:NTC718631 OCY718625:OCY718631 OMU718625:OMU718631 OWQ718625:OWQ718631 PGM718625:PGM718631 PQI718625:PQI718631 QAE718625:QAE718631 QKA718625:QKA718631 QTW718625:QTW718631 RDS718625:RDS718631 RNO718625:RNO718631 RXK718625:RXK718631 SHG718625:SHG718631 SRC718625:SRC718631 TAY718625:TAY718631 TKU718625:TKU718631 TUQ718625:TUQ718631 UEM718625:UEM718631 UOI718625:UOI718631 UYE718625:UYE718631 VIA718625:VIA718631 VRW718625:VRW718631 WBS718625:WBS718631 WLO718625:WLO718631 WVK718625:WVK718631 IY784161:IY784167 SU784161:SU784167 ACQ784161:ACQ784167 AMM784161:AMM784167 AWI784161:AWI784167 BGE784161:BGE784167 BQA784161:BQA784167 BZW784161:BZW784167 CJS784161:CJS784167 CTO784161:CTO784167 DDK784161:DDK784167 DNG784161:DNG784167 DXC784161:DXC784167 EGY784161:EGY784167 EQU784161:EQU784167 FAQ784161:FAQ784167 FKM784161:FKM784167 FUI784161:FUI784167 GEE784161:GEE784167 GOA784161:GOA784167 GXW784161:GXW784167 HHS784161:HHS784167 HRO784161:HRO784167 IBK784161:IBK784167 ILG784161:ILG784167 IVC784161:IVC784167 JEY784161:JEY784167 JOU784161:JOU784167 JYQ784161:JYQ784167 KIM784161:KIM784167 KSI784161:KSI784167 LCE784161:LCE784167 LMA784161:LMA784167 LVW784161:LVW784167 MFS784161:MFS784167 MPO784161:MPO784167 MZK784161:MZK784167 NJG784161:NJG784167 NTC784161:NTC784167 OCY784161:OCY784167 OMU784161:OMU784167 OWQ784161:OWQ784167 PGM784161:PGM784167 PQI784161:PQI784167 QAE784161:QAE784167 QKA784161:QKA784167 QTW784161:QTW784167 RDS784161:RDS784167 RNO784161:RNO784167 RXK784161:RXK784167 SHG784161:SHG784167 SRC784161:SRC784167 TAY784161:TAY784167 TKU784161:TKU784167 TUQ784161:TUQ784167 UEM784161:UEM784167 UOI784161:UOI784167 UYE784161:UYE784167 VIA784161:VIA784167 VRW784161:VRW784167 WBS784161:WBS784167 WLO784161:WLO784167 WVK784161:WVK784167 IY849697:IY849703 SU849697:SU849703 ACQ849697:ACQ849703 AMM849697:AMM849703 AWI849697:AWI849703 BGE849697:BGE849703 BQA849697:BQA849703 BZW849697:BZW849703 CJS849697:CJS849703 CTO849697:CTO849703 DDK849697:DDK849703 DNG849697:DNG849703 DXC849697:DXC849703 EGY849697:EGY849703 EQU849697:EQU849703 FAQ849697:FAQ849703 FKM849697:FKM849703 FUI849697:FUI849703 GEE849697:GEE849703 GOA849697:GOA849703 GXW849697:GXW849703 HHS849697:HHS849703 HRO849697:HRO849703 IBK849697:IBK849703 ILG849697:ILG849703 IVC849697:IVC849703 JEY849697:JEY849703 JOU849697:JOU849703 JYQ849697:JYQ849703 KIM849697:KIM849703 KSI849697:KSI849703 LCE849697:LCE849703 LMA849697:LMA849703 LVW849697:LVW849703 MFS849697:MFS849703 MPO849697:MPO849703 MZK849697:MZK849703 NJG849697:NJG849703 NTC849697:NTC849703 OCY849697:OCY849703 OMU849697:OMU849703 OWQ849697:OWQ849703 PGM849697:PGM849703 PQI849697:PQI849703 QAE849697:QAE849703 QKA849697:QKA849703 QTW849697:QTW849703 RDS849697:RDS849703 RNO849697:RNO849703 RXK849697:RXK849703 SHG849697:SHG849703 SRC849697:SRC849703 TAY849697:TAY849703 TKU849697:TKU849703 TUQ849697:TUQ849703 UEM849697:UEM849703 UOI849697:UOI849703 UYE849697:UYE849703 VIA849697:VIA849703 VRW849697:VRW849703 WBS849697:WBS849703 WLO849697:WLO849703 WVK849697:WVK849703 IY915233:IY915239 SU915233:SU915239 ACQ915233:ACQ915239 AMM915233:AMM915239 AWI915233:AWI915239 BGE915233:BGE915239 BQA915233:BQA915239 BZW915233:BZW915239 CJS915233:CJS915239 CTO915233:CTO915239 DDK915233:DDK915239 DNG915233:DNG915239 DXC915233:DXC915239 EGY915233:EGY915239 EQU915233:EQU915239 FAQ915233:FAQ915239 FKM915233:FKM915239 FUI915233:FUI915239 GEE915233:GEE915239 GOA915233:GOA915239 GXW915233:GXW915239 HHS915233:HHS915239 HRO915233:HRO915239 IBK915233:IBK915239 ILG915233:ILG915239 IVC915233:IVC915239 JEY915233:JEY915239 JOU915233:JOU915239 JYQ915233:JYQ915239 KIM915233:KIM915239 KSI915233:KSI915239 LCE915233:LCE915239 LMA915233:LMA915239 LVW915233:LVW915239 MFS915233:MFS915239 MPO915233:MPO915239 MZK915233:MZK915239 NJG915233:NJG915239 NTC915233:NTC915239 OCY915233:OCY915239 OMU915233:OMU915239 OWQ915233:OWQ915239 PGM915233:PGM915239 PQI915233:PQI915239 QAE915233:QAE915239 QKA915233:QKA915239 QTW915233:QTW915239 RDS915233:RDS915239 RNO915233:RNO915239 RXK915233:RXK915239 SHG915233:SHG915239 SRC915233:SRC915239 TAY915233:TAY915239 TKU915233:TKU915239 TUQ915233:TUQ915239 UEM915233:UEM915239 UOI915233:UOI915239 UYE915233:UYE915239 VIA915233:VIA915239 VRW915233:VRW915239 WBS915233:WBS915239 WLO915233:WLO915239 WVK915233:WVK915239 IY980769:IY980775 SU980769:SU980775 ACQ980769:ACQ980775 AMM980769:AMM980775 AWI980769:AWI980775 BGE980769:BGE980775 BQA980769:BQA980775 BZW980769:BZW980775 CJS980769:CJS980775 CTO980769:CTO980775 DDK980769:DDK980775 DNG980769:DNG980775 DXC980769:DXC980775 EGY980769:EGY980775 EQU980769:EQU980775 FAQ980769:FAQ980775 FKM980769:FKM980775 FUI980769:FUI980775 GEE980769:GEE980775 GOA980769:GOA980775 GXW980769:GXW980775 HHS980769:HHS980775 HRO980769:HRO980775 IBK980769:IBK980775 ILG980769:ILG980775 IVC980769:IVC980775 JEY980769:JEY980775 JOU980769:JOU980775 JYQ980769:JYQ980775 KIM980769:KIM980775 KSI980769:KSI980775 LCE980769:LCE980775 LMA980769:LMA980775 LVW980769:LVW980775 MFS980769:MFS980775 MPO980769:MPO980775 MZK980769:MZK980775 NJG980769:NJG980775 NTC980769:NTC980775 OCY980769:OCY980775 OMU980769:OMU980775 OWQ980769:OWQ980775 PGM980769:PGM980775 PQI980769:PQI980775 QAE980769:QAE980775 QKA980769:QKA980775 QTW980769:QTW980775 RDS980769:RDS980775 RNO980769:RNO980775 RXK980769:RXK980775 SHG980769:SHG980775 SRC980769:SRC980775 TAY980769:TAY980775 TKU980769:TKU980775 TUQ980769:TUQ980775 UEM980769:UEM980775 UOI980769:UOI980775 UYE980769:UYE980775 VIA980769:VIA980775 VRW980769:VRW980775 WBS980769:WBS980775 WLO980769:WLO980775 WVK980769:WVK980775 IY63279:IY63284 SU63279:SU63284 ACQ63279:ACQ63284 AMM63279:AMM63284 AWI63279:AWI63284 BGE63279:BGE63284 BQA63279:BQA63284 BZW63279:BZW63284 CJS63279:CJS63284 CTO63279:CTO63284 DDK63279:DDK63284 DNG63279:DNG63284 DXC63279:DXC63284 EGY63279:EGY63284 EQU63279:EQU63284 FAQ63279:FAQ63284 FKM63279:FKM63284 FUI63279:FUI63284 GEE63279:GEE63284 GOA63279:GOA63284 GXW63279:GXW63284 HHS63279:HHS63284 HRO63279:HRO63284 IBK63279:IBK63284 ILG63279:ILG63284 IVC63279:IVC63284 JEY63279:JEY63284 JOU63279:JOU63284 JYQ63279:JYQ63284 KIM63279:KIM63284 KSI63279:KSI63284 LCE63279:LCE63284 LMA63279:LMA63284 LVW63279:LVW63284 MFS63279:MFS63284 MPO63279:MPO63284 MZK63279:MZK63284 NJG63279:NJG63284 NTC63279:NTC63284 OCY63279:OCY63284 OMU63279:OMU63284 OWQ63279:OWQ63284 PGM63279:PGM63284 PQI63279:PQI63284 QAE63279:QAE63284 QKA63279:QKA63284 QTW63279:QTW63284 RDS63279:RDS63284 RNO63279:RNO63284 RXK63279:RXK63284 SHG63279:SHG63284 SRC63279:SRC63284 TAY63279:TAY63284 TKU63279:TKU63284 TUQ63279:TUQ63284 UEM63279:UEM63284 UOI63279:UOI63284 UYE63279:UYE63284 VIA63279:VIA63284 VRW63279:VRW63284 WBS63279:WBS63284 WLO63279:WLO63284 WVK63279:WVK63284 IY128815:IY128820 SU128815:SU128820 ACQ128815:ACQ128820 AMM128815:AMM128820 AWI128815:AWI128820 BGE128815:BGE128820 BQA128815:BQA128820 BZW128815:BZW128820 CJS128815:CJS128820 CTO128815:CTO128820 DDK128815:DDK128820 DNG128815:DNG128820 DXC128815:DXC128820 EGY128815:EGY128820 EQU128815:EQU128820 FAQ128815:FAQ128820 FKM128815:FKM128820 FUI128815:FUI128820 GEE128815:GEE128820 GOA128815:GOA128820 GXW128815:GXW128820 HHS128815:HHS128820 HRO128815:HRO128820 IBK128815:IBK128820 ILG128815:ILG128820 IVC128815:IVC128820 JEY128815:JEY128820 JOU128815:JOU128820 JYQ128815:JYQ128820 KIM128815:KIM128820 KSI128815:KSI128820 LCE128815:LCE128820 LMA128815:LMA128820 LVW128815:LVW128820 MFS128815:MFS128820 MPO128815:MPO128820 MZK128815:MZK128820 NJG128815:NJG128820 NTC128815:NTC128820 OCY128815:OCY128820 OMU128815:OMU128820 OWQ128815:OWQ128820 PGM128815:PGM128820 PQI128815:PQI128820 QAE128815:QAE128820 QKA128815:QKA128820 QTW128815:QTW128820 RDS128815:RDS128820 RNO128815:RNO128820 RXK128815:RXK128820 SHG128815:SHG128820 SRC128815:SRC128820 TAY128815:TAY128820 TKU128815:TKU128820 TUQ128815:TUQ128820 UEM128815:UEM128820 UOI128815:UOI128820 UYE128815:UYE128820 VIA128815:VIA128820 VRW128815:VRW128820 WBS128815:WBS128820 WLO128815:WLO128820 WVK128815:WVK128820 IY194351:IY194356 SU194351:SU194356 ACQ194351:ACQ194356 AMM194351:AMM194356 AWI194351:AWI194356 BGE194351:BGE194356 BQA194351:BQA194356 BZW194351:BZW194356 CJS194351:CJS194356 CTO194351:CTO194356 DDK194351:DDK194356 DNG194351:DNG194356 DXC194351:DXC194356 EGY194351:EGY194356 EQU194351:EQU194356 FAQ194351:FAQ194356 FKM194351:FKM194356 FUI194351:FUI194356 GEE194351:GEE194356 GOA194351:GOA194356 GXW194351:GXW194356 HHS194351:HHS194356 HRO194351:HRO194356 IBK194351:IBK194356 ILG194351:ILG194356 IVC194351:IVC194356 JEY194351:JEY194356 JOU194351:JOU194356 JYQ194351:JYQ194356 KIM194351:KIM194356 KSI194351:KSI194356 LCE194351:LCE194356 LMA194351:LMA194356 LVW194351:LVW194356 MFS194351:MFS194356 MPO194351:MPO194356 MZK194351:MZK194356 NJG194351:NJG194356 NTC194351:NTC194356 OCY194351:OCY194356 OMU194351:OMU194356 OWQ194351:OWQ194356 PGM194351:PGM194356 PQI194351:PQI194356 QAE194351:QAE194356 QKA194351:QKA194356 QTW194351:QTW194356 RDS194351:RDS194356 RNO194351:RNO194356 RXK194351:RXK194356 SHG194351:SHG194356 SRC194351:SRC194356 TAY194351:TAY194356 TKU194351:TKU194356 TUQ194351:TUQ194356 UEM194351:UEM194356 UOI194351:UOI194356 UYE194351:UYE194356 VIA194351:VIA194356 VRW194351:VRW194356 WBS194351:WBS194356 WLO194351:WLO194356 WVK194351:WVK194356 IY259887:IY259892 SU259887:SU259892 ACQ259887:ACQ259892 AMM259887:AMM259892 AWI259887:AWI259892 BGE259887:BGE259892 BQA259887:BQA259892 BZW259887:BZW259892 CJS259887:CJS259892 CTO259887:CTO259892 DDK259887:DDK259892 DNG259887:DNG259892 DXC259887:DXC259892 EGY259887:EGY259892 EQU259887:EQU259892 FAQ259887:FAQ259892 FKM259887:FKM259892 FUI259887:FUI259892 GEE259887:GEE259892 GOA259887:GOA259892 GXW259887:GXW259892 HHS259887:HHS259892 HRO259887:HRO259892 IBK259887:IBK259892 ILG259887:ILG259892 IVC259887:IVC259892 JEY259887:JEY259892 JOU259887:JOU259892 JYQ259887:JYQ259892 KIM259887:KIM259892 KSI259887:KSI259892 LCE259887:LCE259892 LMA259887:LMA259892 LVW259887:LVW259892 MFS259887:MFS259892 MPO259887:MPO259892 MZK259887:MZK259892 NJG259887:NJG259892 NTC259887:NTC259892 OCY259887:OCY259892 OMU259887:OMU259892 OWQ259887:OWQ259892 PGM259887:PGM259892 PQI259887:PQI259892 QAE259887:QAE259892 QKA259887:QKA259892 QTW259887:QTW259892 RDS259887:RDS259892 RNO259887:RNO259892 RXK259887:RXK259892 SHG259887:SHG259892 SRC259887:SRC259892 TAY259887:TAY259892 TKU259887:TKU259892 TUQ259887:TUQ259892 UEM259887:UEM259892 UOI259887:UOI259892 UYE259887:UYE259892 VIA259887:VIA259892 VRW259887:VRW259892 WBS259887:WBS259892 WLO259887:WLO259892 WVK259887:WVK259892 IY325423:IY325428 SU325423:SU325428 ACQ325423:ACQ325428 AMM325423:AMM325428 AWI325423:AWI325428 BGE325423:BGE325428 BQA325423:BQA325428 BZW325423:BZW325428 CJS325423:CJS325428 CTO325423:CTO325428 DDK325423:DDK325428 DNG325423:DNG325428 DXC325423:DXC325428 EGY325423:EGY325428 EQU325423:EQU325428 FAQ325423:FAQ325428 FKM325423:FKM325428 FUI325423:FUI325428 GEE325423:GEE325428 GOA325423:GOA325428 GXW325423:GXW325428 HHS325423:HHS325428 HRO325423:HRO325428 IBK325423:IBK325428 ILG325423:ILG325428 IVC325423:IVC325428 JEY325423:JEY325428 JOU325423:JOU325428 JYQ325423:JYQ325428 KIM325423:KIM325428 KSI325423:KSI325428 LCE325423:LCE325428 LMA325423:LMA325428 LVW325423:LVW325428 MFS325423:MFS325428 MPO325423:MPO325428 MZK325423:MZK325428 NJG325423:NJG325428 NTC325423:NTC325428 OCY325423:OCY325428 OMU325423:OMU325428 OWQ325423:OWQ325428 PGM325423:PGM325428 PQI325423:PQI325428 QAE325423:QAE325428 QKA325423:QKA325428 QTW325423:QTW325428 RDS325423:RDS325428 RNO325423:RNO325428 RXK325423:RXK325428 SHG325423:SHG325428 SRC325423:SRC325428 TAY325423:TAY325428 TKU325423:TKU325428 TUQ325423:TUQ325428 UEM325423:UEM325428 UOI325423:UOI325428 UYE325423:UYE325428 VIA325423:VIA325428 VRW325423:VRW325428 WBS325423:WBS325428 WLO325423:WLO325428 WVK325423:WVK325428 IY390959:IY390964 SU390959:SU390964 ACQ390959:ACQ390964 AMM390959:AMM390964 AWI390959:AWI390964 BGE390959:BGE390964 BQA390959:BQA390964 BZW390959:BZW390964 CJS390959:CJS390964 CTO390959:CTO390964 DDK390959:DDK390964 DNG390959:DNG390964 DXC390959:DXC390964 EGY390959:EGY390964 EQU390959:EQU390964 FAQ390959:FAQ390964 FKM390959:FKM390964 FUI390959:FUI390964 GEE390959:GEE390964 GOA390959:GOA390964 GXW390959:GXW390964 HHS390959:HHS390964 HRO390959:HRO390964 IBK390959:IBK390964 ILG390959:ILG390964 IVC390959:IVC390964 JEY390959:JEY390964 JOU390959:JOU390964 JYQ390959:JYQ390964 KIM390959:KIM390964 KSI390959:KSI390964 LCE390959:LCE390964 LMA390959:LMA390964 LVW390959:LVW390964 MFS390959:MFS390964 MPO390959:MPO390964 MZK390959:MZK390964 NJG390959:NJG390964 NTC390959:NTC390964 OCY390959:OCY390964 OMU390959:OMU390964 OWQ390959:OWQ390964 PGM390959:PGM390964 PQI390959:PQI390964 QAE390959:QAE390964 QKA390959:QKA390964 QTW390959:QTW390964 RDS390959:RDS390964 RNO390959:RNO390964 RXK390959:RXK390964 SHG390959:SHG390964 SRC390959:SRC390964 TAY390959:TAY390964 TKU390959:TKU390964 TUQ390959:TUQ390964 UEM390959:UEM390964 UOI390959:UOI390964 UYE390959:UYE390964 VIA390959:VIA390964 VRW390959:VRW390964 WBS390959:WBS390964 WLO390959:WLO390964 WVK390959:WVK390964 IY456495:IY456500 SU456495:SU456500 ACQ456495:ACQ456500 AMM456495:AMM456500 AWI456495:AWI456500 BGE456495:BGE456500 BQA456495:BQA456500 BZW456495:BZW456500 CJS456495:CJS456500 CTO456495:CTO456500 DDK456495:DDK456500 DNG456495:DNG456500 DXC456495:DXC456500 EGY456495:EGY456500 EQU456495:EQU456500 FAQ456495:FAQ456500 FKM456495:FKM456500 FUI456495:FUI456500 GEE456495:GEE456500 GOA456495:GOA456500 GXW456495:GXW456500 HHS456495:HHS456500 HRO456495:HRO456500 IBK456495:IBK456500 ILG456495:ILG456500 IVC456495:IVC456500 JEY456495:JEY456500 JOU456495:JOU456500 JYQ456495:JYQ456500 KIM456495:KIM456500 KSI456495:KSI456500 LCE456495:LCE456500 LMA456495:LMA456500 LVW456495:LVW456500 MFS456495:MFS456500 MPO456495:MPO456500 MZK456495:MZK456500 NJG456495:NJG456500 NTC456495:NTC456500 OCY456495:OCY456500 OMU456495:OMU456500 OWQ456495:OWQ456500 PGM456495:PGM456500 PQI456495:PQI456500 QAE456495:QAE456500 QKA456495:QKA456500 QTW456495:QTW456500 RDS456495:RDS456500 RNO456495:RNO456500 RXK456495:RXK456500 SHG456495:SHG456500 SRC456495:SRC456500 TAY456495:TAY456500 TKU456495:TKU456500 TUQ456495:TUQ456500 UEM456495:UEM456500 UOI456495:UOI456500 UYE456495:UYE456500 VIA456495:VIA456500 VRW456495:VRW456500 WBS456495:WBS456500 WLO456495:WLO456500 WVK456495:WVK456500 IY522031:IY522036 SU522031:SU522036 ACQ522031:ACQ522036 AMM522031:AMM522036 AWI522031:AWI522036 BGE522031:BGE522036 BQA522031:BQA522036 BZW522031:BZW522036 CJS522031:CJS522036 CTO522031:CTO522036 DDK522031:DDK522036 DNG522031:DNG522036 DXC522031:DXC522036 EGY522031:EGY522036 EQU522031:EQU522036 FAQ522031:FAQ522036 FKM522031:FKM522036 FUI522031:FUI522036 GEE522031:GEE522036 GOA522031:GOA522036 GXW522031:GXW522036 HHS522031:HHS522036 HRO522031:HRO522036 IBK522031:IBK522036 ILG522031:ILG522036 IVC522031:IVC522036 JEY522031:JEY522036 JOU522031:JOU522036 JYQ522031:JYQ522036 KIM522031:KIM522036 KSI522031:KSI522036 LCE522031:LCE522036 LMA522031:LMA522036 LVW522031:LVW522036 MFS522031:MFS522036 MPO522031:MPO522036 MZK522031:MZK522036 NJG522031:NJG522036 NTC522031:NTC522036 OCY522031:OCY522036 OMU522031:OMU522036 OWQ522031:OWQ522036 PGM522031:PGM522036 PQI522031:PQI522036 QAE522031:QAE522036 QKA522031:QKA522036 QTW522031:QTW522036 RDS522031:RDS522036 RNO522031:RNO522036 RXK522031:RXK522036 SHG522031:SHG522036 SRC522031:SRC522036 TAY522031:TAY522036 TKU522031:TKU522036 TUQ522031:TUQ522036 UEM522031:UEM522036 UOI522031:UOI522036 UYE522031:UYE522036 VIA522031:VIA522036 VRW522031:VRW522036 WBS522031:WBS522036 WLO522031:WLO522036 WVK522031:WVK522036 IY587567:IY587572 SU587567:SU587572 ACQ587567:ACQ587572 AMM587567:AMM587572 AWI587567:AWI587572 BGE587567:BGE587572 BQA587567:BQA587572 BZW587567:BZW587572 CJS587567:CJS587572 CTO587567:CTO587572 DDK587567:DDK587572 DNG587567:DNG587572 DXC587567:DXC587572 EGY587567:EGY587572 EQU587567:EQU587572 FAQ587567:FAQ587572 FKM587567:FKM587572 FUI587567:FUI587572 GEE587567:GEE587572 GOA587567:GOA587572 GXW587567:GXW587572 HHS587567:HHS587572 HRO587567:HRO587572 IBK587567:IBK587572 ILG587567:ILG587572 IVC587567:IVC587572 JEY587567:JEY587572 JOU587567:JOU587572 JYQ587567:JYQ587572 KIM587567:KIM587572 KSI587567:KSI587572 LCE587567:LCE587572 LMA587567:LMA587572 LVW587567:LVW587572 MFS587567:MFS587572 MPO587567:MPO587572 MZK587567:MZK587572 NJG587567:NJG587572 NTC587567:NTC587572 OCY587567:OCY587572 OMU587567:OMU587572 OWQ587567:OWQ587572 PGM587567:PGM587572 PQI587567:PQI587572 QAE587567:QAE587572 QKA587567:QKA587572 QTW587567:QTW587572 RDS587567:RDS587572 RNO587567:RNO587572 RXK587567:RXK587572 SHG587567:SHG587572 SRC587567:SRC587572 TAY587567:TAY587572 TKU587567:TKU587572 TUQ587567:TUQ587572 UEM587567:UEM587572 UOI587567:UOI587572 UYE587567:UYE587572 VIA587567:VIA587572 VRW587567:VRW587572 WBS587567:WBS587572 WLO587567:WLO587572 WVK587567:WVK587572 IY653103:IY653108 SU653103:SU653108 ACQ653103:ACQ653108 AMM653103:AMM653108 AWI653103:AWI653108 BGE653103:BGE653108 BQA653103:BQA653108 BZW653103:BZW653108 CJS653103:CJS653108 CTO653103:CTO653108 DDK653103:DDK653108 DNG653103:DNG653108 DXC653103:DXC653108 EGY653103:EGY653108 EQU653103:EQU653108 FAQ653103:FAQ653108 FKM653103:FKM653108 FUI653103:FUI653108 GEE653103:GEE653108 GOA653103:GOA653108 GXW653103:GXW653108 HHS653103:HHS653108 HRO653103:HRO653108 IBK653103:IBK653108 ILG653103:ILG653108 IVC653103:IVC653108 JEY653103:JEY653108 JOU653103:JOU653108 JYQ653103:JYQ653108 KIM653103:KIM653108 KSI653103:KSI653108 LCE653103:LCE653108 LMA653103:LMA653108 LVW653103:LVW653108 MFS653103:MFS653108 MPO653103:MPO653108 MZK653103:MZK653108 NJG653103:NJG653108 NTC653103:NTC653108 OCY653103:OCY653108 OMU653103:OMU653108 OWQ653103:OWQ653108 PGM653103:PGM653108 PQI653103:PQI653108 QAE653103:QAE653108 QKA653103:QKA653108 QTW653103:QTW653108 RDS653103:RDS653108 RNO653103:RNO653108 RXK653103:RXK653108 SHG653103:SHG653108 SRC653103:SRC653108 TAY653103:TAY653108 TKU653103:TKU653108 TUQ653103:TUQ653108 UEM653103:UEM653108 UOI653103:UOI653108 UYE653103:UYE653108 VIA653103:VIA653108 VRW653103:VRW653108 WBS653103:WBS653108 WLO653103:WLO653108 WVK653103:WVK653108 IY718639:IY718644 SU718639:SU718644 ACQ718639:ACQ718644 AMM718639:AMM718644 AWI718639:AWI718644 BGE718639:BGE718644 BQA718639:BQA718644 BZW718639:BZW718644 CJS718639:CJS718644 CTO718639:CTO718644 DDK718639:DDK718644 DNG718639:DNG718644 DXC718639:DXC718644 EGY718639:EGY718644 EQU718639:EQU718644 FAQ718639:FAQ718644 FKM718639:FKM718644 FUI718639:FUI718644 GEE718639:GEE718644 GOA718639:GOA718644 GXW718639:GXW718644 HHS718639:HHS718644 HRO718639:HRO718644 IBK718639:IBK718644 ILG718639:ILG718644 IVC718639:IVC718644 JEY718639:JEY718644 JOU718639:JOU718644 JYQ718639:JYQ718644 KIM718639:KIM718644 KSI718639:KSI718644 LCE718639:LCE718644 LMA718639:LMA718644 LVW718639:LVW718644 MFS718639:MFS718644 MPO718639:MPO718644 MZK718639:MZK718644 NJG718639:NJG718644 NTC718639:NTC718644 OCY718639:OCY718644 OMU718639:OMU718644 OWQ718639:OWQ718644 PGM718639:PGM718644 PQI718639:PQI718644 QAE718639:QAE718644 QKA718639:QKA718644 QTW718639:QTW718644 RDS718639:RDS718644 RNO718639:RNO718644 RXK718639:RXK718644 SHG718639:SHG718644 SRC718639:SRC718644 TAY718639:TAY718644 TKU718639:TKU718644 TUQ718639:TUQ718644 UEM718639:UEM718644 UOI718639:UOI718644 UYE718639:UYE718644 VIA718639:VIA718644 VRW718639:VRW718644 WBS718639:WBS718644 WLO718639:WLO718644 WVK718639:WVK718644 IY784175:IY784180 SU784175:SU784180 ACQ784175:ACQ784180 AMM784175:AMM784180 AWI784175:AWI784180 BGE784175:BGE784180 BQA784175:BQA784180 BZW784175:BZW784180 CJS784175:CJS784180 CTO784175:CTO784180 DDK784175:DDK784180 DNG784175:DNG784180 DXC784175:DXC784180 EGY784175:EGY784180 EQU784175:EQU784180 FAQ784175:FAQ784180 FKM784175:FKM784180 FUI784175:FUI784180 GEE784175:GEE784180 GOA784175:GOA784180 GXW784175:GXW784180 HHS784175:HHS784180 HRO784175:HRO784180 IBK784175:IBK784180 ILG784175:ILG784180 IVC784175:IVC784180 JEY784175:JEY784180 JOU784175:JOU784180 JYQ784175:JYQ784180 KIM784175:KIM784180 KSI784175:KSI784180 LCE784175:LCE784180 LMA784175:LMA784180 LVW784175:LVW784180 MFS784175:MFS784180 MPO784175:MPO784180 MZK784175:MZK784180 NJG784175:NJG784180 NTC784175:NTC784180 OCY784175:OCY784180 OMU784175:OMU784180 OWQ784175:OWQ784180 PGM784175:PGM784180 PQI784175:PQI784180 QAE784175:QAE784180 QKA784175:QKA784180 QTW784175:QTW784180 RDS784175:RDS784180 RNO784175:RNO784180 RXK784175:RXK784180 SHG784175:SHG784180 SRC784175:SRC784180 TAY784175:TAY784180 TKU784175:TKU784180 TUQ784175:TUQ784180 UEM784175:UEM784180 UOI784175:UOI784180 UYE784175:UYE784180 VIA784175:VIA784180 VRW784175:VRW784180 WBS784175:WBS784180 WLO784175:WLO784180 WVK784175:WVK784180 IY849711:IY849716 SU849711:SU849716 ACQ849711:ACQ849716 AMM849711:AMM849716 AWI849711:AWI849716 BGE849711:BGE849716 BQA849711:BQA849716 BZW849711:BZW849716 CJS849711:CJS849716 CTO849711:CTO849716 DDK849711:DDK849716 DNG849711:DNG849716 DXC849711:DXC849716 EGY849711:EGY849716 EQU849711:EQU849716 FAQ849711:FAQ849716 FKM849711:FKM849716 FUI849711:FUI849716 GEE849711:GEE849716 GOA849711:GOA849716 GXW849711:GXW849716 HHS849711:HHS849716 HRO849711:HRO849716 IBK849711:IBK849716 ILG849711:ILG849716 IVC849711:IVC849716 JEY849711:JEY849716 JOU849711:JOU849716 JYQ849711:JYQ849716 KIM849711:KIM849716 KSI849711:KSI849716 LCE849711:LCE849716 LMA849711:LMA849716 LVW849711:LVW849716 MFS849711:MFS849716 MPO849711:MPO849716 MZK849711:MZK849716 NJG849711:NJG849716 NTC849711:NTC849716 OCY849711:OCY849716 OMU849711:OMU849716 OWQ849711:OWQ849716 PGM849711:PGM849716 PQI849711:PQI849716 QAE849711:QAE849716 QKA849711:QKA849716 QTW849711:QTW849716 RDS849711:RDS849716 RNO849711:RNO849716 RXK849711:RXK849716 SHG849711:SHG849716 SRC849711:SRC849716 TAY849711:TAY849716 TKU849711:TKU849716 TUQ849711:TUQ849716 UEM849711:UEM849716 UOI849711:UOI849716 UYE849711:UYE849716 VIA849711:VIA849716 VRW849711:VRW849716 WBS849711:WBS849716 WLO849711:WLO849716 WVK849711:WVK849716 IY915247:IY915252 SU915247:SU915252 ACQ915247:ACQ915252 AMM915247:AMM915252 AWI915247:AWI915252 BGE915247:BGE915252 BQA915247:BQA915252 BZW915247:BZW915252 CJS915247:CJS915252 CTO915247:CTO915252 DDK915247:DDK915252 DNG915247:DNG915252 DXC915247:DXC915252 EGY915247:EGY915252 EQU915247:EQU915252 FAQ915247:FAQ915252 FKM915247:FKM915252 FUI915247:FUI915252 GEE915247:GEE915252 GOA915247:GOA915252 GXW915247:GXW915252 HHS915247:HHS915252 HRO915247:HRO915252 IBK915247:IBK915252 ILG915247:ILG915252 IVC915247:IVC915252 JEY915247:JEY915252 JOU915247:JOU915252 JYQ915247:JYQ915252 KIM915247:KIM915252 KSI915247:KSI915252 LCE915247:LCE915252 LMA915247:LMA915252 LVW915247:LVW915252 MFS915247:MFS915252 MPO915247:MPO915252 MZK915247:MZK915252 NJG915247:NJG915252 NTC915247:NTC915252 OCY915247:OCY915252 OMU915247:OMU915252 OWQ915247:OWQ915252 PGM915247:PGM915252 PQI915247:PQI915252 QAE915247:QAE915252 QKA915247:QKA915252 QTW915247:QTW915252 RDS915247:RDS915252 RNO915247:RNO915252 RXK915247:RXK915252 SHG915247:SHG915252 SRC915247:SRC915252 TAY915247:TAY915252 TKU915247:TKU915252 TUQ915247:TUQ915252 UEM915247:UEM915252 UOI915247:UOI915252 UYE915247:UYE915252 VIA915247:VIA915252 VRW915247:VRW915252 WBS915247:WBS915252 WLO915247:WLO915252 WVK915247:WVK915252 IY980783:IY980788 SU980783:SU980788 ACQ980783:ACQ980788 AMM980783:AMM980788 AWI980783:AWI980788 BGE980783:BGE980788 BQA980783:BQA980788 BZW980783:BZW980788 CJS980783:CJS980788 CTO980783:CTO980788 DDK980783:DDK980788 DNG980783:DNG980788 DXC980783:DXC980788 EGY980783:EGY980788 EQU980783:EQU980788 FAQ980783:FAQ980788 FKM980783:FKM980788 FUI980783:FUI980788 GEE980783:GEE980788 GOA980783:GOA980788 GXW980783:GXW980788 HHS980783:HHS980788 HRO980783:HRO980788 IBK980783:IBK980788 ILG980783:ILG980788 IVC980783:IVC980788 JEY980783:JEY980788 JOU980783:JOU980788 JYQ980783:JYQ980788 KIM980783:KIM980788 KSI980783:KSI980788 LCE980783:LCE980788 LMA980783:LMA980788 LVW980783:LVW980788 MFS980783:MFS980788 MPO980783:MPO980788 MZK980783:MZK980788 NJG980783:NJG980788 NTC980783:NTC980788 OCY980783:OCY980788 OMU980783:OMU980788 OWQ980783:OWQ980788 PGM980783:PGM980788 PQI980783:PQI980788 QAE980783:QAE980788 QKA980783:QKA980788 QTW980783:QTW980788 RDS980783:RDS980788 RNO980783:RNO980788 RXK980783:RXK980788 SHG980783:SHG980788 SRC980783:SRC980788 TAY980783:TAY980788 TKU980783:TKU980788 TUQ980783:TUQ980788 UEM980783:UEM980788 UOI980783:UOI980788 UYE980783:UYE980788 VIA980783:VIA980788 VRW980783:VRW980788 WBS980783:WBS980788 WLO980783:WLO980788 WVK980783:WVK980788 IY63295:IY63301 SU63295:SU63301 ACQ63295:ACQ63301 AMM63295:AMM63301 AWI63295:AWI63301 BGE63295:BGE63301 BQA63295:BQA63301 BZW63295:BZW63301 CJS63295:CJS63301 CTO63295:CTO63301 DDK63295:DDK63301 DNG63295:DNG63301 DXC63295:DXC63301 EGY63295:EGY63301 EQU63295:EQU63301 FAQ63295:FAQ63301 FKM63295:FKM63301 FUI63295:FUI63301 GEE63295:GEE63301 GOA63295:GOA63301 GXW63295:GXW63301 HHS63295:HHS63301 HRO63295:HRO63301 IBK63295:IBK63301 ILG63295:ILG63301 IVC63295:IVC63301 JEY63295:JEY63301 JOU63295:JOU63301 JYQ63295:JYQ63301 KIM63295:KIM63301 KSI63295:KSI63301 LCE63295:LCE63301 LMA63295:LMA63301 LVW63295:LVW63301 MFS63295:MFS63301 MPO63295:MPO63301 MZK63295:MZK63301 NJG63295:NJG63301 NTC63295:NTC63301 OCY63295:OCY63301 OMU63295:OMU63301 OWQ63295:OWQ63301 PGM63295:PGM63301 PQI63295:PQI63301 QAE63295:QAE63301 QKA63295:QKA63301 QTW63295:QTW63301 RDS63295:RDS63301 RNO63295:RNO63301 RXK63295:RXK63301 SHG63295:SHG63301 SRC63295:SRC63301 TAY63295:TAY63301 TKU63295:TKU63301 TUQ63295:TUQ63301 UEM63295:UEM63301 UOI63295:UOI63301 UYE63295:UYE63301 VIA63295:VIA63301 VRW63295:VRW63301 WBS63295:WBS63301 WLO63295:WLO63301 WVK63295:WVK63301 IY128831:IY128837 SU128831:SU128837 ACQ128831:ACQ128837 AMM128831:AMM128837 AWI128831:AWI128837 BGE128831:BGE128837 BQA128831:BQA128837 BZW128831:BZW128837 CJS128831:CJS128837 CTO128831:CTO128837 DDK128831:DDK128837 DNG128831:DNG128837 DXC128831:DXC128837 EGY128831:EGY128837 EQU128831:EQU128837 FAQ128831:FAQ128837 FKM128831:FKM128837 FUI128831:FUI128837 GEE128831:GEE128837 GOA128831:GOA128837 GXW128831:GXW128837 HHS128831:HHS128837 HRO128831:HRO128837 IBK128831:IBK128837 ILG128831:ILG128837 IVC128831:IVC128837 JEY128831:JEY128837 JOU128831:JOU128837 JYQ128831:JYQ128837 KIM128831:KIM128837 KSI128831:KSI128837 LCE128831:LCE128837 LMA128831:LMA128837 LVW128831:LVW128837 MFS128831:MFS128837 MPO128831:MPO128837 MZK128831:MZK128837 NJG128831:NJG128837 NTC128831:NTC128837 OCY128831:OCY128837 OMU128831:OMU128837 OWQ128831:OWQ128837 PGM128831:PGM128837 PQI128831:PQI128837 QAE128831:QAE128837 QKA128831:QKA128837 QTW128831:QTW128837 RDS128831:RDS128837 RNO128831:RNO128837 RXK128831:RXK128837 SHG128831:SHG128837 SRC128831:SRC128837 TAY128831:TAY128837 TKU128831:TKU128837 TUQ128831:TUQ128837 UEM128831:UEM128837 UOI128831:UOI128837 UYE128831:UYE128837 VIA128831:VIA128837 VRW128831:VRW128837 WBS128831:WBS128837 WLO128831:WLO128837 WVK128831:WVK128837 IY194367:IY194373 SU194367:SU194373 ACQ194367:ACQ194373 AMM194367:AMM194373 AWI194367:AWI194373 BGE194367:BGE194373 BQA194367:BQA194373 BZW194367:BZW194373 CJS194367:CJS194373 CTO194367:CTO194373 DDK194367:DDK194373 DNG194367:DNG194373 DXC194367:DXC194373 EGY194367:EGY194373 EQU194367:EQU194373 FAQ194367:FAQ194373 FKM194367:FKM194373 FUI194367:FUI194373 GEE194367:GEE194373 GOA194367:GOA194373 GXW194367:GXW194373 HHS194367:HHS194373 HRO194367:HRO194373 IBK194367:IBK194373 ILG194367:ILG194373 IVC194367:IVC194373 JEY194367:JEY194373 JOU194367:JOU194373 JYQ194367:JYQ194373 KIM194367:KIM194373 KSI194367:KSI194373 LCE194367:LCE194373 LMA194367:LMA194373 LVW194367:LVW194373 MFS194367:MFS194373 MPO194367:MPO194373 MZK194367:MZK194373 NJG194367:NJG194373 NTC194367:NTC194373 OCY194367:OCY194373 OMU194367:OMU194373 OWQ194367:OWQ194373 PGM194367:PGM194373 PQI194367:PQI194373 QAE194367:QAE194373 QKA194367:QKA194373 QTW194367:QTW194373 RDS194367:RDS194373 RNO194367:RNO194373 RXK194367:RXK194373 SHG194367:SHG194373 SRC194367:SRC194373 TAY194367:TAY194373 TKU194367:TKU194373 TUQ194367:TUQ194373 UEM194367:UEM194373 UOI194367:UOI194373 UYE194367:UYE194373 VIA194367:VIA194373 VRW194367:VRW194373 WBS194367:WBS194373 WLO194367:WLO194373 WVK194367:WVK194373 IY259903:IY259909 SU259903:SU259909 ACQ259903:ACQ259909 AMM259903:AMM259909 AWI259903:AWI259909 BGE259903:BGE259909 BQA259903:BQA259909 BZW259903:BZW259909 CJS259903:CJS259909 CTO259903:CTO259909 DDK259903:DDK259909 DNG259903:DNG259909 DXC259903:DXC259909 EGY259903:EGY259909 EQU259903:EQU259909 FAQ259903:FAQ259909 FKM259903:FKM259909 FUI259903:FUI259909 GEE259903:GEE259909 GOA259903:GOA259909 GXW259903:GXW259909 HHS259903:HHS259909 HRO259903:HRO259909 IBK259903:IBK259909 ILG259903:ILG259909 IVC259903:IVC259909 JEY259903:JEY259909 JOU259903:JOU259909 JYQ259903:JYQ259909 KIM259903:KIM259909 KSI259903:KSI259909 LCE259903:LCE259909 LMA259903:LMA259909 LVW259903:LVW259909 MFS259903:MFS259909 MPO259903:MPO259909 MZK259903:MZK259909 NJG259903:NJG259909 NTC259903:NTC259909 OCY259903:OCY259909 OMU259903:OMU259909 OWQ259903:OWQ259909 PGM259903:PGM259909 PQI259903:PQI259909 QAE259903:QAE259909 QKA259903:QKA259909 QTW259903:QTW259909 RDS259903:RDS259909 RNO259903:RNO259909 RXK259903:RXK259909 SHG259903:SHG259909 SRC259903:SRC259909 TAY259903:TAY259909 TKU259903:TKU259909 TUQ259903:TUQ259909 UEM259903:UEM259909 UOI259903:UOI259909 UYE259903:UYE259909 VIA259903:VIA259909 VRW259903:VRW259909 WBS259903:WBS259909 WLO259903:WLO259909 WVK259903:WVK259909 IY325439:IY325445 SU325439:SU325445 ACQ325439:ACQ325445 AMM325439:AMM325445 AWI325439:AWI325445 BGE325439:BGE325445 BQA325439:BQA325445 BZW325439:BZW325445 CJS325439:CJS325445 CTO325439:CTO325445 DDK325439:DDK325445 DNG325439:DNG325445 DXC325439:DXC325445 EGY325439:EGY325445 EQU325439:EQU325445 FAQ325439:FAQ325445 FKM325439:FKM325445 FUI325439:FUI325445 GEE325439:GEE325445 GOA325439:GOA325445 GXW325439:GXW325445 HHS325439:HHS325445 HRO325439:HRO325445 IBK325439:IBK325445 ILG325439:ILG325445 IVC325439:IVC325445 JEY325439:JEY325445 JOU325439:JOU325445 JYQ325439:JYQ325445 KIM325439:KIM325445 KSI325439:KSI325445 LCE325439:LCE325445 LMA325439:LMA325445 LVW325439:LVW325445 MFS325439:MFS325445 MPO325439:MPO325445 MZK325439:MZK325445 NJG325439:NJG325445 NTC325439:NTC325445 OCY325439:OCY325445 OMU325439:OMU325445 OWQ325439:OWQ325445 PGM325439:PGM325445 PQI325439:PQI325445 QAE325439:QAE325445 QKA325439:QKA325445 QTW325439:QTW325445 RDS325439:RDS325445 RNO325439:RNO325445 RXK325439:RXK325445 SHG325439:SHG325445 SRC325439:SRC325445 TAY325439:TAY325445 TKU325439:TKU325445 TUQ325439:TUQ325445 UEM325439:UEM325445 UOI325439:UOI325445 UYE325439:UYE325445 VIA325439:VIA325445 VRW325439:VRW325445 WBS325439:WBS325445 WLO325439:WLO325445 WVK325439:WVK325445 IY390975:IY390981 SU390975:SU390981 ACQ390975:ACQ390981 AMM390975:AMM390981 AWI390975:AWI390981 BGE390975:BGE390981 BQA390975:BQA390981 BZW390975:BZW390981 CJS390975:CJS390981 CTO390975:CTO390981 DDK390975:DDK390981 DNG390975:DNG390981 DXC390975:DXC390981 EGY390975:EGY390981 EQU390975:EQU390981 FAQ390975:FAQ390981 FKM390975:FKM390981 FUI390975:FUI390981 GEE390975:GEE390981 GOA390975:GOA390981 GXW390975:GXW390981 HHS390975:HHS390981 HRO390975:HRO390981 IBK390975:IBK390981 ILG390975:ILG390981 IVC390975:IVC390981 JEY390975:JEY390981 JOU390975:JOU390981 JYQ390975:JYQ390981 KIM390975:KIM390981 KSI390975:KSI390981 LCE390975:LCE390981 LMA390975:LMA390981 LVW390975:LVW390981 MFS390975:MFS390981 MPO390975:MPO390981 MZK390975:MZK390981 NJG390975:NJG390981 NTC390975:NTC390981 OCY390975:OCY390981 OMU390975:OMU390981 OWQ390975:OWQ390981 PGM390975:PGM390981 PQI390975:PQI390981 QAE390975:QAE390981 QKA390975:QKA390981 QTW390975:QTW390981 RDS390975:RDS390981 RNO390975:RNO390981 RXK390975:RXK390981 SHG390975:SHG390981 SRC390975:SRC390981 TAY390975:TAY390981 TKU390975:TKU390981 TUQ390975:TUQ390981 UEM390975:UEM390981 UOI390975:UOI390981 UYE390975:UYE390981 VIA390975:VIA390981 VRW390975:VRW390981 WBS390975:WBS390981 WLO390975:WLO390981 WVK390975:WVK390981 IY456511:IY456517 SU456511:SU456517 ACQ456511:ACQ456517 AMM456511:AMM456517 AWI456511:AWI456517 BGE456511:BGE456517 BQA456511:BQA456517 BZW456511:BZW456517 CJS456511:CJS456517 CTO456511:CTO456517 DDK456511:DDK456517 DNG456511:DNG456517 DXC456511:DXC456517 EGY456511:EGY456517 EQU456511:EQU456517 FAQ456511:FAQ456517 FKM456511:FKM456517 FUI456511:FUI456517 GEE456511:GEE456517 GOA456511:GOA456517 GXW456511:GXW456517 HHS456511:HHS456517 HRO456511:HRO456517 IBK456511:IBK456517 ILG456511:ILG456517 IVC456511:IVC456517 JEY456511:JEY456517 JOU456511:JOU456517 JYQ456511:JYQ456517 KIM456511:KIM456517 KSI456511:KSI456517 LCE456511:LCE456517 LMA456511:LMA456517 LVW456511:LVW456517 MFS456511:MFS456517 MPO456511:MPO456517 MZK456511:MZK456517 NJG456511:NJG456517 NTC456511:NTC456517 OCY456511:OCY456517 OMU456511:OMU456517 OWQ456511:OWQ456517 PGM456511:PGM456517 PQI456511:PQI456517 QAE456511:QAE456517 QKA456511:QKA456517 QTW456511:QTW456517 RDS456511:RDS456517 RNO456511:RNO456517 RXK456511:RXK456517 SHG456511:SHG456517 SRC456511:SRC456517 TAY456511:TAY456517 TKU456511:TKU456517 TUQ456511:TUQ456517 UEM456511:UEM456517 UOI456511:UOI456517 UYE456511:UYE456517 VIA456511:VIA456517 VRW456511:VRW456517 WBS456511:WBS456517 WLO456511:WLO456517 WVK456511:WVK456517 IY522047:IY522053 SU522047:SU522053 ACQ522047:ACQ522053 AMM522047:AMM522053 AWI522047:AWI522053 BGE522047:BGE522053 BQA522047:BQA522053 BZW522047:BZW522053 CJS522047:CJS522053 CTO522047:CTO522053 DDK522047:DDK522053 DNG522047:DNG522053 DXC522047:DXC522053 EGY522047:EGY522053 EQU522047:EQU522053 FAQ522047:FAQ522053 FKM522047:FKM522053 FUI522047:FUI522053 GEE522047:GEE522053 GOA522047:GOA522053 GXW522047:GXW522053 HHS522047:HHS522053 HRO522047:HRO522053 IBK522047:IBK522053 ILG522047:ILG522053 IVC522047:IVC522053 JEY522047:JEY522053 JOU522047:JOU522053 JYQ522047:JYQ522053 KIM522047:KIM522053 KSI522047:KSI522053 LCE522047:LCE522053 LMA522047:LMA522053 LVW522047:LVW522053 MFS522047:MFS522053 MPO522047:MPO522053 MZK522047:MZK522053 NJG522047:NJG522053 NTC522047:NTC522053 OCY522047:OCY522053 OMU522047:OMU522053 OWQ522047:OWQ522053 PGM522047:PGM522053 PQI522047:PQI522053 QAE522047:QAE522053 QKA522047:QKA522053 QTW522047:QTW522053 RDS522047:RDS522053 RNO522047:RNO522053 RXK522047:RXK522053 SHG522047:SHG522053 SRC522047:SRC522053 TAY522047:TAY522053 TKU522047:TKU522053 TUQ522047:TUQ522053 UEM522047:UEM522053 UOI522047:UOI522053 UYE522047:UYE522053 VIA522047:VIA522053 VRW522047:VRW522053 WBS522047:WBS522053 WLO522047:WLO522053 WVK522047:WVK522053 IY587583:IY587589 SU587583:SU587589 ACQ587583:ACQ587589 AMM587583:AMM587589 AWI587583:AWI587589 BGE587583:BGE587589 BQA587583:BQA587589 BZW587583:BZW587589 CJS587583:CJS587589 CTO587583:CTO587589 DDK587583:DDK587589 DNG587583:DNG587589 DXC587583:DXC587589 EGY587583:EGY587589 EQU587583:EQU587589 FAQ587583:FAQ587589 FKM587583:FKM587589 FUI587583:FUI587589 GEE587583:GEE587589 GOA587583:GOA587589 GXW587583:GXW587589 HHS587583:HHS587589 HRO587583:HRO587589 IBK587583:IBK587589 ILG587583:ILG587589 IVC587583:IVC587589 JEY587583:JEY587589 JOU587583:JOU587589 JYQ587583:JYQ587589 KIM587583:KIM587589 KSI587583:KSI587589 LCE587583:LCE587589 LMA587583:LMA587589 LVW587583:LVW587589 MFS587583:MFS587589 MPO587583:MPO587589 MZK587583:MZK587589 NJG587583:NJG587589 NTC587583:NTC587589 OCY587583:OCY587589 OMU587583:OMU587589 OWQ587583:OWQ587589 PGM587583:PGM587589 PQI587583:PQI587589 QAE587583:QAE587589 QKA587583:QKA587589 QTW587583:QTW587589 RDS587583:RDS587589 RNO587583:RNO587589 RXK587583:RXK587589 SHG587583:SHG587589 SRC587583:SRC587589 TAY587583:TAY587589 TKU587583:TKU587589 TUQ587583:TUQ587589 UEM587583:UEM587589 UOI587583:UOI587589 UYE587583:UYE587589 VIA587583:VIA587589 VRW587583:VRW587589 WBS587583:WBS587589 WLO587583:WLO587589 WVK587583:WVK587589 IY653119:IY653125 SU653119:SU653125 ACQ653119:ACQ653125 AMM653119:AMM653125 AWI653119:AWI653125 BGE653119:BGE653125 BQA653119:BQA653125 BZW653119:BZW653125 CJS653119:CJS653125 CTO653119:CTO653125 DDK653119:DDK653125 DNG653119:DNG653125 DXC653119:DXC653125 EGY653119:EGY653125 EQU653119:EQU653125 FAQ653119:FAQ653125 FKM653119:FKM653125 FUI653119:FUI653125 GEE653119:GEE653125 GOA653119:GOA653125 GXW653119:GXW653125 HHS653119:HHS653125 HRO653119:HRO653125 IBK653119:IBK653125 ILG653119:ILG653125 IVC653119:IVC653125 JEY653119:JEY653125 JOU653119:JOU653125 JYQ653119:JYQ653125 KIM653119:KIM653125 KSI653119:KSI653125 LCE653119:LCE653125 LMA653119:LMA653125 LVW653119:LVW653125 MFS653119:MFS653125 MPO653119:MPO653125 MZK653119:MZK653125 NJG653119:NJG653125 NTC653119:NTC653125 OCY653119:OCY653125 OMU653119:OMU653125 OWQ653119:OWQ653125 PGM653119:PGM653125 PQI653119:PQI653125 QAE653119:QAE653125 QKA653119:QKA653125 QTW653119:QTW653125 RDS653119:RDS653125 RNO653119:RNO653125 RXK653119:RXK653125 SHG653119:SHG653125 SRC653119:SRC653125 TAY653119:TAY653125 TKU653119:TKU653125 TUQ653119:TUQ653125 UEM653119:UEM653125 UOI653119:UOI653125 UYE653119:UYE653125 VIA653119:VIA653125 VRW653119:VRW653125 WBS653119:WBS653125 WLO653119:WLO653125 WVK653119:WVK653125 IY718655:IY718661 SU718655:SU718661 ACQ718655:ACQ718661 AMM718655:AMM718661 AWI718655:AWI718661 BGE718655:BGE718661 BQA718655:BQA718661 BZW718655:BZW718661 CJS718655:CJS718661 CTO718655:CTO718661 DDK718655:DDK718661 DNG718655:DNG718661 DXC718655:DXC718661 EGY718655:EGY718661 EQU718655:EQU718661 FAQ718655:FAQ718661 FKM718655:FKM718661 FUI718655:FUI718661 GEE718655:GEE718661 GOA718655:GOA718661 GXW718655:GXW718661 HHS718655:HHS718661 HRO718655:HRO718661 IBK718655:IBK718661 ILG718655:ILG718661 IVC718655:IVC718661 JEY718655:JEY718661 JOU718655:JOU718661 JYQ718655:JYQ718661 KIM718655:KIM718661 KSI718655:KSI718661 LCE718655:LCE718661 LMA718655:LMA718661 LVW718655:LVW718661 MFS718655:MFS718661 MPO718655:MPO718661 MZK718655:MZK718661 NJG718655:NJG718661 NTC718655:NTC718661 OCY718655:OCY718661 OMU718655:OMU718661 OWQ718655:OWQ718661 PGM718655:PGM718661 PQI718655:PQI718661 QAE718655:QAE718661 QKA718655:QKA718661 QTW718655:QTW718661 RDS718655:RDS718661 RNO718655:RNO718661 RXK718655:RXK718661 SHG718655:SHG718661 SRC718655:SRC718661 TAY718655:TAY718661 TKU718655:TKU718661 TUQ718655:TUQ718661 UEM718655:UEM718661 UOI718655:UOI718661 UYE718655:UYE718661 VIA718655:VIA718661 VRW718655:VRW718661 WBS718655:WBS718661 WLO718655:WLO718661 WVK718655:WVK718661 IY784191:IY784197 SU784191:SU784197 ACQ784191:ACQ784197 AMM784191:AMM784197 AWI784191:AWI784197 BGE784191:BGE784197 BQA784191:BQA784197 BZW784191:BZW784197 CJS784191:CJS784197 CTO784191:CTO784197 DDK784191:DDK784197 DNG784191:DNG784197 DXC784191:DXC784197 EGY784191:EGY784197 EQU784191:EQU784197 FAQ784191:FAQ784197 FKM784191:FKM784197 FUI784191:FUI784197 GEE784191:GEE784197 GOA784191:GOA784197 GXW784191:GXW784197 HHS784191:HHS784197 HRO784191:HRO784197 IBK784191:IBK784197 ILG784191:ILG784197 IVC784191:IVC784197 JEY784191:JEY784197 JOU784191:JOU784197 JYQ784191:JYQ784197 KIM784191:KIM784197 KSI784191:KSI784197 LCE784191:LCE784197 LMA784191:LMA784197 LVW784191:LVW784197 MFS784191:MFS784197 MPO784191:MPO784197 MZK784191:MZK784197 NJG784191:NJG784197 NTC784191:NTC784197 OCY784191:OCY784197 OMU784191:OMU784197 OWQ784191:OWQ784197 PGM784191:PGM784197 PQI784191:PQI784197 QAE784191:QAE784197 QKA784191:QKA784197 QTW784191:QTW784197 RDS784191:RDS784197 RNO784191:RNO784197 RXK784191:RXK784197 SHG784191:SHG784197 SRC784191:SRC784197 TAY784191:TAY784197 TKU784191:TKU784197 TUQ784191:TUQ784197 UEM784191:UEM784197 UOI784191:UOI784197 UYE784191:UYE784197 VIA784191:VIA784197 VRW784191:VRW784197 WBS784191:WBS784197 WLO784191:WLO784197 WVK784191:WVK784197 IY849727:IY849733 SU849727:SU849733 ACQ849727:ACQ849733 AMM849727:AMM849733 AWI849727:AWI849733 BGE849727:BGE849733 BQA849727:BQA849733 BZW849727:BZW849733 CJS849727:CJS849733 CTO849727:CTO849733 DDK849727:DDK849733 DNG849727:DNG849733 DXC849727:DXC849733 EGY849727:EGY849733 EQU849727:EQU849733 FAQ849727:FAQ849733 FKM849727:FKM849733 FUI849727:FUI849733 GEE849727:GEE849733 GOA849727:GOA849733 GXW849727:GXW849733 HHS849727:HHS849733 HRO849727:HRO849733 IBK849727:IBK849733 ILG849727:ILG849733 IVC849727:IVC849733 JEY849727:JEY849733 JOU849727:JOU849733 JYQ849727:JYQ849733 KIM849727:KIM849733 KSI849727:KSI849733 LCE849727:LCE849733 LMA849727:LMA849733 LVW849727:LVW849733 MFS849727:MFS849733 MPO849727:MPO849733 MZK849727:MZK849733 NJG849727:NJG849733 NTC849727:NTC849733 OCY849727:OCY849733 OMU849727:OMU849733 OWQ849727:OWQ849733 PGM849727:PGM849733 PQI849727:PQI849733 QAE849727:QAE849733 QKA849727:QKA849733 QTW849727:QTW849733 RDS849727:RDS849733 RNO849727:RNO849733 RXK849727:RXK849733 SHG849727:SHG849733 SRC849727:SRC849733 TAY849727:TAY849733 TKU849727:TKU849733 TUQ849727:TUQ849733 UEM849727:UEM849733 UOI849727:UOI849733 UYE849727:UYE849733 VIA849727:VIA849733 VRW849727:VRW849733 WBS849727:WBS849733 WLO849727:WLO849733 WVK849727:WVK849733 IY915263:IY915269 SU915263:SU915269 ACQ915263:ACQ915269 AMM915263:AMM915269 AWI915263:AWI915269 BGE915263:BGE915269 BQA915263:BQA915269 BZW915263:BZW915269 CJS915263:CJS915269 CTO915263:CTO915269 DDK915263:DDK915269 DNG915263:DNG915269 DXC915263:DXC915269 EGY915263:EGY915269 EQU915263:EQU915269 FAQ915263:FAQ915269 FKM915263:FKM915269 FUI915263:FUI915269 GEE915263:GEE915269 GOA915263:GOA915269 GXW915263:GXW915269 HHS915263:HHS915269 HRO915263:HRO915269 IBK915263:IBK915269 ILG915263:ILG915269 IVC915263:IVC915269 JEY915263:JEY915269 JOU915263:JOU915269 JYQ915263:JYQ915269 KIM915263:KIM915269 KSI915263:KSI915269 LCE915263:LCE915269 LMA915263:LMA915269 LVW915263:LVW915269 MFS915263:MFS915269 MPO915263:MPO915269 MZK915263:MZK915269 NJG915263:NJG915269 NTC915263:NTC915269 OCY915263:OCY915269 OMU915263:OMU915269 OWQ915263:OWQ915269 PGM915263:PGM915269 PQI915263:PQI915269 QAE915263:QAE915269 QKA915263:QKA915269 QTW915263:QTW915269 RDS915263:RDS915269 RNO915263:RNO915269 RXK915263:RXK915269 SHG915263:SHG915269 SRC915263:SRC915269 TAY915263:TAY915269 TKU915263:TKU915269 TUQ915263:TUQ915269 UEM915263:UEM915269 UOI915263:UOI915269 UYE915263:UYE915269 VIA915263:VIA915269 VRW915263:VRW915269 WBS915263:WBS915269 WLO915263:WLO915269 WVK915263:WVK915269 IY980799:IY980805 SU980799:SU980805 ACQ980799:ACQ980805 AMM980799:AMM980805 AWI980799:AWI980805 BGE980799:BGE980805 BQA980799:BQA980805 BZW980799:BZW980805 CJS980799:CJS980805 CTO980799:CTO980805 DDK980799:DDK980805 DNG980799:DNG980805 DXC980799:DXC980805 EGY980799:EGY980805 EQU980799:EQU980805 FAQ980799:FAQ980805 FKM980799:FKM980805 FUI980799:FUI980805 GEE980799:GEE980805 GOA980799:GOA980805 GXW980799:GXW980805 HHS980799:HHS980805 HRO980799:HRO980805 IBK980799:IBK980805 ILG980799:ILG980805 IVC980799:IVC980805 JEY980799:JEY980805 JOU980799:JOU980805 JYQ980799:JYQ980805 KIM980799:KIM980805 KSI980799:KSI980805 LCE980799:LCE980805 LMA980799:LMA980805 LVW980799:LVW980805 MFS980799:MFS980805 MPO980799:MPO980805 MZK980799:MZK980805 NJG980799:NJG980805 NTC980799:NTC980805 OCY980799:OCY980805 OMU980799:OMU980805 OWQ980799:OWQ980805 PGM980799:PGM980805 PQI980799:PQI980805 QAE980799:QAE980805 QKA980799:QKA980805 QTW980799:QTW980805 RDS980799:RDS980805 RNO980799:RNO980805 RXK980799:RXK980805 SHG980799:SHG980805 SRC980799:SRC980805 TAY980799:TAY980805 TKU980799:TKU980805 TUQ980799:TUQ980805 UEM980799:UEM980805 UOI980799:UOI980805 UYE980799:UYE980805 VIA980799:VIA980805 VRW980799:VRW980805 WBS980799:WBS980805 WLO980799:WLO980805 WVK980799:WVK980805 IY63309:IY63314 SU63309:SU63314 ACQ63309:ACQ63314 AMM63309:AMM63314 AWI63309:AWI63314 BGE63309:BGE63314 BQA63309:BQA63314 BZW63309:BZW63314 CJS63309:CJS63314 CTO63309:CTO63314 DDK63309:DDK63314 DNG63309:DNG63314 DXC63309:DXC63314 EGY63309:EGY63314 EQU63309:EQU63314 FAQ63309:FAQ63314 FKM63309:FKM63314 FUI63309:FUI63314 GEE63309:GEE63314 GOA63309:GOA63314 GXW63309:GXW63314 HHS63309:HHS63314 HRO63309:HRO63314 IBK63309:IBK63314 ILG63309:ILG63314 IVC63309:IVC63314 JEY63309:JEY63314 JOU63309:JOU63314 JYQ63309:JYQ63314 KIM63309:KIM63314 KSI63309:KSI63314 LCE63309:LCE63314 LMA63309:LMA63314 LVW63309:LVW63314 MFS63309:MFS63314 MPO63309:MPO63314 MZK63309:MZK63314 NJG63309:NJG63314 NTC63309:NTC63314 OCY63309:OCY63314 OMU63309:OMU63314 OWQ63309:OWQ63314 PGM63309:PGM63314 PQI63309:PQI63314 QAE63309:QAE63314 QKA63309:QKA63314 QTW63309:QTW63314 RDS63309:RDS63314 RNO63309:RNO63314 RXK63309:RXK63314 SHG63309:SHG63314 SRC63309:SRC63314 TAY63309:TAY63314 TKU63309:TKU63314 TUQ63309:TUQ63314 UEM63309:UEM63314 UOI63309:UOI63314 UYE63309:UYE63314 VIA63309:VIA63314 VRW63309:VRW63314 WBS63309:WBS63314 WLO63309:WLO63314 WVK63309:WVK63314 IY128845:IY128850 SU128845:SU128850 ACQ128845:ACQ128850 AMM128845:AMM128850 AWI128845:AWI128850 BGE128845:BGE128850 BQA128845:BQA128850 BZW128845:BZW128850 CJS128845:CJS128850 CTO128845:CTO128850 DDK128845:DDK128850 DNG128845:DNG128850 DXC128845:DXC128850 EGY128845:EGY128850 EQU128845:EQU128850 FAQ128845:FAQ128850 FKM128845:FKM128850 FUI128845:FUI128850 GEE128845:GEE128850 GOA128845:GOA128850 GXW128845:GXW128850 HHS128845:HHS128850 HRO128845:HRO128850 IBK128845:IBK128850 ILG128845:ILG128850 IVC128845:IVC128850 JEY128845:JEY128850 JOU128845:JOU128850 JYQ128845:JYQ128850 KIM128845:KIM128850 KSI128845:KSI128850 LCE128845:LCE128850 LMA128845:LMA128850 LVW128845:LVW128850 MFS128845:MFS128850 MPO128845:MPO128850 MZK128845:MZK128850 NJG128845:NJG128850 NTC128845:NTC128850 OCY128845:OCY128850 OMU128845:OMU128850 OWQ128845:OWQ128850 PGM128845:PGM128850 PQI128845:PQI128850 QAE128845:QAE128850 QKA128845:QKA128850 QTW128845:QTW128850 RDS128845:RDS128850 RNO128845:RNO128850 RXK128845:RXK128850 SHG128845:SHG128850 SRC128845:SRC128850 TAY128845:TAY128850 TKU128845:TKU128850 TUQ128845:TUQ128850 UEM128845:UEM128850 UOI128845:UOI128850 UYE128845:UYE128850 VIA128845:VIA128850 VRW128845:VRW128850 WBS128845:WBS128850 WLO128845:WLO128850 WVK128845:WVK128850 IY194381:IY194386 SU194381:SU194386 ACQ194381:ACQ194386 AMM194381:AMM194386 AWI194381:AWI194386 BGE194381:BGE194386 BQA194381:BQA194386 BZW194381:BZW194386 CJS194381:CJS194386 CTO194381:CTO194386 DDK194381:DDK194386 DNG194381:DNG194386 DXC194381:DXC194386 EGY194381:EGY194386 EQU194381:EQU194386 FAQ194381:FAQ194386 FKM194381:FKM194386 FUI194381:FUI194386 GEE194381:GEE194386 GOA194381:GOA194386 GXW194381:GXW194386 HHS194381:HHS194386 HRO194381:HRO194386 IBK194381:IBK194386 ILG194381:ILG194386 IVC194381:IVC194386 JEY194381:JEY194386 JOU194381:JOU194386 JYQ194381:JYQ194386 KIM194381:KIM194386 KSI194381:KSI194386 LCE194381:LCE194386 LMA194381:LMA194386 LVW194381:LVW194386 MFS194381:MFS194386 MPO194381:MPO194386 MZK194381:MZK194386 NJG194381:NJG194386 NTC194381:NTC194386 OCY194381:OCY194386 OMU194381:OMU194386 OWQ194381:OWQ194386 PGM194381:PGM194386 PQI194381:PQI194386 QAE194381:QAE194386 QKA194381:QKA194386 QTW194381:QTW194386 RDS194381:RDS194386 RNO194381:RNO194386 RXK194381:RXK194386 SHG194381:SHG194386 SRC194381:SRC194386 TAY194381:TAY194386 TKU194381:TKU194386 TUQ194381:TUQ194386 UEM194381:UEM194386 UOI194381:UOI194386 UYE194381:UYE194386 VIA194381:VIA194386 VRW194381:VRW194386 WBS194381:WBS194386 WLO194381:WLO194386 WVK194381:WVK194386 IY259917:IY259922 SU259917:SU259922 ACQ259917:ACQ259922 AMM259917:AMM259922 AWI259917:AWI259922 BGE259917:BGE259922 BQA259917:BQA259922 BZW259917:BZW259922 CJS259917:CJS259922 CTO259917:CTO259922 DDK259917:DDK259922 DNG259917:DNG259922 DXC259917:DXC259922 EGY259917:EGY259922 EQU259917:EQU259922 FAQ259917:FAQ259922 FKM259917:FKM259922 FUI259917:FUI259922 GEE259917:GEE259922 GOA259917:GOA259922 GXW259917:GXW259922 HHS259917:HHS259922 HRO259917:HRO259922 IBK259917:IBK259922 ILG259917:ILG259922 IVC259917:IVC259922 JEY259917:JEY259922 JOU259917:JOU259922 JYQ259917:JYQ259922 KIM259917:KIM259922 KSI259917:KSI259922 LCE259917:LCE259922 LMA259917:LMA259922 LVW259917:LVW259922 MFS259917:MFS259922 MPO259917:MPO259922 MZK259917:MZK259922 NJG259917:NJG259922 NTC259917:NTC259922 OCY259917:OCY259922 OMU259917:OMU259922 OWQ259917:OWQ259922 PGM259917:PGM259922 PQI259917:PQI259922 QAE259917:QAE259922 QKA259917:QKA259922 QTW259917:QTW259922 RDS259917:RDS259922 RNO259917:RNO259922 RXK259917:RXK259922 SHG259917:SHG259922 SRC259917:SRC259922 TAY259917:TAY259922 TKU259917:TKU259922 TUQ259917:TUQ259922 UEM259917:UEM259922 UOI259917:UOI259922 UYE259917:UYE259922 VIA259917:VIA259922 VRW259917:VRW259922 WBS259917:WBS259922 WLO259917:WLO259922 WVK259917:WVK259922 IY325453:IY325458 SU325453:SU325458 ACQ325453:ACQ325458 AMM325453:AMM325458 AWI325453:AWI325458 BGE325453:BGE325458 BQA325453:BQA325458 BZW325453:BZW325458 CJS325453:CJS325458 CTO325453:CTO325458 DDK325453:DDK325458 DNG325453:DNG325458 DXC325453:DXC325458 EGY325453:EGY325458 EQU325453:EQU325458 FAQ325453:FAQ325458 FKM325453:FKM325458 FUI325453:FUI325458 GEE325453:GEE325458 GOA325453:GOA325458 GXW325453:GXW325458 HHS325453:HHS325458 HRO325453:HRO325458 IBK325453:IBK325458 ILG325453:ILG325458 IVC325453:IVC325458 JEY325453:JEY325458 JOU325453:JOU325458 JYQ325453:JYQ325458 KIM325453:KIM325458 KSI325453:KSI325458 LCE325453:LCE325458 LMA325453:LMA325458 LVW325453:LVW325458 MFS325453:MFS325458 MPO325453:MPO325458 MZK325453:MZK325458 NJG325453:NJG325458 NTC325453:NTC325458 OCY325453:OCY325458 OMU325453:OMU325458 OWQ325453:OWQ325458 PGM325453:PGM325458 PQI325453:PQI325458 QAE325453:QAE325458 QKA325453:QKA325458 QTW325453:QTW325458 RDS325453:RDS325458 RNO325453:RNO325458 RXK325453:RXK325458 SHG325453:SHG325458 SRC325453:SRC325458 TAY325453:TAY325458 TKU325453:TKU325458 TUQ325453:TUQ325458 UEM325453:UEM325458 UOI325453:UOI325458 UYE325453:UYE325458 VIA325453:VIA325458 VRW325453:VRW325458 WBS325453:WBS325458 WLO325453:WLO325458 WVK325453:WVK325458 IY390989:IY390994 SU390989:SU390994 ACQ390989:ACQ390994 AMM390989:AMM390994 AWI390989:AWI390994 BGE390989:BGE390994 BQA390989:BQA390994 BZW390989:BZW390994 CJS390989:CJS390994 CTO390989:CTO390994 DDK390989:DDK390994 DNG390989:DNG390994 DXC390989:DXC390994 EGY390989:EGY390994 EQU390989:EQU390994 FAQ390989:FAQ390994 FKM390989:FKM390994 FUI390989:FUI390994 GEE390989:GEE390994 GOA390989:GOA390994 GXW390989:GXW390994 HHS390989:HHS390994 HRO390989:HRO390994 IBK390989:IBK390994 ILG390989:ILG390994 IVC390989:IVC390994 JEY390989:JEY390994 JOU390989:JOU390994 JYQ390989:JYQ390994 KIM390989:KIM390994 KSI390989:KSI390994 LCE390989:LCE390994 LMA390989:LMA390994 LVW390989:LVW390994 MFS390989:MFS390994 MPO390989:MPO390994 MZK390989:MZK390994 NJG390989:NJG390994 NTC390989:NTC390994 OCY390989:OCY390994 OMU390989:OMU390994 OWQ390989:OWQ390994 PGM390989:PGM390994 PQI390989:PQI390994 QAE390989:QAE390994 QKA390989:QKA390994 QTW390989:QTW390994 RDS390989:RDS390994 RNO390989:RNO390994 RXK390989:RXK390994 SHG390989:SHG390994 SRC390989:SRC390994 TAY390989:TAY390994 TKU390989:TKU390994 TUQ390989:TUQ390994 UEM390989:UEM390994 UOI390989:UOI390994 UYE390989:UYE390994 VIA390989:VIA390994 VRW390989:VRW390994 WBS390989:WBS390994 WLO390989:WLO390994 WVK390989:WVK390994 IY456525:IY456530 SU456525:SU456530 ACQ456525:ACQ456530 AMM456525:AMM456530 AWI456525:AWI456530 BGE456525:BGE456530 BQA456525:BQA456530 BZW456525:BZW456530 CJS456525:CJS456530 CTO456525:CTO456530 DDK456525:DDK456530 DNG456525:DNG456530 DXC456525:DXC456530 EGY456525:EGY456530 EQU456525:EQU456530 FAQ456525:FAQ456530 FKM456525:FKM456530 FUI456525:FUI456530 GEE456525:GEE456530 GOA456525:GOA456530 GXW456525:GXW456530 HHS456525:HHS456530 HRO456525:HRO456530 IBK456525:IBK456530 ILG456525:ILG456530 IVC456525:IVC456530 JEY456525:JEY456530 JOU456525:JOU456530 JYQ456525:JYQ456530 KIM456525:KIM456530 KSI456525:KSI456530 LCE456525:LCE456530 LMA456525:LMA456530 LVW456525:LVW456530 MFS456525:MFS456530 MPO456525:MPO456530 MZK456525:MZK456530 NJG456525:NJG456530 NTC456525:NTC456530 OCY456525:OCY456530 OMU456525:OMU456530 OWQ456525:OWQ456530 PGM456525:PGM456530 PQI456525:PQI456530 QAE456525:QAE456530 QKA456525:QKA456530 QTW456525:QTW456530 RDS456525:RDS456530 RNO456525:RNO456530 RXK456525:RXK456530 SHG456525:SHG456530 SRC456525:SRC456530 TAY456525:TAY456530 TKU456525:TKU456530 TUQ456525:TUQ456530 UEM456525:UEM456530 UOI456525:UOI456530 UYE456525:UYE456530 VIA456525:VIA456530 VRW456525:VRW456530 WBS456525:WBS456530 WLO456525:WLO456530 WVK456525:WVK456530 IY522061:IY522066 SU522061:SU522066 ACQ522061:ACQ522066 AMM522061:AMM522066 AWI522061:AWI522066 BGE522061:BGE522066 BQA522061:BQA522066 BZW522061:BZW522066 CJS522061:CJS522066 CTO522061:CTO522066 DDK522061:DDK522066 DNG522061:DNG522066 DXC522061:DXC522066 EGY522061:EGY522066 EQU522061:EQU522066 FAQ522061:FAQ522066 FKM522061:FKM522066 FUI522061:FUI522066 GEE522061:GEE522066 GOA522061:GOA522066 GXW522061:GXW522066 HHS522061:HHS522066 HRO522061:HRO522066 IBK522061:IBK522066 ILG522061:ILG522066 IVC522061:IVC522066 JEY522061:JEY522066 JOU522061:JOU522066 JYQ522061:JYQ522066 KIM522061:KIM522066 KSI522061:KSI522066 LCE522061:LCE522066 LMA522061:LMA522066 LVW522061:LVW522066 MFS522061:MFS522066 MPO522061:MPO522066 MZK522061:MZK522066 NJG522061:NJG522066 NTC522061:NTC522066 OCY522061:OCY522066 OMU522061:OMU522066 OWQ522061:OWQ522066 PGM522061:PGM522066 PQI522061:PQI522066 QAE522061:QAE522066 QKA522061:QKA522066 QTW522061:QTW522066 RDS522061:RDS522066 RNO522061:RNO522066 RXK522061:RXK522066 SHG522061:SHG522066 SRC522061:SRC522066 TAY522061:TAY522066 TKU522061:TKU522066 TUQ522061:TUQ522066 UEM522061:UEM522066 UOI522061:UOI522066 UYE522061:UYE522066 VIA522061:VIA522066 VRW522061:VRW522066 WBS522061:WBS522066 WLO522061:WLO522066 WVK522061:WVK522066 IY587597:IY587602 SU587597:SU587602 ACQ587597:ACQ587602 AMM587597:AMM587602 AWI587597:AWI587602 BGE587597:BGE587602 BQA587597:BQA587602 BZW587597:BZW587602 CJS587597:CJS587602 CTO587597:CTO587602 DDK587597:DDK587602 DNG587597:DNG587602 DXC587597:DXC587602 EGY587597:EGY587602 EQU587597:EQU587602 FAQ587597:FAQ587602 FKM587597:FKM587602 FUI587597:FUI587602 GEE587597:GEE587602 GOA587597:GOA587602 GXW587597:GXW587602 HHS587597:HHS587602 HRO587597:HRO587602 IBK587597:IBK587602 ILG587597:ILG587602 IVC587597:IVC587602 JEY587597:JEY587602 JOU587597:JOU587602 JYQ587597:JYQ587602 KIM587597:KIM587602 KSI587597:KSI587602 LCE587597:LCE587602 LMA587597:LMA587602 LVW587597:LVW587602 MFS587597:MFS587602 MPO587597:MPO587602 MZK587597:MZK587602 NJG587597:NJG587602 NTC587597:NTC587602 OCY587597:OCY587602 OMU587597:OMU587602 OWQ587597:OWQ587602 PGM587597:PGM587602 PQI587597:PQI587602 QAE587597:QAE587602 QKA587597:QKA587602 QTW587597:QTW587602 RDS587597:RDS587602 RNO587597:RNO587602 RXK587597:RXK587602 SHG587597:SHG587602 SRC587597:SRC587602 TAY587597:TAY587602 TKU587597:TKU587602 TUQ587597:TUQ587602 UEM587597:UEM587602 UOI587597:UOI587602 UYE587597:UYE587602 VIA587597:VIA587602 VRW587597:VRW587602 WBS587597:WBS587602 WLO587597:WLO587602 WVK587597:WVK587602 IY653133:IY653138 SU653133:SU653138 ACQ653133:ACQ653138 AMM653133:AMM653138 AWI653133:AWI653138 BGE653133:BGE653138 BQA653133:BQA653138 BZW653133:BZW653138 CJS653133:CJS653138 CTO653133:CTO653138 DDK653133:DDK653138 DNG653133:DNG653138 DXC653133:DXC653138 EGY653133:EGY653138 EQU653133:EQU653138 FAQ653133:FAQ653138 FKM653133:FKM653138 FUI653133:FUI653138 GEE653133:GEE653138 GOA653133:GOA653138 GXW653133:GXW653138 HHS653133:HHS653138 HRO653133:HRO653138 IBK653133:IBK653138 ILG653133:ILG653138 IVC653133:IVC653138 JEY653133:JEY653138 JOU653133:JOU653138 JYQ653133:JYQ653138 KIM653133:KIM653138 KSI653133:KSI653138 LCE653133:LCE653138 LMA653133:LMA653138 LVW653133:LVW653138 MFS653133:MFS653138 MPO653133:MPO653138 MZK653133:MZK653138 NJG653133:NJG653138 NTC653133:NTC653138 OCY653133:OCY653138 OMU653133:OMU653138 OWQ653133:OWQ653138 PGM653133:PGM653138 PQI653133:PQI653138 QAE653133:QAE653138 QKA653133:QKA653138 QTW653133:QTW653138 RDS653133:RDS653138 RNO653133:RNO653138 RXK653133:RXK653138 SHG653133:SHG653138 SRC653133:SRC653138 TAY653133:TAY653138 TKU653133:TKU653138 TUQ653133:TUQ653138 UEM653133:UEM653138 UOI653133:UOI653138 UYE653133:UYE653138 VIA653133:VIA653138 VRW653133:VRW653138 WBS653133:WBS653138 WLO653133:WLO653138 WVK653133:WVK653138 IY718669:IY718674 SU718669:SU718674 ACQ718669:ACQ718674 AMM718669:AMM718674 AWI718669:AWI718674 BGE718669:BGE718674 BQA718669:BQA718674 BZW718669:BZW718674 CJS718669:CJS718674 CTO718669:CTO718674 DDK718669:DDK718674 DNG718669:DNG718674 DXC718669:DXC718674 EGY718669:EGY718674 EQU718669:EQU718674 FAQ718669:FAQ718674 FKM718669:FKM718674 FUI718669:FUI718674 GEE718669:GEE718674 GOA718669:GOA718674 GXW718669:GXW718674 HHS718669:HHS718674 HRO718669:HRO718674 IBK718669:IBK718674 ILG718669:ILG718674 IVC718669:IVC718674 JEY718669:JEY718674 JOU718669:JOU718674 JYQ718669:JYQ718674 KIM718669:KIM718674 KSI718669:KSI718674 LCE718669:LCE718674 LMA718669:LMA718674 LVW718669:LVW718674 MFS718669:MFS718674 MPO718669:MPO718674 MZK718669:MZK718674 NJG718669:NJG718674 NTC718669:NTC718674 OCY718669:OCY718674 OMU718669:OMU718674 OWQ718669:OWQ718674 PGM718669:PGM718674 PQI718669:PQI718674 QAE718669:QAE718674 QKA718669:QKA718674 QTW718669:QTW718674 RDS718669:RDS718674 RNO718669:RNO718674 RXK718669:RXK718674 SHG718669:SHG718674 SRC718669:SRC718674 TAY718669:TAY718674 TKU718669:TKU718674 TUQ718669:TUQ718674 UEM718669:UEM718674 UOI718669:UOI718674 UYE718669:UYE718674 VIA718669:VIA718674 VRW718669:VRW718674 WBS718669:WBS718674 WLO718669:WLO718674 WVK718669:WVK718674 IY784205:IY784210 SU784205:SU784210 ACQ784205:ACQ784210 AMM784205:AMM784210 AWI784205:AWI784210 BGE784205:BGE784210 BQA784205:BQA784210 BZW784205:BZW784210 CJS784205:CJS784210 CTO784205:CTO784210 DDK784205:DDK784210 DNG784205:DNG784210 DXC784205:DXC784210 EGY784205:EGY784210 EQU784205:EQU784210 FAQ784205:FAQ784210 FKM784205:FKM784210 FUI784205:FUI784210 GEE784205:GEE784210 GOA784205:GOA784210 GXW784205:GXW784210 HHS784205:HHS784210 HRO784205:HRO784210 IBK784205:IBK784210 ILG784205:ILG784210 IVC784205:IVC784210 JEY784205:JEY784210 JOU784205:JOU784210 JYQ784205:JYQ784210 KIM784205:KIM784210 KSI784205:KSI784210 LCE784205:LCE784210 LMA784205:LMA784210 LVW784205:LVW784210 MFS784205:MFS784210 MPO784205:MPO784210 MZK784205:MZK784210 NJG784205:NJG784210 NTC784205:NTC784210 OCY784205:OCY784210 OMU784205:OMU784210 OWQ784205:OWQ784210 PGM784205:PGM784210 PQI784205:PQI784210 QAE784205:QAE784210 QKA784205:QKA784210 QTW784205:QTW784210 RDS784205:RDS784210 RNO784205:RNO784210 RXK784205:RXK784210 SHG784205:SHG784210 SRC784205:SRC784210 TAY784205:TAY784210 TKU784205:TKU784210 TUQ784205:TUQ784210 UEM784205:UEM784210 UOI784205:UOI784210 UYE784205:UYE784210 VIA784205:VIA784210 VRW784205:VRW784210 WBS784205:WBS784210 WLO784205:WLO784210 WVK784205:WVK784210 IY849741:IY849746 SU849741:SU849746 ACQ849741:ACQ849746 AMM849741:AMM849746 AWI849741:AWI849746 BGE849741:BGE849746 BQA849741:BQA849746 BZW849741:BZW849746 CJS849741:CJS849746 CTO849741:CTO849746 DDK849741:DDK849746 DNG849741:DNG849746 DXC849741:DXC849746 EGY849741:EGY849746 EQU849741:EQU849746 FAQ849741:FAQ849746 FKM849741:FKM849746 FUI849741:FUI849746 GEE849741:GEE849746 GOA849741:GOA849746 GXW849741:GXW849746 HHS849741:HHS849746 HRO849741:HRO849746 IBK849741:IBK849746 ILG849741:ILG849746 IVC849741:IVC849746 JEY849741:JEY849746 JOU849741:JOU849746 JYQ849741:JYQ849746 KIM849741:KIM849746 KSI849741:KSI849746 LCE849741:LCE849746 LMA849741:LMA849746 LVW849741:LVW849746 MFS849741:MFS849746 MPO849741:MPO849746 MZK849741:MZK849746 NJG849741:NJG849746 NTC849741:NTC849746 OCY849741:OCY849746 OMU849741:OMU849746 OWQ849741:OWQ849746 PGM849741:PGM849746 PQI849741:PQI849746 QAE849741:QAE849746 QKA849741:QKA849746 QTW849741:QTW849746 RDS849741:RDS849746 RNO849741:RNO849746 RXK849741:RXK849746 SHG849741:SHG849746 SRC849741:SRC849746 TAY849741:TAY849746 TKU849741:TKU849746 TUQ849741:TUQ849746 UEM849741:UEM849746 UOI849741:UOI849746 UYE849741:UYE849746 VIA849741:VIA849746 VRW849741:VRW849746 WBS849741:WBS849746 WLO849741:WLO849746 WVK849741:WVK849746 IY915277:IY915282 SU915277:SU915282 ACQ915277:ACQ915282 AMM915277:AMM915282 AWI915277:AWI915282 BGE915277:BGE915282 BQA915277:BQA915282 BZW915277:BZW915282 CJS915277:CJS915282 CTO915277:CTO915282 DDK915277:DDK915282 DNG915277:DNG915282 DXC915277:DXC915282 EGY915277:EGY915282 EQU915277:EQU915282 FAQ915277:FAQ915282 FKM915277:FKM915282 FUI915277:FUI915282 GEE915277:GEE915282 GOA915277:GOA915282 GXW915277:GXW915282 HHS915277:HHS915282 HRO915277:HRO915282 IBK915277:IBK915282 ILG915277:ILG915282 IVC915277:IVC915282 JEY915277:JEY915282 JOU915277:JOU915282 JYQ915277:JYQ915282 KIM915277:KIM915282 KSI915277:KSI915282 LCE915277:LCE915282 LMA915277:LMA915282 LVW915277:LVW915282 MFS915277:MFS915282 MPO915277:MPO915282 MZK915277:MZK915282 NJG915277:NJG915282 NTC915277:NTC915282 OCY915277:OCY915282 OMU915277:OMU915282 OWQ915277:OWQ915282 PGM915277:PGM915282 PQI915277:PQI915282 QAE915277:QAE915282 QKA915277:QKA915282 QTW915277:QTW915282 RDS915277:RDS915282 RNO915277:RNO915282 RXK915277:RXK915282 SHG915277:SHG915282 SRC915277:SRC915282 TAY915277:TAY915282 TKU915277:TKU915282 TUQ915277:TUQ915282 UEM915277:UEM915282 UOI915277:UOI915282 UYE915277:UYE915282 VIA915277:VIA915282 VRW915277:VRW915282 WBS915277:WBS915282 WLO915277:WLO915282 WVK915277:WVK915282 IY980813:IY980818 SU980813:SU980818 ACQ980813:ACQ980818 AMM980813:AMM980818 AWI980813:AWI980818 BGE980813:BGE980818 BQA980813:BQA980818 BZW980813:BZW980818 CJS980813:CJS980818 CTO980813:CTO980818 DDK980813:DDK980818 DNG980813:DNG980818 DXC980813:DXC980818 EGY980813:EGY980818 EQU980813:EQU980818 FAQ980813:FAQ980818 FKM980813:FKM980818 FUI980813:FUI980818 GEE980813:GEE980818 GOA980813:GOA980818 GXW980813:GXW980818 HHS980813:HHS980818 HRO980813:HRO980818 IBK980813:IBK980818 ILG980813:ILG980818 IVC980813:IVC980818 JEY980813:JEY980818 JOU980813:JOU980818 JYQ980813:JYQ980818 KIM980813:KIM980818 KSI980813:KSI980818 LCE980813:LCE980818 LMA980813:LMA980818 LVW980813:LVW980818 MFS980813:MFS980818 MPO980813:MPO980818 MZK980813:MZK980818 NJG980813:NJG980818 NTC980813:NTC980818 OCY980813:OCY980818 OMU980813:OMU980818 OWQ980813:OWQ980818 PGM980813:PGM980818 PQI980813:PQI980818 QAE980813:QAE980818 QKA980813:QKA980818 QTW980813:QTW980818 RDS980813:RDS980818 RNO980813:RNO980818 RXK980813:RXK980818 SHG980813:SHG980818 SRC980813:SRC980818 TAY980813:TAY980818 TKU980813:TKU980818 TUQ980813:TUQ980818 UEM980813:UEM980818 UOI980813:UOI980818 UYE980813:UYE980818 VIA980813:VIA980818 VRW980813:VRW980818 WBS980813:WBS980818 WLO980813:WLO980818 WVK980813:WVK980818" xr:uid="{00000000-0002-0000-0300-000001000000}">
      <formula1>3</formula1>
      <formula2>4</formula2>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P354"/>
  <sheetViews>
    <sheetView topLeftCell="A315" zoomScale="60" zoomScaleNormal="60" zoomScaleSheetLayoutView="50" zoomScalePageLayoutView="110" workbookViewId="0">
      <selection activeCell="A315" sqref="A1:XFD1048576"/>
    </sheetView>
  </sheetViews>
  <sheetFormatPr baseColWidth="10" defaultColWidth="11.36328125" defaultRowHeight="12.5" x14ac:dyDescent="0.25"/>
  <cols>
    <col min="1" max="1" width="4" style="654" customWidth="1"/>
    <col min="2" max="2" width="55" style="654" customWidth="1"/>
    <col min="3" max="5" width="16.36328125" style="654" customWidth="1"/>
    <col min="6" max="6" width="17.26953125" style="654" customWidth="1"/>
    <col min="7" max="7" width="18.36328125" style="654" customWidth="1"/>
    <col min="8" max="8" width="17.7265625" style="654" customWidth="1"/>
    <col min="9" max="9" width="14" style="654" customWidth="1"/>
    <col min="10" max="10" width="17" style="654" customWidth="1"/>
    <col min="11" max="11" width="16.7265625" style="654" customWidth="1"/>
    <col min="12" max="12" width="12.36328125" style="654" customWidth="1"/>
    <col min="13" max="16384" width="11.36328125" style="654"/>
  </cols>
  <sheetData>
    <row r="1" spans="2:12" x14ac:dyDescent="0.25">
      <c r="B1" s="801"/>
      <c r="C1" s="801"/>
      <c r="D1" s="801"/>
      <c r="E1" s="801"/>
      <c r="F1" s="801"/>
      <c r="G1" s="801"/>
      <c r="H1" s="801"/>
      <c r="I1" s="801"/>
      <c r="J1" s="801"/>
      <c r="K1" s="801"/>
      <c r="L1" s="801"/>
    </row>
    <row r="2" spans="2:12" ht="13" x14ac:dyDescent="0.25">
      <c r="B2" s="802" t="s">
        <v>360</v>
      </c>
      <c r="C2" s="801"/>
      <c r="D2" s="801"/>
      <c r="E2" s="801"/>
      <c r="F2" s="801"/>
      <c r="G2" s="801"/>
      <c r="H2" s="801"/>
      <c r="I2" s="801"/>
      <c r="J2" s="801"/>
      <c r="K2" s="801"/>
      <c r="L2" s="801"/>
    </row>
    <row r="3" spans="2:12" x14ac:dyDescent="0.25">
      <c r="B3" s="801"/>
      <c r="C3" s="801"/>
      <c r="D3" s="801"/>
      <c r="E3" s="801"/>
      <c r="F3" s="801"/>
      <c r="G3" s="801"/>
      <c r="H3" s="801"/>
      <c r="I3" s="801"/>
      <c r="J3" s="801"/>
      <c r="K3" s="801"/>
      <c r="L3" s="801"/>
    </row>
    <row r="4" spans="2:12" x14ac:dyDescent="0.25">
      <c r="B4" s="803" t="s">
        <v>68</v>
      </c>
      <c r="C4" s="804">
        <f>+'dades expedient'!C2</f>
        <v>2025</v>
      </c>
      <c r="D4" s="801"/>
      <c r="E4" s="801"/>
      <c r="F4" s="801"/>
      <c r="G4" s="801"/>
      <c r="H4" s="801"/>
      <c r="I4" s="801"/>
      <c r="J4" s="801"/>
      <c r="K4" s="801"/>
      <c r="L4" s="801"/>
    </row>
    <row r="5" spans="2:12" x14ac:dyDescent="0.25">
      <c r="B5" s="805" t="s">
        <v>69</v>
      </c>
      <c r="C5" s="806">
        <f>+C4-1</f>
        <v>2024</v>
      </c>
      <c r="D5" s="801"/>
      <c r="E5" s="801"/>
      <c r="F5" s="801"/>
      <c r="G5" s="801"/>
      <c r="H5" s="801"/>
      <c r="I5" s="801"/>
      <c r="J5" s="801"/>
      <c r="K5" s="801"/>
      <c r="L5" s="801"/>
    </row>
    <row r="6" spans="2:12" x14ac:dyDescent="0.25">
      <c r="B6" s="801"/>
      <c r="C6" s="801"/>
      <c r="D6" s="801"/>
      <c r="E6" s="801"/>
      <c r="F6" s="801"/>
      <c r="G6" s="801"/>
      <c r="L6" s="801"/>
    </row>
    <row r="7" spans="2:12" x14ac:dyDescent="0.25">
      <c r="B7" s="801"/>
      <c r="C7" s="801"/>
      <c r="D7" s="801"/>
      <c r="E7" s="801"/>
      <c r="F7" s="801"/>
      <c r="G7" s="801"/>
      <c r="L7" s="801"/>
    </row>
    <row r="8" spans="2:12" ht="13" x14ac:dyDescent="0.25">
      <c r="B8" s="807" t="s">
        <v>70</v>
      </c>
      <c r="C8" s="801"/>
      <c r="D8" s="801"/>
      <c r="E8" s="801"/>
      <c r="F8" s="801"/>
      <c r="G8" s="801"/>
      <c r="H8" s="808"/>
      <c r="I8" s="809"/>
      <c r="J8" s="809"/>
      <c r="L8" s="801"/>
    </row>
    <row r="9" spans="2:12" x14ac:dyDescent="0.25">
      <c r="B9" s="801"/>
      <c r="C9" s="801"/>
      <c r="D9" s="801"/>
      <c r="E9" s="801"/>
      <c r="F9" s="801"/>
      <c r="G9" s="801"/>
      <c r="L9" s="801"/>
    </row>
    <row r="10" spans="2:12" ht="13" x14ac:dyDescent="0.25">
      <c r="B10" s="810" t="s">
        <v>71</v>
      </c>
      <c r="C10" s="811">
        <f>+'dades expedient'!C27+100%</f>
        <v>1.0329999999999999</v>
      </c>
      <c r="D10" s="801"/>
      <c r="E10" s="801"/>
      <c r="F10" s="801"/>
      <c r="G10" s="801"/>
      <c r="I10" s="809"/>
      <c r="J10" s="809"/>
      <c r="L10" s="801"/>
    </row>
    <row r="11" spans="2:12" x14ac:dyDescent="0.25">
      <c r="D11" s="801"/>
      <c r="E11" s="801"/>
      <c r="G11" s="801"/>
    </row>
    <row r="12" spans="2:12" ht="27" customHeight="1" x14ac:dyDescent="0.25">
      <c r="B12" s="812" t="s">
        <v>72</v>
      </c>
      <c r="C12" s="812">
        <f>+C5</f>
        <v>2024</v>
      </c>
      <c r="D12" s="801"/>
      <c r="E12" s="801"/>
      <c r="F12" s="801"/>
      <c r="G12" s="801"/>
    </row>
    <row r="13" spans="2:12" ht="13" x14ac:dyDescent="0.25">
      <c r="B13" s="813">
        <v>1</v>
      </c>
      <c r="C13" s="814">
        <f>+RESUM_PRESSUPOST!G27</f>
        <v>135232.17000000001</v>
      </c>
      <c r="D13" s="801"/>
      <c r="E13" s="801"/>
      <c r="F13" s="801"/>
      <c r="G13" s="801"/>
    </row>
    <row r="14" spans="2:12" ht="13" x14ac:dyDescent="0.25">
      <c r="B14" s="815">
        <v>2</v>
      </c>
      <c r="C14" s="816">
        <f>+RESUM_PRESSUPOST!G28</f>
        <v>289676.31</v>
      </c>
      <c r="D14" s="801"/>
      <c r="E14" s="801"/>
      <c r="F14" s="801"/>
      <c r="G14" s="801"/>
    </row>
    <row r="15" spans="2:12" ht="13" x14ac:dyDescent="0.25">
      <c r="B15" s="817">
        <v>3</v>
      </c>
      <c r="C15" s="816">
        <f>+RESUM_PRESSUPOST!G29</f>
        <v>9517.18</v>
      </c>
      <c r="D15" s="801"/>
      <c r="E15" s="801"/>
      <c r="F15" s="801"/>
      <c r="G15" s="801"/>
    </row>
    <row r="16" spans="2:12" ht="13" x14ac:dyDescent="0.25">
      <c r="B16" s="815">
        <v>4</v>
      </c>
      <c r="C16" s="816">
        <f>+RESUM_PRESSUPOST!G30</f>
        <v>1800</v>
      </c>
      <c r="D16" s="801"/>
      <c r="E16" s="801"/>
      <c r="F16" s="801"/>
      <c r="G16" s="801"/>
    </row>
    <row r="17" spans="2:12" ht="13" x14ac:dyDescent="0.25">
      <c r="B17" s="817">
        <v>6</v>
      </c>
      <c r="C17" s="816">
        <f>+RESUM_PRESSUPOST!G32</f>
        <v>596746.04</v>
      </c>
      <c r="D17" s="801"/>
      <c r="E17" s="801"/>
      <c r="F17" s="801"/>
      <c r="G17" s="801"/>
      <c r="H17" s="801"/>
      <c r="I17" s="801"/>
      <c r="J17" s="801"/>
    </row>
    <row r="18" spans="2:12" ht="13" x14ac:dyDescent="0.25">
      <c r="B18" s="815">
        <v>7</v>
      </c>
      <c r="C18" s="816">
        <f>+RESUM_PRESSUPOST!G33</f>
        <v>0</v>
      </c>
      <c r="D18" s="801"/>
      <c r="E18" s="801"/>
      <c r="F18" s="801"/>
      <c r="G18" s="801"/>
      <c r="H18" s="801"/>
      <c r="I18" s="801"/>
      <c r="J18" s="801"/>
    </row>
    <row r="19" spans="2:12" s="822" customFormat="1" ht="13" x14ac:dyDescent="0.25">
      <c r="B19" s="818" t="s">
        <v>73</v>
      </c>
      <c r="C19" s="819">
        <f>+C13+C14+C15+C16+C17+C18</f>
        <v>1032971.7</v>
      </c>
      <c r="D19" s="820"/>
      <c r="E19" s="821"/>
      <c r="F19" s="821"/>
      <c r="G19" s="821"/>
      <c r="H19" s="821"/>
      <c r="I19" s="821"/>
      <c r="J19" s="821"/>
    </row>
    <row r="20" spans="2:12" ht="13" x14ac:dyDescent="0.25">
      <c r="B20" s="817">
        <v>8</v>
      </c>
      <c r="C20" s="816">
        <f>+RESUM_PRESSUPOST!G34</f>
        <v>0</v>
      </c>
      <c r="D20" s="823"/>
      <c r="E20" s="801"/>
      <c r="F20" s="801"/>
      <c r="G20" s="801"/>
      <c r="H20" s="801"/>
      <c r="I20" s="801"/>
      <c r="J20" s="801"/>
    </row>
    <row r="21" spans="2:12" ht="13" x14ac:dyDescent="0.25">
      <c r="B21" s="815">
        <v>9</v>
      </c>
      <c r="C21" s="816">
        <f>+RESUM_PRESSUPOST!G35</f>
        <v>20472.36</v>
      </c>
      <c r="D21" s="801"/>
      <c r="E21" s="801"/>
      <c r="F21" s="801"/>
      <c r="G21" s="801"/>
      <c r="H21" s="801"/>
      <c r="I21" s="801"/>
      <c r="J21" s="801"/>
    </row>
    <row r="22" spans="2:12" ht="13" x14ac:dyDescent="0.25">
      <c r="B22" s="824" t="s">
        <v>74</v>
      </c>
      <c r="C22" s="825">
        <f>+C19+C20+C21</f>
        <v>1053444.06</v>
      </c>
      <c r="D22" s="826"/>
      <c r="E22" s="801"/>
      <c r="F22" s="801"/>
      <c r="G22" s="801"/>
      <c r="H22" s="801"/>
      <c r="I22" s="801"/>
      <c r="J22" s="801"/>
    </row>
    <row r="23" spans="2:12" x14ac:dyDescent="0.25">
      <c r="B23" s="801"/>
      <c r="C23" s="801"/>
      <c r="D23" s="801"/>
      <c r="E23" s="801"/>
      <c r="F23" s="801"/>
      <c r="G23" s="801"/>
      <c r="H23" s="801"/>
      <c r="I23" s="801"/>
      <c r="J23" s="801"/>
      <c r="K23" s="801"/>
    </row>
    <row r="24" spans="2:12" ht="11.25" customHeight="1" x14ac:dyDescent="0.25">
      <c r="B24" s="801"/>
      <c r="C24" s="801"/>
      <c r="D24" s="801"/>
      <c r="E24" s="801"/>
      <c r="F24" s="801"/>
      <c r="G24" s="801"/>
      <c r="H24" s="801"/>
      <c r="I24" s="801"/>
      <c r="J24" s="801"/>
      <c r="K24" s="801"/>
    </row>
    <row r="25" spans="2:12" ht="13" x14ac:dyDescent="0.25">
      <c r="B25" s="807" t="s">
        <v>75</v>
      </c>
      <c r="C25" s="827"/>
      <c r="D25" s="827"/>
      <c r="E25" s="801"/>
      <c r="F25" s="801"/>
      <c r="G25" s="801"/>
      <c r="H25" s="801"/>
      <c r="I25" s="801"/>
      <c r="J25" s="801"/>
      <c r="K25" s="801"/>
      <c r="L25" s="801"/>
    </row>
    <row r="26" spans="2:12" x14ac:dyDescent="0.25">
      <c r="B26" s="801"/>
      <c r="C26" s="801"/>
      <c r="D26" s="801"/>
      <c r="E26" s="801"/>
      <c r="F26" s="801"/>
      <c r="G26" s="801"/>
      <c r="H26" s="801"/>
      <c r="I26" s="801"/>
      <c r="J26" s="801"/>
      <c r="K26" s="801"/>
      <c r="L26" s="801"/>
    </row>
    <row r="27" spans="2:12" ht="13" x14ac:dyDescent="0.25">
      <c r="B27" s="802" t="s">
        <v>30</v>
      </c>
      <c r="C27" s="801"/>
      <c r="D27" s="801"/>
      <c r="E27" s="801"/>
      <c r="F27" s="801"/>
      <c r="G27" s="801"/>
      <c r="H27" s="801"/>
      <c r="I27" s="801"/>
      <c r="J27" s="801"/>
      <c r="K27" s="801"/>
      <c r="L27" s="801"/>
    </row>
    <row r="28" spans="2:12" x14ac:dyDescent="0.25">
      <c r="B28" s="801"/>
      <c r="C28" s="801"/>
      <c r="D28" s="801"/>
      <c r="E28" s="801"/>
      <c r="F28" s="801"/>
      <c r="G28" s="801"/>
      <c r="H28" s="801"/>
      <c r="I28" s="801"/>
      <c r="J28" s="801"/>
    </row>
    <row r="29" spans="2:12" x14ac:dyDescent="0.25">
      <c r="B29" s="801" t="s">
        <v>76</v>
      </c>
      <c r="C29" s="801"/>
      <c r="D29" s="801"/>
      <c r="E29" s="801"/>
      <c r="F29" s="801"/>
      <c r="G29" s="801"/>
      <c r="H29" s="801"/>
      <c r="I29" s="801"/>
      <c r="J29" s="801"/>
    </row>
    <row r="30" spans="2:12" x14ac:dyDescent="0.25">
      <c r="B30" s="801"/>
      <c r="C30" s="801"/>
      <c r="D30" s="801"/>
      <c r="E30" s="801"/>
      <c r="F30" s="801"/>
      <c r="G30" s="801"/>
      <c r="H30" s="801"/>
      <c r="I30" s="801"/>
      <c r="J30" s="801"/>
    </row>
    <row r="31" spans="2:12" ht="13" x14ac:dyDescent="0.25">
      <c r="B31" s="801"/>
      <c r="C31" s="828">
        <f>+C5</f>
        <v>2024</v>
      </c>
      <c r="D31" s="801"/>
      <c r="E31" s="828">
        <f>+C4</f>
        <v>2025</v>
      </c>
      <c r="F31" s="801"/>
      <c r="G31" s="801"/>
      <c r="H31" s="801"/>
      <c r="I31" s="801"/>
      <c r="J31" s="801"/>
    </row>
    <row r="32" spans="2:12" x14ac:dyDescent="0.25">
      <c r="B32" s="821" t="s">
        <v>77</v>
      </c>
      <c r="C32" s="829">
        <v>0</v>
      </c>
      <c r="D32" s="821" t="s">
        <v>77</v>
      </c>
      <c r="E32" s="830">
        <v>0</v>
      </c>
      <c r="F32" s="801"/>
      <c r="G32" s="801"/>
      <c r="H32" s="801"/>
      <c r="I32" s="801"/>
      <c r="J32" s="801"/>
    </row>
    <row r="33" spans="2:10" x14ac:dyDescent="0.25">
      <c r="B33" s="801"/>
      <c r="C33" s="826"/>
      <c r="D33" s="801"/>
      <c r="E33" s="801"/>
      <c r="F33" s="801"/>
      <c r="G33" s="801"/>
      <c r="H33" s="801"/>
      <c r="I33" s="801"/>
      <c r="J33" s="801"/>
    </row>
    <row r="34" spans="2:10" x14ac:dyDescent="0.25">
      <c r="B34" s="831" t="s">
        <v>78</v>
      </c>
      <c r="C34" s="832">
        <f>-C32</f>
        <v>0</v>
      </c>
      <c r="D34" s="833"/>
      <c r="E34" s="832">
        <f>-E32</f>
        <v>0</v>
      </c>
      <c r="F34" s="801"/>
      <c r="G34" s="801"/>
      <c r="H34" s="801"/>
      <c r="I34" s="801"/>
      <c r="J34" s="801"/>
    </row>
    <row r="35" spans="2:10" x14ac:dyDescent="0.25">
      <c r="B35" s="801"/>
      <c r="C35" s="826"/>
      <c r="D35" s="801"/>
      <c r="E35" s="801"/>
      <c r="F35" s="801"/>
      <c r="G35" s="801"/>
      <c r="H35" s="801"/>
      <c r="I35" s="801"/>
      <c r="J35" s="801"/>
    </row>
    <row r="36" spans="2:10" ht="13" x14ac:dyDescent="0.25">
      <c r="B36" s="802" t="s">
        <v>31</v>
      </c>
      <c r="C36" s="826"/>
      <c r="D36" s="801"/>
      <c r="E36" s="801"/>
      <c r="F36" s="801"/>
      <c r="G36" s="801"/>
      <c r="H36" s="801"/>
      <c r="I36" s="801"/>
      <c r="J36" s="801"/>
    </row>
    <row r="37" spans="2:10" x14ac:dyDescent="0.25">
      <c r="B37" s="801"/>
      <c r="C37" s="826"/>
      <c r="D37" s="801"/>
      <c r="E37" s="801"/>
      <c r="F37" s="801"/>
      <c r="G37" s="801"/>
      <c r="H37" s="801"/>
      <c r="I37" s="801"/>
      <c r="J37" s="801"/>
    </row>
    <row r="38" spans="2:10" ht="12.75" customHeight="1" x14ac:dyDescent="0.25">
      <c r="B38" s="1122" t="s">
        <v>2</v>
      </c>
      <c r="C38" s="1122"/>
      <c r="D38" s="801"/>
      <c r="E38" s="801"/>
      <c r="F38" s="801"/>
      <c r="G38" s="801"/>
      <c r="H38" s="801"/>
      <c r="I38" s="801"/>
      <c r="J38" s="801"/>
    </row>
    <row r="39" spans="2:10" x14ac:dyDescent="0.25">
      <c r="B39" s="801"/>
      <c r="C39" s="826"/>
      <c r="D39" s="801"/>
      <c r="E39" s="801"/>
      <c r="F39" s="801"/>
      <c r="G39" s="801"/>
      <c r="H39" s="801"/>
      <c r="I39" s="801"/>
      <c r="J39" s="801"/>
    </row>
    <row r="40" spans="2:10" ht="13" x14ac:dyDescent="0.25">
      <c r="B40" s="835" t="s">
        <v>349</v>
      </c>
      <c r="C40" s="828">
        <f>+C31</f>
        <v>2024</v>
      </c>
      <c r="D40" s="835" t="s">
        <v>349</v>
      </c>
      <c r="E40" s="828">
        <f>+E31</f>
        <v>2025</v>
      </c>
      <c r="F40" s="801"/>
      <c r="G40" s="801"/>
      <c r="H40" s="801"/>
      <c r="I40" s="801"/>
      <c r="J40" s="801"/>
    </row>
    <row r="41" spans="2:10" x14ac:dyDescent="0.25">
      <c r="B41" s="821">
        <v>1</v>
      </c>
      <c r="C41" s="829"/>
      <c r="D41" s="821">
        <v>1</v>
      </c>
      <c r="E41" s="830"/>
      <c r="F41" s="801"/>
      <c r="G41" s="801"/>
      <c r="H41" s="801"/>
      <c r="I41" s="801"/>
      <c r="J41" s="801"/>
    </row>
    <row r="42" spans="2:10" x14ac:dyDescent="0.25">
      <c r="B42" s="801">
        <v>2</v>
      </c>
      <c r="C42" s="829"/>
      <c r="D42" s="801">
        <v>2</v>
      </c>
      <c r="E42" s="830"/>
      <c r="F42" s="801"/>
      <c r="G42" s="801"/>
      <c r="H42" s="801"/>
      <c r="I42" s="801"/>
      <c r="J42" s="801"/>
    </row>
    <row r="43" spans="2:10" x14ac:dyDescent="0.25">
      <c r="B43" s="801">
        <v>3</v>
      </c>
      <c r="C43" s="829"/>
      <c r="D43" s="801">
        <v>3</v>
      </c>
      <c r="E43" s="830"/>
      <c r="F43" s="801"/>
      <c r="G43" s="801"/>
      <c r="H43" s="801"/>
      <c r="I43" s="801"/>
      <c r="J43" s="801"/>
    </row>
    <row r="44" spans="2:10" x14ac:dyDescent="0.25">
      <c r="B44" s="801">
        <v>4</v>
      </c>
      <c r="C44" s="829"/>
      <c r="D44" s="801">
        <v>4</v>
      </c>
      <c r="E44" s="830"/>
      <c r="F44" s="801"/>
      <c r="G44" s="801"/>
      <c r="H44" s="801"/>
      <c r="I44" s="801"/>
      <c r="J44" s="801"/>
    </row>
    <row r="45" spans="2:10" x14ac:dyDescent="0.25">
      <c r="B45" s="801">
        <v>6</v>
      </c>
      <c r="C45" s="829"/>
      <c r="D45" s="801">
        <v>5</v>
      </c>
      <c r="E45" s="830"/>
      <c r="F45" s="801"/>
      <c r="G45" s="801"/>
      <c r="H45" s="801"/>
      <c r="I45" s="801"/>
      <c r="J45" s="801"/>
    </row>
    <row r="46" spans="2:10" x14ac:dyDescent="0.25">
      <c r="B46" s="801">
        <v>7</v>
      </c>
      <c r="C46" s="829"/>
      <c r="D46" s="801">
        <v>6</v>
      </c>
      <c r="E46" s="836"/>
      <c r="F46" s="801"/>
      <c r="G46" s="801"/>
      <c r="H46" s="801"/>
      <c r="I46" s="801"/>
      <c r="J46" s="801"/>
    </row>
    <row r="47" spans="2:10" x14ac:dyDescent="0.25">
      <c r="B47" s="801"/>
      <c r="C47" s="826"/>
      <c r="D47" s="801">
        <v>7</v>
      </c>
      <c r="E47" s="837"/>
      <c r="F47" s="801"/>
      <c r="G47" s="801"/>
      <c r="H47" s="801"/>
      <c r="I47" s="801"/>
      <c r="J47" s="801"/>
    </row>
    <row r="48" spans="2:10" ht="12.75" customHeight="1" x14ac:dyDescent="0.25">
      <c r="B48" s="1123" t="s">
        <v>3</v>
      </c>
      <c r="C48" s="1123"/>
      <c r="F48" s="801"/>
      <c r="G48" s="801"/>
      <c r="H48" s="801"/>
      <c r="I48" s="801"/>
      <c r="J48" s="801"/>
    </row>
    <row r="49" spans="2:10" ht="12.75" customHeight="1" x14ac:dyDescent="0.25">
      <c r="B49" s="1123"/>
      <c r="C49" s="1123"/>
      <c r="F49" s="801"/>
      <c r="G49" s="801"/>
      <c r="H49" s="801"/>
      <c r="I49" s="801"/>
      <c r="J49" s="801"/>
    </row>
    <row r="50" spans="2:10" ht="12.75" customHeight="1" x14ac:dyDescent="0.25">
      <c r="B50" s="801"/>
      <c r="C50" s="826"/>
      <c r="F50" s="801"/>
      <c r="G50" s="801"/>
      <c r="H50" s="801"/>
      <c r="I50" s="801"/>
      <c r="J50" s="801"/>
    </row>
    <row r="51" spans="2:10" ht="13" x14ac:dyDescent="0.25">
      <c r="B51" s="835" t="s">
        <v>349</v>
      </c>
      <c r="C51" s="828">
        <f>+C40</f>
        <v>2024</v>
      </c>
      <c r="D51" s="835" t="s">
        <v>349</v>
      </c>
      <c r="E51" s="828">
        <f>+E40</f>
        <v>2025</v>
      </c>
      <c r="F51" s="801"/>
      <c r="G51" s="801"/>
      <c r="H51" s="801"/>
      <c r="I51" s="801"/>
      <c r="J51" s="801"/>
    </row>
    <row r="52" spans="2:10" x14ac:dyDescent="0.25">
      <c r="B52" s="821">
        <v>1</v>
      </c>
      <c r="C52" s="829"/>
      <c r="D52" s="821">
        <v>1</v>
      </c>
      <c r="E52" s="830"/>
      <c r="F52" s="801"/>
      <c r="G52" s="801"/>
      <c r="H52" s="801"/>
      <c r="I52" s="801"/>
      <c r="J52" s="801"/>
    </row>
    <row r="53" spans="2:10" x14ac:dyDescent="0.25">
      <c r="B53" s="801">
        <v>2</v>
      </c>
      <c r="C53" s="829"/>
      <c r="D53" s="801">
        <v>2</v>
      </c>
      <c r="E53" s="830"/>
      <c r="F53" s="801"/>
      <c r="G53" s="801"/>
      <c r="H53" s="801"/>
      <c r="I53" s="801"/>
      <c r="J53" s="801"/>
    </row>
    <row r="54" spans="2:10" x14ac:dyDescent="0.25">
      <c r="B54" s="801">
        <v>3</v>
      </c>
      <c r="C54" s="830"/>
      <c r="D54" s="801">
        <v>3</v>
      </c>
      <c r="E54" s="830"/>
      <c r="F54" s="801"/>
      <c r="G54" s="801"/>
      <c r="H54" s="801"/>
      <c r="I54" s="801"/>
      <c r="J54" s="801"/>
    </row>
    <row r="55" spans="2:10" x14ac:dyDescent="0.25">
      <c r="B55" s="801">
        <v>4</v>
      </c>
      <c r="C55" s="830"/>
      <c r="D55" s="801">
        <v>4</v>
      </c>
      <c r="E55" s="830"/>
      <c r="F55" s="801"/>
      <c r="G55" s="801"/>
      <c r="H55" s="801"/>
      <c r="I55" s="801"/>
      <c r="J55" s="801"/>
    </row>
    <row r="56" spans="2:10" x14ac:dyDescent="0.25">
      <c r="B56" s="801">
        <v>6</v>
      </c>
      <c r="C56" s="830"/>
      <c r="D56" s="654">
        <v>5</v>
      </c>
      <c r="E56" s="830"/>
      <c r="F56" s="801"/>
      <c r="G56" s="801"/>
      <c r="H56" s="801"/>
      <c r="I56" s="801"/>
      <c r="J56" s="801"/>
    </row>
    <row r="57" spans="2:10" x14ac:dyDescent="0.25">
      <c r="B57" s="801">
        <v>7</v>
      </c>
      <c r="C57" s="830"/>
      <c r="D57" s="801">
        <v>6</v>
      </c>
      <c r="E57" s="836"/>
      <c r="F57" s="801"/>
      <c r="G57" s="801"/>
      <c r="H57" s="801"/>
      <c r="I57" s="801"/>
      <c r="J57" s="801"/>
    </row>
    <row r="58" spans="2:10" x14ac:dyDescent="0.25">
      <c r="B58" s="801"/>
      <c r="C58" s="801"/>
      <c r="D58" s="801">
        <v>7</v>
      </c>
      <c r="E58" s="837"/>
      <c r="F58" s="801"/>
      <c r="G58" s="801"/>
      <c r="H58" s="801"/>
      <c r="I58" s="801"/>
      <c r="J58" s="801"/>
    </row>
    <row r="60" spans="2:10" x14ac:dyDescent="0.25">
      <c r="B60" s="831" t="s">
        <v>79</v>
      </c>
      <c r="C60" s="832">
        <f>+(C52+C53+C54+C55+C56+C57-C41-C42-C43-C44-C45-C46)</f>
        <v>0</v>
      </c>
      <c r="D60" s="833"/>
      <c r="E60" s="832">
        <f>+(E52+E53+E54+E55+E56+E57+E58-E41-E42-E43-E44-E45-E46-E47)</f>
        <v>0</v>
      </c>
    </row>
    <row r="61" spans="2:10" x14ac:dyDescent="0.25">
      <c r="B61" s="801"/>
      <c r="C61" s="801"/>
      <c r="D61" s="801"/>
      <c r="E61" s="801"/>
      <c r="F61" s="801"/>
      <c r="G61" s="801"/>
      <c r="H61" s="801"/>
      <c r="I61" s="801"/>
      <c r="J61" s="801"/>
    </row>
    <row r="62" spans="2:10" ht="13" x14ac:dyDescent="0.25">
      <c r="B62" s="802" t="s">
        <v>32</v>
      </c>
      <c r="C62" s="801"/>
      <c r="D62" s="801"/>
      <c r="E62" s="801"/>
      <c r="F62" s="801"/>
      <c r="G62" s="801"/>
      <c r="H62" s="801"/>
      <c r="I62" s="801"/>
      <c r="J62" s="801"/>
    </row>
    <row r="63" spans="2:10" x14ac:dyDescent="0.25">
      <c r="B63" s="801"/>
      <c r="C63" s="801"/>
      <c r="D63" s="801"/>
      <c r="E63" s="801"/>
      <c r="F63" s="801"/>
      <c r="G63" s="801"/>
      <c r="H63" s="801"/>
      <c r="I63" s="801"/>
      <c r="J63" s="801"/>
    </row>
    <row r="64" spans="2:10" ht="12.75" customHeight="1" x14ac:dyDescent="0.25">
      <c r="B64" s="1124" t="s">
        <v>80</v>
      </c>
      <c r="C64" s="1124"/>
      <c r="D64" s="1124"/>
      <c r="E64" s="801"/>
      <c r="F64" s="801"/>
      <c r="G64" s="801"/>
      <c r="H64" s="801"/>
      <c r="I64" s="801"/>
      <c r="J64" s="801"/>
    </row>
    <row r="65" spans="2:10" x14ac:dyDescent="0.25">
      <c r="B65" s="801"/>
      <c r="C65" s="801"/>
      <c r="D65" s="801"/>
      <c r="E65" s="801"/>
      <c r="F65" s="801"/>
      <c r="G65" s="801"/>
      <c r="H65" s="801"/>
      <c r="I65" s="801"/>
      <c r="J65" s="801"/>
    </row>
    <row r="66" spans="2:10" ht="13" x14ac:dyDescent="0.25">
      <c r="B66" s="835" t="s">
        <v>349</v>
      </c>
      <c r="C66" s="828">
        <f>+C51</f>
        <v>2024</v>
      </c>
      <c r="D66" s="835" t="s">
        <v>349</v>
      </c>
      <c r="E66" s="828">
        <f>+E51</f>
        <v>2025</v>
      </c>
      <c r="F66" s="801"/>
      <c r="G66" s="801"/>
      <c r="H66" s="801"/>
      <c r="I66" s="801"/>
      <c r="J66" s="801"/>
    </row>
    <row r="67" spans="2:10" x14ac:dyDescent="0.25">
      <c r="B67" s="821">
        <v>2</v>
      </c>
      <c r="C67" s="830"/>
      <c r="D67" s="821">
        <v>2</v>
      </c>
      <c r="E67" s="830"/>
      <c r="F67" s="801"/>
      <c r="G67" s="801"/>
      <c r="H67" s="801"/>
      <c r="I67" s="801"/>
      <c r="J67" s="801"/>
    </row>
    <row r="68" spans="2:10" x14ac:dyDescent="0.25">
      <c r="B68" s="801">
        <v>6</v>
      </c>
      <c r="C68" s="830"/>
      <c r="D68" s="801">
        <v>6</v>
      </c>
      <c r="E68" s="830"/>
      <c r="F68" s="801"/>
      <c r="G68" s="801"/>
      <c r="H68" s="801"/>
      <c r="I68" s="801"/>
      <c r="J68" s="801"/>
    </row>
    <row r="69" spans="2:10" x14ac:dyDescent="0.25">
      <c r="B69" s="801"/>
      <c r="C69" s="801"/>
      <c r="D69" s="801"/>
      <c r="E69" s="801"/>
      <c r="F69" s="801"/>
      <c r="G69" s="801"/>
      <c r="H69" s="801"/>
      <c r="I69" s="801"/>
      <c r="J69" s="801"/>
    </row>
    <row r="70" spans="2:10" x14ac:dyDescent="0.25">
      <c r="B70" s="1125" t="s">
        <v>81</v>
      </c>
      <c r="C70" s="1125"/>
      <c r="D70" s="1125"/>
      <c r="E70" s="801"/>
      <c r="F70" s="801"/>
      <c r="G70" s="801"/>
      <c r="H70" s="801"/>
      <c r="I70" s="801"/>
      <c r="J70" s="801"/>
    </row>
    <row r="71" spans="2:10" x14ac:dyDescent="0.25">
      <c r="B71" s="801"/>
      <c r="C71" s="801"/>
      <c r="D71" s="801"/>
      <c r="E71" s="801"/>
      <c r="F71" s="801"/>
      <c r="G71" s="801"/>
      <c r="H71" s="801"/>
      <c r="I71" s="801"/>
      <c r="J71" s="801"/>
    </row>
    <row r="72" spans="2:10" ht="13" x14ac:dyDescent="0.25">
      <c r="B72" s="835" t="s">
        <v>349</v>
      </c>
      <c r="C72" s="828">
        <f>+C66</f>
        <v>2024</v>
      </c>
      <c r="D72" s="835" t="s">
        <v>349</v>
      </c>
      <c r="E72" s="828">
        <f>+E66</f>
        <v>2025</v>
      </c>
      <c r="F72" s="801"/>
      <c r="G72" s="801"/>
      <c r="H72" s="801"/>
      <c r="I72" s="801"/>
      <c r="J72" s="801"/>
    </row>
    <row r="73" spans="2:10" x14ac:dyDescent="0.25">
      <c r="B73" s="821">
        <v>2</v>
      </c>
      <c r="C73" s="830"/>
      <c r="D73" s="821">
        <v>2</v>
      </c>
      <c r="E73" s="830"/>
      <c r="F73" s="801"/>
      <c r="G73" s="801"/>
      <c r="H73" s="801"/>
      <c r="I73" s="801"/>
      <c r="J73" s="801"/>
    </row>
    <row r="74" spans="2:10" x14ac:dyDescent="0.25">
      <c r="B74" s="801">
        <v>6</v>
      </c>
      <c r="C74" s="830"/>
      <c r="D74" s="801">
        <v>6</v>
      </c>
      <c r="E74" s="830"/>
      <c r="F74" s="801"/>
      <c r="G74" s="801"/>
      <c r="H74" s="801"/>
      <c r="I74" s="801"/>
      <c r="J74" s="801"/>
    </row>
    <row r="75" spans="2:10" x14ac:dyDescent="0.25">
      <c r="B75" s="801"/>
      <c r="C75" s="801"/>
      <c r="D75" s="801"/>
      <c r="E75" s="801"/>
      <c r="F75" s="801"/>
      <c r="G75" s="801"/>
      <c r="H75" s="801"/>
      <c r="I75" s="801"/>
      <c r="J75" s="801"/>
    </row>
    <row r="76" spans="2:10" x14ac:dyDescent="0.25">
      <c r="B76" s="831" t="s">
        <v>82</v>
      </c>
      <c r="C76" s="832">
        <f>+C67+C68-C73-C74</f>
        <v>0</v>
      </c>
      <c r="D76" s="833"/>
      <c r="E76" s="832">
        <f>+E67+E68-E73-E74</f>
        <v>0</v>
      </c>
      <c r="F76" s="801"/>
      <c r="G76" s="801"/>
      <c r="H76" s="801"/>
      <c r="I76" s="801"/>
      <c r="J76" s="801"/>
    </row>
    <row r="77" spans="2:10" x14ac:dyDescent="0.25">
      <c r="B77" s="801"/>
      <c r="C77" s="801"/>
      <c r="D77" s="801"/>
      <c r="E77" s="801"/>
      <c r="F77" s="801"/>
      <c r="G77" s="801"/>
      <c r="H77" s="801"/>
      <c r="I77" s="801"/>
      <c r="J77" s="801"/>
    </row>
    <row r="78" spans="2:10" ht="13" x14ac:dyDescent="0.25">
      <c r="B78" s="802" t="s">
        <v>33</v>
      </c>
      <c r="C78" s="801"/>
      <c r="D78" s="801"/>
      <c r="E78" s="801"/>
      <c r="F78" s="801"/>
      <c r="G78" s="801"/>
      <c r="H78" s="801"/>
      <c r="I78" s="801"/>
      <c r="J78" s="801"/>
    </row>
    <row r="79" spans="2:10" x14ac:dyDescent="0.25">
      <c r="B79" s="801"/>
      <c r="C79" s="801"/>
      <c r="D79" s="801"/>
      <c r="E79" s="801"/>
      <c r="F79" s="801"/>
      <c r="G79" s="801"/>
      <c r="H79" s="801"/>
      <c r="I79" s="801"/>
      <c r="J79" s="801"/>
    </row>
    <row r="80" spans="2:10" ht="12.75" customHeight="1" x14ac:dyDescent="0.25">
      <c r="B80" s="1123" t="s">
        <v>83</v>
      </c>
      <c r="C80" s="1123"/>
      <c r="D80" s="1123"/>
      <c r="E80" s="1123"/>
      <c r="F80" s="801"/>
      <c r="G80" s="801"/>
      <c r="H80" s="801"/>
      <c r="I80" s="801"/>
      <c r="J80" s="801"/>
    </row>
    <row r="81" spans="2:10" x14ac:dyDescent="0.25">
      <c r="B81" s="801"/>
      <c r="C81" s="801"/>
      <c r="D81" s="801"/>
      <c r="E81" s="801"/>
      <c r="F81" s="801"/>
      <c r="G81" s="801"/>
      <c r="H81" s="801"/>
      <c r="I81" s="801"/>
      <c r="J81" s="801"/>
    </row>
    <row r="82" spans="2:10" ht="13" x14ac:dyDescent="0.25">
      <c r="B82" s="801"/>
      <c r="C82" s="828">
        <f>+C72</f>
        <v>2024</v>
      </c>
      <c r="D82" s="801"/>
      <c r="E82" s="828">
        <f>+E72</f>
        <v>2025</v>
      </c>
      <c r="F82" s="801"/>
      <c r="G82" s="801"/>
      <c r="H82" s="801"/>
      <c r="I82" s="801"/>
      <c r="J82" s="801"/>
    </row>
    <row r="83" spans="2:10" x14ac:dyDescent="0.25">
      <c r="B83" s="801">
        <v>2</v>
      </c>
      <c r="C83" s="830"/>
      <c r="D83" s="801">
        <v>2</v>
      </c>
      <c r="E83" s="830"/>
      <c r="F83" s="801"/>
      <c r="G83" s="801"/>
      <c r="H83" s="801"/>
      <c r="I83" s="801"/>
      <c r="J83" s="801"/>
    </row>
    <row r="84" spans="2:10" x14ac:dyDescent="0.25">
      <c r="B84" s="801">
        <v>6</v>
      </c>
      <c r="C84" s="830"/>
      <c r="D84" s="801">
        <v>6</v>
      </c>
      <c r="E84" s="830"/>
      <c r="F84" s="801"/>
      <c r="G84" s="801"/>
      <c r="H84" s="801"/>
      <c r="I84" s="801"/>
      <c r="J84" s="801"/>
    </row>
    <row r="85" spans="2:10" x14ac:dyDescent="0.25">
      <c r="B85" s="801"/>
      <c r="C85" s="801"/>
      <c r="D85" s="801"/>
      <c r="E85" s="801"/>
      <c r="F85" s="801"/>
      <c r="G85" s="801"/>
      <c r="H85" s="801"/>
      <c r="I85" s="801"/>
      <c r="J85" s="801"/>
    </row>
    <row r="86" spans="2:10" ht="12.75" customHeight="1" x14ac:dyDescent="0.25">
      <c r="B86" s="1123" t="s">
        <v>84</v>
      </c>
      <c r="C86" s="1123"/>
      <c r="D86" s="1123"/>
      <c r="E86" s="801"/>
      <c r="F86" s="801"/>
      <c r="G86" s="801"/>
      <c r="H86" s="801"/>
      <c r="I86" s="801"/>
      <c r="J86" s="801"/>
    </row>
    <row r="87" spans="2:10" x14ac:dyDescent="0.25">
      <c r="B87" s="801"/>
      <c r="C87" s="801"/>
      <c r="D87" s="801"/>
      <c r="E87" s="801"/>
      <c r="F87" s="801"/>
      <c r="G87" s="801"/>
      <c r="H87" s="801"/>
      <c r="I87" s="801"/>
      <c r="J87" s="801"/>
    </row>
    <row r="88" spans="2:10" ht="13" x14ac:dyDescent="0.25">
      <c r="B88" s="801"/>
      <c r="C88" s="828">
        <f>+C82</f>
        <v>2024</v>
      </c>
      <c r="D88" s="801"/>
      <c r="E88" s="828">
        <f>+E82</f>
        <v>2025</v>
      </c>
      <c r="F88" s="801"/>
      <c r="G88" s="801"/>
      <c r="H88" s="801"/>
      <c r="I88" s="801"/>
      <c r="J88" s="801"/>
    </row>
    <row r="89" spans="2:10" x14ac:dyDescent="0.25">
      <c r="B89" s="801">
        <v>2</v>
      </c>
      <c r="C89" s="830"/>
      <c r="D89" s="801">
        <v>2</v>
      </c>
      <c r="E89" s="830"/>
      <c r="F89" s="801"/>
      <c r="G89" s="801"/>
      <c r="H89" s="801"/>
      <c r="I89" s="801"/>
      <c r="J89" s="801"/>
    </row>
    <row r="90" spans="2:10" x14ac:dyDescent="0.25">
      <c r="B90" s="801">
        <v>6</v>
      </c>
      <c r="C90" s="830"/>
      <c r="D90" s="801">
        <v>6</v>
      </c>
      <c r="E90" s="830"/>
      <c r="F90" s="801"/>
      <c r="G90" s="801"/>
      <c r="H90" s="801"/>
      <c r="I90" s="801"/>
      <c r="J90" s="801"/>
    </row>
    <row r="91" spans="2:10" x14ac:dyDescent="0.25">
      <c r="B91" s="801"/>
      <c r="C91" s="801"/>
      <c r="D91" s="801"/>
      <c r="E91" s="801"/>
      <c r="F91" s="801"/>
      <c r="G91" s="801"/>
      <c r="H91" s="801"/>
      <c r="I91" s="801"/>
      <c r="J91" s="801"/>
    </row>
    <row r="92" spans="2:10" x14ac:dyDescent="0.25">
      <c r="B92" s="831" t="s">
        <v>85</v>
      </c>
      <c r="C92" s="832">
        <f>+C83+C84-C89-C90</f>
        <v>0</v>
      </c>
      <c r="D92" s="833"/>
      <c r="E92" s="832">
        <f>+E83+E84-E89-E90</f>
        <v>0</v>
      </c>
      <c r="F92" s="801"/>
      <c r="G92" s="801"/>
      <c r="H92" s="801"/>
      <c r="I92" s="801"/>
      <c r="J92" s="801"/>
    </row>
    <row r="93" spans="2:10" x14ac:dyDescent="0.25">
      <c r="B93" s="801"/>
      <c r="C93" s="801"/>
      <c r="D93" s="801"/>
      <c r="E93" s="801"/>
      <c r="F93" s="801"/>
      <c r="G93" s="801"/>
      <c r="H93" s="801"/>
      <c r="I93" s="801"/>
      <c r="J93" s="801"/>
    </row>
    <row r="94" spans="2:10" x14ac:dyDescent="0.25">
      <c r="B94" s="801"/>
      <c r="C94" s="801"/>
      <c r="D94" s="801"/>
      <c r="E94" s="801"/>
      <c r="F94" s="801"/>
      <c r="G94" s="801"/>
      <c r="H94" s="801"/>
      <c r="I94" s="801"/>
      <c r="J94" s="801"/>
    </row>
    <row r="95" spans="2:10" ht="13" x14ac:dyDescent="0.25">
      <c r="B95" s="802" t="s">
        <v>36</v>
      </c>
      <c r="C95" s="801"/>
      <c r="D95" s="801"/>
      <c r="E95" s="801"/>
      <c r="F95" s="801"/>
      <c r="G95" s="801"/>
      <c r="H95" s="801"/>
      <c r="I95" s="801"/>
      <c r="J95" s="801"/>
    </row>
    <row r="96" spans="2:10" ht="13" x14ac:dyDescent="0.25">
      <c r="B96" s="801"/>
      <c r="C96" s="838">
        <f>+C88</f>
        <v>2024</v>
      </c>
      <c r="D96" s="801"/>
      <c r="E96" s="801"/>
      <c r="F96" s="838">
        <f>+E88</f>
        <v>2025</v>
      </c>
      <c r="G96" s="801"/>
      <c r="H96" s="801"/>
      <c r="J96" s="801"/>
    </row>
    <row r="97" spans="2:10" ht="26" x14ac:dyDescent="0.3">
      <c r="B97" s="839"/>
      <c r="C97" s="840" t="s">
        <v>209</v>
      </c>
      <c r="D97" s="841" t="s">
        <v>210</v>
      </c>
      <c r="E97" s="842" t="s">
        <v>207</v>
      </c>
      <c r="F97" s="840" t="s">
        <v>209</v>
      </c>
      <c r="G97" s="841" t="s">
        <v>210</v>
      </c>
      <c r="H97" s="842" t="s">
        <v>207</v>
      </c>
      <c r="J97" s="801"/>
    </row>
    <row r="98" spans="2:10" ht="13" x14ac:dyDescent="0.3">
      <c r="B98" s="843" t="s">
        <v>211</v>
      </c>
      <c r="C98" s="844"/>
      <c r="D98" s="844"/>
      <c r="E98" s="845">
        <f>+D98-C98</f>
        <v>0</v>
      </c>
      <c r="F98" s="844"/>
      <c r="G98" s="844"/>
      <c r="H98" s="845">
        <f>+G98-F98</f>
        <v>0</v>
      </c>
      <c r="J98" s="801"/>
    </row>
    <row r="99" spans="2:10" ht="13" x14ac:dyDescent="0.3">
      <c r="B99" s="843" t="s">
        <v>212</v>
      </c>
      <c r="C99" s="846"/>
      <c r="D99" s="844"/>
      <c r="E99" s="845">
        <f>+D99</f>
        <v>0</v>
      </c>
      <c r="F99" s="846"/>
      <c r="G99" s="844"/>
      <c r="H99" s="845">
        <f>+G99</f>
        <v>0</v>
      </c>
      <c r="J99" s="801"/>
    </row>
    <row r="100" spans="2:10" ht="13" x14ac:dyDescent="0.3">
      <c r="B100" s="641"/>
      <c r="C100" s="649"/>
      <c r="D100" s="649"/>
      <c r="E100" s="847"/>
      <c r="F100" s="649"/>
      <c r="G100" s="649"/>
      <c r="H100" s="847"/>
      <c r="J100" s="801"/>
    </row>
    <row r="101" spans="2:10" ht="17.25" customHeight="1" x14ac:dyDescent="0.3">
      <c r="B101" s="839"/>
      <c r="C101" s="641"/>
      <c r="D101" s="841" t="s">
        <v>213</v>
      </c>
      <c r="E101" s="842" t="s">
        <v>207</v>
      </c>
      <c r="F101" s="641"/>
      <c r="G101" s="841" t="s">
        <v>213</v>
      </c>
      <c r="H101" s="842" t="s">
        <v>207</v>
      </c>
      <c r="J101" s="801"/>
    </row>
    <row r="102" spans="2:10" ht="13" x14ac:dyDescent="0.3">
      <c r="B102" s="1132" t="s">
        <v>214</v>
      </c>
      <c r="C102" s="1132"/>
      <c r="D102" s="844"/>
      <c r="E102" s="845">
        <f>+D102</f>
        <v>0</v>
      </c>
      <c r="F102" s="801"/>
      <c r="G102" s="844"/>
      <c r="H102" s="845">
        <f>+G102</f>
        <v>0</v>
      </c>
      <c r="J102" s="801"/>
    </row>
    <row r="103" spans="2:10" ht="13" thickBot="1" x14ac:dyDescent="0.3">
      <c r="B103" s="801"/>
      <c r="C103" s="801"/>
      <c r="D103" s="801"/>
      <c r="E103" s="801"/>
      <c r="F103" s="848"/>
      <c r="G103" s="848"/>
      <c r="H103" s="801"/>
      <c r="I103" s="801"/>
      <c r="J103" s="801"/>
    </row>
    <row r="104" spans="2:10" ht="13.5" thickBot="1" x14ac:dyDescent="0.3">
      <c r="B104" s="831" t="s">
        <v>0</v>
      </c>
      <c r="C104" s="849"/>
      <c r="D104" s="833"/>
      <c r="E104" s="850">
        <f>+E98+E99+E102</f>
        <v>0</v>
      </c>
      <c r="F104" s="851"/>
      <c r="G104" s="852"/>
      <c r="H104" s="853">
        <f>+H98+H99+H102</f>
        <v>0</v>
      </c>
      <c r="I104" s="801"/>
      <c r="J104" s="801"/>
    </row>
    <row r="105" spans="2:10" x14ac:dyDescent="0.25">
      <c r="B105" s="801"/>
      <c r="C105" s="801"/>
      <c r="D105" s="801"/>
      <c r="E105" s="801"/>
      <c r="F105" s="801"/>
      <c r="G105" s="801"/>
      <c r="H105" s="801"/>
      <c r="I105" s="801"/>
      <c r="J105" s="801"/>
    </row>
    <row r="106" spans="2:10" x14ac:dyDescent="0.25">
      <c r="B106" s="801"/>
      <c r="C106" s="801"/>
      <c r="D106" s="801"/>
      <c r="E106" s="801"/>
      <c r="F106" s="801"/>
      <c r="G106" s="801"/>
      <c r="H106" s="801"/>
      <c r="I106" s="801"/>
      <c r="J106" s="801"/>
    </row>
    <row r="107" spans="2:10" ht="13" x14ac:dyDescent="0.25">
      <c r="B107" s="809" t="s">
        <v>34</v>
      </c>
      <c r="D107" s="801"/>
      <c r="E107" s="801"/>
      <c r="F107" s="801"/>
      <c r="G107" s="801"/>
      <c r="H107" s="801"/>
      <c r="I107" s="801"/>
      <c r="J107" s="801"/>
    </row>
    <row r="108" spans="2:10" x14ac:dyDescent="0.25">
      <c r="D108" s="801"/>
      <c r="E108" s="801"/>
      <c r="F108" s="801"/>
      <c r="G108" s="801"/>
      <c r="H108" s="801"/>
      <c r="I108" s="801"/>
      <c r="J108" s="801"/>
    </row>
    <row r="109" spans="2:10" ht="13" x14ac:dyDescent="0.25">
      <c r="B109" s="809"/>
      <c r="C109" s="854">
        <f>+C88</f>
        <v>2024</v>
      </c>
      <c r="D109" s="801"/>
      <c r="E109" s="854">
        <f>+E88</f>
        <v>2025</v>
      </c>
      <c r="F109" s="801"/>
      <c r="G109" s="801"/>
      <c r="H109" s="801"/>
      <c r="I109" s="801"/>
      <c r="J109" s="801"/>
    </row>
    <row r="110" spans="2:10" x14ac:dyDescent="0.25">
      <c r="B110" s="855" t="s">
        <v>1</v>
      </c>
      <c r="C110" s="837"/>
      <c r="D110" s="801"/>
      <c r="E110" s="837"/>
      <c r="F110" s="801"/>
      <c r="G110" s="801"/>
      <c r="H110" s="801"/>
      <c r="I110" s="801"/>
      <c r="J110" s="801"/>
    </row>
    <row r="111" spans="2:10" ht="13" thickBot="1" x14ac:dyDescent="0.3">
      <c r="B111" s="834"/>
      <c r="C111" s="801"/>
      <c r="D111" s="801"/>
      <c r="E111" s="801"/>
      <c r="F111" s="801"/>
      <c r="G111" s="801"/>
      <c r="H111" s="801"/>
      <c r="I111" s="801"/>
      <c r="J111" s="801"/>
    </row>
    <row r="112" spans="2:10" ht="13" thickBot="1" x14ac:dyDescent="0.3">
      <c r="B112" s="831" t="s">
        <v>302</v>
      </c>
      <c r="C112" s="832">
        <f>+C110</f>
        <v>0</v>
      </c>
      <c r="D112" s="833"/>
      <c r="E112" s="832">
        <f>+E110</f>
        <v>0</v>
      </c>
      <c r="F112" s="801"/>
      <c r="G112" s="801"/>
      <c r="H112" s="801"/>
      <c r="I112" s="801"/>
      <c r="J112" s="801"/>
    </row>
    <row r="113" spans="2:10" x14ac:dyDescent="0.25">
      <c r="B113" s="801"/>
      <c r="C113" s="801"/>
      <c r="D113" s="801"/>
      <c r="E113" s="801"/>
      <c r="F113" s="801"/>
      <c r="G113" s="801"/>
      <c r="H113" s="801"/>
      <c r="I113" s="801"/>
      <c r="J113" s="801"/>
    </row>
    <row r="114" spans="2:10" x14ac:dyDescent="0.25">
      <c r="B114" s="801"/>
      <c r="C114" s="801"/>
      <c r="D114" s="801"/>
      <c r="E114" s="801"/>
      <c r="F114" s="801"/>
      <c r="G114" s="801"/>
      <c r="H114" s="801"/>
      <c r="I114" s="801"/>
      <c r="J114" s="801"/>
    </row>
    <row r="115" spans="2:10" ht="13" x14ac:dyDescent="0.25">
      <c r="B115" s="802" t="s">
        <v>35</v>
      </c>
      <c r="C115" s="856"/>
      <c r="D115" s="801"/>
      <c r="E115" s="801"/>
      <c r="F115" s="801"/>
      <c r="G115" s="801"/>
      <c r="H115" s="801"/>
      <c r="I115" s="801"/>
      <c r="J115" s="801"/>
    </row>
    <row r="116" spans="2:10" ht="13" x14ac:dyDescent="0.25">
      <c r="B116" s="809"/>
      <c r="C116" s="856"/>
    </row>
    <row r="117" spans="2:10" ht="13.5" x14ac:dyDescent="0.25">
      <c r="B117" s="857"/>
      <c r="C117" s="858"/>
      <c r="D117" s="858"/>
      <c r="E117" s="858"/>
    </row>
    <row r="118" spans="2:10" ht="26.5" thickBot="1" x14ac:dyDescent="0.3">
      <c r="B118" s="859">
        <f>+B127-1</f>
        <v>2022</v>
      </c>
      <c r="C118" s="860" t="s">
        <v>86</v>
      </c>
      <c r="D118" s="860" t="s">
        <v>87</v>
      </c>
      <c r="E118" s="860" t="s">
        <v>88</v>
      </c>
    </row>
    <row r="119" spans="2:10" ht="13" thickBot="1" x14ac:dyDescent="0.3">
      <c r="B119" s="861" t="s">
        <v>89</v>
      </c>
      <c r="C119" s="862">
        <v>128514.71</v>
      </c>
      <c r="D119" s="862">
        <v>128514.71</v>
      </c>
      <c r="E119" s="863"/>
    </row>
    <row r="120" spans="2:10" ht="13" thickBot="1" x14ac:dyDescent="0.3">
      <c r="B120" s="861" t="s">
        <v>90</v>
      </c>
      <c r="C120" s="862">
        <v>277342.40999999997</v>
      </c>
      <c r="D120" s="862">
        <v>277342.40999999997</v>
      </c>
      <c r="E120" s="863"/>
    </row>
    <row r="121" spans="2:10" ht="13" thickBot="1" x14ac:dyDescent="0.3">
      <c r="B121" s="861" t="s">
        <v>91</v>
      </c>
      <c r="C121" s="862">
        <v>446.13</v>
      </c>
      <c r="D121" s="862">
        <v>446.13</v>
      </c>
      <c r="E121" s="863"/>
    </row>
    <row r="122" spans="2:10" ht="13" thickBot="1" x14ac:dyDescent="0.3">
      <c r="B122" s="861" t="s">
        <v>92</v>
      </c>
      <c r="C122" s="862">
        <v>1900</v>
      </c>
      <c r="D122" s="862">
        <v>1900</v>
      </c>
      <c r="E122" s="863"/>
    </row>
    <row r="123" spans="2:10" ht="13" thickBot="1" x14ac:dyDescent="0.3">
      <c r="B123" s="861" t="s">
        <v>93</v>
      </c>
      <c r="C123" s="862">
        <v>433196.52</v>
      </c>
      <c r="D123" s="862">
        <v>158576.85</v>
      </c>
      <c r="E123" s="863"/>
    </row>
    <row r="124" spans="2:10" ht="13" thickBot="1" x14ac:dyDescent="0.3">
      <c r="B124" s="864" t="s">
        <v>94</v>
      </c>
      <c r="C124" s="865">
        <v>0</v>
      </c>
      <c r="D124" s="865">
        <v>0</v>
      </c>
      <c r="E124" s="866"/>
    </row>
    <row r="125" spans="2:10" ht="13.5" thickBot="1" x14ac:dyDescent="0.3">
      <c r="B125" s="867" t="s">
        <v>74</v>
      </c>
      <c r="C125" s="868">
        <f>SUM(C119:C124)</f>
        <v>841399.77</v>
      </c>
      <c r="D125" s="868">
        <f>SUM(D119:D124)</f>
        <v>566780.1</v>
      </c>
      <c r="E125" s="869">
        <f>+(D125-C125)/C125</f>
        <v>-0.32638429411503173</v>
      </c>
    </row>
    <row r="126" spans="2:10" ht="13" thickBot="1" x14ac:dyDescent="0.3">
      <c r="B126" s="834"/>
    </row>
    <row r="127" spans="2:10" ht="26.5" thickBot="1" x14ac:dyDescent="0.3">
      <c r="B127" s="859">
        <f>+B136-1</f>
        <v>2023</v>
      </c>
      <c r="C127" s="860" t="s">
        <v>86</v>
      </c>
      <c r="D127" s="860" t="str">
        <f>+D118</f>
        <v>Obligacions reconegudes</v>
      </c>
      <c r="E127" s="860" t="s">
        <v>88</v>
      </c>
    </row>
    <row r="128" spans="2:10" ht="13" thickBot="1" x14ac:dyDescent="0.3">
      <c r="B128" s="861" t="s">
        <v>89</v>
      </c>
      <c r="C128" s="862">
        <v>137810</v>
      </c>
      <c r="D128" s="862">
        <v>137808.73000000001</v>
      </c>
      <c r="E128" s="863"/>
    </row>
    <row r="129" spans="2:8" ht="13" thickBot="1" x14ac:dyDescent="0.3">
      <c r="B129" s="861" t="s">
        <v>90</v>
      </c>
      <c r="C129" s="862">
        <v>331587.59999999998</v>
      </c>
      <c r="D129" s="862">
        <v>329686.56</v>
      </c>
      <c r="E129" s="863"/>
    </row>
    <row r="130" spans="2:8" ht="13" thickBot="1" x14ac:dyDescent="0.3">
      <c r="B130" s="861" t="s">
        <v>91</v>
      </c>
      <c r="C130" s="865">
        <v>7500</v>
      </c>
      <c r="D130" s="862">
        <v>1334.66</v>
      </c>
      <c r="E130" s="863"/>
    </row>
    <row r="131" spans="2:8" ht="13" thickBot="1" x14ac:dyDescent="0.3">
      <c r="B131" s="883" t="s">
        <v>92</v>
      </c>
      <c r="C131" s="1043">
        <v>5100</v>
      </c>
      <c r="D131" s="862">
        <v>1713</v>
      </c>
      <c r="E131" s="863"/>
    </row>
    <row r="132" spans="2:8" ht="13" thickBot="1" x14ac:dyDescent="0.3">
      <c r="B132" s="883" t="s">
        <v>93</v>
      </c>
      <c r="C132" s="1043">
        <v>843864.29</v>
      </c>
      <c r="D132" s="862">
        <v>235679.52</v>
      </c>
      <c r="E132" s="863"/>
    </row>
    <row r="133" spans="2:8" ht="13" thickBot="1" x14ac:dyDescent="0.3">
      <c r="B133" s="864" t="s">
        <v>94</v>
      </c>
      <c r="C133" s="865"/>
      <c r="D133" s="865">
        <v>0</v>
      </c>
      <c r="E133" s="866"/>
    </row>
    <row r="134" spans="2:8" ht="13.5" thickBot="1" x14ac:dyDescent="0.3">
      <c r="B134" s="867" t="s">
        <v>74</v>
      </c>
      <c r="C134" s="868">
        <f>SUM(C128:C133)</f>
        <v>1325861.8900000001</v>
      </c>
      <c r="D134" s="868">
        <f>SUM(D128:D133)</f>
        <v>706222.47</v>
      </c>
      <c r="E134" s="870">
        <f>+(D134-C134)/C134</f>
        <v>-0.46734839026107017</v>
      </c>
    </row>
    <row r="135" spans="2:8" x14ac:dyDescent="0.25">
      <c r="B135" s="834"/>
    </row>
    <row r="136" spans="2:8" ht="39.5" thickBot="1" x14ac:dyDescent="0.3">
      <c r="B136" s="859">
        <f>+C5</f>
        <v>2024</v>
      </c>
      <c r="C136" s="860" t="s">
        <v>86</v>
      </c>
      <c r="D136" s="860" t="s">
        <v>95</v>
      </c>
      <c r="E136" s="860" t="s">
        <v>88</v>
      </c>
    </row>
    <row r="137" spans="2:8" ht="14.5" thickBot="1" x14ac:dyDescent="0.35">
      <c r="B137" s="861" t="s">
        <v>89</v>
      </c>
      <c r="C137" s="862">
        <v>135397</v>
      </c>
      <c r="D137" s="862">
        <v>135232.17000000001</v>
      </c>
      <c r="E137" s="863"/>
      <c r="H137" s="678"/>
    </row>
    <row r="138" spans="2:8" ht="14.5" thickBot="1" x14ac:dyDescent="0.35">
      <c r="B138" s="861" t="s">
        <v>90</v>
      </c>
      <c r="C138" s="862">
        <v>322002.87</v>
      </c>
      <c r="D138" s="862">
        <v>289676.31</v>
      </c>
      <c r="E138" s="863"/>
      <c r="G138" s="871"/>
      <c r="H138" s="678"/>
    </row>
    <row r="139" spans="2:8" ht="14.5" thickBot="1" x14ac:dyDescent="0.35">
      <c r="B139" s="861" t="s">
        <v>91</v>
      </c>
      <c r="C139" s="862">
        <v>1160.9400000000005</v>
      </c>
      <c r="D139" s="862">
        <f>9517.18-D249</f>
        <v>1160.9400000000005</v>
      </c>
      <c r="E139" s="863"/>
      <c r="G139" s="871"/>
      <c r="H139" s="678"/>
    </row>
    <row r="140" spans="2:8" ht="14.5" thickBot="1" x14ac:dyDescent="0.35">
      <c r="B140" s="861" t="s">
        <v>92</v>
      </c>
      <c r="C140" s="862">
        <v>5100</v>
      </c>
      <c r="D140" s="862">
        <v>1800</v>
      </c>
      <c r="E140" s="863"/>
      <c r="G140" s="871"/>
      <c r="H140" s="678"/>
    </row>
    <row r="141" spans="2:8" ht="14" thickBot="1" x14ac:dyDescent="0.35">
      <c r="B141" s="861" t="s">
        <v>93</v>
      </c>
      <c r="C141" s="862">
        <v>272926.13</v>
      </c>
      <c r="D141" s="862">
        <v>596746.04</v>
      </c>
      <c r="E141" s="863"/>
      <c r="G141" s="871"/>
    </row>
    <row r="142" spans="2:8" ht="14" thickBot="1" x14ac:dyDescent="0.35">
      <c r="B142" s="864" t="s">
        <v>94</v>
      </c>
      <c r="C142" s="862">
        <f>+RESUM_PRESSUPOST!F33</f>
        <v>0</v>
      </c>
      <c r="D142" s="862">
        <f>+RESUM_PRESSUPOST!G33</f>
        <v>0</v>
      </c>
      <c r="E142" s="866"/>
      <c r="G142" s="871"/>
    </row>
    <row r="143" spans="2:8" ht="13.5" thickBot="1" x14ac:dyDescent="0.3">
      <c r="B143" s="867" t="s">
        <v>74</v>
      </c>
      <c r="C143" s="868">
        <f>SUM(C137:C142)</f>
        <v>736586.94</v>
      </c>
      <c r="D143" s="868">
        <f>SUM(D137:D142)</f>
        <v>1024615.46</v>
      </c>
      <c r="E143" s="869">
        <f>+(D143-C143)/C143</f>
        <v>0.39103126102127206</v>
      </c>
    </row>
    <row r="144" spans="2:8" ht="13.5" x14ac:dyDescent="0.25">
      <c r="B144" s="834"/>
      <c r="C144" s="872"/>
      <c r="D144" s="872"/>
      <c r="E144" s="872"/>
    </row>
    <row r="145" spans="2:5" ht="13.5" x14ac:dyDescent="0.25">
      <c r="B145" s="867" t="s">
        <v>96</v>
      </c>
      <c r="C145" s="873">
        <f>+(E125+E134+E143)/3</f>
        <v>-0.13423380778494329</v>
      </c>
      <c r="D145" s="872"/>
      <c r="E145" s="872"/>
    </row>
    <row r="146" spans="2:5" ht="13.5" x14ac:dyDescent="0.25">
      <c r="B146" s="874"/>
      <c r="C146" s="875"/>
      <c r="D146" s="872"/>
      <c r="E146" s="872"/>
    </row>
    <row r="147" spans="2:5" ht="26" x14ac:dyDescent="0.25">
      <c r="B147" s="872"/>
      <c r="C147" s="876" t="s">
        <v>97</v>
      </c>
      <c r="D147" s="877" t="s">
        <v>98</v>
      </c>
      <c r="E147" s="872"/>
    </row>
    <row r="148" spans="2:5" ht="13.5" x14ac:dyDescent="0.25">
      <c r="B148" s="878" t="s">
        <v>99</v>
      </c>
      <c r="C148" s="879"/>
      <c r="D148" s="880">
        <f>+IF(C145&gt;0,IF(C148&gt;=C145,C148,C145),IF(C148&lt;=C145,C148,C145))</f>
        <v>-0.13423380778494329</v>
      </c>
      <c r="E148" s="872"/>
    </row>
    <row r="149" spans="2:5" ht="13.5" x14ac:dyDescent="0.25">
      <c r="B149" s="872"/>
      <c r="C149" s="872"/>
      <c r="D149" s="872"/>
      <c r="E149" s="872"/>
    </row>
    <row r="150" spans="2:5" x14ac:dyDescent="0.25">
      <c r="B150" s="834"/>
    </row>
    <row r="151" spans="2:5" ht="12.75" customHeight="1" x14ac:dyDescent="0.25">
      <c r="B151" s="1129" t="s">
        <v>100</v>
      </c>
      <c r="C151" s="1130">
        <f>+E166</f>
        <v>2025</v>
      </c>
      <c r="D151" s="1131"/>
      <c r="E151" s="1131"/>
    </row>
    <row r="152" spans="2:5" x14ac:dyDescent="0.25">
      <c r="B152" s="1129"/>
      <c r="C152" s="1130"/>
      <c r="D152" s="1131"/>
      <c r="E152" s="1131"/>
    </row>
    <row r="153" spans="2:5" x14ac:dyDescent="0.25">
      <c r="B153" s="883" t="s">
        <v>89</v>
      </c>
      <c r="C153" s="884">
        <f>+RESUM_PRESSUPOST!E27</f>
        <v>155889</v>
      </c>
      <c r="D153" s="885"/>
      <c r="E153" s="886"/>
    </row>
    <row r="154" spans="2:5" x14ac:dyDescent="0.25">
      <c r="B154" s="883" t="s">
        <v>90</v>
      </c>
      <c r="C154" s="884">
        <f>+RESUM_PRESSUPOST!E28</f>
        <v>274514</v>
      </c>
      <c r="D154" s="885"/>
      <c r="E154" s="886"/>
    </row>
    <row r="155" spans="2:5" x14ac:dyDescent="0.25">
      <c r="B155" s="883" t="s">
        <v>101</v>
      </c>
      <c r="C155" s="884">
        <v>0</v>
      </c>
      <c r="D155" s="885"/>
      <c r="E155" s="886"/>
    </row>
    <row r="156" spans="2:5" ht="13" thickBot="1" x14ac:dyDescent="0.3">
      <c r="B156" s="883" t="s">
        <v>92</v>
      </c>
      <c r="C156" s="884">
        <f>+RESUM_PRESSUPOST!E30</f>
        <v>5100</v>
      </c>
      <c r="D156" s="885"/>
      <c r="E156" s="886"/>
    </row>
    <row r="157" spans="2:5" ht="13" thickBot="1" x14ac:dyDescent="0.3">
      <c r="B157" s="883" t="s">
        <v>49</v>
      </c>
      <c r="C157" s="884">
        <f>+RESUM_PRESSUPOST!E31</f>
        <v>500</v>
      </c>
      <c r="D157" s="885"/>
      <c r="E157" s="886"/>
    </row>
    <row r="158" spans="2:5" ht="13" thickBot="1" x14ac:dyDescent="0.3">
      <c r="B158" s="883" t="s">
        <v>93</v>
      </c>
      <c r="C158" s="884">
        <f>+RESUM_PRESSUPOST!E32</f>
        <v>157890</v>
      </c>
      <c r="D158" s="885"/>
      <c r="E158" s="886"/>
    </row>
    <row r="159" spans="2:5" x14ac:dyDescent="0.25">
      <c r="B159" s="883" t="s">
        <v>94</v>
      </c>
      <c r="C159" s="884">
        <f>+RESUM_PRESSUPOST!E33</f>
        <v>0</v>
      </c>
      <c r="D159" s="885"/>
      <c r="E159" s="886"/>
    </row>
    <row r="160" spans="2:5" ht="13" x14ac:dyDescent="0.25">
      <c r="B160" s="882"/>
      <c r="C160" s="887"/>
      <c r="D160" s="887"/>
      <c r="E160" s="888"/>
    </row>
    <row r="161" spans="2:11" ht="13" x14ac:dyDescent="0.25">
      <c r="B161" s="881" t="s">
        <v>102</v>
      </c>
      <c r="C161" s="889">
        <f>SUM(C153:C159)</f>
        <v>593893</v>
      </c>
      <c r="D161" s="890">
        <f>+D148</f>
        <v>-0.13423380778494329</v>
      </c>
      <c r="E161" s="891">
        <f>+(C153+C154+C155+C156+C158+C159)*D161</f>
        <v>-79653.401902930855</v>
      </c>
    </row>
    <row r="162" spans="2:11" ht="13" x14ac:dyDescent="0.25">
      <c r="B162" s="882"/>
      <c r="C162" s="892"/>
      <c r="D162" s="893"/>
      <c r="E162" s="888"/>
    </row>
    <row r="163" spans="2:11" ht="13" x14ac:dyDescent="0.25">
      <c r="B163" s="882"/>
      <c r="C163" s="892"/>
      <c r="D163" s="893"/>
      <c r="E163" s="888"/>
    </row>
    <row r="164" spans="2:11" ht="13" x14ac:dyDescent="0.25">
      <c r="B164" s="894" t="s">
        <v>103</v>
      </c>
      <c r="C164" s="892"/>
      <c r="D164" s="893"/>
      <c r="E164" s="888"/>
    </row>
    <row r="165" spans="2:11" ht="13" x14ac:dyDescent="0.25">
      <c r="B165" s="809"/>
      <c r="C165" s="856"/>
    </row>
    <row r="166" spans="2:11" ht="13" x14ac:dyDescent="0.25">
      <c r="B166" s="801"/>
      <c r="C166" s="895">
        <f>+C88</f>
        <v>2024</v>
      </c>
      <c r="D166" s="801"/>
      <c r="E166" s="895">
        <f>+E88</f>
        <v>2025</v>
      </c>
      <c r="F166" s="801"/>
      <c r="G166" s="801"/>
      <c r="H166" s="801"/>
      <c r="I166" s="801"/>
      <c r="J166" s="801"/>
    </row>
    <row r="167" spans="2:11" ht="26" x14ac:dyDescent="0.25">
      <c r="B167" s="896" t="s">
        <v>104</v>
      </c>
      <c r="C167" s="897">
        <f>+C34+C60+C76+C92+E104+C112</f>
        <v>0</v>
      </c>
      <c r="D167" s="896" t="s">
        <v>104</v>
      </c>
      <c r="E167" s="897">
        <f>+E34+E60+E76+E92+E161+H104+E112</f>
        <v>-79653.401902930855</v>
      </c>
      <c r="F167" s="801"/>
      <c r="G167" s="801"/>
      <c r="H167" s="801"/>
      <c r="I167" s="801"/>
      <c r="J167" s="801"/>
    </row>
    <row r="168" spans="2:11" x14ac:dyDescent="0.25">
      <c r="B168" s="801"/>
      <c r="C168" s="801"/>
      <c r="D168" s="801"/>
      <c r="E168" s="801"/>
      <c r="F168" s="801"/>
      <c r="G168" s="801"/>
      <c r="H168" s="801"/>
      <c r="I168" s="801"/>
      <c r="J168" s="801"/>
      <c r="K168" s="801"/>
    </row>
    <row r="169" spans="2:11" x14ac:dyDescent="0.25">
      <c r="B169" s="801"/>
      <c r="C169" s="801"/>
      <c r="D169" s="801"/>
      <c r="E169" s="801"/>
      <c r="F169" s="801"/>
      <c r="G169" s="801"/>
      <c r="H169" s="801"/>
      <c r="I169" s="801"/>
      <c r="J169" s="801"/>
      <c r="K169" s="801"/>
    </row>
    <row r="170" spans="2:11" ht="39" x14ac:dyDescent="0.25">
      <c r="B170" s="812" t="s">
        <v>105</v>
      </c>
      <c r="C170" s="895">
        <f>+C166</f>
        <v>2024</v>
      </c>
      <c r="D170" s="812" t="s">
        <v>106</v>
      </c>
      <c r="E170" s="812" t="s">
        <v>107</v>
      </c>
      <c r="F170" s="801"/>
      <c r="G170" s="801"/>
      <c r="H170" s="801"/>
      <c r="I170" s="801"/>
      <c r="J170" s="801"/>
    </row>
    <row r="171" spans="2:11" ht="13" x14ac:dyDescent="0.25">
      <c r="B171" s="898">
        <v>1</v>
      </c>
      <c r="C171" s="899">
        <f t="shared" ref="C171:C176" si="0">+C13</f>
        <v>135232.17000000001</v>
      </c>
      <c r="D171" s="899">
        <f>+C52-C41</f>
        <v>0</v>
      </c>
      <c r="E171" s="900">
        <f t="shared" ref="E171:E179" si="1">+C171+D171</f>
        <v>135232.17000000001</v>
      </c>
      <c r="F171" s="801"/>
      <c r="G171" s="801"/>
      <c r="H171" s="801"/>
      <c r="I171" s="801"/>
      <c r="J171" s="801"/>
    </row>
    <row r="172" spans="2:11" ht="13" x14ac:dyDescent="0.25">
      <c r="B172" s="901">
        <v>2</v>
      </c>
      <c r="C172" s="902">
        <f t="shared" si="0"/>
        <v>289676.31</v>
      </c>
      <c r="D172" s="902">
        <f>-C42+C53+C67-C73+C83-C89</f>
        <v>0</v>
      </c>
      <c r="E172" s="903">
        <f t="shared" si="1"/>
        <v>289676.31</v>
      </c>
      <c r="F172" s="801"/>
      <c r="G172" s="801"/>
      <c r="H172" s="801"/>
      <c r="I172" s="801"/>
      <c r="J172" s="801"/>
    </row>
    <row r="173" spans="2:11" ht="13" x14ac:dyDescent="0.25">
      <c r="B173" s="904">
        <v>3</v>
      </c>
      <c r="C173" s="902">
        <f t="shared" si="0"/>
        <v>9517.18</v>
      </c>
      <c r="D173" s="902">
        <f>+C54-C43</f>
        <v>0</v>
      </c>
      <c r="E173" s="903">
        <f t="shared" si="1"/>
        <v>9517.18</v>
      </c>
      <c r="F173" s="801"/>
      <c r="G173" s="801"/>
      <c r="H173" s="801"/>
      <c r="I173" s="801"/>
      <c r="J173" s="801"/>
    </row>
    <row r="174" spans="2:11" ht="13" x14ac:dyDescent="0.25">
      <c r="B174" s="901">
        <v>4</v>
      </c>
      <c r="C174" s="902">
        <f t="shared" si="0"/>
        <v>1800</v>
      </c>
      <c r="D174" s="902">
        <f>+C55-C44</f>
        <v>0</v>
      </c>
      <c r="E174" s="903">
        <f t="shared" si="1"/>
        <v>1800</v>
      </c>
      <c r="F174" s="801"/>
      <c r="G174" s="801"/>
      <c r="H174" s="801"/>
      <c r="I174" s="801"/>
      <c r="J174" s="801"/>
    </row>
    <row r="175" spans="2:11" ht="13" x14ac:dyDescent="0.25">
      <c r="B175" s="904">
        <v>6</v>
      </c>
      <c r="C175" s="902">
        <f t="shared" si="0"/>
        <v>596746.04</v>
      </c>
      <c r="D175" s="902">
        <f>-C32-C45+C56+C68-C74+C84-C90</f>
        <v>0</v>
      </c>
      <c r="E175" s="903">
        <f t="shared" si="1"/>
        <v>596746.04</v>
      </c>
      <c r="F175" s="801"/>
      <c r="G175" s="801"/>
      <c r="H175" s="801"/>
      <c r="I175" s="801"/>
      <c r="J175" s="801"/>
    </row>
    <row r="176" spans="2:11" ht="13" x14ac:dyDescent="0.25">
      <c r="B176" s="901">
        <v>7</v>
      </c>
      <c r="C176" s="902">
        <f t="shared" si="0"/>
        <v>0</v>
      </c>
      <c r="D176" s="902">
        <f>-C46+C57+C112</f>
        <v>0</v>
      </c>
      <c r="E176" s="903">
        <f t="shared" si="1"/>
        <v>0</v>
      </c>
      <c r="F176" s="801"/>
      <c r="G176" s="801"/>
      <c r="H176" s="801"/>
      <c r="I176" s="801"/>
      <c r="J176" s="801"/>
    </row>
    <row r="177" spans="1:16" ht="13" x14ac:dyDescent="0.25">
      <c r="B177" s="904">
        <v>8</v>
      </c>
      <c r="C177" s="902">
        <f>+C20</f>
        <v>0</v>
      </c>
      <c r="D177" s="902"/>
      <c r="E177" s="903">
        <f t="shared" si="1"/>
        <v>0</v>
      </c>
      <c r="F177" s="801"/>
      <c r="G177" s="801"/>
      <c r="H177" s="801"/>
      <c r="I177" s="801"/>
      <c r="J177" s="801"/>
    </row>
    <row r="178" spans="1:16" ht="13" x14ac:dyDescent="0.25">
      <c r="B178" s="901">
        <v>9</v>
      </c>
      <c r="C178" s="902">
        <f>+C21</f>
        <v>20472.36</v>
      </c>
      <c r="D178" s="902"/>
      <c r="E178" s="903">
        <f t="shared" si="1"/>
        <v>20472.36</v>
      </c>
      <c r="F178" s="801"/>
      <c r="G178" s="801"/>
      <c r="H178" s="801"/>
      <c r="I178" s="801"/>
      <c r="J178" s="801"/>
    </row>
    <row r="179" spans="1:16" ht="13" x14ac:dyDescent="0.25">
      <c r="B179" s="905" t="s">
        <v>108</v>
      </c>
      <c r="C179" s="906">
        <f>+C22</f>
        <v>1053444.06</v>
      </c>
      <c r="D179" s="906">
        <f>SUM(D171:D176)</f>
        <v>0</v>
      </c>
      <c r="E179" s="907">
        <f t="shared" si="1"/>
        <v>1053444.06</v>
      </c>
      <c r="F179" s="801"/>
      <c r="G179" s="801"/>
      <c r="H179" s="801"/>
      <c r="I179" s="801"/>
      <c r="J179" s="801"/>
    </row>
    <row r="180" spans="1:16" x14ac:dyDescent="0.25">
      <c r="B180" s="801"/>
      <c r="C180" s="801"/>
      <c r="D180" s="801"/>
      <c r="E180" s="801"/>
      <c r="F180" s="801"/>
      <c r="G180" s="801"/>
      <c r="H180" s="801"/>
      <c r="I180" s="801"/>
      <c r="J180" s="801"/>
      <c r="K180" s="801"/>
    </row>
    <row r="181" spans="1:16" x14ac:dyDescent="0.25">
      <c r="B181" s="801"/>
      <c r="C181" s="801"/>
      <c r="D181" s="801"/>
      <c r="E181" s="801"/>
      <c r="F181" s="801"/>
      <c r="G181" s="801"/>
      <c r="H181" s="801"/>
      <c r="I181" s="801"/>
      <c r="J181" s="801"/>
      <c r="K181" s="801"/>
      <c r="L181" s="801"/>
    </row>
    <row r="182" spans="1:16" ht="13" x14ac:dyDescent="0.25">
      <c r="B182" s="807" t="s">
        <v>109</v>
      </c>
      <c r="C182" s="801"/>
      <c r="D182" s="801"/>
      <c r="E182" s="801"/>
      <c r="F182" s="801"/>
      <c r="G182" s="801"/>
      <c r="H182" s="801"/>
      <c r="I182" s="801"/>
      <c r="J182" s="801"/>
      <c r="K182" s="801"/>
      <c r="L182" s="801"/>
    </row>
    <row r="184" spans="1:16" ht="37.5" customHeight="1" x14ac:dyDescent="0.25">
      <c r="B184" s="908">
        <f>+C88</f>
        <v>2024</v>
      </c>
      <c r="C184" s="801"/>
      <c r="D184" s="882"/>
      <c r="E184" s="882"/>
      <c r="F184" s="882"/>
      <c r="G184" s="801"/>
      <c r="H184" s="801"/>
      <c r="I184" s="801"/>
      <c r="J184" s="801"/>
      <c r="K184" s="801"/>
    </row>
    <row r="185" spans="1:16" ht="39.5" thickBot="1" x14ac:dyDescent="0.3">
      <c r="B185" s="909" t="s">
        <v>110</v>
      </c>
      <c r="C185" s="910" t="s">
        <v>111</v>
      </c>
      <c r="D185" s="910" t="s">
        <v>112</v>
      </c>
      <c r="E185" s="910" t="s">
        <v>113</v>
      </c>
      <c r="F185" s="910" t="s">
        <v>114</v>
      </c>
      <c r="G185" s="910" t="s">
        <v>115</v>
      </c>
      <c r="H185" s="910" t="s">
        <v>116</v>
      </c>
      <c r="I185" s="910" t="s">
        <v>117</v>
      </c>
      <c r="O185" s="809"/>
      <c r="P185" s="809"/>
    </row>
    <row r="186" spans="1:16" ht="13.5" thickBot="1" x14ac:dyDescent="0.3">
      <c r="A186" s="654">
        <v>1</v>
      </c>
      <c r="B186" s="830" t="s">
        <v>851</v>
      </c>
      <c r="C186" s="911">
        <v>2</v>
      </c>
      <c r="D186" s="912">
        <v>408</v>
      </c>
      <c r="E186" s="912">
        <f>+D186</f>
        <v>408</v>
      </c>
      <c r="F186" s="912">
        <f>+E186</f>
        <v>408</v>
      </c>
      <c r="G186" s="913">
        <f t="shared" ref="G186:G210" si="2">IF(E186=0," ",D186/E186)</f>
        <v>1</v>
      </c>
      <c r="H186" s="914">
        <f t="shared" ref="H186:H201" si="3">IF(G186=" "," ",G186*F186)</f>
        <v>408</v>
      </c>
      <c r="I186" s="915" t="s">
        <v>121</v>
      </c>
      <c r="J186" s="916" t="s">
        <v>118</v>
      </c>
      <c r="K186" s="917">
        <f>+B184</f>
        <v>2024</v>
      </c>
      <c r="L186" s="918"/>
      <c r="M186" s="797"/>
      <c r="N186" s="794"/>
      <c r="O186" s="723"/>
      <c r="P186" s="723"/>
    </row>
    <row r="187" spans="1:16" ht="13" x14ac:dyDescent="0.25">
      <c r="A187" s="654">
        <v>2</v>
      </c>
      <c r="B187" s="830" t="s">
        <v>852</v>
      </c>
      <c r="C187" s="911">
        <v>2</v>
      </c>
      <c r="D187" s="912">
        <v>9996.48</v>
      </c>
      <c r="E187" s="912">
        <f t="shared" ref="E187:F201" si="4">+D187</f>
        <v>9996.48</v>
      </c>
      <c r="F187" s="912">
        <f t="shared" si="4"/>
        <v>9996.48</v>
      </c>
      <c r="G187" s="913">
        <f t="shared" si="2"/>
        <v>1</v>
      </c>
      <c r="H187" s="914">
        <f t="shared" si="3"/>
        <v>9996.48</v>
      </c>
      <c r="I187" s="915" t="s">
        <v>121</v>
      </c>
      <c r="J187" s="919" t="s">
        <v>119</v>
      </c>
      <c r="K187" s="920">
        <f>SUMIF($I$186:$I$210,J187,$H$186:$H$210)</f>
        <v>0</v>
      </c>
      <c r="L187" s="856"/>
      <c r="M187" s="797"/>
      <c r="N187" s="794"/>
      <c r="O187" s="723"/>
      <c r="P187" s="723"/>
    </row>
    <row r="188" spans="1:16" ht="13" x14ac:dyDescent="0.25">
      <c r="A188" s="654">
        <v>3</v>
      </c>
      <c r="B188" s="830" t="s">
        <v>853</v>
      </c>
      <c r="C188" s="911">
        <v>2</v>
      </c>
      <c r="D188" s="912">
        <v>1093.5</v>
      </c>
      <c r="E188" s="912">
        <f t="shared" si="4"/>
        <v>1093.5</v>
      </c>
      <c r="F188" s="912">
        <f t="shared" si="4"/>
        <v>1093.5</v>
      </c>
      <c r="G188" s="913">
        <f t="shared" ref="G188" si="5">IF(E188=0," ",D188/E188)</f>
        <v>1</v>
      </c>
      <c r="H188" s="914">
        <f t="shared" si="3"/>
        <v>1093.5</v>
      </c>
      <c r="I188" s="915" t="s">
        <v>121</v>
      </c>
      <c r="J188" s="919" t="s">
        <v>120</v>
      </c>
      <c r="K188" s="920">
        <f>SUMIF($I$186:$I$210,J188,$H$186:$H$210)</f>
        <v>0</v>
      </c>
      <c r="L188" s="856"/>
      <c r="M188" s="797"/>
      <c r="N188" s="728"/>
      <c r="O188" s="723"/>
      <c r="P188" s="723"/>
    </row>
    <row r="189" spans="1:16" ht="13" x14ac:dyDescent="0.25">
      <c r="A189" s="654">
        <v>4</v>
      </c>
      <c r="B189" s="830" t="s">
        <v>758</v>
      </c>
      <c r="C189" s="911">
        <v>2</v>
      </c>
      <c r="D189" s="912">
        <v>2483.6799999999998</v>
      </c>
      <c r="E189" s="912">
        <f t="shared" si="4"/>
        <v>2483.6799999999998</v>
      </c>
      <c r="F189" s="912">
        <f t="shared" si="4"/>
        <v>2483.6799999999998</v>
      </c>
      <c r="G189" s="913">
        <f t="shared" si="2"/>
        <v>1</v>
      </c>
      <c r="H189" s="914">
        <f t="shared" si="3"/>
        <v>2483.6799999999998</v>
      </c>
      <c r="I189" s="915" t="s">
        <v>121</v>
      </c>
      <c r="J189" s="919" t="s">
        <v>121</v>
      </c>
      <c r="K189" s="920">
        <f>SUMIF($I$186:$I$210,J189,$H$186:$H$210)</f>
        <v>196611.36</v>
      </c>
      <c r="L189" s="856"/>
      <c r="M189" s="797"/>
      <c r="N189" s="724"/>
      <c r="O189" s="723"/>
      <c r="P189" s="723"/>
    </row>
    <row r="190" spans="1:16" ht="13" x14ac:dyDescent="0.25">
      <c r="A190" s="654">
        <v>5</v>
      </c>
      <c r="B190" s="830" t="s">
        <v>759</v>
      </c>
      <c r="C190" s="911">
        <v>2</v>
      </c>
      <c r="D190" s="912">
        <v>2552.63</v>
      </c>
      <c r="E190" s="912">
        <f t="shared" si="4"/>
        <v>2552.63</v>
      </c>
      <c r="F190" s="912">
        <f t="shared" si="4"/>
        <v>2552.63</v>
      </c>
      <c r="G190" s="913">
        <f t="shared" si="2"/>
        <v>1</v>
      </c>
      <c r="H190" s="914">
        <f t="shared" si="3"/>
        <v>2552.63</v>
      </c>
      <c r="I190" s="915" t="s">
        <v>121</v>
      </c>
      <c r="J190" s="919" t="s">
        <v>122</v>
      </c>
      <c r="K190" s="920">
        <f>SUMIF($I$186:$I$210,J190,$H$186:$H$210)</f>
        <v>226277.92</v>
      </c>
      <c r="L190" s="856"/>
      <c r="M190" s="797"/>
      <c r="N190" s="724"/>
      <c r="O190" s="723"/>
      <c r="P190" s="723"/>
    </row>
    <row r="191" spans="1:16" ht="13.5" thickBot="1" x14ac:dyDescent="0.3">
      <c r="A191" s="654">
        <v>6</v>
      </c>
      <c r="B191" s="830" t="s">
        <v>854</v>
      </c>
      <c r="C191" s="911">
        <v>2</v>
      </c>
      <c r="D191" s="912">
        <v>1406.05</v>
      </c>
      <c r="E191" s="912">
        <f t="shared" si="4"/>
        <v>1406.05</v>
      </c>
      <c r="F191" s="912">
        <f t="shared" si="4"/>
        <v>1406.05</v>
      </c>
      <c r="G191" s="913">
        <f t="shared" si="2"/>
        <v>1</v>
      </c>
      <c r="H191" s="914">
        <f t="shared" si="3"/>
        <v>1406.05</v>
      </c>
      <c r="I191" s="915" t="s">
        <v>121</v>
      </c>
      <c r="J191" s="919" t="s">
        <v>123</v>
      </c>
      <c r="K191" s="920">
        <f>SUMIF($I$186:$I$210,J191,$H$186:$H$210)</f>
        <v>0</v>
      </c>
      <c r="L191" s="856"/>
      <c r="M191" s="797"/>
      <c r="N191" s="722"/>
      <c r="O191" s="723"/>
      <c r="P191" s="723"/>
    </row>
    <row r="192" spans="1:16" ht="13.5" thickBot="1" x14ac:dyDescent="0.3">
      <c r="A192" s="654">
        <v>7</v>
      </c>
      <c r="B192" s="830" t="s">
        <v>760</v>
      </c>
      <c r="C192" s="911">
        <v>2</v>
      </c>
      <c r="D192" s="912">
        <v>23936.63</v>
      </c>
      <c r="E192" s="912">
        <f t="shared" si="4"/>
        <v>23936.63</v>
      </c>
      <c r="F192" s="912">
        <f t="shared" si="4"/>
        <v>23936.63</v>
      </c>
      <c r="G192" s="913">
        <f t="shared" si="2"/>
        <v>1</v>
      </c>
      <c r="H192" s="914">
        <f t="shared" si="3"/>
        <v>23936.63</v>
      </c>
      <c r="I192" s="915" t="s">
        <v>122</v>
      </c>
      <c r="J192" s="916" t="s">
        <v>124</v>
      </c>
      <c r="K192" s="921">
        <f>+K187+K188+K189+K190+K191</f>
        <v>422889.28</v>
      </c>
      <c r="L192" s="922"/>
      <c r="M192" s="797"/>
      <c r="N192" s="794"/>
      <c r="O192" s="723"/>
      <c r="P192" s="723"/>
    </row>
    <row r="193" spans="1:16" ht="13" x14ac:dyDescent="0.25">
      <c r="A193" s="654">
        <v>8</v>
      </c>
      <c r="B193" s="830" t="s">
        <v>762</v>
      </c>
      <c r="C193" s="911">
        <v>2</v>
      </c>
      <c r="D193" s="912">
        <v>6304</v>
      </c>
      <c r="E193" s="912">
        <f t="shared" si="4"/>
        <v>6304</v>
      </c>
      <c r="F193" s="912">
        <f t="shared" si="4"/>
        <v>6304</v>
      </c>
      <c r="G193" s="913">
        <f t="shared" si="2"/>
        <v>1</v>
      </c>
      <c r="H193" s="914">
        <f t="shared" si="3"/>
        <v>6304</v>
      </c>
      <c r="I193" s="915" t="s">
        <v>122</v>
      </c>
      <c r="M193" s="797"/>
      <c r="N193" s="795"/>
      <c r="O193" s="723"/>
      <c r="P193" s="723"/>
    </row>
    <row r="194" spans="1:16" ht="13" x14ac:dyDescent="0.25">
      <c r="A194" s="654">
        <v>9</v>
      </c>
      <c r="B194" s="830" t="s">
        <v>855</v>
      </c>
      <c r="C194" s="911">
        <v>2</v>
      </c>
      <c r="D194" s="912">
        <v>20512</v>
      </c>
      <c r="E194" s="912">
        <f t="shared" si="4"/>
        <v>20512</v>
      </c>
      <c r="F194" s="912">
        <f t="shared" si="4"/>
        <v>20512</v>
      </c>
      <c r="G194" s="913">
        <f t="shared" si="2"/>
        <v>1</v>
      </c>
      <c r="H194" s="914">
        <f t="shared" si="3"/>
        <v>20512</v>
      </c>
      <c r="I194" s="915" t="s">
        <v>122</v>
      </c>
      <c r="M194" s="797"/>
      <c r="N194" s="794"/>
      <c r="O194" s="748"/>
      <c r="P194" s="748"/>
    </row>
    <row r="195" spans="1:16" ht="13.5" thickBot="1" x14ac:dyDescent="0.3">
      <c r="A195" s="654">
        <v>10</v>
      </c>
      <c r="B195" s="830" t="s">
        <v>856</v>
      </c>
      <c r="C195" s="911">
        <v>6</v>
      </c>
      <c r="D195" s="912">
        <v>178671.02</v>
      </c>
      <c r="E195" s="912">
        <f t="shared" si="4"/>
        <v>178671.02</v>
      </c>
      <c r="F195" s="912">
        <f t="shared" si="4"/>
        <v>178671.02</v>
      </c>
      <c r="G195" s="913">
        <f t="shared" si="2"/>
        <v>1</v>
      </c>
      <c r="H195" s="914">
        <f t="shared" si="3"/>
        <v>178671.02</v>
      </c>
      <c r="I195" s="915" t="s">
        <v>121</v>
      </c>
      <c r="M195" s="797"/>
      <c r="N195" s="794"/>
      <c r="O195" s="748"/>
      <c r="P195" s="748"/>
    </row>
    <row r="196" spans="1:16" ht="13.5" thickBot="1" x14ac:dyDescent="0.3">
      <c r="A196" s="654">
        <v>11</v>
      </c>
      <c r="B196" s="830" t="s">
        <v>771</v>
      </c>
      <c r="C196" s="911">
        <v>6</v>
      </c>
      <c r="D196" s="912">
        <v>90627.66</v>
      </c>
      <c r="E196" s="912">
        <f t="shared" si="4"/>
        <v>90627.66</v>
      </c>
      <c r="F196" s="912">
        <f t="shared" si="4"/>
        <v>90627.66</v>
      </c>
      <c r="G196" s="913">
        <f t="shared" si="2"/>
        <v>1</v>
      </c>
      <c r="H196" s="914">
        <f t="shared" si="3"/>
        <v>90627.66</v>
      </c>
      <c r="I196" s="915" t="s">
        <v>122</v>
      </c>
      <c r="J196" s="916" t="s">
        <v>125</v>
      </c>
      <c r="K196" s="923">
        <f>+B184</f>
        <v>2024</v>
      </c>
      <c r="L196" s="918"/>
    </row>
    <row r="197" spans="1:16" ht="13" x14ac:dyDescent="0.25">
      <c r="A197" s="654">
        <v>12</v>
      </c>
      <c r="B197" s="830" t="s">
        <v>772</v>
      </c>
      <c r="C197" s="911">
        <v>6</v>
      </c>
      <c r="D197" s="912"/>
      <c r="E197" s="912">
        <f t="shared" si="4"/>
        <v>0</v>
      </c>
      <c r="F197" s="912">
        <f t="shared" si="4"/>
        <v>0</v>
      </c>
      <c r="G197" s="913" t="str">
        <f t="shared" si="2"/>
        <v xml:space="preserve"> </v>
      </c>
      <c r="H197" s="914" t="str">
        <f t="shared" si="3"/>
        <v xml:space="preserve"> </v>
      </c>
      <c r="I197" s="915" t="s">
        <v>122</v>
      </c>
      <c r="J197" s="924">
        <v>1</v>
      </c>
      <c r="K197" s="925">
        <f>+SUMIF($C$186:$C$210,J197,$H$186:$H$210)</f>
        <v>0</v>
      </c>
      <c r="L197" s="856"/>
    </row>
    <row r="198" spans="1:16" ht="13" x14ac:dyDescent="0.25">
      <c r="A198" s="654">
        <v>13</v>
      </c>
      <c r="B198" s="830" t="s">
        <v>773</v>
      </c>
      <c r="C198" s="911">
        <v>6</v>
      </c>
      <c r="D198" s="912"/>
      <c r="E198" s="912">
        <f t="shared" si="4"/>
        <v>0</v>
      </c>
      <c r="F198" s="912">
        <f t="shared" si="4"/>
        <v>0</v>
      </c>
      <c r="G198" s="913" t="str">
        <f t="shared" si="2"/>
        <v xml:space="preserve"> </v>
      </c>
      <c r="H198" s="914" t="str">
        <f t="shared" si="3"/>
        <v xml:space="preserve"> </v>
      </c>
      <c r="I198" s="915" t="s">
        <v>122</v>
      </c>
      <c r="J198" s="926">
        <v>2</v>
      </c>
      <c r="K198" s="920">
        <f t="shared" ref="K198:K205" si="6">+SUMIF($C$186:$C$210,J198,$H$186:$H$210)</f>
        <v>68692.97</v>
      </c>
      <c r="L198" s="856"/>
    </row>
    <row r="199" spans="1:16" ht="13" x14ac:dyDescent="0.25">
      <c r="A199" s="654">
        <v>14</v>
      </c>
      <c r="B199" s="830" t="s">
        <v>857</v>
      </c>
      <c r="C199" s="911">
        <v>6</v>
      </c>
      <c r="D199" s="912">
        <v>58000</v>
      </c>
      <c r="E199" s="912">
        <f t="shared" si="4"/>
        <v>58000</v>
      </c>
      <c r="F199" s="912">
        <f t="shared" si="4"/>
        <v>58000</v>
      </c>
      <c r="G199" s="913">
        <f t="shared" si="2"/>
        <v>1</v>
      </c>
      <c r="H199" s="914">
        <f t="shared" si="3"/>
        <v>58000</v>
      </c>
      <c r="I199" s="915" t="s">
        <v>122</v>
      </c>
      <c r="J199" s="926">
        <v>3</v>
      </c>
      <c r="K199" s="920">
        <f t="shared" si="6"/>
        <v>0</v>
      </c>
      <c r="L199" s="856"/>
      <c r="O199" s="856"/>
      <c r="P199" s="856"/>
    </row>
    <row r="200" spans="1:16" ht="13" x14ac:dyDescent="0.25">
      <c r="A200" s="654">
        <v>15</v>
      </c>
      <c r="B200" s="830" t="s">
        <v>858</v>
      </c>
      <c r="C200" s="911">
        <v>6</v>
      </c>
      <c r="D200" s="912">
        <v>26897.63</v>
      </c>
      <c r="E200" s="912">
        <f t="shared" si="4"/>
        <v>26897.63</v>
      </c>
      <c r="F200" s="912">
        <f t="shared" si="4"/>
        <v>26897.63</v>
      </c>
      <c r="G200" s="913">
        <f t="shared" si="2"/>
        <v>1</v>
      </c>
      <c r="H200" s="914">
        <f t="shared" si="3"/>
        <v>26897.63</v>
      </c>
      <c r="I200" s="915" t="s">
        <v>122</v>
      </c>
      <c r="J200" s="926">
        <v>4</v>
      </c>
      <c r="K200" s="920">
        <f t="shared" si="6"/>
        <v>0</v>
      </c>
      <c r="L200" s="856"/>
      <c r="O200" s="856"/>
      <c r="P200" s="856"/>
    </row>
    <row r="201" spans="1:16" ht="13" x14ac:dyDescent="0.25">
      <c r="A201" s="654">
        <v>16</v>
      </c>
      <c r="B201" s="830"/>
      <c r="C201" s="911"/>
      <c r="D201" s="912"/>
      <c r="E201" s="912">
        <f t="shared" si="4"/>
        <v>0</v>
      </c>
      <c r="F201" s="912">
        <f t="shared" si="4"/>
        <v>0</v>
      </c>
      <c r="G201" s="913" t="str">
        <f t="shared" si="2"/>
        <v xml:space="preserve"> </v>
      </c>
      <c r="H201" s="914" t="str">
        <f t="shared" si="3"/>
        <v xml:space="preserve"> </v>
      </c>
      <c r="I201" s="915" t="s">
        <v>122</v>
      </c>
      <c r="J201" s="926"/>
      <c r="K201" s="920"/>
      <c r="L201" s="856"/>
      <c r="O201" s="856"/>
      <c r="P201" s="856"/>
    </row>
    <row r="202" spans="1:16" ht="13" x14ac:dyDescent="0.25">
      <c r="A202" s="654">
        <v>17</v>
      </c>
      <c r="B202" s="830"/>
      <c r="C202" s="911"/>
      <c r="D202" s="912"/>
      <c r="E202" s="912">
        <f t="shared" ref="E202:E203" si="7">+D202</f>
        <v>0</v>
      </c>
      <c r="F202" s="912">
        <f t="shared" ref="F202:F203" si="8">+E202</f>
        <v>0</v>
      </c>
      <c r="G202" s="913" t="str">
        <f t="shared" si="2"/>
        <v xml:space="preserve"> </v>
      </c>
      <c r="H202" s="914" t="str">
        <f t="shared" ref="H202:H210" si="9">IF(G202=" "," ",G202*F202)</f>
        <v xml:space="preserve"> </v>
      </c>
      <c r="I202" s="915"/>
      <c r="J202" s="926">
        <v>6</v>
      </c>
      <c r="K202" s="920">
        <f t="shared" si="6"/>
        <v>354196.31</v>
      </c>
      <c r="L202" s="856"/>
    </row>
    <row r="203" spans="1:16" ht="13" x14ac:dyDescent="0.25">
      <c r="A203" s="654">
        <v>18</v>
      </c>
      <c r="B203" s="830"/>
      <c r="C203" s="911"/>
      <c r="D203" s="912"/>
      <c r="E203" s="912">
        <f t="shared" si="7"/>
        <v>0</v>
      </c>
      <c r="F203" s="912">
        <f t="shared" si="8"/>
        <v>0</v>
      </c>
      <c r="G203" s="913" t="str">
        <f t="shared" si="2"/>
        <v xml:space="preserve"> </v>
      </c>
      <c r="H203" s="914" t="str">
        <f t="shared" si="9"/>
        <v xml:space="preserve"> </v>
      </c>
      <c r="I203" s="829"/>
      <c r="J203" s="926">
        <v>7</v>
      </c>
      <c r="K203" s="920">
        <f t="shared" si="6"/>
        <v>0</v>
      </c>
      <c r="L203" s="856"/>
    </row>
    <row r="204" spans="1:16" ht="13" x14ac:dyDescent="0.25">
      <c r="A204" s="654">
        <v>19</v>
      </c>
      <c r="B204" s="830"/>
      <c r="C204" s="911"/>
      <c r="D204" s="912"/>
      <c r="E204" s="912">
        <f t="shared" ref="E204" si="10">+D204</f>
        <v>0</v>
      </c>
      <c r="F204" s="912">
        <f t="shared" ref="F204" si="11">+E204</f>
        <v>0</v>
      </c>
      <c r="G204" s="913" t="str">
        <f t="shared" si="2"/>
        <v xml:space="preserve"> </v>
      </c>
      <c r="H204" s="914" t="str">
        <f t="shared" si="9"/>
        <v xml:space="preserve"> </v>
      </c>
      <c r="I204" s="829"/>
      <c r="J204" s="926">
        <v>8</v>
      </c>
      <c r="K204" s="920">
        <f t="shared" si="6"/>
        <v>0</v>
      </c>
      <c r="L204" s="856"/>
    </row>
    <row r="205" spans="1:16" ht="13.5" thickBot="1" x14ac:dyDescent="0.3">
      <c r="A205" s="654">
        <v>20</v>
      </c>
      <c r="B205" s="830"/>
      <c r="C205" s="911"/>
      <c r="D205" s="912"/>
      <c r="E205" s="912"/>
      <c r="F205" s="912"/>
      <c r="G205" s="913" t="str">
        <f t="shared" si="2"/>
        <v xml:space="preserve"> </v>
      </c>
      <c r="H205" s="914" t="str">
        <f t="shared" si="9"/>
        <v xml:space="preserve"> </v>
      </c>
      <c r="I205" s="829"/>
      <c r="J205" s="927">
        <v>9</v>
      </c>
      <c r="K205" s="928">
        <f t="shared" si="6"/>
        <v>0</v>
      </c>
      <c r="L205" s="856"/>
    </row>
    <row r="206" spans="1:16" ht="13.5" thickBot="1" x14ac:dyDescent="0.3">
      <c r="A206" s="654">
        <v>21</v>
      </c>
      <c r="B206" s="830"/>
      <c r="C206" s="911"/>
      <c r="D206" s="912"/>
      <c r="E206" s="912"/>
      <c r="F206" s="912"/>
      <c r="G206" s="913" t="str">
        <f t="shared" si="2"/>
        <v xml:space="preserve"> </v>
      </c>
      <c r="H206" s="914" t="str">
        <f t="shared" si="9"/>
        <v xml:space="preserve"> </v>
      </c>
      <c r="I206" s="830"/>
      <c r="J206" s="916" t="s">
        <v>124</v>
      </c>
      <c r="K206" s="921">
        <f>SUM(K197:K205)</f>
        <v>422889.28</v>
      </c>
      <c r="L206" s="922"/>
    </row>
    <row r="207" spans="1:16" ht="13.5" customHeight="1" x14ac:dyDescent="0.25">
      <c r="A207" s="654">
        <v>22</v>
      </c>
      <c r="B207" s="830"/>
      <c r="C207" s="911"/>
      <c r="D207" s="912"/>
      <c r="E207" s="912"/>
      <c r="F207" s="912"/>
      <c r="G207" s="913" t="str">
        <f t="shared" si="2"/>
        <v xml:space="preserve"> </v>
      </c>
      <c r="H207" s="914" t="str">
        <f t="shared" si="9"/>
        <v xml:space="preserve"> </v>
      </c>
      <c r="I207" s="830"/>
    </row>
    <row r="208" spans="1:16" ht="13.5" customHeight="1" x14ac:dyDescent="0.25">
      <c r="A208" s="654">
        <v>23</v>
      </c>
      <c r="B208" s="830"/>
      <c r="C208" s="911"/>
      <c r="D208" s="912"/>
      <c r="E208" s="912"/>
      <c r="F208" s="912"/>
      <c r="G208" s="913" t="str">
        <f t="shared" si="2"/>
        <v xml:space="preserve"> </v>
      </c>
      <c r="H208" s="914" t="str">
        <f t="shared" si="9"/>
        <v xml:space="preserve"> </v>
      </c>
      <c r="I208" s="830"/>
      <c r="L208" s="801"/>
      <c r="N208" s="802"/>
      <c r="O208" s="826"/>
      <c r="P208" s="826"/>
    </row>
    <row r="209" spans="1:16" ht="13.5" customHeight="1" x14ac:dyDescent="0.25">
      <c r="A209" s="654">
        <v>24</v>
      </c>
      <c r="B209" s="830"/>
      <c r="C209" s="911"/>
      <c r="D209" s="912"/>
      <c r="E209" s="912"/>
      <c r="F209" s="912"/>
      <c r="G209" s="913" t="str">
        <f t="shared" si="2"/>
        <v xml:space="preserve"> </v>
      </c>
      <c r="H209" s="914" t="str">
        <f t="shared" si="9"/>
        <v xml:space="preserve"> </v>
      </c>
      <c r="I209" s="830"/>
      <c r="L209" s="801"/>
      <c r="N209" s="802"/>
      <c r="O209" s="826"/>
      <c r="P209" s="826"/>
    </row>
    <row r="210" spans="1:16" ht="13.5" customHeight="1" x14ac:dyDescent="0.25">
      <c r="A210" s="654">
        <v>25</v>
      </c>
      <c r="B210" s="915"/>
      <c r="C210" s="911"/>
      <c r="D210" s="912"/>
      <c r="E210" s="912"/>
      <c r="F210" s="912"/>
      <c r="G210" s="913" t="str">
        <f t="shared" si="2"/>
        <v xml:space="preserve"> </v>
      </c>
      <c r="H210" s="914" t="str">
        <f t="shared" si="9"/>
        <v xml:space="preserve"> </v>
      </c>
      <c r="I210" s="830"/>
      <c r="L210" s="801"/>
      <c r="N210" s="802"/>
      <c r="O210" s="826"/>
      <c r="P210" s="826"/>
    </row>
    <row r="211" spans="1:16" ht="13.5" customHeight="1" x14ac:dyDescent="0.25">
      <c r="B211" s="929" t="s">
        <v>74</v>
      </c>
      <c r="C211" s="930"/>
      <c r="D211" s="906">
        <f>SUM(D186:D210)</f>
        <v>422889.28</v>
      </c>
      <c r="E211" s="906">
        <f>SUM(E186:E210)</f>
        <v>422889.28</v>
      </c>
      <c r="F211" s="906">
        <f>SUM(F186:F210)</f>
        <v>422889.28</v>
      </c>
      <c r="G211" s="913"/>
      <c r="H211" s="906">
        <f>SUM(H186:H210)</f>
        <v>422889.28</v>
      </c>
      <c r="I211" s="801"/>
      <c r="L211" s="801"/>
      <c r="N211" s="802"/>
      <c r="O211" s="826"/>
      <c r="P211" s="826"/>
    </row>
    <row r="212" spans="1:16" ht="14.25" customHeight="1" x14ac:dyDescent="0.25">
      <c r="B212" s="801"/>
      <c r="C212" s="801"/>
      <c r="D212" s="801"/>
      <c r="E212" s="801"/>
      <c r="F212" s="801"/>
      <c r="K212" s="801"/>
      <c r="L212" s="801"/>
    </row>
    <row r="213" spans="1:16" ht="14.25" customHeight="1" x14ac:dyDescent="0.25">
      <c r="B213" s="801"/>
      <c r="C213" s="801"/>
      <c r="D213" s="826"/>
      <c r="G213" s="801"/>
      <c r="H213" s="801"/>
    </row>
    <row r="214" spans="1:16" ht="14.25" customHeight="1" x14ac:dyDescent="0.25">
      <c r="B214" s="908">
        <f>+E82</f>
        <v>2025</v>
      </c>
      <c r="C214" s="931"/>
      <c r="D214" s="910"/>
      <c r="E214" s="801"/>
      <c r="F214" s="801"/>
      <c r="G214" s="801"/>
    </row>
    <row r="215" spans="1:16" ht="30" customHeight="1" thickBot="1" x14ac:dyDescent="0.3">
      <c r="B215" s="909" t="s">
        <v>110</v>
      </c>
      <c r="C215" s="910" t="s">
        <v>111</v>
      </c>
      <c r="D215" s="910" t="s">
        <v>666</v>
      </c>
      <c r="E215" s="910" t="s">
        <v>117</v>
      </c>
    </row>
    <row r="216" spans="1:16" ht="14.25" customHeight="1" thickBot="1" x14ac:dyDescent="0.3">
      <c r="B216" s="830" t="s">
        <v>756</v>
      </c>
      <c r="C216" s="911">
        <v>2</v>
      </c>
      <c r="D216" s="912">
        <v>400</v>
      </c>
      <c r="E216" s="830" t="s">
        <v>121</v>
      </c>
      <c r="F216" s="916" t="s">
        <v>118</v>
      </c>
      <c r="G216" s="917">
        <f>+E88</f>
        <v>2025</v>
      </c>
      <c r="H216" s="918"/>
      <c r="J216" s="797"/>
      <c r="K216" s="794"/>
      <c r="L216" s="723"/>
    </row>
    <row r="217" spans="1:16" ht="14.25" customHeight="1" x14ac:dyDescent="0.25">
      <c r="B217" s="830" t="s">
        <v>757</v>
      </c>
      <c r="C217" s="911">
        <v>2</v>
      </c>
      <c r="D217" s="912">
        <v>9997</v>
      </c>
      <c r="E217" s="830" t="s">
        <v>121</v>
      </c>
      <c r="F217" s="919" t="s">
        <v>119</v>
      </c>
      <c r="G217" s="920">
        <f>SUMIF($E$216:$E$240,F217,$D$216:$D$240)</f>
        <v>0</v>
      </c>
      <c r="H217" s="856"/>
      <c r="J217" s="797"/>
      <c r="K217" s="794"/>
      <c r="L217" s="1022"/>
    </row>
    <row r="218" spans="1:16" ht="14.25" customHeight="1" x14ac:dyDescent="0.25">
      <c r="B218" s="830" t="s">
        <v>758</v>
      </c>
      <c r="C218" s="911">
        <v>2</v>
      </c>
      <c r="D218" s="912">
        <v>3000</v>
      </c>
      <c r="E218" s="830" t="s">
        <v>121</v>
      </c>
      <c r="F218" s="919" t="s">
        <v>120</v>
      </c>
      <c r="G218" s="920">
        <f>SUMIF($E$216:$E$240,F218,$D$216:$D$240)</f>
        <v>0</v>
      </c>
      <c r="H218" s="856"/>
      <c r="J218" s="797"/>
      <c r="K218" s="794"/>
      <c r="L218" s="1027"/>
    </row>
    <row r="219" spans="1:16" ht="14.25" customHeight="1" x14ac:dyDescent="0.25">
      <c r="B219" s="830" t="s">
        <v>759</v>
      </c>
      <c r="C219" s="911">
        <v>2</v>
      </c>
      <c r="D219" s="912">
        <v>1200</v>
      </c>
      <c r="E219" s="830" t="s">
        <v>121</v>
      </c>
      <c r="F219" s="919" t="s">
        <v>121</v>
      </c>
      <c r="G219" s="920">
        <f>SUMIF($E$216:$E$240,F219,$D$216:$D$240)</f>
        <v>44597</v>
      </c>
      <c r="H219" s="856"/>
      <c r="J219" s="797"/>
      <c r="K219" s="795"/>
      <c r="L219" s="1026"/>
    </row>
    <row r="220" spans="1:16" ht="14.25" customHeight="1" x14ac:dyDescent="0.25">
      <c r="B220" s="830" t="s">
        <v>760</v>
      </c>
      <c r="C220" s="911">
        <v>2</v>
      </c>
      <c r="D220" s="912">
        <v>23936</v>
      </c>
      <c r="E220" s="830" t="s">
        <v>122</v>
      </c>
      <c r="F220" s="919" t="s">
        <v>122</v>
      </c>
      <c r="G220" s="920">
        <f>SUMIF($E$216:$E$240,F220,$D$216:$D$240)</f>
        <v>170778</v>
      </c>
      <c r="H220" s="856"/>
      <c r="J220" s="797"/>
      <c r="K220" s="794"/>
      <c r="L220" s="1022"/>
    </row>
    <row r="221" spans="1:16" ht="14.25" customHeight="1" thickBot="1" x14ac:dyDescent="0.3">
      <c r="B221" s="830" t="s">
        <v>761</v>
      </c>
      <c r="C221" s="911">
        <v>2</v>
      </c>
      <c r="D221" s="912">
        <v>20512</v>
      </c>
      <c r="E221" s="830" t="s">
        <v>122</v>
      </c>
      <c r="F221" s="919" t="s">
        <v>123</v>
      </c>
      <c r="G221" s="920">
        <f>SUMIF($E$216:$E$240,F221,$D$216:$D$240)</f>
        <v>600</v>
      </c>
      <c r="H221" s="856"/>
      <c r="J221" s="797"/>
      <c r="K221" s="794"/>
      <c r="L221" s="1022"/>
    </row>
    <row r="222" spans="1:16" ht="14.25" customHeight="1" thickBot="1" x14ac:dyDescent="0.3">
      <c r="B222" s="830" t="s">
        <v>762</v>
      </c>
      <c r="C222" s="911">
        <v>2</v>
      </c>
      <c r="D222" s="912">
        <v>5000</v>
      </c>
      <c r="E222" s="830" t="s">
        <v>122</v>
      </c>
      <c r="F222" s="916" t="s">
        <v>124</v>
      </c>
      <c r="G222" s="921">
        <f>+G217+G218+G219+G220+G221</f>
        <v>215975</v>
      </c>
      <c r="H222" s="922"/>
      <c r="J222" s="797"/>
      <c r="K222" s="1017"/>
      <c r="L222" s="1022"/>
    </row>
    <row r="223" spans="1:16" ht="14.25" customHeight="1" x14ac:dyDescent="0.25">
      <c r="B223" s="830" t="s">
        <v>763</v>
      </c>
      <c r="C223" s="911">
        <v>2</v>
      </c>
      <c r="D223" s="912">
        <v>600</v>
      </c>
      <c r="E223" s="830" t="s">
        <v>123</v>
      </c>
      <c r="J223" s="797"/>
      <c r="K223" s="794"/>
      <c r="L223" s="1022"/>
    </row>
    <row r="224" spans="1:16" ht="14.25" customHeight="1" x14ac:dyDescent="0.25">
      <c r="B224" s="830" t="s">
        <v>848</v>
      </c>
      <c r="C224" s="911">
        <v>6</v>
      </c>
      <c r="D224" s="829">
        <v>30000</v>
      </c>
      <c r="E224" s="830" t="s">
        <v>121</v>
      </c>
      <c r="J224" s="797"/>
      <c r="K224" s="724"/>
      <c r="L224" s="1022"/>
    </row>
    <row r="225" spans="2:12" ht="14.25" customHeight="1" thickBot="1" x14ac:dyDescent="0.3">
      <c r="B225" s="830" t="s">
        <v>768</v>
      </c>
      <c r="C225" s="911">
        <v>6</v>
      </c>
      <c r="D225" s="912">
        <v>72290</v>
      </c>
      <c r="E225" s="830" t="s">
        <v>122</v>
      </c>
      <c r="J225" s="797"/>
      <c r="K225" s="724"/>
      <c r="L225" s="723"/>
    </row>
    <row r="226" spans="2:12" ht="14.25" customHeight="1" thickBot="1" x14ac:dyDescent="0.3">
      <c r="B226" s="830" t="s">
        <v>769</v>
      </c>
      <c r="C226" s="911">
        <v>6</v>
      </c>
      <c r="D226" s="912">
        <v>22142</v>
      </c>
      <c r="E226" s="830" t="s">
        <v>122</v>
      </c>
      <c r="F226" s="916" t="s">
        <v>125</v>
      </c>
      <c r="G226" s="917">
        <f>+G216</f>
        <v>2025</v>
      </c>
      <c r="H226" s="918"/>
    </row>
    <row r="227" spans="2:12" ht="14.25" customHeight="1" x14ac:dyDescent="0.25">
      <c r="B227" s="830" t="s">
        <v>770</v>
      </c>
      <c r="C227" s="911">
        <v>6</v>
      </c>
      <c r="D227" s="829">
        <v>26898</v>
      </c>
      <c r="E227" s="830" t="s">
        <v>122</v>
      </c>
      <c r="F227" s="932">
        <v>1</v>
      </c>
      <c r="G227" s="925">
        <f>+SUMIF($C$216:$C$240,F227,$D$216:$D$240)</f>
        <v>0</v>
      </c>
      <c r="H227" s="856"/>
      <c r="J227" s="797"/>
      <c r="K227" s="794"/>
      <c r="L227" s="1027"/>
    </row>
    <row r="228" spans="2:12" ht="14.25" customHeight="1" x14ac:dyDescent="0.25">
      <c r="B228" s="830"/>
      <c r="C228" s="911"/>
      <c r="D228" s="829"/>
      <c r="E228" s="830"/>
      <c r="F228" s="933">
        <v>2</v>
      </c>
      <c r="G228" s="920">
        <f t="shared" ref="G228:G235" si="12">+SUMIF($C$216:$C$240,F228,$D$216:$D$240)</f>
        <v>64645</v>
      </c>
      <c r="H228" s="856"/>
    </row>
    <row r="229" spans="2:12" ht="14.25" customHeight="1" x14ac:dyDescent="0.25">
      <c r="B229" s="830"/>
      <c r="C229" s="911"/>
      <c r="D229" s="829"/>
      <c r="E229" s="830"/>
      <c r="F229" s="933">
        <v>3</v>
      </c>
      <c r="G229" s="920">
        <f t="shared" si="12"/>
        <v>0</v>
      </c>
      <c r="H229" s="856"/>
      <c r="K229" s="801"/>
      <c r="L229" s="801"/>
    </row>
    <row r="230" spans="2:12" ht="14.25" customHeight="1" x14ac:dyDescent="0.25">
      <c r="B230" s="830"/>
      <c r="C230" s="911"/>
      <c r="D230" s="829"/>
      <c r="E230" s="830"/>
      <c r="F230" s="933">
        <v>4</v>
      </c>
      <c r="G230" s="920">
        <f t="shared" si="12"/>
        <v>0</v>
      </c>
      <c r="H230" s="856"/>
    </row>
    <row r="231" spans="2:12" ht="14.25" customHeight="1" x14ac:dyDescent="0.25">
      <c r="B231" s="830"/>
      <c r="C231" s="911"/>
      <c r="D231" s="829"/>
      <c r="E231" s="830"/>
      <c r="F231" s="933">
        <v>5</v>
      </c>
      <c r="G231" s="920">
        <f>+SUMIF($C$216:$C$240,F231,$D$216:$D$240)</f>
        <v>0</v>
      </c>
      <c r="H231" s="856"/>
    </row>
    <row r="232" spans="2:12" ht="14.25" customHeight="1" x14ac:dyDescent="0.25">
      <c r="B232" s="830"/>
      <c r="C232" s="911"/>
      <c r="D232" s="829"/>
      <c r="E232" s="830"/>
      <c r="F232" s="933">
        <v>6</v>
      </c>
      <c r="G232" s="920">
        <f t="shared" si="12"/>
        <v>151330</v>
      </c>
      <c r="H232" s="856"/>
    </row>
    <row r="233" spans="2:12" ht="14.25" customHeight="1" x14ac:dyDescent="0.25">
      <c r="B233" s="830"/>
      <c r="C233" s="911"/>
      <c r="D233" s="829"/>
      <c r="E233" s="830"/>
      <c r="F233" s="933">
        <v>7</v>
      </c>
      <c r="G233" s="920">
        <f t="shared" si="12"/>
        <v>0</v>
      </c>
      <c r="H233" s="856"/>
    </row>
    <row r="234" spans="2:12" ht="14.25" customHeight="1" x14ac:dyDescent="0.25">
      <c r="B234" s="830"/>
      <c r="C234" s="911"/>
      <c r="D234" s="829"/>
      <c r="E234" s="830"/>
      <c r="F234" s="933">
        <v>8</v>
      </c>
      <c r="G234" s="920">
        <f t="shared" si="12"/>
        <v>0</v>
      </c>
      <c r="H234" s="856"/>
    </row>
    <row r="235" spans="2:12" ht="14.25" customHeight="1" thickBot="1" x14ac:dyDescent="0.3">
      <c r="B235" s="830"/>
      <c r="C235" s="911"/>
      <c r="D235" s="829"/>
      <c r="E235" s="830"/>
      <c r="F235" s="934">
        <v>9</v>
      </c>
      <c r="G235" s="928">
        <f t="shared" si="12"/>
        <v>0</v>
      </c>
      <c r="H235" s="856"/>
    </row>
    <row r="236" spans="2:12" ht="14.25" customHeight="1" thickBot="1" x14ac:dyDescent="0.3">
      <c r="B236" s="830"/>
      <c r="C236" s="911"/>
      <c r="D236" s="829"/>
      <c r="E236" s="830"/>
      <c r="F236" s="916" t="s">
        <v>124</v>
      </c>
      <c r="G236" s="935">
        <f>SUM(G227:G235)</f>
        <v>215975</v>
      </c>
      <c r="H236" s="922"/>
      <c r="K236" s="801"/>
      <c r="L236" s="801"/>
    </row>
    <row r="237" spans="2:12" ht="14.25" customHeight="1" x14ac:dyDescent="0.25">
      <c r="B237" s="830"/>
      <c r="C237" s="911"/>
      <c r="D237" s="829"/>
      <c r="E237" s="830"/>
      <c r="H237" s="801"/>
    </row>
    <row r="238" spans="2:12" ht="14.25" customHeight="1" x14ac:dyDescent="0.25">
      <c r="B238" s="830"/>
      <c r="C238" s="911"/>
      <c r="D238" s="829"/>
      <c r="E238" s="830"/>
      <c r="H238" s="801"/>
    </row>
    <row r="239" spans="2:12" ht="14.25" customHeight="1" x14ac:dyDescent="0.25">
      <c r="B239" s="830"/>
      <c r="C239" s="911"/>
      <c r="D239" s="829"/>
      <c r="E239" s="830"/>
      <c r="H239" s="801"/>
    </row>
    <row r="240" spans="2:12" ht="14.25" customHeight="1" x14ac:dyDescent="0.25">
      <c r="B240" s="915"/>
      <c r="C240" s="911"/>
      <c r="D240" s="829"/>
      <c r="E240" s="830"/>
      <c r="H240" s="801"/>
    </row>
    <row r="241" spans="2:12" ht="14.25" customHeight="1" x14ac:dyDescent="0.35">
      <c r="B241" s="929" t="s">
        <v>74</v>
      </c>
      <c r="C241" s="930"/>
      <c r="D241" s="936">
        <f>SUM(D216:D240)</f>
        <v>215975</v>
      </c>
      <c r="E241" s="801"/>
      <c r="G241" s="937"/>
      <c r="H241" s="801"/>
    </row>
    <row r="242" spans="2:12" ht="14.25" customHeight="1" x14ac:dyDescent="0.25">
      <c r="B242" s="801"/>
      <c r="C242" s="801"/>
      <c r="D242" s="801"/>
      <c r="I242" s="801"/>
    </row>
    <row r="243" spans="2:12" ht="14.25" customHeight="1" x14ac:dyDescent="0.25">
      <c r="B243" s="801"/>
      <c r="C243" s="801"/>
      <c r="D243" s="801"/>
      <c r="E243" s="801"/>
      <c r="F243" s="801"/>
    </row>
    <row r="244" spans="2:12" ht="14.25" customHeight="1" x14ac:dyDescent="0.25">
      <c r="B244" s="801"/>
      <c r="C244" s="801"/>
      <c r="D244" s="801"/>
      <c r="E244" s="801"/>
      <c r="F244" s="801"/>
    </row>
    <row r="245" spans="2:12" ht="13" x14ac:dyDescent="0.25">
      <c r="B245" s="807" t="s">
        <v>51</v>
      </c>
      <c r="C245" s="801"/>
      <c r="D245" s="801"/>
      <c r="E245" s="801"/>
      <c r="F245" s="801"/>
      <c r="G245" s="801"/>
      <c r="H245" s="801"/>
      <c r="I245" s="801"/>
      <c r="J245" s="801"/>
      <c r="K245" s="801"/>
      <c r="L245" s="801"/>
    </row>
    <row r="246" spans="2:12" ht="13" thickBot="1" x14ac:dyDescent="0.3">
      <c r="B246" s="801"/>
      <c r="C246" s="801"/>
      <c r="D246" s="801"/>
      <c r="E246" s="801"/>
      <c r="F246" s="801"/>
      <c r="G246" s="801"/>
      <c r="H246" s="801"/>
      <c r="I246" s="801"/>
      <c r="J246" s="801"/>
      <c r="K246" s="801"/>
      <c r="L246" s="801"/>
    </row>
    <row r="247" spans="2:12" ht="13" x14ac:dyDescent="0.25">
      <c r="B247" s="898" t="s">
        <v>126</v>
      </c>
      <c r="C247" s="938" t="s">
        <v>127</v>
      </c>
      <c r="D247" s="939">
        <f>+K186</f>
        <v>2024</v>
      </c>
      <c r="E247" s="940">
        <f>+G226</f>
        <v>2025</v>
      </c>
      <c r="F247" s="801"/>
      <c r="H247" s="809"/>
      <c r="I247" s="809"/>
      <c r="J247" s="809"/>
      <c r="K247" s="801"/>
      <c r="L247" s="801"/>
    </row>
    <row r="248" spans="2:12" ht="13" x14ac:dyDescent="0.25">
      <c r="B248" s="830" t="s">
        <v>50</v>
      </c>
      <c r="C248" s="941">
        <v>3</v>
      </c>
      <c r="D248" s="829"/>
      <c r="E248" s="942"/>
      <c r="F248" s="801"/>
      <c r="G248" s="809"/>
      <c r="H248" s="809"/>
      <c r="I248" s="809"/>
      <c r="J248" s="809"/>
      <c r="K248" s="801"/>
      <c r="L248" s="801"/>
    </row>
    <row r="249" spans="2:12" ht="13" x14ac:dyDescent="0.25">
      <c r="B249" s="830" t="s">
        <v>128</v>
      </c>
      <c r="C249" s="941">
        <v>3</v>
      </c>
      <c r="D249" s="829">
        <v>8356.24</v>
      </c>
      <c r="E249" s="829">
        <f>+DESPESES!E64</f>
        <v>10000</v>
      </c>
      <c r="F249" s="801"/>
      <c r="H249" s="808"/>
      <c r="I249" s="808"/>
      <c r="J249" s="808"/>
      <c r="K249" s="801"/>
      <c r="L249" s="801"/>
    </row>
    <row r="250" spans="2:12" ht="13" x14ac:dyDescent="0.25">
      <c r="B250" s="830" t="s">
        <v>129</v>
      </c>
      <c r="C250" s="941">
        <v>3</v>
      </c>
      <c r="D250" s="829">
        <v>0</v>
      </c>
      <c r="E250" s="829">
        <v>0</v>
      </c>
      <c r="F250" s="801"/>
      <c r="G250" s="809"/>
      <c r="H250" s="856"/>
      <c r="I250" s="943"/>
      <c r="J250" s="943"/>
      <c r="K250" s="801"/>
      <c r="L250" s="801"/>
    </row>
    <row r="251" spans="2:12" ht="13" x14ac:dyDescent="0.25">
      <c r="B251" s="830" t="s">
        <v>130</v>
      </c>
      <c r="C251" s="941">
        <v>3</v>
      </c>
      <c r="D251" s="829"/>
      <c r="E251" s="942"/>
      <c r="F251" s="801"/>
      <c r="H251" s="856"/>
      <c r="I251" s="943"/>
      <c r="J251" s="943"/>
      <c r="K251" s="801"/>
      <c r="L251" s="801"/>
    </row>
    <row r="252" spans="2:12" ht="13" x14ac:dyDescent="0.25">
      <c r="B252" s="830" t="s">
        <v>131</v>
      </c>
      <c r="C252" s="941">
        <v>3</v>
      </c>
      <c r="D252" s="829"/>
      <c r="E252" s="942"/>
      <c r="F252" s="801"/>
      <c r="K252" s="801"/>
      <c r="L252" s="801"/>
    </row>
    <row r="253" spans="2:12" ht="13" x14ac:dyDescent="0.25">
      <c r="B253" s="944" t="s">
        <v>74</v>
      </c>
      <c r="C253" s="945"/>
      <c r="D253" s="946">
        <f>SUM(D248:D252)</f>
        <v>8356.24</v>
      </c>
      <c r="E253" s="906">
        <f>SUM(E248:E252)</f>
        <v>10000</v>
      </c>
      <c r="F253" s="801"/>
      <c r="H253" s="947"/>
      <c r="I253" s="947"/>
      <c r="J253" s="947"/>
      <c r="K253" s="801"/>
      <c r="L253" s="801"/>
    </row>
    <row r="254" spans="2:12" x14ac:dyDescent="0.25">
      <c r="B254" s="948" t="s">
        <v>132</v>
      </c>
      <c r="C254" s="949"/>
      <c r="D254" s="829"/>
      <c r="E254" s="829"/>
      <c r="F254" s="801"/>
      <c r="H254" s="947"/>
      <c r="I254" s="947"/>
      <c r="J254" s="947"/>
      <c r="K254" s="801"/>
      <c r="L254" s="801"/>
    </row>
    <row r="255" spans="2:12" x14ac:dyDescent="0.25">
      <c r="B255" s="801"/>
      <c r="C255" s="801"/>
      <c r="D255" s="950"/>
      <c r="E255" s="950"/>
      <c r="F255" s="801"/>
      <c r="G255" s="801"/>
      <c r="H255" s="801"/>
      <c r="I255" s="801"/>
      <c r="J255" s="801"/>
      <c r="K255" s="801"/>
      <c r="L255" s="801"/>
    </row>
    <row r="256" spans="2:12" ht="13" x14ac:dyDescent="0.25">
      <c r="B256" s="807" t="s">
        <v>133</v>
      </c>
      <c r="C256" s="827"/>
      <c r="D256" s="951"/>
      <c r="E256" s="950"/>
      <c r="F256" s="801"/>
      <c r="G256" s="801"/>
      <c r="H256" s="801"/>
      <c r="I256" s="801"/>
      <c r="J256" s="801"/>
      <c r="K256" s="801"/>
      <c r="L256" s="801"/>
    </row>
    <row r="257" spans="2:12" x14ac:dyDescent="0.25">
      <c r="B257" s="801"/>
      <c r="C257" s="801"/>
      <c r="D257" s="950"/>
      <c r="E257" s="950"/>
      <c r="F257" s="801"/>
      <c r="G257" s="801"/>
      <c r="H257" s="801"/>
      <c r="I257" s="801"/>
      <c r="J257" s="801"/>
      <c r="K257" s="801"/>
      <c r="L257" s="801"/>
    </row>
    <row r="258" spans="2:12" x14ac:dyDescent="0.25">
      <c r="B258" s="801"/>
      <c r="C258" s="801"/>
      <c r="D258" s="950"/>
      <c r="E258" s="950"/>
      <c r="F258" s="801"/>
      <c r="G258" s="801"/>
      <c r="H258" s="801"/>
      <c r="I258" s="801"/>
      <c r="J258" s="801"/>
      <c r="K258" s="801"/>
      <c r="L258" s="801"/>
    </row>
    <row r="259" spans="2:12" ht="13" x14ac:dyDescent="0.25">
      <c r="B259" s="952" t="s">
        <v>134</v>
      </c>
      <c r="C259" s="953">
        <f>+D247</f>
        <v>2024</v>
      </c>
      <c r="D259" s="950"/>
      <c r="E259" s="950"/>
      <c r="F259" s="801"/>
      <c r="G259" s="801"/>
      <c r="H259" s="801"/>
      <c r="I259" s="801"/>
      <c r="J259" s="801"/>
      <c r="K259" s="801"/>
      <c r="L259" s="801"/>
    </row>
    <row r="260" spans="2:12" ht="13" thickBot="1" x14ac:dyDescent="0.3">
      <c r="B260" s="954">
        <v>6</v>
      </c>
      <c r="C260" s="955"/>
      <c r="D260" s="950"/>
      <c r="E260" s="950"/>
      <c r="F260" s="801"/>
      <c r="G260" s="801"/>
      <c r="H260" s="801"/>
      <c r="I260" s="801"/>
      <c r="J260" s="801"/>
      <c r="K260" s="801"/>
      <c r="L260" s="801"/>
    </row>
    <row r="261" spans="2:12" ht="13.5" customHeight="1" thickBot="1" x14ac:dyDescent="0.3">
      <c r="B261" s="956" t="s">
        <v>124</v>
      </c>
      <c r="C261" s="957">
        <f>SUM(C260:C260)</f>
        <v>0</v>
      </c>
      <c r="D261" s="950"/>
      <c r="E261" s="950"/>
      <c r="F261" s="801"/>
      <c r="G261" s="801"/>
      <c r="H261" s="801"/>
      <c r="I261" s="801"/>
      <c r="J261" s="801"/>
      <c r="K261" s="801"/>
      <c r="L261" s="801"/>
    </row>
    <row r="262" spans="2:12" ht="13.5" customHeight="1" x14ac:dyDescent="0.25">
      <c r="B262" s="801"/>
      <c r="C262" s="801"/>
      <c r="D262" s="950"/>
      <c r="E262" s="950"/>
      <c r="F262" s="801"/>
      <c r="G262" s="801"/>
      <c r="H262" s="801"/>
      <c r="I262" s="801"/>
      <c r="J262" s="801"/>
      <c r="K262" s="801"/>
      <c r="L262" s="801"/>
    </row>
    <row r="263" spans="2:12" ht="13" x14ac:dyDescent="0.25">
      <c r="B263" s="807" t="s">
        <v>52</v>
      </c>
      <c r="C263" s="801"/>
      <c r="D263" s="950"/>
      <c r="E263" s="950"/>
      <c r="F263" s="801"/>
      <c r="G263" s="801"/>
      <c r="H263" s="801"/>
      <c r="I263" s="801"/>
      <c r="J263" s="801"/>
      <c r="K263" s="801"/>
      <c r="L263" s="801"/>
    </row>
    <row r="264" spans="2:12" x14ac:dyDescent="0.25">
      <c r="B264" s="801"/>
      <c r="C264" s="801"/>
      <c r="D264" s="950"/>
      <c r="E264" s="950"/>
      <c r="F264" s="801"/>
      <c r="G264" s="801"/>
      <c r="H264" s="801"/>
      <c r="I264" s="801"/>
      <c r="J264" s="801"/>
      <c r="K264" s="801"/>
      <c r="L264" s="801"/>
    </row>
    <row r="265" spans="2:12" ht="13" x14ac:dyDescent="0.25">
      <c r="B265" s="958" t="s">
        <v>136</v>
      </c>
      <c r="C265" s="959">
        <f>+C259+1</f>
        <v>2025</v>
      </c>
      <c r="D265" s="801"/>
      <c r="E265" s="950"/>
      <c r="F265" s="801"/>
      <c r="G265" s="801"/>
      <c r="H265" s="801"/>
      <c r="I265" s="801"/>
      <c r="J265" s="801"/>
      <c r="K265" s="801"/>
      <c r="L265" s="801"/>
    </row>
    <row r="266" spans="2:12" x14ac:dyDescent="0.25">
      <c r="B266" s="960" t="s">
        <v>709</v>
      </c>
      <c r="C266" s="961">
        <v>0</v>
      </c>
      <c r="D266" s="801"/>
      <c r="E266" s="950"/>
      <c r="F266" s="801"/>
      <c r="G266" s="801"/>
      <c r="H266" s="801"/>
      <c r="I266" s="801"/>
      <c r="J266" s="801"/>
      <c r="K266" s="801"/>
      <c r="L266" s="801"/>
    </row>
    <row r="267" spans="2:12" x14ac:dyDescent="0.25">
      <c r="B267" s="962"/>
      <c r="C267" s="963">
        <v>0</v>
      </c>
      <c r="D267" s="801"/>
      <c r="E267" s="950"/>
      <c r="F267" s="826"/>
      <c r="G267" s="801"/>
      <c r="H267" s="801"/>
      <c r="I267" s="801"/>
      <c r="J267" s="801"/>
      <c r="K267" s="801"/>
      <c r="L267" s="801"/>
    </row>
    <row r="268" spans="2:12" x14ac:dyDescent="0.25">
      <c r="B268" s="962"/>
      <c r="C268" s="963">
        <v>0</v>
      </c>
      <c r="D268" s="801"/>
      <c r="E268" s="950"/>
      <c r="F268" s="964"/>
      <c r="G268" s="801"/>
      <c r="H268" s="801"/>
      <c r="I268" s="801"/>
      <c r="J268" s="801"/>
      <c r="K268" s="801"/>
      <c r="L268" s="801"/>
    </row>
    <row r="269" spans="2:12" x14ac:dyDescent="0.25">
      <c r="B269" s="962"/>
      <c r="C269" s="963">
        <v>0</v>
      </c>
      <c r="D269" s="801"/>
      <c r="E269" s="950"/>
      <c r="F269" s="801"/>
      <c r="G269" s="801"/>
      <c r="H269" s="801"/>
      <c r="I269" s="801"/>
      <c r="J269" s="801"/>
      <c r="K269" s="801"/>
      <c r="L269" s="801"/>
    </row>
    <row r="270" spans="2:12" x14ac:dyDescent="0.25">
      <c r="B270" s="965"/>
      <c r="C270" s="966">
        <v>0</v>
      </c>
      <c r="D270" s="801"/>
      <c r="E270" s="950"/>
      <c r="F270" s="801"/>
      <c r="G270" s="801"/>
      <c r="H270" s="801"/>
      <c r="I270" s="801"/>
      <c r="J270" s="801"/>
      <c r="K270" s="801"/>
      <c r="L270" s="801"/>
    </row>
    <row r="271" spans="2:12" ht="13" x14ac:dyDescent="0.25">
      <c r="B271" s="810" t="s">
        <v>74</v>
      </c>
      <c r="C271" s="967">
        <f>SUM(C266:C270)</f>
        <v>0</v>
      </c>
      <c r="D271" s="801"/>
      <c r="E271" s="950"/>
      <c r="F271" s="801"/>
      <c r="G271" s="801"/>
      <c r="H271" s="801"/>
      <c r="I271" s="801"/>
      <c r="J271" s="801"/>
      <c r="K271" s="801"/>
      <c r="L271" s="801"/>
    </row>
    <row r="272" spans="2:12" ht="12" customHeight="1" x14ac:dyDescent="0.25">
      <c r="B272" s="802"/>
      <c r="C272" s="801"/>
      <c r="D272" s="801"/>
      <c r="E272" s="801"/>
      <c r="F272" s="801"/>
      <c r="G272" s="801"/>
      <c r="H272" s="801"/>
      <c r="I272" s="801"/>
      <c r="J272" s="801"/>
      <c r="K272" s="801"/>
      <c r="L272" s="801"/>
    </row>
    <row r="273" spans="2:12" ht="13" x14ac:dyDescent="0.25">
      <c r="B273" s="807" t="s">
        <v>137</v>
      </c>
      <c r="C273" s="808"/>
      <c r="D273" s="968"/>
      <c r="E273" s="801"/>
      <c r="F273" s="801"/>
      <c r="G273" s="801"/>
      <c r="H273" s="801"/>
      <c r="I273" s="801"/>
      <c r="J273" s="801"/>
      <c r="K273" s="801"/>
      <c r="L273" s="801"/>
    </row>
    <row r="274" spans="2:12" ht="13" x14ac:dyDescent="0.25">
      <c r="B274" s="969"/>
      <c r="C274" s="970"/>
      <c r="D274" s="968"/>
      <c r="E274" s="801"/>
      <c r="F274" s="801"/>
      <c r="G274" s="801"/>
      <c r="H274" s="801"/>
      <c r="I274" s="801"/>
      <c r="J274" s="801"/>
      <c r="K274" s="801"/>
      <c r="L274" s="801"/>
    </row>
    <row r="275" spans="2:12" ht="13" x14ac:dyDescent="0.25">
      <c r="B275" s="802" t="s">
        <v>138</v>
      </c>
      <c r="C275" s="970"/>
      <c r="D275" s="968"/>
      <c r="E275" s="801"/>
      <c r="F275" s="801"/>
      <c r="G275" s="801"/>
      <c r="H275" s="801"/>
      <c r="I275" s="801"/>
      <c r="J275" s="801"/>
      <c r="K275" s="801"/>
      <c r="L275" s="801"/>
    </row>
    <row r="276" spans="2:12" x14ac:dyDescent="0.25">
      <c r="G276" s="730"/>
      <c r="I276" s="801"/>
      <c r="J276" s="801"/>
      <c r="K276" s="801"/>
      <c r="L276" s="801"/>
    </row>
    <row r="277" spans="2:12" ht="13" x14ac:dyDescent="0.25">
      <c r="C277" s="917">
        <f>+D247</f>
        <v>2024</v>
      </c>
      <c r="G277" s="730"/>
      <c r="I277" s="801"/>
      <c r="J277" s="801"/>
      <c r="K277" s="801"/>
      <c r="L277" s="801"/>
    </row>
    <row r="278" spans="2:12" ht="13" x14ac:dyDescent="0.25">
      <c r="B278" s="971" t="s">
        <v>139</v>
      </c>
      <c r="C278" s="972">
        <f>+C19-H211-D253+D254+C167</f>
        <v>601726.17999999993</v>
      </c>
      <c r="D278" s="973" t="s">
        <v>140</v>
      </c>
      <c r="E278" s="826"/>
      <c r="F278" s="801"/>
      <c r="G278" s="801"/>
      <c r="H278" s="801"/>
      <c r="I278" s="801"/>
      <c r="J278" s="801"/>
      <c r="K278" s="801"/>
      <c r="L278" s="801"/>
    </row>
    <row r="279" spans="2:12" ht="13" x14ac:dyDescent="0.25">
      <c r="B279" s="974" t="s">
        <v>65</v>
      </c>
      <c r="C279" s="975">
        <f>+C261</f>
        <v>0</v>
      </c>
      <c r="D279" s="801"/>
      <c r="E279" s="826"/>
      <c r="F279" s="801"/>
      <c r="G279" s="801"/>
      <c r="H279" s="801"/>
      <c r="I279" s="801"/>
      <c r="J279" s="801"/>
      <c r="K279" s="801"/>
      <c r="L279" s="801"/>
    </row>
    <row r="280" spans="2:12" ht="13" x14ac:dyDescent="0.25">
      <c r="B280" s="976" t="s">
        <v>142</v>
      </c>
      <c r="C280" s="977">
        <f>+(C278-C279)*C10</f>
        <v>621583.14393999986</v>
      </c>
      <c r="E280" s="856"/>
    </row>
    <row r="281" spans="2:12" ht="13" x14ac:dyDescent="0.25">
      <c r="B281" s="978" t="s">
        <v>143</v>
      </c>
      <c r="C281" s="979">
        <f>+C271</f>
        <v>0</v>
      </c>
      <c r="E281" s="856"/>
    </row>
    <row r="282" spans="2:12" ht="13" x14ac:dyDescent="0.25">
      <c r="B282" s="980" t="s">
        <v>144</v>
      </c>
      <c r="C282" s="981">
        <f>+C280+C281</f>
        <v>621583.14393999986</v>
      </c>
      <c r="E282" s="856"/>
    </row>
    <row r="283" spans="2:12" ht="13" x14ac:dyDescent="0.25">
      <c r="B283" s="809"/>
      <c r="C283" s="982"/>
      <c r="E283" s="856"/>
    </row>
    <row r="284" spans="2:12" ht="13" x14ac:dyDescent="0.25">
      <c r="B284" s="802"/>
      <c r="C284" s="820" t="s">
        <v>145</v>
      </c>
      <c r="D284" s="801"/>
      <c r="E284" s="801"/>
      <c r="F284" s="801"/>
      <c r="G284" s="801"/>
      <c r="H284" s="801"/>
      <c r="I284" s="801"/>
      <c r="J284" s="801"/>
      <c r="K284" s="801"/>
      <c r="L284" s="801"/>
    </row>
    <row r="285" spans="2:12" ht="13" x14ac:dyDescent="0.25">
      <c r="B285" s="809" t="s">
        <v>146</v>
      </c>
    </row>
    <row r="287" spans="2:12" ht="13" x14ac:dyDescent="0.25">
      <c r="B287" s="983" t="s">
        <v>147</v>
      </c>
      <c r="C287" s="917">
        <f>+C277+1</f>
        <v>2025</v>
      </c>
      <c r="D287" s="801"/>
      <c r="E287" s="801"/>
      <c r="F287" s="801"/>
      <c r="G287" s="801"/>
      <c r="H287" s="801"/>
      <c r="I287" s="801"/>
      <c r="J287" s="801"/>
      <c r="K287" s="801"/>
      <c r="L287" s="801"/>
    </row>
    <row r="288" spans="2:12" x14ac:dyDescent="0.25">
      <c r="B288" s="984" t="s">
        <v>148</v>
      </c>
      <c r="C288" s="985">
        <f>+RESUM_PRESSUPOST!E27-G227</f>
        <v>155889</v>
      </c>
      <c r="D288" s="801"/>
      <c r="E288" s="801"/>
      <c r="F288" s="826"/>
      <c r="G288" s="801"/>
      <c r="H288" s="801"/>
      <c r="I288" s="801"/>
      <c r="J288" s="801"/>
      <c r="K288" s="801"/>
      <c r="L288" s="801"/>
    </row>
    <row r="289" spans="2:12" x14ac:dyDescent="0.25">
      <c r="B289" s="986" t="s">
        <v>149</v>
      </c>
      <c r="C289" s="987">
        <f>+RESUM_PRESSUPOST!E28-G228</f>
        <v>209869</v>
      </c>
      <c r="D289" s="801"/>
      <c r="F289" s="801"/>
      <c r="G289" s="801"/>
      <c r="H289" s="801"/>
      <c r="I289" s="801"/>
      <c r="J289" s="801"/>
      <c r="L289" s="801"/>
    </row>
    <row r="290" spans="2:12" x14ac:dyDescent="0.25">
      <c r="B290" s="988" t="s">
        <v>61</v>
      </c>
      <c r="C290" s="987">
        <f>+RESUM_PRESSUPOST!E29-E253</f>
        <v>1000</v>
      </c>
      <c r="D290" s="826"/>
      <c r="E290" s="826"/>
      <c r="F290" s="801"/>
      <c r="G290" s="801"/>
      <c r="H290" s="801"/>
      <c r="I290" s="801"/>
      <c r="J290" s="801"/>
      <c r="K290" s="801"/>
      <c r="L290" s="801"/>
    </row>
    <row r="291" spans="2:12" x14ac:dyDescent="0.25">
      <c r="B291" s="986" t="s">
        <v>150</v>
      </c>
      <c r="C291" s="987">
        <f>+RESUM_PRESSUPOST!E30-G230</f>
        <v>5100</v>
      </c>
      <c r="D291" s="801"/>
      <c r="E291" s="801"/>
      <c r="F291" s="801"/>
      <c r="G291" s="801"/>
      <c r="H291" s="801"/>
      <c r="I291" s="801"/>
      <c r="J291" s="801"/>
      <c r="K291" s="801"/>
      <c r="L291" s="801"/>
    </row>
    <row r="292" spans="2:12" x14ac:dyDescent="0.25">
      <c r="B292" s="986" t="s">
        <v>53</v>
      </c>
      <c r="C292" s="987">
        <f>+RESUM_PRESSUPOST!E31-G231</f>
        <v>500</v>
      </c>
      <c r="D292" s="801"/>
      <c r="E292" s="801"/>
      <c r="F292" s="801"/>
      <c r="G292" s="801"/>
      <c r="H292" s="801"/>
      <c r="I292" s="801"/>
      <c r="J292" s="801"/>
      <c r="K292" s="801"/>
      <c r="L292" s="801"/>
    </row>
    <row r="293" spans="2:12" x14ac:dyDescent="0.25">
      <c r="B293" s="986" t="s">
        <v>151</v>
      </c>
      <c r="C293" s="987">
        <f>+RESUM_PRESSUPOST!E32-G232</f>
        <v>6560</v>
      </c>
      <c r="D293" s="801"/>
      <c r="E293" s="801"/>
      <c r="F293" s="826"/>
      <c r="G293" s="801"/>
      <c r="H293" s="801"/>
      <c r="I293" s="801"/>
      <c r="J293" s="801"/>
      <c r="K293" s="801"/>
      <c r="L293" s="801"/>
    </row>
    <row r="294" spans="2:12" x14ac:dyDescent="0.25">
      <c r="B294" s="989" t="s">
        <v>152</v>
      </c>
      <c r="C294" s="987">
        <f>+RESUM_PRESSUPOST!E33-G233</f>
        <v>0</v>
      </c>
      <c r="D294" s="801"/>
      <c r="E294" s="826"/>
      <c r="F294" s="801"/>
      <c r="G294" s="730"/>
      <c r="K294" s="801"/>
      <c r="L294" s="801"/>
    </row>
    <row r="295" spans="2:12" ht="13" x14ac:dyDescent="0.25">
      <c r="B295" s="990" t="s">
        <v>153</v>
      </c>
      <c r="C295" s="991">
        <f>SUM(C288:C294)</f>
        <v>378918</v>
      </c>
      <c r="D295" s="801"/>
      <c r="E295" s="826"/>
      <c r="F295" s="801"/>
      <c r="G295" s="801"/>
      <c r="H295" s="801"/>
      <c r="I295" s="801"/>
      <c r="J295" s="801"/>
      <c r="K295" s="801"/>
      <c r="L295" s="801"/>
    </row>
    <row r="296" spans="2:12" ht="13" x14ac:dyDescent="0.25">
      <c r="B296" s="992" t="s">
        <v>106</v>
      </c>
      <c r="C296" s="993">
        <f>+E167</f>
        <v>-79653.401902930855</v>
      </c>
      <c r="D296" s="801"/>
      <c r="E296" s="826"/>
      <c r="F296" s="801"/>
      <c r="G296" s="801"/>
      <c r="H296" s="801"/>
      <c r="I296" s="801"/>
      <c r="J296" s="801"/>
      <c r="K296" s="801"/>
      <c r="L296" s="801"/>
    </row>
    <row r="297" spans="2:12" ht="13" x14ac:dyDescent="0.25">
      <c r="B297" s="810" t="s">
        <v>154</v>
      </c>
      <c r="C297" s="921">
        <f>+C295+C296</f>
        <v>299264.59809706913</v>
      </c>
      <c r="D297" s="801"/>
      <c r="E297" s="826"/>
      <c r="F297" s="801"/>
      <c r="G297" s="801"/>
      <c r="H297" s="801"/>
      <c r="I297" s="801"/>
      <c r="J297" s="801"/>
      <c r="K297" s="801"/>
      <c r="L297" s="801"/>
    </row>
    <row r="298" spans="2:12" ht="13" x14ac:dyDescent="0.25">
      <c r="B298" s="802"/>
      <c r="C298" s="823"/>
      <c r="D298" s="801"/>
      <c r="E298" s="826"/>
      <c r="F298" s="801"/>
      <c r="G298" s="801"/>
      <c r="H298" s="801"/>
      <c r="I298" s="801"/>
      <c r="J298" s="801"/>
      <c r="K298" s="801"/>
      <c r="L298" s="801"/>
    </row>
    <row r="299" spans="2:12" ht="13" x14ac:dyDescent="0.25">
      <c r="B299" s="802"/>
      <c r="C299" s="823"/>
      <c r="D299" s="801"/>
      <c r="E299" s="826"/>
      <c r="F299" s="801"/>
      <c r="G299" s="801"/>
      <c r="H299" s="801"/>
      <c r="I299" s="801"/>
      <c r="J299" s="801"/>
      <c r="K299" s="801"/>
      <c r="L299" s="801"/>
    </row>
    <row r="300" spans="2:12" ht="13" x14ac:dyDescent="0.25">
      <c r="B300" s="807" t="s">
        <v>155</v>
      </c>
      <c r="C300" s="823"/>
      <c r="D300" s="801"/>
      <c r="E300" s="826"/>
      <c r="F300" s="801"/>
      <c r="G300" s="801"/>
      <c r="H300" s="801"/>
      <c r="I300" s="801"/>
      <c r="J300" s="801"/>
      <c r="K300" s="801"/>
      <c r="L300" s="801"/>
    </row>
    <row r="301" spans="2:12" ht="13" x14ac:dyDescent="0.25">
      <c r="B301" s="802"/>
      <c r="C301" s="823"/>
      <c r="D301" s="801"/>
      <c r="E301" s="826"/>
      <c r="F301" s="801"/>
      <c r="G301" s="801"/>
      <c r="H301" s="801"/>
      <c r="I301" s="801"/>
      <c r="J301" s="801"/>
      <c r="K301" s="801"/>
      <c r="L301" s="801"/>
    </row>
    <row r="302" spans="2:12" ht="13" x14ac:dyDescent="0.25">
      <c r="B302" s="994" t="s">
        <v>156</v>
      </c>
      <c r="C302" s="995">
        <f>+C282</f>
        <v>621583.14393999986</v>
      </c>
      <c r="D302" s="996"/>
      <c r="E302" s="826"/>
      <c r="F302" s="801"/>
      <c r="G302" s="801"/>
      <c r="H302" s="801"/>
      <c r="I302" s="801"/>
      <c r="J302" s="801"/>
      <c r="K302" s="801"/>
      <c r="L302" s="801"/>
    </row>
    <row r="303" spans="2:12" ht="13" x14ac:dyDescent="0.25">
      <c r="B303" s="994" t="s">
        <v>157</v>
      </c>
      <c r="C303" s="995">
        <f>+C297</f>
        <v>299264.59809706913</v>
      </c>
      <c r="D303" s="996"/>
      <c r="E303" s="826"/>
      <c r="F303" s="801"/>
      <c r="G303" s="801"/>
      <c r="H303" s="801"/>
      <c r="I303" s="801"/>
      <c r="J303" s="801"/>
      <c r="K303" s="801"/>
      <c r="L303" s="801"/>
    </row>
    <row r="304" spans="2:12" ht="13.5" thickBot="1" x14ac:dyDescent="0.3">
      <c r="B304" s="802"/>
      <c r="C304" s="823"/>
      <c r="D304" s="801"/>
      <c r="E304" s="826"/>
      <c r="F304" s="801"/>
      <c r="G304" s="801"/>
      <c r="H304" s="801"/>
      <c r="I304" s="801"/>
      <c r="J304" s="801"/>
      <c r="K304" s="801"/>
      <c r="L304" s="801"/>
    </row>
    <row r="305" spans="1:6" ht="39" customHeight="1" thickBot="1" x14ac:dyDescent="0.3">
      <c r="B305" s="997" t="s">
        <v>158</v>
      </c>
      <c r="C305" s="1126" t="str">
        <f>+IF(C303&gt;C302,"No es compleix amb la regla de la despesa i, si l'ajuntament no té cap pla econòmic financer en vigor, caldrà que aprovi un pla econòmic financer","Es compleix amb la regla de la despesa")</f>
        <v>Es compleix amb la regla de la despesa</v>
      </c>
      <c r="D305" s="1127"/>
      <c r="E305" s="1128"/>
    </row>
    <row r="306" spans="1:6" ht="39" customHeight="1" thickBot="1" x14ac:dyDescent="0.3">
      <c r="B306" s="998"/>
      <c r="C306" s="999" t="str">
        <f>+IF(D306&gt;0,"Marge d'incompliment","Marge de compliment")</f>
        <v>Marge de compliment</v>
      </c>
      <c r="D306" s="1000">
        <f>+C303-C302</f>
        <v>-322318.54584293073</v>
      </c>
      <c r="E306" s="1001"/>
    </row>
    <row r="309" spans="1:6" ht="13" x14ac:dyDescent="0.25">
      <c r="B309" s="809" t="s">
        <v>159</v>
      </c>
    </row>
    <row r="310" spans="1:6" ht="13.5" thickBot="1" x14ac:dyDescent="0.3">
      <c r="B310" s="809"/>
    </row>
    <row r="311" spans="1:6" ht="13.5" thickBot="1" x14ac:dyDescent="0.35">
      <c r="B311" s="651"/>
      <c r="C311" s="763">
        <f>+C277</f>
        <v>2024</v>
      </c>
      <c r="D311" s="764">
        <f>+C287</f>
        <v>2025</v>
      </c>
    </row>
    <row r="312" spans="1:6" x14ac:dyDescent="0.25">
      <c r="B312" s="765" t="s">
        <v>160</v>
      </c>
      <c r="C312" s="766">
        <f>+C19</f>
        <v>1032971.7</v>
      </c>
      <c r="D312" s="767">
        <f>+RESUM_PRESSUPOST!E27+RESUM_PRESSUPOST!E28+RESUM_PRESSUPOST!E29+RESUM_PRESSUPOST!E30+RESUM_PRESSUPOST!E31+RESUM_PRESSUPOST!E32+RESUM_PRESSUPOST!E33</f>
        <v>604893</v>
      </c>
      <c r="E312" s="1002"/>
    </row>
    <row r="313" spans="1:6" x14ac:dyDescent="0.25">
      <c r="B313" s="768" t="s">
        <v>161</v>
      </c>
      <c r="C313" s="769">
        <f>+D253</f>
        <v>8356.24</v>
      </c>
      <c r="D313" s="770">
        <f>+E253</f>
        <v>10000</v>
      </c>
      <c r="E313" s="1002"/>
    </row>
    <row r="314" spans="1:6" x14ac:dyDescent="0.25">
      <c r="A314" s="654">
        <v>1</v>
      </c>
      <c r="B314" s="768" t="s">
        <v>4</v>
      </c>
      <c r="C314" s="769">
        <f>+C312-C313</f>
        <v>1024615.46</v>
      </c>
      <c r="D314" s="771">
        <f>+D312-D313</f>
        <v>594893</v>
      </c>
      <c r="E314" s="1002"/>
      <c r="F314" s="856"/>
    </row>
    <row r="315" spans="1:6" ht="13" x14ac:dyDescent="0.3">
      <c r="A315" s="654">
        <v>2</v>
      </c>
      <c r="B315" s="772" t="s">
        <v>703</v>
      </c>
      <c r="C315" s="773">
        <f>SUM(C316:C330)</f>
        <v>0</v>
      </c>
      <c r="D315" s="774">
        <f>SUM(D316:D329)</f>
        <v>-79653.401902930855</v>
      </c>
      <c r="E315" s="1002"/>
    </row>
    <row r="316" spans="1:6" x14ac:dyDescent="0.25">
      <c r="B316" s="775" t="s">
        <v>6</v>
      </c>
      <c r="C316" s="769">
        <f>+C34</f>
        <v>0</v>
      </c>
      <c r="D316" s="770">
        <f>+E34</f>
        <v>0</v>
      </c>
      <c r="E316" s="1002"/>
    </row>
    <row r="317" spans="1:6" ht="25" x14ac:dyDescent="0.25">
      <c r="B317" s="775" t="s">
        <v>7</v>
      </c>
      <c r="C317" s="769" t="s">
        <v>39</v>
      </c>
      <c r="D317" s="776" t="s">
        <v>39</v>
      </c>
      <c r="E317" s="1002"/>
    </row>
    <row r="318" spans="1:6" x14ac:dyDescent="0.25">
      <c r="B318" s="775" t="s">
        <v>8</v>
      </c>
      <c r="C318" s="769">
        <f>+E104</f>
        <v>0</v>
      </c>
      <c r="D318" s="770">
        <f>+H104</f>
        <v>0</v>
      </c>
      <c r="E318" s="1002"/>
    </row>
    <row r="319" spans="1:6" x14ac:dyDescent="0.25">
      <c r="B319" s="775" t="s">
        <v>9</v>
      </c>
      <c r="C319" s="777">
        <f>+C112</f>
        <v>0</v>
      </c>
      <c r="D319" s="650">
        <f>+E110</f>
        <v>0</v>
      </c>
      <c r="E319" s="1002"/>
    </row>
    <row r="320" spans="1:6" x14ac:dyDescent="0.25">
      <c r="B320" s="775" t="s">
        <v>10</v>
      </c>
      <c r="C320" s="769" t="s">
        <v>39</v>
      </c>
      <c r="D320" s="776" t="s">
        <v>39</v>
      </c>
      <c r="E320" s="1002"/>
    </row>
    <row r="321" spans="1:6" ht="25" x14ac:dyDescent="0.25">
      <c r="B321" s="775" t="s">
        <v>11</v>
      </c>
      <c r="C321" s="769">
        <f>+C60</f>
        <v>0</v>
      </c>
      <c r="D321" s="770">
        <f>+E60</f>
        <v>0</v>
      </c>
      <c r="E321" s="1002"/>
    </row>
    <row r="322" spans="1:6" ht="25" x14ac:dyDescent="0.25">
      <c r="B322" s="775" t="s">
        <v>12</v>
      </c>
      <c r="C322" s="769" t="s">
        <v>39</v>
      </c>
      <c r="D322" s="776" t="s">
        <v>39</v>
      </c>
      <c r="E322" s="1002"/>
    </row>
    <row r="323" spans="1:6" x14ac:dyDescent="0.25">
      <c r="B323" s="775" t="s">
        <v>13</v>
      </c>
      <c r="C323" s="769">
        <v>0</v>
      </c>
      <c r="D323" s="770">
        <f>+E76</f>
        <v>0</v>
      </c>
      <c r="E323" s="1002"/>
    </row>
    <row r="324" spans="1:6" x14ac:dyDescent="0.25">
      <c r="B324" s="775" t="s">
        <v>14</v>
      </c>
      <c r="C324" s="769">
        <f>+C92</f>
        <v>0</v>
      </c>
      <c r="D324" s="770">
        <f>+E92</f>
        <v>0</v>
      </c>
      <c r="E324" s="1002"/>
    </row>
    <row r="325" spans="1:6" x14ac:dyDescent="0.25">
      <c r="B325" s="775" t="s">
        <v>15</v>
      </c>
      <c r="C325" s="769" t="s">
        <v>39</v>
      </c>
      <c r="D325" s="776" t="s">
        <v>39</v>
      </c>
      <c r="E325" s="1002"/>
    </row>
    <row r="326" spans="1:6" x14ac:dyDescent="0.25">
      <c r="B326" s="775" t="s">
        <v>16</v>
      </c>
      <c r="C326" s="769" t="s">
        <v>39</v>
      </c>
      <c r="D326" s="770" t="s">
        <v>39</v>
      </c>
      <c r="E326" s="1002"/>
    </row>
    <row r="327" spans="1:6" ht="25" x14ac:dyDescent="0.25">
      <c r="B327" s="775" t="s">
        <v>17</v>
      </c>
      <c r="C327" s="769" t="s">
        <v>39</v>
      </c>
      <c r="D327" s="776" t="s">
        <v>39</v>
      </c>
      <c r="E327" s="1002"/>
    </row>
    <row r="328" spans="1:6" x14ac:dyDescent="0.25">
      <c r="B328" s="775" t="s">
        <v>18</v>
      </c>
      <c r="C328" s="778"/>
      <c r="D328" s="779">
        <f>E161</f>
        <v>-79653.401902930855</v>
      </c>
      <c r="E328" s="1002"/>
    </row>
    <row r="329" spans="1:6" x14ac:dyDescent="0.25">
      <c r="B329" s="775" t="s">
        <v>19</v>
      </c>
      <c r="C329" s="769">
        <v>0</v>
      </c>
      <c r="D329" s="776" t="s">
        <v>39</v>
      </c>
      <c r="E329" s="1002"/>
    </row>
    <row r="330" spans="1:6" x14ac:dyDescent="0.25">
      <c r="B330" s="775" t="s">
        <v>66</v>
      </c>
      <c r="C330" s="769">
        <f>-C261</f>
        <v>0</v>
      </c>
      <c r="D330" s="776"/>
      <c r="E330" s="1002"/>
    </row>
    <row r="331" spans="1:6" ht="26" x14ac:dyDescent="0.3">
      <c r="A331" s="654">
        <v>3</v>
      </c>
      <c r="B331" s="772" t="s">
        <v>707</v>
      </c>
      <c r="C331" s="773">
        <f>+C314+C315</f>
        <v>1024615.46</v>
      </c>
      <c r="D331" s="774">
        <f>+D314+D315</f>
        <v>515239.59809706913</v>
      </c>
      <c r="E331" s="1003" t="s">
        <v>162</v>
      </c>
    </row>
    <row r="332" spans="1:6" ht="27.75" customHeight="1" x14ac:dyDescent="0.25">
      <c r="B332" s="775" t="s">
        <v>21</v>
      </c>
      <c r="C332" s="780"/>
      <c r="D332" s="781"/>
      <c r="E332" s="1002"/>
    </row>
    <row r="333" spans="1:6" ht="25" x14ac:dyDescent="0.25">
      <c r="B333" s="775" t="s">
        <v>22</v>
      </c>
      <c r="C333" s="769">
        <f>+C334+C335+C336+C337+C338</f>
        <v>-422889.28</v>
      </c>
      <c r="D333" s="769">
        <f>+D334+D335+D336+D337+D338</f>
        <v>-215975</v>
      </c>
      <c r="E333" s="1002"/>
      <c r="F333" s="856"/>
    </row>
    <row r="334" spans="1:6" x14ac:dyDescent="0.25">
      <c r="B334" s="775" t="s">
        <v>23</v>
      </c>
      <c r="C334" s="769">
        <f>-K187</f>
        <v>0</v>
      </c>
      <c r="D334" s="770">
        <f>-G217</f>
        <v>0</v>
      </c>
      <c r="E334" s="1002"/>
    </row>
    <row r="335" spans="1:6" x14ac:dyDescent="0.25">
      <c r="B335" s="775" t="s">
        <v>24</v>
      </c>
      <c r="C335" s="769">
        <f>-K188</f>
        <v>0</v>
      </c>
      <c r="D335" s="770">
        <f>-G218</f>
        <v>0</v>
      </c>
      <c r="E335" s="1002"/>
    </row>
    <row r="336" spans="1:6" x14ac:dyDescent="0.25">
      <c r="B336" s="775" t="s">
        <v>25</v>
      </c>
      <c r="C336" s="769">
        <f>-K189</f>
        <v>-196611.36</v>
      </c>
      <c r="D336" s="770">
        <f>-G219</f>
        <v>-44597</v>
      </c>
      <c r="E336" s="1002"/>
    </row>
    <row r="337" spans="2:7" ht="12.75" customHeight="1" x14ac:dyDescent="0.25">
      <c r="B337" s="775" t="s">
        <v>26</v>
      </c>
      <c r="C337" s="769">
        <f>-K190+D254</f>
        <v>-226277.92</v>
      </c>
      <c r="D337" s="770">
        <f>-G220+E254</f>
        <v>-170778</v>
      </c>
      <c r="E337" s="1002"/>
      <c r="F337" s="1004"/>
      <c r="G337" s="1004"/>
    </row>
    <row r="338" spans="2:7" x14ac:dyDescent="0.25">
      <c r="B338" s="775" t="s">
        <v>27</v>
      </c>
      <c r="C338" s="769">
        <f>+K191</f>
        <v>0</v>
      </c>
      <c r="D338" s="770">
        <f>-G221</f>
        <v>-600</v>
      </c>
      <c r="E338" s="1002"/>
      <c r="F338" s="1004"/>
      <c r="G338" s="1004"/>
    </row>
    <row r="339" spans="2:7" x14ac:dyDescent="0.25">
      <c r="B339" s="782" t="s">
        <v>28</v>
      </c>
      <c r="C339" s="769">
        <v>0</v>
      </c>
      <c r="D339" s="770">
        <v>0</v>
      </c>
      <c r="E339" s="1002"/>
    </row>
    <row r="340" spans="2:7" ht="13.5" thickBot="1" x14ac:dyDescent="0.35">
      <c r="B340" s="772" t="s">
        <v>29</v>
      </c>
      <c r="C340" s="783">
        <f>+C314+C315-C332+C333</f>
        <v>601726.17999999993</v>
      </c>
      <c r="D340" s="784">
        <f>+D314+D315-D332+D333</f>
        <v>299264.59809706913</v>
      </c>
      <c r="E340" s="1002"/>
    </row>
    <row r="341" spans="2:7" x14ac:dyDescent="0.25">
      <c r="B341" s="775" t="s">
        <v>163</v>
      </c>
      <c r="C341" s="785">
        <f>+C340*C10</f>
        <v>621583.14393999986</v>
      </c>
      <c r="D341" s="641"/>
      <c r="E341" s="1002"/>
    </row>
    <row r="342" spans="2:7" x14ac:dyDescent="0.25">
      <c r="B342" s="775" t="s">
        <v>143</v>
      </c>
      <c r="C342" s="786">
        <f>+C271</f>
        <v>0</v>
      </c>
      <c r="D342" s="641"/>
      <c r="E342" s="1002"/>
    </row>
    <row r="343" spans="2:7" ht="13.5" thickBot="1" x14ac:dyDescent="0.35">
      <c r="B343" s="787" t="s">
        <v>164</v>
      </c>
      <c r="C343" s="788">
        <f>+C341+C342</f>
        <v>621583.14393999986</v>
      </c>
      <c r="D343" s="641"/>
      <c r="E343" s="1002"/>
    </row>
    <row r="344" spans="2:7" ht="13" thickBot="1" x14ac:dyDescent="0.3">
      <c r="B344" s="789" t="str">
        <f>+IF(D344&gt;0,"Marge de compliment","Marge d'incompliment")</f>
        <v>Marge de compliment</v>
      </c>
      <c r="C344" s="790"/>
      <c r="D344" s="791">
        <f>-D340+C343</f>
        <v>322318.54584293073</v>
      </c>
    </row>
    <row r="346" spans="2:7" x14ac:dyDescent="0.25">
      <c r="B346" s="759"/>
      <c r="C346" s="760"/>
      <c r="D346" s="761"/>
    </row>
    <row r="347" spans="2:7" x14ac:dyDescent="0.25">
      <c r="B347" s="1005"/>
      <c r="C347" s="856"/>
      <c r="D347" s="1006"/>
    </row>
    <row r="348" spans="2:7" x14ac:dyDescent="0.25">
      <c r="B348" s="1005" t="str">
        <f>IF(+D344&gt;0,+B352,+B354)</f>
        <v xml:space="preserve">El pressupost, en termes consolidats, de l’ajuntament acompliria la regla de la despesa, amb un marge de </v>
      </c>
      <c r="C348" s="856">
        <f>IF(+D344&gt;0,+D344,-D344)</f>
        <v>322318.54584293073</v>
      </c>
      <c r="D348" s="1006"/>
    </row>
    <row r="349" spans="2:7" ht="15.5" x14ac:dyDescent="0.25">
      <c r="B349" s="1007"/>
      <c r="C349" s="1008"/>
      <c r="D349" s="1009"/>
    </row>
    <row r="350" spans="2:7" x14ac:dyDescent="0.25">
      <c r="C350" s="856"/>
      <c r="E350" s="856"/>
    </row>
    <row r="351" spans="2:7" x14ac:dyDescent="0.25">
      <c r="C351" s="856"/>
    </row>
    <row r="352" spans="2:7" ht="28" x14ac:dyDescent="0.25">
      <c r="B352" s="1010" t="s">
        <v>700</v>
      </c>
      <c r="C352" s="856"/>
    </row>
    <row r="353" spans="2:3" x14ac:dyDescent="0.25">
      <c r="B353" s="1011"/>
      <c r="C353" s="856"/>
    </row>
    <row r="354" spans="2:3" ht="28" x14ac:dyDescent="0.25">
      <c r="B354" s="1010" t="s">
        <v>701</v>
      </c>
    </row>
  </sheetData>
  <sheetProtection algorithmName="SHA-512" hashValue="9hOewxw4Wxr6WcqCU0jGxhAj2sbRYXPEve8rpyCSytDIYNkfMensEnIWIMcdlW6RfGllY/ENWy3O7PkOh/LJYA==" saltValue="aqpd8x4Cv6SEh5Z6jgrcTw==" spinCount="100000" sheet="1" objects="1" scenarios="1"/>
  <mergeCells count="12">
    <mergeCell ref="B38:C38"/>
    <mergeCell ref="B48:C49"/>
    <mergeCell ref="B64:D64"/>
    <mergeCell ref="B70:D70"/>
    <mergeCell ref="C305:E305"/>
    <mergeCell ref="B80:E80"/>
    <mergeCell ref="B86:D86"/>
    <mergeCell ref="B151:B152"/>
    <mergeCell ref="C151:C152"/>
    <mergeCell ref="D151:D152"/>
    <mergeCell ref="E151:E152"/>
    <mergeCell ref="B102:C102"/>
  </mergeCells>
  <phoneticPr fontId="0" type="noConversion"/>
  <conditionalFormatting sqref="C343">
    <cfRule type="cellIs" dxfId="16" priority="1" stopIfTrue="1" operator="notEqual">
      <formula>$C$282</formula>
    </cfRule>
  </conditionalFormatting>
  <conditionalFormatting sqref="D340">
    <cfRule type="cellIs" dxfId="15" priority="2" stopIfTrue="1" operator="notEqual">
      <formula>$C$297</formula>
    </cfRule>
  </conditionalFormatting>
  <pageMargins left="0.47244094488188981" right="0.39370078740157483" top="0.98425196850393704" bottom="0.35433070866141736" header="0.51181102362204722" footer="0.51181102362204722"/>
  <pageSetup paperSize="9" firstPageNumber="0" orientation="portrait" horizontalDpi="300" verticalDpi="300" r:id="rId1"/>
  <headerFooter alignWithMargins="0"/>
  <rowBreaks count="3" manualBreakCount="3">
    <brk id="77" max="16383" man="1"/>
    <brk id="180" max="16383" man="1"/>
    <brk id="271"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
  <dimension ref="A2:T164"/>
  <sheetViews>
    <sheetView topLeftCell="A42" zoomScale="80" zoomScaleNormal="80" zoomScaleSheetLayoutView="70" workbookViewId="0">
      <selection activeCell="A42" sqref="A1:XFD1048576"/>
    </sheetView>
  </sheetViews>
  <sheetFormatPr baseColWidth="10" defaultColWidth="11.36328125" defaultRowHeight="12.5" x14ac:dyDescent="0.25"/>
  <cols>
    <col min="1" max="1" width="10.26953125" style="10" customWidth="1"/>
    <col min="2" max="2" width="16.26953125" style="10" customWidth="1"/>
    <col min="3" max="4" width="11.36328125" style="10"/>
    <col min="5" max="5" width="15.36328125" style="10" customWidth="1"/>
    <col min="6" max="6" width="23.08984375" style="10" customWidth="1"/>
    <col min="7" max="7" width="12.81640625" style="10" customWidth="1"/>
    <col min="8" max="8" width="11.7265625" style="10" customWidth="1"/>
    <col min="9" max="9" width="19.81640625" style="10" customWidth="1"/>
    <col min="10" max="10" width="20.08984375" style="10" customWidth="1"/>
    <col min="11" max="11" width="23.36328125" style="10" customWidth="1"/>
    <col min="12" max="12" width="23.08984375" style="10" customWidth="1"/>
    <col min="13" max="13" width="16.26953125" style="10" customWidth="1"/>
    <col min="14" max="14" width="11.36328125" style="10"/>
    <col min="15" max="15" width="53.08984375" style="10" customWidth="1"/>
    <col min="16" max="16" width="13.08984375" style="10" customWidth="1"/>
    <col min="17" max="18" width="11.36328125" style="10"/>
    <col min="19" max="19" width="22.26953125" style="10" customWidth="1"/>
    <col min="20" max="16384" width="11.36328125" style="10"/>
  </cols>
  <sheetData>
    <row r="2" spans="1:6" ht="13" x14ac:dyDescent="0.3">
      <c r="A2" s="24" t="s">
        <v>165</v>
      </c>
    </row>
    <row r="4" spans="1:6" ht="13" x14ac:dyDescent="0.3">
      <c r="A4" s="180" t="s">
        <v>166</v>
      </c>
      <c r="B4" s="181">
        <f>+'3 Regla despesa'!C4</f>
        <v>2025</v>
      </c>
      <c r="D4" s="180" t="s">
        <v>167</v>
      </c>
      <c r="E4" s="181">
        <f>+B4</f>
        <v>2025</v>
      </c>
    </row>
    <row r="5" spans="1:6" x14ac:dyDescent="0.25">
      <c r="A5" s="182" t="s">
        <v>168</v>
      </c>
      <c r="B5" s="92">
        <f>+RESUM_PRESSUPOST!E11</f>
        <v>107600</v>
      </c>
      <c r="D5" s="182" t="s">
        <v>168</v>
      </c>
      <c r="E5" s="92">
        <f>+RESUM_PRESSUPOST!E27</f>
        <v>155889</v>
      </c>
    </row>
    <row r="6" spans="1:6" x14ac:dyDescent="0.25">
      <c r="A6" s="183" t="s">
        <v>169</v>
      </c>
      <c r="B6" s="95">
        <f>+RESUM_PRESSUPOST!E12</f>
        <v>5000</v>
      </c>
      <c r="D6" s="183" t="s">
        <v>169</v>
      </c>
      <c r="E6" s="95">
        <f>+RESUM_PRESSUPOST!E28</f>
        <v>274514</v>
      </c>
    </row>
    <row r="7" spans="1:6" x14ac:dyDescent="0.25">
      <c r="A7" s="183" t="s">
        <v>170</v>
      </c>
      <c r="B7" s="95">
        <f>+RESUM_PRESSUPOST!E13</f>
        <v>174842</v>
      </c>
      <c r="D7" s="183" t="s">
        <v>170</v>
      </c>
      <c r="E7" s="95">
        <f>+RESUM_PRESSUPOST!E29</f>
        <v>11000</v>
      </c>
    </row>
    <row r="8" spans="1:6" x14ac:dyDescent="0.25">
      <c r="A8" s="183" t="s">
        <v>171</v>
      </c>
      <c r="B8" s="95">
        <f>+RESUM_PRESSUPOST!E14</f>
        <v>174621</v>
      </c>
      <c r="D8" s="183" t="s">
        <v>171</v>
      </c>
      <c r="E8" s="95">
        <f>+RESUM_PRESSUPOST!E30</f>
        <v>5100</v>
      </c>
      <c r="F8" s="184"/>
    </row>
    <row r="9" spans="1:6" x14ac:dyDescent="0.25">
      <c r="A9" s="183" t="s">
        <v>172</v>
      </c>
      <c r="B9" s="95">
        <f>+RESUM_PRESSUPOST!E15</f>
        <v>14000</v>
      </c>
      <c r="D9" s="183" t="s">
        <v>172</v>
      </c>
      <c r="E9" s="95">
        <f>+RESUM_PRESSUPOST!E31</f>
        <v>500</v>
      </c>
    </row>
    <row r="10" spans="1:6" x14ac:dyDescent="0.25">
      <c r="A10" s="183" t="s">
        <v>173</v>
      </c>
      <c r="B10" s="95">
        <f>+RESUM_PRESSUPOST!E16</f>
        <v>0</v>
      </c>
      <c r="D10" s="183" t="s">
        <v>173</v>
      </c>
      <c r="E10" s="95">
        <f>+RESUM_PRESSUPOST!E32</f>
        <v>157890</v>
      </c>
    </row>
    <row r="11" spans="1:6" x14ac:dyDescent="0.25">
      <c r="A11" s="185" t="s">
        <v>174</v>
      </c>
      <c r="B11" s="186">
        <f>+RESUM_PRESSUPOST!E17</f>
        <v>151330</v>
      </c>
      <c r="D11" s="185" t="s">
        <v>174</v>
      </c>
      <c r="E11" s="186">
        <f>+RESUM_PRESSUPOST!E33</f>
        <v>0</v>
      </c>
    </row>
    <row r="12" spans="1:6" ht="13" x14ac:dyDescent="0.3">
      <c r="A12" s="187" t="s">
        <v>74</v>
      </c>
      <c r="B12" s="145">
        <f>SUM(B5:B11)</f>
        <v>627393</v>
      </c>
      <c r="D12" s="187" t="s">
        <v>74</v>
      </c>
      <c r="E12" s="145">
        <f>SUM(E5:E11)</f>
        <v>604893</v>
      </c>
    </row>
    <row r="14" spans="1:6" ht="13" thickBot="1" x14ac:dyDescent="0.3"/>
    <row r="15" spans="1:6" ht="39.5" thickBot="1" x14ac:dyDescent="0.35">
      <c r="A15" s="189" t="str">
        <f>+IF(B15&lt;0,"Dèficit no financer","Superàvit no financer")</f>
        <v>Superàvit no financer</v>
      </c>
      <c r="B15" s="145">
        <f>+B12-E12</f>
        <v>22500</v>
      </c>
    </row>
    <row r="17" spans="4:14" ht="27.75" customHeight="1" x14ac:dyDescent="0.3">
      <c r="F17" s="1133" t="s">
        <v>177</v>
      </c>
      <c r="G17" s="1133"/>
      <c r="H17" s="1133"/>
      <c r="I17" s="1133"/>
      <c r="J17" s="1133"/>
    </row>
    <row r="19" spans="4:14" ht="13.5" thickBot="1" x14ac:dyDescent="0.35">
      <c r="F19" s="24" t="s">
        <v>178</v>
      </c>
    </row>
    <row r="20" spans="4:14" ht="13.5" thickBot="1" x14ac:dyDescent="0.35">
      <c r="H20" s="90" t="s">
        <v>175</v>
      </c>
      <c r="I20" s="188" t="s">
        <v>176</v>
      </c>
    </row>
    <row r="21" spans="4:14" ht="13.5" thickBot="1" x14ac:dyDescent="0.35">
      <c r="F21" s="24" t="s">
        <v>179</v>
      </c>
      <c r="H21" s="190"/>
      <c r="I21" s="191"/>
    </row>
    <row r="24" spans="4:14" ht="13" x14ac:dyDescent="0.3">
      <c r="F24" s="180">
        <f>+B4-4</f>
        <v>2021</v>
      </c>
      <c r="G24" s="192" t="s">
        <v>180</v>
      </c>
      <c r="H24" s="192" t="s">
        <v>181</v>
      </c>
      <c r="I24" s="193" t="s">
        <v>182</v>
      </c>
      <c r="J24" s="194" t="s">
        <v>183</v>
      </c>
    </row>
    <row r="25" spans="4:14" x14ac:dyDescent="0.25">
      <c r="D25" s="184"/>
      <c r="F25" s="195">
        <v>1</v>
      </c>
      <c r="G25" s="1039">
        <v>108176.54</v>
      </c>
      <c r="H25" s="1039">
        <v>100790.08</v>
      </c>
      <c r="I25" s="1040">
        <v>3404.96</v>
      </c>
      <c r="J25" s="198">
        <f>+IF(G25&gt;0,(H25+I25)/G25,"")</f>
        <v>0.96319442274637379</v>
      </c>
    </row>
    <row r="26" spans="4:14" x14ac:dyDescent="0.25">
      <c r="F26" s="199">
        <v>2</v>
      </c>
      <c r="G26" s="44">
        <v>6015.17</v>
      </c>
      <c r="H26" s="44">
        <v>6015.17</v>
      </c>
      <c r="I26" s="200">
        <v>0</v>
      </c>
      <c r="J26" s="198">
        <f>+IF(G26&gt;0,(H26+I26)/G26,"")</f>
        <v>1</v>
      </c>
      <c r="L26" s="632"/>
      <c r="M26"/>
      <c r="N26"/>
    </row>
    <row r="27" spans="4:14" ht="13" thickBot="1" x14ac:dyDescent="0.3">
      <c r="F27" s="201" t="s">
        <v>184</v>
      </c>
      <c r="G27" s="202">
        <v>135172.01</v>
      </c>
      <c r="H27" s="202">
        <v>135172.01</v>
      </c>
      <c r="I27" s="203">
        <v>0</v>
      </c>
      <c r="J27" s="198">
        <f>+IF(G27&gt;0,(H27+I27)/G27,"")</f>
        <v>1</v>
      </c>
      <c r="L27"/>
      <c r="M27" s="632"/>
      <c r="N27"/>
    </row>
    <row r="28" spans="4:14" ht="13" thickBot="1" x14ac:dyDescent="0.3">
      <c r="L28"/>
      <c r="M28" s="632"/>
      <c r="N28"/>
    </row>
    <row r="29" spans="4:14" ht="13.5" thickBot="1" x14ac:dyDescent="0.35">
      <c r="F29" s="180">
        <f>+F24+1</f>
        <v>2022</v>
      </c>
      <c r="G29" s="192" t="s">
        <v>180</v>
      </c>
      <c r="H29" s="192" t="s">
        <v>181</v>
      </c>
      <c r="I29" s="193" t="s">
        <v>182</v>
      </c>
      <c r="J29" s="194" t="s">
        <v>183</v>
      </c>
    </row>
    <row r="30" spans="4:14" x14ac:dyDescent="0.25">
      <c r="F30" s="195">
        <v>1</v>
      </c>
      <c r="G30" s="1039">
        <v>108257.65</v>
      </c>
      <c r="H30" s="1039">
        <v>103695.56</v>
      </c>
      <c r="I30" s="1040">
        <v>3708.61</v>
      </c>
      <c r="J30" s="198">
        <f>+IF(G30&gt;0,(H30+I30)/G30,"")</f>
        <v>0.99211621534367322</v>
      </c>
    </row>
    <row r="31" spans="4:14" x14ac:dyDescent="0.25">
      <c r="F31" s="199">
        <v>2</v>
      </c>
      <c r="G31" s="44">
        <v>2185.67</v>
      </c>
      <c r="H31" s="44">
        <v>2185.67</v>
      </c>
      <c r="I31" s="200">
        <v>0</v>
      </c>
      <c r="J31" s="198">
        <f>+IF(G31&gt;0,(H31+I31)/G31,"")</f>
        <v>1</v>
      </c>
    </row>
    <row r="32" spans="4:14" x14ac:dyDescent="0.25">
      <c r="F32" s="201" t="s">
        <v>184</v>
      </c>
      <c r="G32" s="202">
        <v>148021.9</v>
      </c>
      <c r="H32" s="202">
        <v>147578.34</v>
      </c>
      <c r="I32" s="203">
        <v>0</v>
      </c>
      <c r="J32" s="198">
        <f>+IF(G32&gt;0,(H32+I32)/G32,"")</f>
        <v>0.99700341638635903</v>
      </c>
    </row>
    <row r="35" spans="6:10" ht="13" x14ac:dyDescent="0.3">
      <c r="F35" s="180">
        <f>+F29+1</f>
        <v>2023</v>
      </c>
      <c r="G35" s="192" t="s">
        <v>180</v>
      </c>
      <c r="H35" s="192" t="s">
        <v>181</v>
      </c>
      <c r="I35" s="193" t="s">
        <v>182</v>
      </c>
      <c r="J35" s="194" t="s">
        <v>183</v>
      </c>
    </row>
    <row r="36" spans="6:10" x14ac:dyDescent="0.25">
      <c r="F36" s="195">
        <v>1</v>
      </c>
      <c r="G36" s="196">
        <v>108716.31</v>
      </c>
      <c r="H36" s="196">
        <v>102786.46</v>
      </c>
      <c r="I36" s="197">
        <v>574.35</v>
      </c>
      <c r="J36" s="198">
        <f>+IF(G36&gt;0,(H36+I36)/G36,"")</f>
        <v>0.95073876219676712</v>
      </c>
    </row>
    <row r="37" spans="6:10" x14ac:dyDescent="0.25">
      <c r="F37" s="199">
        <v>2</v>
      </c>
      <c r="G37" s="44">
        <v>14098.16</v>
      </c>
      <c r="H37" s="44">
        <v>14098.16</v>
      </c>
      <c r="I37" s="200">
        <v>0</v>
      </c>
      <c r="J37" s="198">
        <f>+IF(G37&gt;0,(H37+I37)/G37,"")</f>
        <v>1</v>
      </c>
    </row>
    <row r="38" spans="6:10" x14ac:dyDescent="0.25">
      <c r="F38" s="201" t="s">
        <v>184</v>
      </c>
      <c r="G38" s="202">
        <v>156703.70000000001</v>
      </c>
      <c r="H38" s="202">
        <v>156703.70000000001</v>
      </c>
      <c r="I38" s="203">
        <v>443.56</v>
      </c>
      <c r="J38" s="198">
        <f>+IF(G38&gt;0,(H38+I38)/G38,"")</f>
        <v>1.0028305649451799</v>
      </c>
    </row>
    <row r="42" spans="6:10" ht="39" x14ac:dyDescent="0.3">
      <c r="F42" s="204" t="s">
        <v>185</v>
      </c>
      <c r="G42" s="205" t="s">
        <v>186</v>
      </c>
      <c r="H42" s="206" t="s">
        <v>691</v>
      </c>
      <c r="I42" s="205" t="s">
        <v>692</v>
      </c>
      <c r="J42" s="166" t="s">
        <v>196</v>
      </c>
    </row>
    <row r="43" spans="6:10" x14ac:dyDescent="0.25">
      <c r="F43" s="207">
        <v>1</v>
      </c>
      <c r="G43" s="208">
        <f>AVERAGE(J25,J30,J36)</f>
        <v>0.96868313342893797</v>
      </c>
      <c r="H43" s="209">
        <f>+B5</f>
        <v>107600</v>
      </c>
      <c r="I43" s="92">
        <f>+G43*H43</f>
        <v>104230.30515695372</v>
      </c>
      <c r="J43" s="210">
        <f>+I43-H43</f>
        <v>-3369.6948430462799</v>
      </c>
    </row>
    <row r="44" spans="6:10" x14ac:dyDescent="0.25">
      <c r="F44" s="207">
        <v>2</v>
      </c>
      <c r="G44" s="211">
        <f>AVERAGE(J26,J31,J37)</f>
        <v>1</v>
      </c>
      <c r="H44" s="212">
        <f>+B6</f>
        <v>5000</v>
      </c>
      <c r="I44" s="210">
        <f>+G44*H44</f>
        <v>5000</v>
      </c>
      <c r="J44" s="95">
        <f>+I44-H44</f>
        <v>0</v>
      </c>
    </row>
    <row r="45" spans="6:10" x14ac:dyDescent="0.25">
      <c r="F45" s="213">
        <v>3</v>
      </c>
      <c r="G45" s="214">
        <f>AVERAGE(J27,J32,J38)</f>
        <v>0.99994466044384633</v>
      </c>
      <c r="H45" s="215">
        <f>+B7-H21-I21</f>
        <v>174842</v>
      </c>
      <c r="I45" s="216">
        <f>+G45*H45</f>
        <v>174832.32432132299</v>
      </c>
      <c r="J45" s="186">
        <f>+I45-H45</f>
        <v>-9.6756786770129111</v>
      </c>
    </row>
    <row r="47" spans="6:10" ht="13" x14ac:dyDescent="0.3">
      <c r="F47" s="24" t="s">
        <v>187</v>
      </c>
    </row>
    <row r="49" spans="2:9" ht="13.5" thickBot="1" x14ac:dyDescent="0.35">
      <c r="G49" s="217">
        <f>+E4</f>
        <v>2025</v>
      </c>
    </row>
    <row r="50" spans="2:9" ht="26" x14ac:dyDescent="0.3">
      <c r="B50" s="472"/>
      <c r="F50" s="218" t="s">
        <v>188</v>
      </c>
      <c r="G50" s="556">
        <v>0</v>
      </c>
      <c r="I50" s="632"/>
    </row>
    <row r="51" spans="2:9" ht="26.5" thickBot="1" x14ac:dyDescent="0.35">
      <c r="F51" s="219" t="s">
        <v>189</v>
      </c>
      <c r="G51" s="557">
        <v>0</v>
      </c>
    </row>
    <row r="52" spans="2:9" ht="26.5" thickBot="1" x14ac:dyDescent="0.35">
      <c r="B52" s="473">
        <v>1112.1600000000001</v>
      </c>
      <c r="F52" s="219" t="s">
        <v>673</v>
      </c>
      <c r="G52" s="558">
        <v>0</v>
      </c>
    </row>
    <row r="53" spans="2:9" ht="13.5" thickBot="1" x14ac:dyDescent="0.35">
      <c r="F53" s="220" t="s">
        <v>191</v>
      </c>
      <c r="G53" s="221">
        <f>+G50+G51+G52</f>
        <v>0</v>
      </c>
    </row>
    <row r="55" spans="2:9" ht="13" x14ac:dyDescent="0.3">
      <c r="F55" s="24" t="s">
        <v>192</v>
      </c>
    </row>
    <row r="57" spans="2:9" ht="26" x14ac:dyDescent="0.3">
      <c r="F57" s="222" t="s">
        <v>193</v>
      </c>
      <c r="G57" s="223" t="s">
        <v>194</v>
      </c>
      <c r="H57" s="224" t="s">
        <v>195</v>
      </c>
      <c r="I57" s="181" t="s">
        <v>196</v>
      </c>
    </row>
    <row r="58" spans="2:9" ht="13" x14ac:dyDescent="0.3">
      <c r="F58" s="225">
        <f>+G49</f>
        <v>2025</v>
      </c>
      <c r="G58" s="226"/>
      <c r="H58" s="202"/>
      <c r="I58" s="186">
        <f>+H58-G58</f>
        <v>0</v>
      </c>
    </row>
    <row r="60" spans="2:9" ht="13" x14ac:dyDescent="0.3">
      <c r="F60" s="24" t="s">
        <v>197</v>
      </c>
    </row>
    <row r="62" spans="2:9" ht="13" x14ac:dyDescent="0.3">
      <c r="F62" s="24" t="s">
        <v>198</v>
      </c>
    </row>
    <row r="64" spans="2:9" ht="13" x14ac:dyDescent="0.3">
      <c r="F64" s="222" t="s">
        <v>199</v>
      </c>
      <c r="G64" s="227">
        <f>+F58</f>
        <v>2025</v>
      </c>
      <c r="H64" s="181" t="s">
        <v>196</v>
      </c>
    </row>
    <row r="65" spans="6:19" ht="13" x14ac:dyDescent="0.3">
      <c r="F65" s="228" t="s">
        <v>200</v>
      </c>
      <c r="G65" s="439">
        <f>+'3 Regla despesa'!E41+'3 Regla despesa'!E42+'3 Regla despesa'!E43+'3 Regla despesa'!E44+'3 Regla despesa'!E45+'3 Regla despesa'!E46+'3 Regla despesa'!E47</f>
        <v>0</v>
      </c>
      <c r="H65" s="230"/>
      <c r="I65" s="24"/>
    </row>
    <row r="66" spans="6:19" ht="26" x14ac:dyDescent="0.3">
      <c r="F66" s="231" t="s">
        <v>201</v>
      </c>
      <c r="G66" s="440">
        <f>+'3 Regla despesa'!E52+'3 Regla despesa'!E53+'3 Regla despesa'!E54+'3 Regla despesa'!E55+'3 Regla despesa'!E56+'3 Regla despesa'!E57+'3 Regla despesa'!E58</f>
        <v>0</v>
      </c>
      <c r="H66" s="232">
        <f>G66-G65</f>
        <v>0</v>
      </c>
      <c r="I66" s="24"/>
    </row>
    <row r="68" spans="6:19" ht="13.9" customHeight="1" x14ac:dyDescent="0.3">
      <c r="F68" s="24" t="s">
        <v>202</v>
      </c>
    </row>
    <row r="70" spans="6:19" ht="26" x14ac:dyDescent="0.3">
      <c r="F70" s="222" t="s">
        <v>203</v>
      </c>
      <c r="G70" s="223" t="s">
        <v>194</v>
      </c>
      <c r="H70" s="233" t="s">
        <v>195</v>
      </c>
      <c r="I70" s="105" t="s">
        <v>196</v>
      </c>
    </row>
    <row r="71" spans="6:19" ht="13" x14ac:dyDescent="0.3">
      <c r="F71" s="225">
        <v>2014</v>
      </c>
      <c r="G71" s="226"/>
      <c r="H71" s="203"/>
      <c r="I71" s="179">
        <f>+H71-G71</f>
        <v>0</v>
      </c>
    </row>
    <row r="73" spans="6:19" ht="13" x14ac:dyDescent="0.3">
      <c r="F73" s="24" t="s">
        <v>204</v>
      </c>
    </row>
    <row r="75" spans="6:19" ht="13" x14ac:dyDescent="0.3">
      <c r="F75" s="15"/>
      <c r="G75" s="234">
        <f>+G64</f>
        <v>2025</v>
      </c>
    </row>
    <row r="76" spans="6:19" ht="13" x14ac:dyDescent="0.3">
      <c r="F76" s="235" t="s">
        <v>205</v>
      </c>
      <c r="G76" s="432">
        <f>+'3 Regla despesa'!E83+'3 Regla despesa'!E84</f>
        <v>0</v>
      </c>
    </row>
    <row r="77" spans="6:19" ht="13" x14ac:dyDescent="0.3">
      <c r="F77" s="236" t="s">
        <v>206</v>
      </c>
      <c r="G77" s="433">
        <f>+'3 Regla despesa'!E89+'3 Regla despesa'!E90</f>
        <v>0</v>
      </c>
      <c r="Q77" s="16"/>
    </row>
    <row r="78" spans="6:19" ht="13" x14ac:dyDescent="0.3">
      <c r="F78" s="237" t="s">
        <v>207</v>
      </c>
      <c r="G78" s="145">
        <f>+G76-G77</f>
        <v>0</v>
      </c>
    </row>
    <row r="80" spans="6:19" ht="13" x14ac:dyDescent="0.3">
      <c r="F80" s="24" t="s">
        <v>208</v>
      </c>
      <c r="S80" s="23"/>
    </row>
    <row r="81" spans="6:20" ht="13" x14ac:dyDescent="0.3">
      <c r="Q81" s="24"/>
      <c r="R81" s="23"/>
      <c r="S81" s="23"/>
      <c r="T81" s="148"/>
    </row>
    <row r="82" spans="6:20" ht="26" x14ac:dyDescent="0.3">
      <c r="F82" s="238">
        <f>+G75</f>
        <v>2025</v>
      </c>
      <c r="G82" s="206" t="s">
        <v>209</v>
      </c>
      <c r="H82" s="239" t="s">
        <v>210</v>
      </c>
      <c r="I82" s="240" t="s">
        <v>207</v>
      </c>
      <c r="Q82" s="24"/>
      <c r="R82" s="23"/>
      <c r="S82" s="23"/>
      <c r="T82" s="148"/>
    </row>
    <row r="83" spans="6:20" ht="13" x14ac:dyDescent="0.3">
      <c r="F83" s="241" t="s">
        <v>211</v>
      </c>
      <c r="G83" s="381">
        <f>+'3 Regla despesa'!F98</f>
        <v>0</v>
      </c>
      <c r="H83" s="382">
        <f>+'3 Regla despesa'!G98</f>
        <v>0</v>
      </c>
      <c r="I83" s="242">
        <f>+H83-G83</f>
        <v>0</v>
      </c>
      <c r="Q83" s="24"/>
      <c r="R83" s="23"/>
      <c r="S83" s="23"/>
      <c r="T83" s="148"/>
    </row>
    <row r="84" spans="6:20" ht="13" x14ac:dyDescent="0.3">
      <c r="F84" s="243" t="s">
        <v>212</v>
      </c>
      <c r="G84" s="244"/>
      <c r="H84" s="383">
        <f>+'3 Regla despesa'!G99</f>
        <v>0</v>
      </c>
      <c r="I84" s="245">
        <f>+H84</f>
        <v>0</v>
      </c>
      <c r="Q84" s="24"/>
      <c r="R84" s="23"/>
      <c r="S84" s="23"/>
      <c r="T84" s="148"/>
    </row>
    <row r="85" spans="6:20" ht="13" x14ac:dyDescent="0.3">
      <c r="F85" s="246"/>
      <c r="I85" s="108"/>
      <c r="Q85" s="24"/>
      <c r="R85" s="23"/>
      <c r="S85" s="23"/>
      <c r="T85" s="148"/>
    </row>
    <row r="86" spans="6:20" ht="26" x14ac:dyDescent="0.3">
      <c r="F86" s="238">
        <f>+G75</f>
        <v>2025</v>
      </c>
      <c r="G86" s="247"/>
      <c r="H86" s="239" t="s">
        <v>213</v>
      </c>
      <c r="I86" s="240" t="s">
        <v>207</v>
      </c>
      <c r="Q86" s="24"/>
      <c r="R86" s="23"/>
      <c r="T86" s="148"/>
    </row>
    <row r="87" spans="6:20" ht="66" customHeight="1" x14ac:dyDescent="0.3">
      <c r="F87" s="1134" t="s">
        <v>214</v>
      </c>
      <c r="G87" s="1134"/>
      <c r="H87" s="384">
        <f>+'3 Regla despesa'!G102</f>
        <v>0</v>
      </c>
      <c r="I87" s="248">
        <f>+H87</f>
        <v>0</v>
      </c>
      <c r="Q87" s="24"/>
      <c r="R87" s="23"/>
      <c r="T87" s="148"/>
    </row>
    <row r="88" spans="6:20" ht="13" x14ac:dyDescent="0.3">
      <c r="Q88" s="24"/>
      <c r="R88" s="23"/>
      <c r="T88" s="148"/>
    </row>
    <row r="89" spans="6:20" ht="13" x14ac:dyDescent="0.3">
      <c r="F89" s="24" t="s">
        <v>215</v>
      </c>
      <c r="Q89" s="24"/>
      <c r="R89" s="23"/>
      <c r="T89" s="148"/>
    </row>
    <row r="90" spans="6:20" ht="13.5" thickBot="1" x14ac:dyDescent="0.35">
      <c r="O90" s="24"/>
      <c r="P90" s="23"/>
      <c r="R90" s="148"/>
    </row>
    <row r="91" spans="6:20" ht="13.5" thickBot="1" x14ac:dyDescent="0.35">
      <c r="F91" s="346"/>
      <c r="G91" s="347">
        <f>+F82</f>
        <v>2025</v>
      </c>
      <c r="O91" s="24"/>
      <c r="P91" s="23"/>
      <c r="R91" s="148"/>
    </row>
    <row r="92" spans="6:20" ht="25" x14ac:dyDescent="0.25">
      <c r="F92" s="348" t="s">
        <v>216</v>
      </c>
      <c r="G92" s="349">
        <f>+'3 Regla despesa'!E110</f>
        <v>0</v>
      </c>
    </row>
    <row r="93" spans="6:20" ht="13" thickBot="1" x14ac:dyDescent="0.3">
      <c r="F93" s="350" t="s">
        <v>207</v>
      </c>
      <c r="G93" s="351">
        <f>+G92</f>
        <v>0</v>
      </c>
    </row>
    <row r="95" spans="6:20" ht="13" x14ac:dyDescent="0.3">
      <c r="F95" s="24" t="s">
        <v>217</v>
      </c>
    </row>
    <row r="96" spans="6:20" ht="13" x14ac:dyDescent="0.3">
      <c r="G96" s="250">
        <f>+G109</f>
        <v>2025</v>
      </c>
    </row>
    <row r="97" spans="5:11" ht="13" x14ac:dyDescent="0.3">
      <c r="F97" s="251" t="s">
        <v>207</v>
      </c>
      <c r="G97" s="252">
        <f>+'3 Regla despesa'!E161</f>
        <v>-79653.401902930855</v>
      </c>
      <c r="H97" s="253" t="s">
        <v>218</v>
      </c>
    </row>
    <row r="99" spans="5:11" ht="13" x14ac:dyDescent="0.3">
      <c r="F99" s="24" t="s">
        <v>219</v>
      </c>
      <c r="G99" s="15"/>
      <c r="H99" s="184"/>
    </row>
    <row r="101" spans="5:11" ht="13" x14ac:dyDescent="0.3">
      <c r="F101" s="15"/>
      <c r="G101" s="254">
        <f>+G96</f>
        <v>2025</v>
      </c>
    </row>
    <row r="102" spans="5:11" ht="25" x14ac:dyDescent="0.25">
      <c r="F102" s="255" t="s">
        <v>220</v>
      </c>
      <c r="G102" s="437">
        <f>+'3 Regla despesa'!E67+'3 Regla despesa'!E68</f>
        <v>0</v>
      </c>
    </row>
    <row r="103" spans="5:11" x14ac:dyDescent="0.25">
      <c r="F103" s="256" t="s">
        <v>206</v>
      </c>
      <c r="G103" s="438">
        <f>+'3 Regla despesa'!E73+'3 Regla despesa'!E74</f>
        <v>0</v>
      </c>
    </row>
    <row r="104" spans="5:11" ht="13" x14ac:dyDescent="0.3">
      <c r="F104" s="237" t="s">
        <v>207</v>
      </c>
      <c r="G104" s="145">
        <f>+G102-G103</f>
        <v>0</v>
      </c>
    </row>
    <row r="107" spans="5:11" ht="13" x14ac:dyDescent="0.3">
      <c r="F107" s="24" t="s">
        <v>221</v>
      </c>
    </row>
    <row r="108" spans="5:11" x14ac:dyDescent="0.25">
      <c r="E108" s="641"/>
      <c r="F108" s="641"/>
      <c r="G108" s="641"/>
      <c r="H108" s="641"/>
      <c r="I108" s="641"/>
      <c r="J108" s="641"/>
      <c r="K108" s="641"/>
    </row>
    <row r="109" spans="5:11" ht="13" x14ac:dyDescent="0.3">
      <c r="E109" s="641"/>
      <c r="F109" s="642" t="s">
        <v>222</v>
      </c>
      <c r="G109" s="643">
        <f>+G91</f>
        <v>2025</v>
      </c>
      <c r="H109" s="641"/>
      <c r="I109" s="644" t="s">
        <v>223</v>
      </c>
      <c r="J109" s="643">
        <f>+G91</f>
        <v>2025</v>
      </c>
      <c r="K109" s="641"/>
    </row>
    <row r="110" spans="5:11" x14ac:dyDescent="0.25">
      <c r="E110" s="641"/>
      <c r="F110" s="645" t="s">
        <v>224</v>
      </c>
      <c r="G110" s="646">
        <f>+J43+J44+J45</f>
        <v>-3379.3705217232928</v>
      </c>
      <c r="H110" s="641"/>
      <c r="I110" s="645" t="s">
        <v>225</v>
      </c>
      <c r="J110" s="646">
        <f>+H66</f>
        <v>0</v>
      </c>
      <c r="K110" s="641"/>
    </row>
    <row r="111" spans="5:11" x14ac:dyDescent="0.25">
      <c r="E111" s="641"/>
      <c r="F111" s="645" t="s">
        <v>226</v>
      </c>
      <c r="G111" s="646">
        <f>+G53</f>
        <v>0</v>
      </c>
      <c r="H111" s="641"/>
      <c r="I111" s="645" t="s">
        <v>227</v>
      </c>
      <c r="J111" s="646">
        <f>+I71</f>
        <v>0</v>
      </c>
      <c r="K111" s="641"/>
    </row>
    <row r="112" spans="5:11" x14ac:dyDescent="0.25">
      <c r="E112" s="641"/>
      <c r="F112" s="645" t="s">
        <v>228</v>
      </c>
      <c r="G112" s="646">
        <f>+I58</f>
        <v>0</v>
      </c>
      <c r="H112" s="641"/>
      <c r="I112" s="645" t="s">
        <v>229</v>
      </c>
      <c r="J112" s="646">
        <f>+G78</f>
        <v>0</v>
      </c>
      <c r="K112" s="641"/>
    </row>
    <row r="113" spans="5:13" x14ac:dyDescent="0.25">
      <c r="E113" s="641"/>
      <c r="F113" s="645"/>
      <c r="G113" s="646"/>
      <c r="H113" s="641"/>
      <c r="I113" s="645" t="s">
        <v>230</v>
      </c>
      <c r="J113" s="646">
        <f>+I83+I84+I87</f>
        <v>0</v>
      </c>
      <c r="K113" s="641"/>
    </row>
    <row r="114" spans="5:13" x14ac:dyDescent="0.25">
      <c r="E114" s="641"/>
      <c r="F114" s="645"/>
      <c r="G114" s="646"/>
      <c r="H114" s="641"/>
      <c r="I114" s="647" t="s">
        <v>231</v>
      </c>
      <c r="J114" s="646">
        <f>+G93</f>
        <v>0</v>
      </c>
      <c r="K114" s="641"/>
    </row>
    <row r="115" spans="5:13" ht="13" x14ac:dyDescent="0.3">
      <c r="E115" s="641"/>
      <c r="F115" s="642" t="s">
        <v>124</v>
      </c>
      <c r="G115" s="648">
        <f>+G110+G111+G112+G113</f>
        <v>-3379.3705217232928</v>
      </c>
      <c r="H115" s="641"/>
      <c r="I115" s="649" t="s">
        <v>232</v>
      </c>
      <c r="J115" s="650">
        <f>+G97</f>
        <v>-79653.401902930855</v>
      </c>
      <c r="K115" s="641"/>
    </row>
    <row r="116" spans="5:13" ht="13" x14ac:dyDescent="0.3">
      <c r="E116" s="641"/>
      <c r="F116" s="651"/>
      <c r="G116" s="652"/>
      <c r="H116" s="641"/>
      <c r="I116" s="653" t="s">
        <v>233</v>
      </c>
      <c r="J116" s="646">
        <f>+G104</f>
        <v>0</v>
      </c>
      <c r="K116" s="641"/>
    </row>
    <row r="117" spans="5:13" ht="13" x14ac:dyDescent="0.3">
      <c r="E117" s="641"/>
      <c r="F117" s="641"/>
      <c r="G117" s="641"/>
      <c r="H117" s="641"/>
      <c r="I117" s="642" t="s">
        <v>124</v>
      </c>
      <c r="J117" s="648">
        <f>SUM(J110:J116)</f>
        <v>-79653.401902930855</v>
      </c>
      <c r="K117" s="641"/>
    </row>
    <row r="118" spans="5:13" ht="13" x14ac:dyDescent="0.3">
      <c r="E118" s="641"/>
      <c r="F118" s="641"/>
      <c r="G118" s="641"/>
      <c r="H118" s="641"/>
      <c r="I118" s="641"/>
      <c r="J118" s="641"/>
      <c r="K118" s="641"/>
      <c r="L118" s="24" t="s">
        <v>234</v>
      </c>
    </row>
    <row r="119" spans="5:13" ht="13.5" thickBot="1" x14ac:dyDescent="0.35">
      <c r="E119" s="641"/>
      <c r="F119" s="641"/>
      <c r="G119" s="641"/>
      <c r="H119" s="641"/>
      <c r="I119" s="641"/>
      <c r="J119" s="641"/>
      <c r="K119" s="641"/>
      <c r="L119" s="24"/>
    </row>
    <row r="120" spans="5:13" ht="13.5" thickBot="1" x14ac:dyDescent="0.35">
      <c r="E120" s="641"/>
      <c r="F120" s="641"/>
      <c r="G120" s="641"/>
      <c r="H120" s="641"/>
      <c r="I120" s="641"/>
      <c r="J120" s="641"/>
      <c r="M120" s="254">
        <f>+J109</f>
        <v>2025</v>
      </c>
    </row>
    <row r="121" spans="5:13" x14ac:dyDescent="0.25">
      <c r="E121" s="641"/>
      <c r="F121" s="641"/>
      <c r="G121" s="641"/>
      <c r="H121" s="641"/>
      <c r="I121" s="641"/>
      <c r="J121" s="641"/>
      <c r="L121" s="158" t="s">
        <v>235</v>
      </c>
      <c r="M121" s="636">
        <f>+B12</f>
        <v>627393</v>
      </c>
    </row>
    <row r="122" spans="5:13" x14ac:dyDescent="0.25">
      <c r="E122" s="641"/>
      <c r="F122" s="641"/>
      <c r="G122" s="641"/>
      <c r="H122" s="641"/>
      <c r="I122" s="641"/>
      <c r="J122" s="641"/>
      <c r="L122" s="261" t="s">
        <v>236</v>
      </c>
      <c r="M122" s="637">
        <f>+G115</f>
        <v>-3379.3705217232928</v>
      </c>
    </row>
    <row r="123" spans="5:13" ht="13" x14ac:dyDescent="0.3">
      <c r="E123" s="641"/>
      <c r="F123" s="641"/>
      <c r="G123" s="641"/>
      <c r="H123" s="641"/>
      <c r="I123" s="641"/>
      <c r="J123" s="641"/>
      <c r="L123" s="25" t="s">
        <v>237</v>
      </c>
      <c r="M123" s="638">
        <f>+M121+M122</f>
        <v>624013.62947827671</v>
      </c>
    </row>
    <row r="124" spans="5:13" x14ac:dyDescent="0.25">
      <c r="J124" s="15"/>
      <c r="L124" s="158" t="s">
        <v>238</v>
      </c>
      <c r="M124" s="639">
        <f>+E12</f>
        <v>604893</v>
      </c>
    </row>
    <row r="125" spans="5:13" x14ac:dyDescent="0.25">
      <c r="L125" s="261" t="s">
        <v>239</v>
      </c>
      <c r="M125" s="637">
        <f>+J117</f>
        <v>-79653.401902930855</v>
      </c>
    </row>
    <row r="126" spans="5:13" ht="13" x14ac:dyDescent="0.3">
      <c r="L126" s="25" t="s">
        <v>240</v>
      </c>
      <c r="M126" s="638">
        <f>+M124+M125</f>
        <v>525239.59809706919</v>
      </c>
    </row>
    <row r="127" spans="5:13" x14ac:dyDescent="0.25">
      <c r="L127" s="263" t="str">
        <f>+IF(M127&lt;0,"Dèficit no financer","Superàvit no financer")</f>
        <v>Superàvit no financer</v>
      </c>
      <c r="M127" s="640">
        <f>M121-M124</f>
        <v>22500</v>
      </c>
    </row>
    <row r="128" spans="5:13" x14ac:dyDescent="0.25">
      <c r="L128" s="264" t="s">
        <v>241</v>
      </c>
      <c r="M128" s="637">
        <f>+M122-M125</f>
        <v>76274.031381207562</v>
      </c>
    </row>
    <row r="129" spans="9:16" ht="13" x14ac:dyDescent="0.3">
      <c r="I129" s="15"/>
      <c r="L129" s="88" t="str">
        <f>+IF(M129&lt;0,"Necessitat de finançament","Capacitat de finançament")</f>
        <v>Capacitat de finançament</v>
      </c>
      <c r="M129" s="638">
        <f>+M127+M128</f>
        <v>98774.031381207562</v>
      </c>
    </row>
    <row r="132" spans="9:16" ht="65.25" customHeight="1" x14ac:dyDescent="0.3">
      <c r="L132" s="62" t="str">
        <f>IF(+M129&gt;0,+O162,+O164)</f>
        <v>El pressupost general compleix amb l’objectiu d’estabilitat pressupostaria per un import de</v>
      </c>
      <c r="M132" s="752">
        <f>IF(+M129&gt;0,+M129,-M129)</f>
        <v>98774.031381207562</v>
      </c>
      <c r="O132" s="1133" t="s">
        <v>242</v>
      </c>
      <c r="P132" s="1133"/>
    </row>
    <row r="134" spans="9:16" x14ac:dyDescent="0.25">
      <c r="O134" s="12" t="s">
        <v>243</v>
      </c>
      <c r="P134" s="258">
        <f>+J43</f>
        <v>-3369.6948430462799</v>
      </c>
    </row>
    <row r="135" spans="9:16" x14ac:dyDescent="0.25">
      <c r="O135" s="12" t="s">
        <v>244</v>
      </c>
      <c r="P135" s="258">
        <f>+J44</f>
        <v>0</v>
      </c>
    </row>
    <row r="136" spans="9:16" x14ac:dyDescent="0.25">
      <c r="O136" s="12" t="s">
        <v>245</v>
      </c>
      <c r="P136" s="258">
        <f>+J45</f>
        <v>-9.6756786770129111</v>
      </c>
    </row>
    <row r="137" spans="9:16" x14ac:dyDescent="0.25">
      <c r="O137" s="12" t="s">
        <v>246</v>
      </c>
      <c r="P137" s="258">
        <f>+G50</f>
        <v>0</v>
      </c>
    </row>
    <row r="138" spans="9:16" x14ac:dyDescent="0.25">
      <c r="O138" s="12" t="s">
        <v>247</v>
      </c>
      <c r="P138" s="258">
        <f>+G51</f>
        <v>0</v>
      </c>
    </row>
    <row r="139" spans="9:16" x14ac:dyDescent="0.25">
      <c r="O139" s="12" t="s">
        <v>248</v>
      </c>
      <c r="P139" s="258">
        <f>+G52</f>
        <v>0</v>
      </c>
    </row>
    <row r="140" spans="9:16" x14ac:dyDescent="0.25">
      <c r="O140" s="12" t="s">
        <v>249</v>
      </c>
      <c r="P140" s="258">
        <f>+G112-J111</f>
        <v>0</v>
      </c>
    </row>
    <row r="141" spans="9:16" x14ac:dyDescent="0.25">
      <c r="O141" s="12" t="s">
        <v>250</v>
      </c>
      <c r="P141" s="258" t="s">
        <v>39</v>
      </c>
    </row>
    <row r="142" spans="9:16" x14ac:dyDescent="0.25">
      <c r="O142" s="12" t="s">
        <v>251</v>
      </c>
      <c r="P142" s="258">
        <f>-J115</f>
        <v>79653.401902930855</v>
      </c>
    </row>
    <row r="143" spans="9:16" x14ac:dyDescent="0.25">
      <c r="O143" s="12" t="s">
        <v>252</v>
      </c>
      <c r="P143" s="258" t="s">
        <v>39</v>
      </c>
    </row>
    <row r="144" spans="9:16" x14ac:dyDescent="0.25">
      <c r="O144" s="12" t="s">
        <v>253</v>
      </c>
      <c r="P144" s="258" t="s">
        <v>39</v>
      </c>
    </row>
    <row r="145" spans="15:16" x14ac:dyDescent="0.25">
      <c r="O145" s="12" t="s">
        <v>254</v>
      </c>
      <c r="P145" s="258" t="s">
        <v>39</v>
      </c>
    </row>
    <row r="146" spans="15:16" x14ac:dyDescent="0.25">
      <c r="O146" s="12" t="s">
        <v>255</v>
      </c>
      <c r="P146" s="258" t="s">
        <v>39</v>
      </c>
    </row>
    <row r="147" spans="15:16" x14ac:dyDescent="0.25">
      <c r="O147" s="12" t="s">
        <v>256</v>
      </c>
      <c r="P147" s="258" t="s">
        <v>39</v>
      </c>
    </row>
    <row r="148" spans="15:16" x14ac:dyDescent="0.25">
      <c r="O148" s="12" t="s">
        <v>257</v>
      </c>
      <c r="P148" s="258">
        <f>-J113</f>
        <v>0</v>
      </c>
    </row>
    <row r="149" spans="15:16" x14ac:dyDescent="0.25">
      <c r="O149" s="12" t="s">
        <v>258</v>
      </c>
      <c r="P149" s="258">
        <f>-J114</f>
        <v>0</v>
      </c>
    </row>
    <row r="150" spans="15:16" x14ac:dyDescent="0.25">
      <c r="O150" s="12" t="s">
        <v>259</v>
      </c>
      <c r="P150" s="258" t="s">
        <v>39</v>
      </c>
    </row>
    <row r="151" spans="15:16" x14ac:dyDescent="0.25">
      <c r="O151" s="12" t="s">
        <v>260</v>
      </c>
      <c r="P151" s="258">
        <f>-J110</f>
        <v>0</v>
      </c>
    </row>
    <row r="152" spans="15:16" x14ac:dyDescent="0.25">
      <c r="O152" s="12" t="s">
        <v>261</v>
      </c>
      <c r="P152" s="258">
        <f>-J116</f>
        <v>0</v>
      </c>
    </row>
    <row r="153" spans="15:16" x14ac:dyDescent="0.25">
      <c r="O153" s="12" t="s">
        <v>262</v>
      </c>
      <c r="P153" s="258">
        <f>-J112</f>
        <v>0</v>
      </c>
    </row>
    <row r="154" spans="15:16" x14ac:dyDescent="0.25">
      <c r="O154" s="12" t="s">
        <v>263</v>
      </c>
      <c r="P154" s="258" t="s">
        <v>39</v>
      </c>
    </row>
    <row r="155" spans="15:16" x14ac:dyDescent="0.25">
      <c r="O155" s="12" t="s">
        <v>264</v>
      </c>
      <c r="P155" s="258" t="s">
        <v>39</v>
      </c>
    </row>
    <row r="156" spans="15:16" x14ac:dyDescent="0.25">
      <c r="O156" s="12" t="s">
        <v>265</v>
      </c>
      <c r="P156" s="258" t="s">
        <v>39</v>
      </c>
    </row>
    <row r="157" spans="15:16" x14ac:dyDescent="0.25">
      <c r="O157" s="12" t="s">
        <v>266</v>
      </c>
      <c r="P157" s="258" t="s">
        <v>39</v>
      </c>
    </row>
    <row r="158" spans="15:16" ht="13" x14ac:dyDescent="0.3">
      <c r="O158" s="11" t="s">
        <v>267</v>
      </c>
      <c r="P158" s="164">
        <f>SUM(P134:P157)</f>
        <v>76274.031381207562</v>
      </c>
    </row>
    <row r="162" spans="11:16" ht="28" x14ac:dyDescent="0.25">
      <c r="K162" s="1135"/>
      <c r="L162" s="1136"/>
      <c r="M162" s="1136"/>
      <c r="O162" s="753" t="s">
        <v>698</v>
      </c>
      <c r="P162" s="754"/>
    </row>
    <row r="163" spans="11:16" x14ac:dyDescent="0.25">
      <c r="K163" s="62"/>
      <c r="L163" s="62"/>
      <c r="M163" s="62"/>
      <c r="O163" s="755"/>
      <c r="P163" s="756"/>
    </row>
    <row r="164" spans="11:16" ht="28" x14ac:dyDescent="0.25">
      <c r="K164" s="1135"/>
      <c r="L164" s="1136"/>
      <c r="M164" s="1136"/>
      <c r="O164" s="757" t="s">
        <v>699</v>
      </c>
      <c r="P164" s="758"/>
    </row>
  </sheetData>
  <sheetProtection algorithmName="SHA-512" hashValue="ULEEfd+eXk4NDmoM8SdokwFbnCh4okuEjqOZVlM20jYRhOBC2wMeOp+FVXeAiQh0Z10d7qVKejM+vO2M4CjBWw==" saltValue="a9uViQpBDRu8wONUoR+jHw==" spinCount="100000" sheet="1" objects="1" scenarios="1"/>
  <mergeCells count="5">
    <mergeCell ref="F17:J17"/>
    <mergeCell ref="F87:G87"/>
    <mergeCell ref="O132:P132"/>
    <mergeCell ref="K162:M162"/>
    <mergeCell ref="K164:M164"/>
  </mergeCells>
  <phoneticPr fontId="0" type="noConversion"/>
  <pageMargins left="0.74791666666666667" right="0.74791666666666667" top="0.98402777777777772" bottom="0.98402777777777772" header="0.51180555555555551" footer="0.51180555555555551"/>
  <pageSetup paperSize="9" scale="74" firstPageNumber="0" orientation="portrait" horizontalDpi="300" verticalDpi="300" r:id="rId1"/>
  <headerFooter alignWithMargins="0"/>
  <rowBreaks count="3" manualBreakCount="3">
    <brk id="16" max="16383" man="1"/>
    <brk id="88" max="16383" man="1"/>
    <brk id="117" max="16383" man="1"/>
  </rowBreaks>
  <colBreaks count="2" manualBreakCount="2">
    <brk id="5" max="1048575" man="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10</vt:i4>
      </vt:variant>
    </vt:vector>
  </HeadingPairs>
  <TitlesOfParts>
    <vt:vector size="29" baseType="lpstr">
      <vt:lpstr>INSTRUCCIONS</vt:lpstr>
      <vt:lpstr>dades expedient</vt:lpstr>
      <vt:lpstr>RESUM_PRESSUPOST</vt:lpstr>
      <vt:lpstr>INGRESSOS</vt:lpstr>
      <vt:lpstr>DESPESES</vt:lpstr>
      <vt:lpstr>INVERSIONS</vt:lpstr>
      <vt:lpstr>PERSONAL</vt:lpstr>
      <vt:lpstr>3 Regla despesa</vt:lpstr>
      <vt:lpstr>4_CF_NF</vt:lpstr>
      <vt:lpstr>5_sostre despesa</vt:lpstr>
      <vt:lpstr>6_Sostenibilitat</vt:lpstr>
      <vt:lpstr>PROGRAMES</vt:lpstr>
      <vt:lpstr>7_PREV LIQ i LIQ_equilibri</vt:lpstr>
      <vt:lpstr>8_LIQ_Regla despesa</vt:lpstr>
      <vt:lpstr>9_LIQ_CF_NF</vt:lpstr>
      <vt:lpstr>10_LIQ_Sostenibilitat</vt:lpstr>
      <vt:lpstr>11_EQUILIBRIS I CONSOLIDACIÓ</vt:lpstr>
      <vt:lpstr>Pla d'Inversions</vt:lpstr>
      <vt:lpstr>Taula Conversió</vt:lpstr>
      <vt:lpstr>'3 Regla despesa'!Área_de_impresión</vt:lpstr>
      <vt:lpstr>'4_CF_NF'!Área_de_impresión</vt:lpstr>
      <vt:lpstr>'7_PREV LIQ i LIQ_equilibri'!Área_de_impresión</vt:lpstr>
      <vt:lpstr>'8_LIQ_Regla despesa'!Área_de_impresión</vt:lpstr>
      <vt:lpstr>'9_LIQ_CF_NF'!Área_de_impresión</vt:lpstr>
      <vt:lpstr>INSTRUCCIONS!Área_de_impresión</vt:lpstr>
      <vt:lpstr>PROGRAMES!Área_de_impresión</vt:lpstr>
      <vt:lpstr>RESUM_PRESSUPOST!Área_de_impresión</vt:lpstr>
      <vt:lpstr>DESPESES!Títulos_a_imprimir</vt:lpstr>
      <vt:lpstr>PROGRAMES!Títulos_a_imprimir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Enric Centelles Estévez</dc:creator>
  <cp:lastModifiedBy>Daniel Fusté Felices</cp:lastModifiedBy>
  <cp:lastPrinted>2018-02-02T15:20:49Z</cp:lastPrinted>
  <dcterms:created xsi:type="dcterms:W3CDTF">2014-10-17T08:10:42Z</dcterms:created>
  <dcterms:modified xsi:type="dcterms:W3CDTF">2025-07-25T08:41:51Z</dcterms:modified>
</cp:coreProperties>
</file>