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0" windowWidth="18915" windowHeight="11760" tabRatio="961" firstSheet="7" activeTab="7"/>
  </bookViews>
  <sheets>
    <sheet name="CALCULS_2n2018_FUNC" sheetId="7" state="hidden" r:id="rId1"/>
    <sheet name="2019_FUN_mensual_AMB_225" sheetId="9" state="hidden" r:id="rId2"/>
    <sheet name="2019_FUN_ANUAL_AMB_PGE_225" sheetId="6" state="hidden" r:id="rId3"/>
    <sheet name="2017_ANY_FUN" sheetId="1" state="hidden" r:id="rId4"/>
    <sheet name="2017_ANY_mensual" sheetId="2" state="hidden" r:id="rId5"/>
    <sheet name="2018_ANY_FUN " sheetId="4" state="hidden" r:id="rId6"/>
    <sheet name="2017_2018_LABORALS" sheetId="5" state="hidden" r:id="rId7"/>
    <sheet name="2019_LABORALS" sheetId="10" r:id="rId8"/>
    <sheet name="2018_2nSEMESTRE_LABORALS" sheetId="8" state="hidden" r:id="rId9"/>
    <sheet name="2017_LABORALS" sheetId="3" state="hidden" r:id="rId10"/>
    <sheet name="Hoja1" sheetId="11" state="hidden" r:id="rId11"/>
    <sheet name="Hoja2" sheetId="12" state="hidden" r:id="rId12"/>
  </sheets>
  <definedNames>
    <definedName name="_xlnm.Print_Area" localSheetId="8">'2018_2nSEMESTRE_LABORALS'!$A$49:$O$61</definedName>
    <definedName name="_xlnm.Print_Area" localSheetId="2">'2019_FUN_ANUAL_AMB_PGE_225'!$A$1:$X$75</definedName>
    <definedName name="_xlnm.Print_Area" localSheetId="1">'2019_FUN_mensual_AMB_225'!$A$1:$X$73</definedName>
    <definedName name="_xlnm.Print_Area" localSheetId="0">CALCULS_2n2018_FUNC!$M$47:$W$60</definedName>
    <definedName name="_xlnm.Print_Area" localSheetId="10">Hoja1!$A$49:$O$62</definedName>
  </definedNames>
  <calcPr calcId="145621"/>
</workbook>
</file>

<file path=xl/calcChain.xml><?xml version="1.0" encoding="utf-8"?>
<calcChain xmlns="http://schemas.openxmlformats.org/spreadsheetml/2006/main">
  <c r="B11" i="9" l="1"/>
  <c r="B10" i="9"/>
  <c r="P60" i="6" l="1"/>
  <c r="Q60" i="6"/>
  <c r="R60" i="6"/>
  <c r="S60" i="6"/>
  <c r="T60" i="6"/>
  <c r="U60" i="6"/>
  <c r="V60" i="6"/>
  <c r="W60" i="6"/>
  <c r="P58" i="6"/>
  <c r="Q58" i="6"/>
  <c r="R58" i="6"/>
  <c r="S58" i="6"/>
  <c r="T58" i="6"/>
  <c r="U58" i="6"/>
  <c r="V58" i="6"/>
  <c r="W58" i="6"/>
  <c r="P57" i="6"/>
  <c r="Q57" i="6"/>
  <c r="R57" i="6"/>
  <c r="S57" i="6"/>
  <c r="T57" i="6"/>
  <c r="U57" i="6"/>
  <c r="V57" i="6"/>
  <c r="W57" i="6"/>
  <c r="P56" i="6"/>
  <c r="Q56" i="6"/>
  <c r="R56" i="6"/>
  <c r="S56" i="6"/>
  <c r="T56" i="6"/>
  <c r="U56" i="6"/>
  <c r="V56" i="6"/>
  <c r="W56" i="6"/>
  <c r="P55" i="6"/>
  <c r="Q55" i="6"/>
  <c r="R55" i="6"/>
  <c r="S55" i="6"/>
  <c r="T55" i="6"/>
  <c r="U55" i="6"/>
  <c r="V55" i="6"/>
  <c r="W55" i="6"/>
  <c r="P54" i="6"/>
  <c r="P61" i="6" s="1"/>
  <c r="Q54" i="6"/>
  <c r="Q61" i="6" s="1"/>
  <c r="R54" i="6"/>
  <c r="R61" i="6" s="1"/>
  <c r="S54" i="6"/>
  <c r="S61" i="6" s="1"/>
  <c r="T54" i="6"/>
  <c r="T61" i="6" s="1"/>
  <c r="U54" i="6"/>
  <c r="U61" i="6" s="1"/>
  <c r="V54" i="6"/>
  <c r="V61" i="6" s="1"/>
  <c r="W54" i="6"/>
  <c r="W61" i="6" s="1"/>
  <c r="O58" i="6"/>
  <c r="O57" i="6"/>
  <c r="O56" i="6"/>
  <c r="O55" i="6"/>
  <c r="O60" i="6"/>
  <c r="O54" i="6"/>
  <c r="O61" i="6" s="1"/>
  <c r="N54" i="6"/>
  <c r="N60" i="6"/>
  <c r="N57" i="6"/>
  <c r="N58" i="6"/>
  <c r="N56" i="6"/>
  <c r="N55" i="6"/>
  <c r="N61" i="6" l="1"/>
  <c r="J70" i="6"/>
  <c r="J72" i="9"/>
  <c r="C67" i="6" l="1"/>
  <c r="B67" i="6"/>
  <c r="C66" i="6"/>
  <c r="B66" i="6"/>
  <c r="C65" i="6"/>
  <c r="B65" i="6"/>
  <c r="C64" i="6"/>
  <c r="B64" i="6"/>
  <c r="W58" i="9"/>
  <c r="W56" i="9"/>
  <c r="W55" i="9"/>
  <c r="W54" i="9"/>
  <c r="V56" i="9"/>
  <c r="V55" i="9"/>
  <c r="V54" i="9"/>
  <c r="U56" i="9"/>
  <c r="U55" i="9"/>
  <c r="U54" i="9"/>
  <c r="T56" i="9"/>
  <c r="T55" i="9"/>
  <c r="T54" i="9"/>
  <c r="S56" i="9"/>
  <c r="S55" i="9"/>
  <c r="S54" i="9"/>
  <c r="V58" i="9"/>
  <c r="U58" i="9"/>
  <c r="T58" i="9"/>
  <c r="S58" i="9"/>
  <c r="R58" i="9"/>
  <c r="R56" i="9"/>
  <c r="R55" i="9"/>
  <c r="R54" i="9"/>
  <c r="Q58" i="9"/>
  <c r="Q56" i="9"/>
  <c r="Q55" i="9"/>
  <c r="Q54" i="9"/>
  <c r="P58" i="9"/>
  <c r="P56" i="9"/>
  <c r="P55" i="9"/>
  <c r="P54" i="9"/>
  <c r="O58" i="9"/>
  <c r="O56" i="9"/>
  <c r="O55" i="9"/>
  <c r="O54" i="9"/>
  <c r="N58" i="9"/>
  <c r="N56" i="9"/>
  <c r="N55" i="9"/>
  <c r="N54" i="9"/>
  <c r="T44" i="9"/>
  <c r="T42" i="9"/>
  <c r="T41" i="9"/>
  <c r="T40" i="9"/>
  <c r="S44" i="9"/>
  <c r="S42" i="9"/>
  <c r="S41" i="9"/>
  <c r="S40" i="9"/>
  <c r="R44" i="9"/>
  <c r="R42" i="9"/>
  <c r="R41" i="9"/>
  <c r="R40" i="9"/>
  <c r="Q44" i="9"/>
  <c r="Q42" i="9"/>
  <c r="Q41" i="9"/>
  <c r="Q40" i="9"/>
  <c r="P44" i="9"/>
  <c r="P42" i="9"/>
  <c r="P41" i="9"/>
  <c r="P40" i="9"/>
  <c r="O44" i="9"/>
  <c r="O42" i="9"/>
  <c r="O41" i="9"/>
  <c r="O40" i="9"/>
  <c r="N44" i="9"/>
  <c r="N42" i="9"/>
  <c r="N41" i="9"/>
  <c r="N40" i="9"/>
  <c r="M44" i="9"/>
  <c r="M42" i="9"/>
  <c r="M41" i="9"/>
  <c r="M40" i="9"/>
  <c r="L44" i="9"/>
  <c r="L42" i="9"/>
  <c r="L41" i="9"/>
  <c r="L40" i="9"/>
  <c r="K44" i="9"/>
  <c r="K42" i="9"/>
  <c r="K41" i="9"/>
  <c r="K40" i="9"/>
  <c r="Q30" i="9"/>
  <c r="Q28" i="9"/>
  <c r="Q27" i="9"/>
  <c r="Q26" i="9"/>
  <c r="P30" i="9"/>
  <c r="P28" i="9"/>
  <c r="P27" i="9"/>
  <c r="P26" i="9"/>
  <c r="O30" i="9"/>
  <c r="O28" i="9"/>
  <c r="O27" i="9"/>
  <c r="O26" i="9"/>
  <c r="N30" i="9"/>
  <c r="N28" i="9"/>
  <c r="N27" i="9"/>
  <c r="N26" i="9"/>
  <c r="M30" i="9"/>
  <c r="M28" i="9"/>
  <c r="M27" i="9"/>
  <c r="M26" i="9"/>
  <c r="L30" i="9"/>
  <c r="L28" i="9"/>
  <c r="L27" i="9"/>
  <c r="L26" i="9"/>
  <c r="K30" i="9"/>
  <c r="K28" i="9"/>
  <c r="K27" i="9"/>
  <c r="K26" i="9"/>
  <c r="J30" i="9"/>
  <c r="J28" i="9"/>
  <c r="J27" i="9"/>
  <c r="J26" i="9"/>
  <c r="I30" i="9"/>
  <c r="I28" i="9"/>
  <c r="I27" i="9"/>
  <c r="I26" i="9"/>
  <c r="H30" i="9"/>
  <c r="H28" i="9"/>
  <c r="H27" i="9"/>
  <c r="H26" i="9"/>
  <c r="G30" i="9"/>
  <c r="G28" i="9"/>
  <c r="G27" i="9"/>
  <c r="G26" i="9"/>
  <c r="F30" i="9"/>
  <c r="F28" i="9"/>
  <c r="F27" i="9"/>
  <c r="F26" i="9"/>
  <c r="E30" i="9"/>
  <c r="E28" i="9"/>
  <c r="E27" i="9"/>
  <c r="E26" i="9"/>
  <c r="O16" i="9"/>
  <c r="O14" i="9"/>
  <c r="O13" i="9"/>
  <c r="O12" i="9"/>
  <c r="N16" i="9"/>
  <c r="N14" i="9"/>
  <c r="N13" i="9"/>
  <c r="N12" i="9"/>
  <c r="M16" i="9"/>
  <c r="M14" i="9"/>
  <c r="M13" i="9"/>
  <c r="M12" i="9"/>
  <c r="L16" i="9"/>
  <c r="L14" i="9"/>
  <c r="L13" i="9"/>
  <c r="L12" i="9"/>
  <c r="K16" i="9"/>
  <c r="K14" i="9"/>
  <c r="K13" i="9"/>
  <c r="K12" i="9"/>
  <c r="J16" i="9"/>
  <c r="J14" i="9"/>
  <c r="J13" i="9"/>
  <c r="J12" i="9"/>
  <c r="I16" i="9"/>
  <c r="I14" i="9"/>
  <c r="I13" i="9"/>
  <c r="I12" i="9"/>
  <c r="H16" i="9"/>
  <c r="H14" i="9"/>
  <c r="H13" i="9"/>
  <c r="H12" i="9"/>
  <c r="G16" i="9"/>
  <c r="G14" i="9"/>
  <c r="G13" i="9"/>
  <c r="G12" i="9"/>
  <c r="F16" i="9"/>
  <c r="F14" i="9"/>
  <c r="F13" i="9"/>
  <c r="F12" i="9"/>
  <c r="E16" i="9"/>
  <c r="E14" i="9"/>
  <c r="E13" i="9"/>
  <c r="E12" i="9"/>
  <c r="D16" i="9"/>
  <c r="D14" i="9"/>
  <c r="D13" i="9"/>
  <c r="D12" i="9"/>
  <c r="C16" i="9"/>
  <c r="C14" i="9"/>
  <c r="C13" i="9"/>
  <c r="C12" i="9"/>
  <c r="C67" i="9"/>
  <c r="C68" i="9"/>
  <c r="C69" i="9"/>
  <c r="C66" i="9"/>
  <c r="B69" i="9"/>
  <c r="B68" i="9"/>
  <c r="B67" i="9"/>
  <c r="B66" i="9"/>
  <c r="W53" i="9"/>
  <c r="V53" i="9"/>
  <c r="U53" i="9"/>
  <c r="T39" i="9"/>
  <c r="T53" i="9" s="1"/>
  <c r="S39" i="9"/>
  <c r="S53" i="9" s="1"/>
  <c r="R39" i="9"/>
  <c r="R53" i="9" s="1"/>
  <c r="Q39" i="9"/>
  <c r="Q53" i="9" s="1"/>
  <c r="P25" i="9"/>
  <c r="P39" i="9" s="1"/>
  <c r="P53" i="9" s="1"/>
  <c r="O25" i="9"/>
  <c r="O39" i="9" s="1"/>
  <c r="O53" i="9" s="1"/>
  <c r="N25" i="9"/>
  <c r="N39" i="9" s="1"/>
  <c r="N53" i="9" s="1"/>
  <c r="M25" i="9"/>
  <c r="M39" i="9" s="1"/>
  <c r="F25" i="9"/>
  <c r="E25" i="9"/>
  <c r="L11" i="9"/>
  <c r="N11" i="9" s="1"/>
  <c r="K11" i="9"/>
  <c r="K25" i="9" s="1"/>
  <c r="K39" i="9" s="1"/>
  <c r="J11" i="9"/>
  <c r="J25" i="9" s="1"/>
  <c r="I11" i="9"/>
  <c r="I25" i="9" s="1"/>
  <c r="H11" i="9"/>
  <c r="H25" i="9" s="1"/>
  <c r="G11" i="9"/>
  <c r="G25" i="9" s="1"/>
  <c r="F11" i="9"/>
  <c r="E11" i="9"/>
  <c r="D11" i="9"/>
  <c r="C11" i="9"/>
  <c r="C10" i="9"/>
  <c r="G10" i="9"/>
  <c r="H10" i="9"/>
  <c r="L10" i="9"/>
  <c r="N10" i="9"/>
  <c r="C81" i="10"/>
  <c r="C80" i="10"/>
  <c r="C61" i="9" s="1"/>
  <c r="C56" i="6" s="1"/>
  <c r="C79" i="10"/>
  <c r="C60" i="9" s="1"/>
  <c r="C48" i="6" s="1"/>
  <c r="C78" i="10"/>
  <c r="C59" i="9" s="1"/>
  <c r="C77" i="10"/>
  <c r="C58" i="9" s="1"/>
  <c r="E72" i="10"/>
  <c r="E71" i="10"/>
  <c r="E70" i="10"/>
  <c r="E69" i="10"/>
  <c r="E68" i="10"/>
  <c r="E63" i="10"/>
  <c r="E62" i="10"/>
  <c r="E61" i="10"/>
  <c r="E60" i="10"/>
  <c r="E59" i="10"/>
  <c r="E58" i="10"/>
  <c r="E57" i="10"/>
  <c r="E56" i="10"/>
  <c r="E55" i="10"/>
  <c r="E49" i="10"/>
  <c r="E48" i="10"/>
  <c r="E47" i="10"/>
  <c r="E46" i="10"/>
  <c r="E45" i="10"/>
  <c r="E44" i="10"/>
  <c r="E43" i="10"/>
  <c r="E42" i="10"/>
  <c r="E41" i="10"/>
  <c r="E36" i="10"/>
  <c r="E35" i="10"/>
  <c r="E34" i="10"/>
  <c r="E33" i="10"/>
  <c r="E32" i="10"/>
  <c r="E31" i="10"/>
  <c r="E30" i="10"/>
  <c r="E29" i="10"/>
  <c r="E28" i="10"/>
  <c r="E27" i="10"/>
  <c r="E26" i="10"/>
  <c r="E25" i="10"/>
  <c r="E20" i="10"/>
  <c r="E19" i="10"/>
  <c r="E18" i="10"/>
  <c r="E17" i="10"/>
  <c r="E16" i="10"/>
  <c r="E15" i="10"/>
  <c r="E14" i="10"/>
  <c r="E13" i="10"/>
  <c r="C69" i="10"/>
  <c r="C70" i="10"/>
  <c r="C71" i="10"/>
  <c r="C72" i="10"/>
  <c r="C68" i="10"/>
  <c r="C56" i="10"/>
  <c r="C57" i="10"/>
  <c r="C58" i="10"/>
  <c r="C59" i="10"/>
  <c r="C60" i="10"/>
  <c r="C61" i="10"/>
  <c r="C62" i="10"/>
  <c r="C63" i="10"/>
  <c r="F63" i="10" s="1"/>
  <c r="C55" i="10"/>
  <c r="W52" i="9" s="1"/>
  <c r="C42" i="10"/>
  <c r="C43" i="10"/>
  <c r="C44" i="10"/>
  <c r="C45" i="10"/>
  <c r="C46" i="10"/>
  <c r="C47" i="10"/>
  <c r="C48" i="10"/>
  <c r="C49" i="10"/>
  <c r="C41" i="10"/>
  <c r="S38" i="9" s="1"/>
  <c r="C26" i="10"/>
  <c r="C27" i="10"/>
  <c r="C28" i="10"/>
  <c r="C29" i="10"/>
  <c r="C30" i="10"/>
  <c r="C31" i="10"/>
  <c r="C32" i="10"/>
  <c r="C33" i="10"/>
  <c r="C34" i="10"/>
  <c r="C35" i="10"/>
  <c r="C36" i="10"/>
  <c r="C25" i="10"/>
  <c r="O24" i="9" s="1"/>
  <c r="C13" i="10"/>
  <c r="C14" i="10"/>
  <c r="C15" i="10"/>
  <c r="C16" i="10"/>
  <c r="C17" i="10"/>
  <c r="C18" i="10"/>
  <c r="C19" i="10"/>
  <c r="C20" i="10"/>
  <c r="C12" i="10"/>
  <c r="E10" i="9" s="1"/>
  <c r="E12" i="10"/>
  <c r="D55" i="10"/>
  <c r="D69" i="10"/>
  <c r="D70" i="10"/>
  <c r="D71" i="10"/>
  <c r="D68" i="10"/>
  <c r="D56" i="10"/>
  <c r="D57" i="10"/>
  <c r="D58" i="10"/>
  <c r="F58" i="10" s="1"/>
  <c r="D59" i="10"/>
  <c r="D60" i="10"/>
  <c r="D61" i="10"/>
  <c r="D62" i="10"/>
  <c r="F62" i="10" s="1"/>
  <c r="D42" i="10"/>
  <c r="D43" i="10"/>
  <c r="D44" i="10"/>
  <c r="D45" i="10"/>
  <c r="D46" i="10"/>
  <c r="D47" i="10"/>
  <c r="D48" i="10"/>
  <c r="D49" i="10"/>
  <c r="D41" i="10"/>
  <c r="D13" i="10"/>
  <c r="D14" i="10"/>
  <c r="D15" i="10"/>
  <c r="D16" i="10"/>
  <c r="D17" i="10"/>
  <c r="D18" i="10"/>
  <c r="D19" i="10"/>
  <c r="D20" i="10"/>
  <c r="D12" i="10"/>
  <c r="D7" i="10"/>
  <c r="F7" i="10" s="1"/>
  <c r="U52" i="9" l="1"/>
  <c r="B10" i="6"/>
  <c r="K10" i="9"/>
  <c r="K17" i="9" s="1"/>
  <c r="F60" i="10"/>
  <c r="F56" i="10"/>
  <c r="O10" i="9"/>
  <c r="O10" i="6" s="1"/>
  <c r="J10" i="9"/>
  <c r="J17" i="9" s="1"/>
  <c r="D10" i="9"/>
  <c r="F10" i="9"/>
  <c r="H7" i="10"/>
  <c r="L7" i="10"/>
  <c r="F55" i="10"/>
  <c r="K24" i="9"/>
  <c r="K24" i="6" s="1"/>
  <c r="O38" i="9"/>
  <c r="O38" i="6" s="1"/>
  <c r="T52" i="9"/>
  <c r="T59" i="9" s="1"/>
  <c r="E24" i="9"/>
  <c r="E31" i="9" s="1"/>
  <c r="N24" i="9"/>
  <c r="N31" i="9" s="1"/>
  <c r="J24" i="9"/>
  <c r="J24" i="6" s="1"/>
  <c r="F24" i="9"/>
  <c r="F24" i="6" s="1"/>
  <c r="R38" i="9"/>
  <c r="R45" i="9" s="1"/>
  <c r="N38" i="9"/>
  <c r="N38" i="6" s="1"/>
  <c r="S52" i="9"/>
  <c r="S59" i="9" s="1"/>
  <c r="O52" i="9"/>
  <c r="O59" i="9" s="1"/>
  <c r="F61" i="10"/>
  <c r="F57" i="10"/>
  <c r="M10" i="9"/>
  <c r="I10" i="9"/>
  <c r="I17" i="9" s="1"/>
  <c r="Q24" i="9"/>
  <c r="M24" i="9"/>
  <c r="M24" i="6" s="1"/>
  <c r="I24" i="9"/>
  <c r="I24" i="6" s="1"/>
  <c r="K38" i="9"/>
  <c r="K38" i="6" s="1"/>
  <c r="Q38" i="9"/>
  <c r="Q38" i="6" s="1"/>
  <c r="M38" i="9"/>
  <c r="M45" i="9" s="1"/>
  <c r="V52" i="9"/>
  <c r="V59" i="9" s="1"/>
  <c r="R52" i="9"/>
  <c r="R59" i="9" s="1"/>
  <c r="P24" i="9"/>
  <c r="P24" i="6" s="1"/>
  <c r="L24" i="9"/>
  <c r="H24" i="9"/>
  <c r="H31" i="9" s="1"/>
  <c r="T38" i="9"/>
  <c r="P38" i="9"/>
  <c r="P45" i="9" s="1"/>
  <c r="L38" i="9"/>
  <c r="L38" i="6" s="1"/>
  <c r="Q52" i="9"/>
  <c r="F59" i="10"/>
  <c r="G24" i="9"/>
  <c r="G24" i="6" s="1"/>
  <c r="N52" i="9"/>
  <c r="N59" i="9" s="1"/>
  <c r="P52" i="9"/>
  <c r="G17" i="9"/>
  <c r="C17" i="9"/>
  <c r="Q25" i="9"/>
  <c r="Q25" i="6" s="1"/>
  <c r="N17" i="9"/>
  <c r="O11" i="9"/>
  <c r="O11" i="6" s="1"/>
  <c r="L25" i="9"/>
  <c r="L39" i="9" s="1"/>
  <c r="L39" i="6" s="1"/>
  <c r="J31" i="9"/>
  <c r="P59" i="9"/>
  <c r="M11" i="9"/>
  <c r="M11" i="6" s="1"/>
  <c r="I31" i="9"/>
  <c r="W59" i="9"/>
  <c r="U59" i="9"/>
  <c r="Q59" i="9"/>
  <c r="T45" i="9"/>
  <c r="S45" i="9"/>
  <c r="P31" i="9"/>
  <c r="O31" i="9"/>
  <c r="G31" i="9"/>
  <c r="L17" i="9"/>
  <c r="H17" i="9"/>
  <c r="F17" i="9"/>
  <c r="E17" i="9"/>
  <c r="D17" i="9"/>
  <c r="M39" i="6"/>
  <c r="N39" i="6"/>
  <c r="O39" i="6"/>
  <c r="P39" i="6"/>
  <c r="Q39" i="6"/>
  <c r="R39" i="6"/>
  <c r="S39" i="6"/>
  <c r="T39" i="6"/>
  <c r="L40" i="6"/>
  <c r="M40" i="6"/>
  <c r="N40" i="6"/>
  <c r="O40" i="6"/>
  <c r="P40" i="6"/>
  <c r="Q40" i="6"/>
  <c r="R40" i="6"/>
  <c r="S40" i="6"/>
  <c r="T40" i="6"/>
  <c r="L41" i="6"/>
  <c r="M41" i="6"/>
  <c r="N41" i="6"/>
  <c r="O41" i="6"/>
  <c r="P41" i="6"/>
  <c r="Q41" i="6"/>
  <c r="R41" i="6"/>
  <c r="S41" i="6"/>
  <c r="T41" i="6"/>
  <c r="L42" i="6"/>
  <c r="M42" i="6"/>
  <c r="N42" i="6"/>
  <c r="O42" i="6"/>
  <c r="P42" i="6"/>
  <c r="Q42" i="6"/>
  <c r="R42" i="6"/>
  <c r="S42" i="6"/>
  <c r="T42" i="6"/>
  <c r="L44" i="6"/>
  <c r="M44" i="6"/>
  <c r="N44" i="6"/>
  <c r="O44" i="6"/>
  <c r="P44" i="6"/>
  <c r="Q44" i="6"/>
  <c r="R44" i="6"/>
  <c r="S44" i="6"/>
  <c r="T44" i="6"/>
  <c r="K40" i="6"/>
  <c r="K41" i="6"/>
  <c r="K42" i="6"/>
  <c r="K44" i="6"/>
  <c r="K39" i="6"/>
  <c r="M38" i="6"/>
  <c r="P38" i="6"/>
  <c r="S38" i="6"/>
  <c r="T38" i="6"/>
  <c r="F25" i="6"/>
  <c r="G25" i="6"/>
  <c r="H25" i="6"/>
  <c r="I25" i="6"/>
  <c r="J25" i="6"/>
  <c r="K25" i="6"/>
  <c r="M25" i="6"/>
  <c r="N25" i="6"/>
  <c r="O25" i="6"/>
  <c r="P25" i="6"/>
  <c r="F26" i="6"/>
  <c r="G26" i="6"/>
  <c r="H26" i="6"/>
  <c r="I26" i="6"/>
  <c r="J26" i="6"/>
  <c r="K26" i="6"/>
  <c r="L26" i="6"/>
  <c r="M26" i="6"/>
  <c r="N26" i="6"/>
  <c r="O26" i="6"/>
  <c r="P26" i="6"/>
  <c r="Q26" i="6"/>
  <c r="F27" i="6"/>
  <c r="G27" i="6"/>
  <c r="H27" i="6"/>
  <c r="I27" i="6"/>
  <c r="J27" i="6"/>
  <c r="K27" i="6"/>
  <c r="L27" i="6"/>
  <c r="M27" i="6"/>
  <c r="N27" i="6"/>
  <c r="O27" i="6"/>
  <c r="P27" i="6"/>
  <c r="Q27" i="6"/>
  <c r="F28" i="6"/>
  <c r="G28" i="6"/>
  <c r="H28" i="6"/>
  <c r="I28" i="6"/>
  <c r="J28" i="6"/>
  <c r="K28" i="6"/>
  <c r="L28" i="6"/>
  <c r="M28" i="6"/>
  <c r="N28" i="6"/>
  <c r="O28" i="6"/>
  <c r="P28" i="6"/>
  <c r="Q28" i="6"/>
  <c r="F30" i="6"/>
  <c r="G30" i="6"/>
  <c r="H30" i="6"/>
  <c r="I30" i="6"/>
  <c r="J30" i="6"/>
  <c r="K30" i="6"/>
  <c r="L30" i="6"/>
  <c r="M30" i="6"/>
  <c r="N30" i="6"/>
  <c r="O30" i="6"/>
  <c r="P30" i="6"/>
  <c r="Q30" i="6"/>
  <c r="E26" i="6"/>
  <c r="E27" i="6"/>
  <c r="E28" i="6"/>
  <c r="E30" i="6"/>
  <c r="E25" i="6"/>
  <c r="H24" i="6"/>
  <c r="L24" i="6"/>
  <c r="O24" i="6"/>
  <c r="Q24" i="6"/>
  <c r="O16" i="6"/>
  <c r="N16" i="6"/>
  <c r="M16" i="6"/>
  <c r="L16" i="6"/>
  <c r="K16" i="6"/>
  <c r="J16" i="6"/>
  <c r="I16" i="6"/>
  <c r="H16" i="6"/>
  <c r="G16" i="6"/>
  <c r="F16" i="6"/>
  <c r="E16" i="6"/>
  <c r="D16" i="6"/>
  <c r="C16" i="6"/>
  <c r="C12" i="6"/>
  <c r="D12" i="6"/>
  <c r="E12" i="6"/>
  <c r="F12" i="6"/>
  <c r="G12" i="6"/>
  <c r="H12" i="6"/>
  <c r="I12" i="6"/>
  <c r="J12" i="6"/>
  <c r="K12" i="6"/>
  <c r="L12" i="6"/>
  <c r="M12" i="6"/>
  <c r="N12" i="6"/>
  <c r="O12" i="6"/>
  <c r="C13" i="6"/>
  <c r="D13" i="6"/>
  <c r="E13" i="6"/>
  <c r="F13" i="6"/>
  <c r="G13" i="6"/>
  <c r="H13" i="6"/>
  <c r="I13" i="6"/>
  <c r="J13" i="6"/>
  <c r="K13" i="6"/>
  <c r="L13" i="6"/>
  <c r="M13" i="6"/>
  <c r="N13" i="6"/>
  <c r="O13" i="6"/>
  <c r="C14" i="6"/>
  <c r="D14" i="6"/>
  <c r="E14" i="6"/>
  <c r="F14" i="6"/>
  <c r="G14" i="6"/>
  <c r="H14" i="6"/>
  <c r="I14" i="6"/>
  <c r="J14" i="6"/>
  <c r="K14" i="6"/>
  <c r="L14" i="6"/>
  <c r="M14" i="6"/>
  <c r="N14" i="6"/>
  <c r="O14" i="6"/>
  <c r="C11" i="6"/>
  <c r="D11" i="6"/>
  <c r="E11" i="6"/>
  <c r="F11" i="6"/>
  <c r="G11" i="6"/>
  <c r="H11" i="6"/>
  <c r="I11" i="6"/>
  <c r="J11" i="6"/>
  <c r="K11" i="6"/>
  <c r="L11" i="6"/>
  <c r="N11" i="6"/>
  <c r="B11" i="6"/>
  <c r="C10" i="6"/>
  <c r="D10" i="6"/>
  <c r="E10" i="6"/>
  <c r="F10" i="6"/>
  <c r="G10" i="6"/>
  <c r="H10" i="6"/>
  <c r="J10" i="6"/>
  <c r="L10" i="6"/>
  <c r="M10" i="6"/>
  <c r="N10" i="6"/>
  <c r="I10" i="6" l="1"/>
  <c r="K45" i="9"/>
  <c r="O45" i="9"/>
  <c r="F31" i="9"/>
  <c r="L31" i="9"/>
  <c r="K10" i="6"/>
  <c r="K31" i="9"/>
  <c r="N24" i="6"/>
  <c r="O17" i="9"/>
  <c r="M31" i="9"/>
  <c r="N45" i="9"/>
  <c r="Q45" i="9"/>
  <c r="R38" i="6"/>
  <c r="E24" i="6"/>
  <c r="L25" i="6"/>
  <c r="M17" i="9"/>
  <c r="Q31" i="9"/>
  <c r="L45" i="9"/>
  <c r="I63" i="10" l="1"/>
  <c r="J63" i="10"/>
  <c r="K63" i="10" l="1"/>
  <c r="L63" i="10" s="1"/>
  <c r="K14" i="12"/>
  <c r="H14" i="12"/>
  <c r="G14" i="12"/>
  <c r="F14" i="12"/>
  <c r="E14" i="12"/>
  <c r="C14" i="12"/>
  <c r="B29" i="12"/>
  <c r="C29" i="12"/>
  <c r="D29" i="12"/>
  <c r="E29" i="12"/>
  <c r="F29" i="12"/>
  <c r="G29" i="12"/>
  <c r="H29" i="12"/>
  <c r="I29" i="12"/>
  <c r="J29" i="12"/>
  <c r="K29" i="12"/>
  <c r="N54" i="11" l="1"/>
  <c r="N55" i="11"/>
  <c r="N56" i="11"/>
  <c r="N57" i="11"/>
  <c r="N58" i="11"/>
  <c r="N59" i="11"/>
  <c r="N60" i="11"/>
  <c r="N53" i="11"/>
  <c r="O54" i="8"/>
  <c r="O55" i="8"/>
  <c r="O56" i="8"/>
  <c r="O57" i="8"/>
  <c r="O58" i="8"/>
  <c r="O59" i="8"/>
  <c r="O60" i="8"/>
  <c r="O53" i="8"/>
  <c r="L54" i="8"/>
  <c r="L55" i="8"/>
  <c r="L56" i="8"/>
  <c r="L57" i="8"/>
  <c r="L58" i="8"/>
  <c r="L59" i="8"/>
  <c r="L60" i="8"/>
  <c r="L53" i="8"/>
  <c r="O54" i="11" l="1"/>
  <c r="O55" i="11"/>
  <c r="O56" i="11"/>
  <c r="O57" i="11"/>
  <c r="O58" i="11"/>
  <c r="O59" i="11"/>
  <c r="O60" i="11"/>
  <c r="O61" i="11"/>
  <c r="O53" i="11"/>
  <c r="M54" i="11"/>
  <c r="M55" i="11"/>
  <c r="M56" i="11"/>
  <c r="M57" i="11"/>
  <c r="M58" i="11"/>
  <c r="M59" i="11"/>
  <c r="M60" i="11"/>
  <c r="M61" i="11"/>
  <c r="M53" i="11"/>
  <c r="K54" i="11"/>
  <c r="K55" i="11"/>
  <c r="K56" i="11"/>
  <c r="K57" i="11"/>
  <c r="K58" i="11"/>
  <c r="K59" i="11"/>
  <c r="K60" i="11"/>
  <c r="K61" i="11"/>
  <c r="K53" i="11"/>
  <c r="E53" i="11"/>
  <c r="E54" i="11"/>
  <c r="E55" i="11"/>
  <c r="E56" i="11"/>
  <c r="E57" i="11"/>
  <c r="E58" i="11"/>
  <c r="E59" i="11"/>
  <c r="E60" i="11"/>
  <c r="E61" i="11"/>
  <c r="D11" i="8" l="1"/>
  <c r="E11" i="8"/>
  <c r="D12" i="8"/>
  <c r="E12" i="8"/>
  <c r="D13" i="8"/>
  <c r="E13" i="8"/>
  <c r="D14" i="8"/>
  <c r="E14" i="8"/>
  <c r="D15" i="8"/>
  <c r="E15" i="8"/>
  <c r="D16" i="8"/>
  <c r="E16" i="8"/>
  <c r="D17" i="8"/>
  <c r="E17" i="8"/>
  <c r="D18" i="8"/>
  <c r="E18" i="8"/>
  <c r="E10" i="8"/>
  <c r="D10" i="8"/>
  <c r="J12" i="10" l="1"/>
  <c r="J13" i="10"/>
  <c r="J14" i="10"/>
  <c r="J15" i="10"/>
  <c r="J16" i="10"/>
  <c r="J18" i="10"/>
  <c r="J20" i="10"/>
  <c r="I57" i="10"/>
  <c r="J57" i="10"/>
  <c r="I59" i="10"/>
  <c r="J60" i="10"/>
  <c r="J55" i="10"/>
  <c r="I55" i="10"/>
  <c r="F43" i="10"/>
  <c r="J43" i="10"/>
  <c r="J45" i="10"/>
  <c r="I47" i="10"/>
  <c r="J47" i="10"/>
  <c r="J48" i="10"/>
  <c r="I49" i="10"/>
  <c r="J41" i="10"/>
  <c r="I41" i="10"/>
  <c r="J27" i="10"/>
  <c r="F29" i="10"/>
  <c r="F31" i="10"/>
  <c r="I32" i="10"/>
  <c r="J33" i="10"/>
  <c r="I34" i="10"/>
  <c r="J35" i="10"/>
  <c r="J25" i="10"/>
  <c r="I25" i="10"/>
  <c r="I13" i="10"/>
  <c r="I14" i="10"/>
  <c r="I15" i="10"/>
  <c r="I16" i="10"/>
  <c r="I17" i="10"/>
  <c r="J17" i="10"/>
  <c r="I18" i="10"/>
  <c r="I19" i="10"/>
  <c r="J19" i="10"/>
  <c r="I20" i="10"/>
  <c r="F12" i="10"/>
  <c r="J72" i="10"/>
  <c r="I72" i="10"/>
  <c r="J71" i="10"/>
  <c r="I71" i="10"/>
  <c r="F71" i="10"/>
  <c r="J70" i="10"/>
  <c r="I70" i="10"/>
  <c r="F69" i="10"/>
  <c r="J69" i="10"/>
  <c r="I69" i="10"/>
  <c r="J68" i="10"/>
  <c r="I68" i="10"/>
  <c r="I62" i="10"/>
  <c r="I61" i="10"/>
  <c r="I60" i="10"/>
  <c r="J59" i="10"/>
  <c r="J58" i="10"/>
  <c r="I58" i="10"/>
  <c r="J56" i="10"/>
  <c r="I56" i="10"/>
  <c r="J49" i="10"/>
  <c r="I48" i="10"/>
  <c r="J46" i="10"/>
  <c r="I46" i="10"/>
  <c r="I45" i="10"/>
  <c r="F45" i="10"/>
  <c r="J44" i="10"/>
  <c r="I44" i="10"/>
  <c r="I43" i="10"/>
  <c r="J42" i="10"/>
  <c r="I42" i="10"/>
  <c r="F41" i="10"/>
  <c r="J36" i="10"/>
  <c r="I36" i="10"/>
  <c r="I35" i="10"/>
  <c r="J34" i="10"/>
  <c r="I33" i="10"/>
  <c r="F33" i="10"/>
  <c r="J32" i="10"/>
  <c r="I31" i="10"/>
  <c r="J30" i="10"/>
  <c r="I30" i="10"/>
  <c r="I29" i="10"/>
  <c r="J28" i="10"/>
  <c r="I28" i="10"/>
  <c r="I27" i="10"/>
  <c r="J26" i="10"/>
  <c r="I26" i="10"/>
  <c r="F25" i="10"/>
  <c r="F15" i="10"/>
  <c r="F13" i="10"/>
  <c r="K71" i="10" l="1"/>
  <c r="L71" i="10" s="1"/>
  <c r="K41" i="10"/>
  <c r="L41" i="10" s="1"/>
  <c r="K25" i="10"/>
  <c r="L25" i="10" s="1"/>
  <c r="K36" i="10"/>
  <c r="K32" i="10"/>
  <c r="K28" i="10"/>
  <c r="K69" i="10"/>
  <c r="L69" i="10" s="1"/>
  <c r="K15" i="10"/>
  <c r="L15" i="10" s="1"/>
  <c r="F17" i="10"/>
  <c r="J29" i="10"/>
  <c r="K29" i="10" s="1"/>
  <c r="L29" i="10" s="1"/>
  <c r="K44" i="10"/>
  <c r="K58" i="10"/>
  <c r="L58" i="10" s="1"/>
  <c r="K72" i="10"/>
  <c r="K55" i="10"/>
  <c r="L55" i="10" s="1"/>
  <c r="K48" i="10"/>
  <c r="K42" i="10"/>
  <c r="K56" i="10"/>
  <c r="L56" i="10" s="1"/>
  <c r="K68" i="10"/>
  <c r="K70" i="10"/>
  <c r="K49" i="10"/>
  <c r="K59" i="10"/>
  <c r="L59" i="10" s="1"/>
  <c r="I12" i="10"/>
  <c r="K12" i="10" s="1"/>
  <c r="L12" i="10" s="1"/>
  <c r="K57" i="10"/>
  <c r="L57" i="10" s="1"/>
  <c r="K60" i="10"/>
  <c r="L60" i="10" s="1"/>
  <c r="K47" i="10"/>
  <c r="F47" i="10"/>
  <c r="F49" i="10"/>
  <c r="K43" i="10"/>
  <c r="L43" i="10" s="1"/>
  <c r="K45" i="10"/>
  <c r="L45" i="10" s="1"/>
  <c r="K46" i="10"/>
  <c r="F27" i="10"/>
  <c r="K30" i="10"/>
  <c r="J31" i="10"/>
  <c r="K31" i="10" s="1"/>
  <c r="L31" i="10" s="1"/>
  <c r="K33" i="10"/>
  <c r="L33" i="10" s="1"/>
  <c r="F35" i="10"/>
  <c r="K27" i="10"/>
  <c r="K35" i="10"/>
  <c r="K26" i="10"/>
  <c r="K34" i="10"/>
  <c r="K20" i="10"/>
  <c r="K14" i="10"/>
  <c r="K17" i="10"/>
  <c r="F19" i="10"/>
  <c r="K19" i="10"/>
  <c r="K16" i="10"/>
  <c r="K13" i="10"/>
  <c r="L13" i="10" s="1"/>
  <c r="K18" i="10"/>
  <c r="F14" i="10"/>
  <c r="F16" i="10"/>
  <c r="L16" i="10" s="1"/>
  <c r="F18" i="10"/>
  <c r="F20" i="10"/>
  <c r="F26" i="10"/>
  <c r="F28" i="10"/>
  <c r="F30" i="10"/>
  <c r="F32" i="10"/>
  <c r="F34" i="10"/>
  <c r="F36" i="10"/>
  <c r="L36" i="10" s="1"/>
  <c r="F42" i="10"/>
  <c r="F44" i="10"/>
  <c r="F46" i="10"/>
  <c r="F48" i="10"/>
  <c r="F68" i="10"/>
  <c r="F70" i="10"/>
  <c r="F72" i="10"/>
  <c r="E69" i="8"/>
  <c r="E68" i="8"/>
  <c r="E44" i="8"/>
  <c r="E34" i="8"/>
  <c r="E33" i="8"/>
  <c r="E27" i="8"/>
  <c r="E26" i="8"/>
  <c r="L28" i="10" l="1"/>
  <c r="L46" i="10"/>
  <c r="L34" i="10"/>
  <c r="L30" i="10"/>
  <c r="L48" i="10"/>
  <c r="L32" i="10"/>
  <c r="L68" i="10"/>
  <c r="L49" i="10"/>
  <c r="L47" i="10"/>
  <c r="L18" i="10"/>
  <c r="L72" i="10"/>
  <c r="L70" i="10"/>
  <c r="L44" i="10"/>
  <c r="L42" i="10"/>
  <c r="L27" i="10"/>
  <c r="L14" i="10"/>
  <c r="L20" i="10"/>
  <c r="L19" i="10"/>
  <c r="L26" i="10"/>
  <c r="L35" i="10"/>
  <c r="L17" i="10"/>
  <c r="D66" i="8"/>
  <c r="E66" i="8"/>
  <c r="D67" i="8"/>
  <c r="E67" i="8"/>
  <c r="D68" i="8"/>
  <c r="D69" i="8"/>
  <c r="E65" i="8"/>
  <c r="D65" i="8"/>
  <c r="D54" i="8"/>
  <c r="E54" i="8"/>
  <c r="D55" i="8"/>
  <c r="E55" i="8"/>
  <c r="D56" i="8"/>
  <c r="E56" i="8"/>
  <c r="D57" i="8"/>
  <c r="E57" i="8"/>
  <c r="D58" i="8"/>
  <c r="E58" i="8"/>
  <c r="D59" i="8"/>
  <c r="E59" i="8"/>
  <c r="D60" i="8"/>
  <c r="E60" i="8"/>
  <c r="E53" i="8"/>
  <c r="D53" i="8"/>
  <c r="D40" i="8"/>
  <c r="E40" i="8"/>
  <c r="D41" i="8"/>
  <c r="E41" i="8"/>
  <c r="D42" i="8"/>
  <c r="E42" i="8"/>
  <c r="D43" i="8"/>
  <c r="E43" i="8"/>
  <c r="D44" i="8"/>
  <c r="D45" i="8"/>
  <c r="E45" i="8"/>
  <c r="D46" i="8"/>
  <c r="E46" i="8"/>
  <c r="D47" i="8"/>
  <c r="E47" i="8"/>
  <c r="E39" i="8"/>
  <c r="D39" i="8"/>
  <c r="D24" i="8"/>
  <c r="E24" i="8"/>
  <c r="D25" i="8"/>
  <c r="E25" i="8"/>
  <c r="D26" i="8"/>
  <c r="D27" i="8"/>
  <c r="D28" i="8"/>
  <c r="E28" i="8"/>
  <c r="D29" i="8"/>
  <c r="E29" i="8"/>
  <c r="D30" i="8"/>
  <c r="E30" i="8"/>
  <c r="D31" i="8"/>
  <c r="E31" i="8"/>
  <c r="D32" i="8"/>
  <c r="E32" i="8"/>
  <c r="D33" i="8"/>
  <c r="D34" i="8"/>
  <c r="E23" i="8"/>
  <c r="D23" i="8"/>
  <c r="K69" i="5" l="1"/>
  <c r="K68" i="5"/>
  <c r="K67" i="5"/>
  <c r="K66" i="5"/>
  <c r="K65" i="5"/>
  <c r="K60" i="5"/>
  <c r="K59" i="5"/>
  <c r="K58" i="5"/>
  <c r="K57" i="5"/>
  <c r="K56" i="5"/>
  <c r="K55" i="5"/>
  <c r="K54" i="5"/>
  <c r="K53" i="5"/>
  <c r="K47" i="5"/>
  <c r="K46" i="5"/>
  <c r="K45" i="5"/>
  <c r="K44" i="5"/>
  <c r="K43" i="5"/>
  <c r="K42" i="5"/>
  <c r="K41" i="5"/>
  <c r="K40" i="5"/>
  <c r="K39" i="5"/>
  <c r="K34" i="5"/>
  <c r="K33" i="5"/>
  <c r="K32" i="5"/>
  <c r="K31" i="5"/>
  <c r="K30" i="5"/>
  <c r="K29" i="5"/>
  <c r="K28" i="5"/>
  <c r="K27" i="5"/>
  <c r="K26" i="5"/>
  <c r="K25" i="5"/>
  <c r="K24" i="5"/>
  <c r="K23" i="5"/>
  <c r="K18" i="5"/>
  <c r="K17" i="5"/>
  <c r="K16" i="5"/>
  <c r="K15" i="5"/>
  <c r="K14" i="5"/>
  <c r="K13" i="5"/>
  <c r="K12" i="5"/>
  <c r="K11" i="5"/>
  <c r="K10" i="5"/>
  <c r="C17" i="6"/>
  <c r="D17" i="6"/>
  <c r="E17" i="6"/>
  <c r="F17" i="6"/>
  <c r="O54" i="7"/>
  <c r="P54" i="7"/>
  <c r="Q54" i="7"/>
  <c r="R54" i="7"/>
  <c r="S54" i="7"/>
  <c r="T54" i="7"/>
  <c r="U54" i="7"/>
  <c r="V54" i="7"/>
  <c r="W54" i="7"/>
  <c r="O55" i="7"/>
  <c r="P55" i="7"/>
  <c r="Q55" i="7"/>
  <c r="R55" i="7"/>
  <c r="S55" i="7"/>
  <c r="T55" i="7"/>
  <c r="U55" i="7"/>
  <c r="V55" i="7"/>
  <c r="W55" i="7"/>
  <c r="O56" i="7"/>
  <c r="P56" i="7"/>
  <c r="Q56" i="7"/>
  <c r="R56" i="7"/>
  <c r="S56" i="7"/>
  <c r="T56" i="7"/>
  <c r="U56" i="7"/>
  <c r="V56" i="7"/>
  <c r="W56" i="7"/>
  <c r="O58" i="7"/>
  <c r="P58" i="7"/>
  <c r="Q58" i="7"/>
  <c r="R58" i="7"/>
  <c r="S58" i="7"/>
  <c r="T58" i="7"/>
  <c r="U58" i="7"/>
  <c r="V58" i="7"/>
  <c r="W58" i="7"/>
  <c r="N55" i="7"/>
  <c r="N56" i="7"/>
  <c r="N58" i="7"/>
  <c r="N54" i="7"/>
  <c r="L40" i="7"/>
  <c r="M40" i="7"/>
  <c r="N40" i="7"/>
  <c r="O40" i="7"/>
  <c r="P40" i="7"/>
  <c r="Q40" i="7"/>
  <c r="R40" i="7"/>
  <c r="S40" i="7"/>
  <c r="T40" i="7"/>
  <c r="L41" i="7"/>
  <c r="M41" i="7"/>
  <c r="N41" i="7"/>
  <c r="O41" i="7"/>
  <c r="P41" i="7"/>
  <c r="Q41" i="7"/>
  <c r="R41" i="7"/>
  <c r="S41" i="7"/>
  <c r="T41" i="7"/>
  <c r="L42" i="7"/>
  <c r="M42" i="7"/>
  <c r="N42" i="7"/>
  <c r="O42" i="7"/>
  <c r="P42" i="7"/>
  <c r="Q42" i="7"/>
  <c r="R42" i="7"/>
  <c r="S42" i="7"/>
  <c r="T42" i="7"/>
  <c r="L44" i="7"/>
  <c r="M44" i="7"/>
  <c r="N44" i="7"/>
  <c r="O44" i="7"/>
  <c r="P44" i="7"/>
  <c r="Q44" i="7"/>
  <c r="R44" i="7"/>
  <c r="S44" i="7"/>
  <c r="T44" i="7"/>
  <c r="K41" i="7"/>
  <c r="K42" i="7"/>
  <c r="K44" i="7"/>
  <c r="K40" i="7"/>
  <c r="F26" i="7"/>
  <c r="G26" i="7"/>
  <c r="H26" i="7"/>
  <c r="I26" i="7"/>
  <c r="J26" i="7"/>
  <c r="K26" i="7"/>
  <c r="L26" i="7"/>
  <c r="M26" i="7"/>
  <c r="N26" i="7"/>
  <c r="O26" i="7"/>
  <c r="F27" i="7"/>
  <c r="G27" i="7"/>
  <c r="H27" i="7"/>
  <c r="I27" i="7"/>
  <c r="J27" i="7"/>
  <c r="K27" i="7"/>
  <c r="L27" i="7"/>
  <c r="M27" i="7"/>
  <c r="N27" i="7"/>
  <c r="O27" i="7"/>
  <c r="F28" i="7"/>
  <c r="G28" i="7"/>
  <c r="H28" i="7"/>
  <c r="I28" i="7"/>
  <c r="J28" i="7"/>
  <c r="K28" i="7"/>
  <c r="L28" i="7"/>
  <c r="M28" i="7"/>
  <c r="N28" i="7"/>
  <c r="O28" i="7"/>
  <c r="F30" i="7"/>
  <c r="G30" i="7"/>
  <c r="H30" i="7"/>
  <c r="I30" i="7"/>
  <c r="J30" i="7"/>
  <c r="K30" i="7"/>
  <c r="L30" i="7"/>
  <c r="M30" i="7"/>
  <c r="N30" i="7"/>
  <c r="O30" i="7"/>
  <c r="E27" i="7"/>
  <c r="E28" i="7"/>
  <c r="E30" i="7"/>
  <c r="E26" i="7"/>
  <c r="C13" i="7"/>
  <c r="D13" i="7"/>
  <c r="E13" i="7"/>
  <c r="F13" i="7"/>
  <c r="G13" i="7"/>
  <c r="H13" i="7"/>
  <c r="I13" i="7"/>
  <c r="J13" i="7"/>
  <c r="K13" i="7"/>
  <c r="L13" i="7"/>
  <c r="M13" i="7"/>
  <c r="N13" i="7"/>
  <c r="O13" i="7"/>
  <c r="C14" i="7"/>
  <c r="D14" i="7"/>
  <c r="E14" i="7"/>
  <c r="F14" i="7"/>
  <c r="G14" i="7"/>
  <c r="H14" i="7"/>
  <c r="I14" i="7"/>
  <c r="J14" i="7"/>
  <c r="K14" i="7"/>
  <c r="L14" i="7"/>
  <c r="M14" i="7"/>
  <c r="N14" i="7"/>
  <c r="O14" i="7"/>
  <c r="C16" i="7"/>
  <c r="D16" i="7"/>
  <c r="E16" i="7"/>
  <c r="F16" i="7"/>
  <c r="G16" i="7"/>
  <c r="H16" i="7"/>
  <c r="I16" i="7"/>
  <c r="J16" i="7"/>
  <c r="K16" i="7"/>
  <c r="L16" i="7"/>
  <c r="M16" i="7"/>
  <c r="N16" i="7"/>
  <c r="O16" i="7"/>
  <c r="C12" i="7"/>
  <c r="D12" i="7"/>
  <c r="E12" i="7"/>
  <c r="F12" i="7"/>
  <c r="G12" i="7"/>
  <c r="H12" i="7"/>
  <c r="I12" i="7"/>
  <c r="J12" i="7"/>
  <c r="K12" i="7"/>
  <c r="L12" i="7"/>
  <c r="M12" i="7"/>
  <c r="N12" i="7"/>
  <c r="O12" i="7"/>
  <c r="L45" i="6"/>
  <c r="M45" i="6"/>
  <c r="N45" i="6"/>
  <c r="O45" i="6"/>
  <c r="P45" i="6"/>
  <c r="Q45" i="6"/>
  <c r="R45" i="6"/>
  <c r="S45" i="6"/>
  <c r="T45" i="6"/>
  <c r="K45" i="6"/>
  <c r="F31" i="6"/>
  <c r="G31" i="6"/>
  <c r="H31" i="6"/>
  <c r="I31" i="6"/>
  <c r="J31" i="6"/>
  <c r="K31" i="6"/>
  <c r="L31" i="6"/>
  <c r="M31" i="6"/>
  <c r="N31" i="6"/>
  <c r="O31" i="6"/>
  <c r="P31" i="6"/>
  <c r="Q31" i="6"/>
  <c r="E31" i="6"/>
  <c r="G17" i="6"/>
  <c r="H17" i="6"/>
  <c r="I17" i="6"/>
  <c r="J17" i="6"/>
  <c r="K17" i="6"/>
  <c r="L17" i="6"/>
  <c r="M17" i="6"/>
  <c r="N17" i="6"/>
  <c r="O17" i="6"/>
  <c r="F60" i="5"/>
  <c r="F47" i="5"/>
  <c r="F39" i="5"/>
  <c r="F27" i="5"/>
  <c r="F26" i="8"/>
  <c r="F46" i="5"/>
  <c r="J67" i="8"/>
  <c r="F41" i="5"/>
  <c r="J23" i="8"/>
  <c r="J29" i="8"/>
  <c r="F28" i="5"/>
  <c r="J55" i="8"/>
  <c r="F42" i="5"/>
  <c r="F68" i="5"/>
  <c r="F57" i="5"/>
  <c r="J42" i="8"/>
  <c r="F23" i="5"/>
  <c r="J24" i="8"/>
  <c r="F29" i="8"/>
  <c r="F24" i="5"/>
  <c r="J41" i="8"/>
  <c r="F43" i="5"/>
  <c r="F33" i="5"/>
  <c r="F67" i="5"/>
  <c r="F59" i="5"/>
  <c r="J40" i="8"/>
  <c r="F44" i="5"/>
  <c r="F56" i="5"/>
  <c r="F32" i="5"/>
  <c r="F26" i="5"/>
  <c r="F58" i="5"/>
  <c r="F29" i="5"/>
  <c r="J57" i="8"/>
  <c r="I60" i="8"/>
  <c r="F45" i="5"/>
  <c r="F28" i="8"/>
  <c r="J43" i="8"/>
  <c r="F60" i="8"/>
  <c r="J46" i="8"/>
  <c r="F69" i="5"/>
  <c r="F69" i="8"/>
  <c r="I44" i="8"/>
  <c r="F65" i="5"/>
  <c r="F53" i="5"/>
  <c r="J32" i="8"/>
  <c r="I68" i="8"/>
  <c r="F31" i="8"/>
  <c r="J54" i="8"/>
  <c r="J26" i="8"/>
  <c r="J33" i="8"/>
  <c r="K33" i="8" s="1"/>
  <c r="I58" i="8"/>
  <c r="I67" i="8"/>
  <c r="K67" i="8" s="1"/>
  <c r="F54" i="5"/>
  <c r="F25" i="5"/>
  <c r="F40" i="5"/>
  <c r="I59" i="8"/>
  <c r="J45" i="8"/>
  <c r="F66" i="5"/>
  <c r="I45" i="8"/>
  <c r="K45" i="8" s="1"/>
  <c r="F55" i="5"/>
  <c r="F55" i="8"/>
  <c r="F34" i="5"/>
  <c r="F33" i="8"/>
  <c r="J25" i="8"/>
  <c r="I23" i="8"/>
  <c r="K23" i="8" s="1"/>
  <c r="F23" i="8"/>
  <c r="F27" i="8"/>
  <c r="F30" i="5"/>
  <c r="F44" i="8"/>
  <c r="I31" i="8"/>
  <c r="F31" i="5"/>
  <c r="F56" i="8"/>
  <c r="F42" i="8"/>
  <c r="I42" i="8"/>
  <c r="I26" i="8"/>
  <c r="J56" i="8"/>
  <c r="I39" i="8"/>
  <c r="F30" i="8"/>
  <c r="I30" i="8"/>
  <c r="J47" i="8"/>
  <c r="F41" i="8"/>
  <c r="I41" i="8"/>
  <c r="K41" i="8" s="1"/>
  <c r="I33" i="8"/>
  <c r="J68" i="8"/>
  <c r="F46" i="8"/>
  <c r="I46" i="8"/>
  <c r="K46" i="8" s="1"/>
  <c r="J69" i="8"/>
  <c r="I27" i="8"/>
  <c r="J27" i="8"/>
  <c r="J65" i="8"/>
  <c r="F57" i="8"/>
  <c r="I57" i="8"/>
  <c r="K57" i="8" s="1"/>
  <c r="J28" i="8"/>
  <c r="I32" i="8"/>
  <c r="I24" i="8"/>
  <c r="F54" i="8"/>
  <c r="I54" i="8"/>
  <c r="K54" i="8" s="1"/>
  <c r="F47" i="8"/>
  <c r="I47" i="8"/>
  <c r="J66" i="8"/>
  <c r="J59" i="8"/>
  <c r="K59" i="8" s="1"/>
  <c r="I34" i="8"/>
  <c r="F59" i="8"/>
  <c r="J30" i="8"/>
  <c r="I40" i="8"/>
  <c r="J34" i="8"/>
  <c r="K34" i="8" s="1"/>
  <c r="I53" i="8"/>
  <c r="J53" i="8"/>
  <c r="I29" i="8"/>
  <c r="F39" i="8"/>
  <c r="F25" i="8"/>
  <c r="I25" i="8"/>
  <c r="K25" i="8"/>
  <c r="F65" i="8"/>
  <c r="I65" i="8"/>
  <c r="K26" i="8" l="1"/>
  <c r="K42" i="8"/>
  <c r="K40" i="8"/>
  <c r="K65" i="8"/>
  <c r="K53" i="8"/>
  <c r="K47" i="8"/>
  <c r="K29" i="8"/>
  <c r="K24" i="8"/>
  <c r="K30" i="8"/>
  <c r="F53" i="8"/>
  <c r="K32" i="8"/>
  <c r="K27" i="8"/>
  <c r="F43" i="8"/>
  <c r="I43" i="8"/>
  <c r="K43" i="8" s="1"/>
  <c r="F34" i="8"/>
  <c r="I56" i="8"/>
  <c r="K56" i="8" s="1"/>
  <c r="J44" i="8"/>
  <c r="I66" i="8"/>
  <c r="K66" i="8" s="1"/>
  <c r="F66" i="8"/>
  <c r="I55" i="8"/>
  <c r="K55" i="8" s="1"/>
  <c r="F32" i="8"/>
  <c r="F67" i="8"/>
  <c r="F24" i="8"/>
  <c r="K68" i="8"/>
  <c r="F58" i="8"/>
  <c r="J58" i="8"/>
  <c r="J39" i="8"/>
  <c r="K39" i="8" s="1"/>
  <c r="F40" i="8"/>
  <c r="F45" i="8"/>
  <c r="K58" i="8"/>
  <c r="J31" i="8"/>
  <c r="K31" i="8" s="1"/>
  <c r="F68" i="8"/>
  <c r="K44" i="8"/>
  <c r="I28" i="8"/>
  <c r="K28" i="8" s="1"/>
  <c r="I69" i="8"/>
  <c r="K69" i="8" s="1"/>
  <c r="J60" i="8"/>
  <c r="K60" i="8" s="1"/>
  <c r="F13" i="5"/>
  <c r="F16" i="5"/>
  <c r="F12" i="5"/>
  <c r="F11" i="5"/>
  <c r="F15" i="5"/>
  <c r="F10" i="5"/>
  <c r="J10" i="8"/>
  <c r="F18" i="5"/>
  <c r="F14" i="5"/>
  <c r="F17" i="5"/>
  <c r="I14" i="8"/>
  <c r="J14" i="8"/>
  <c r="J13" i="8"/>
  <c r="J12" i="8"/>
  <c r="J17" i="8"/>
  <c r="J11" i="8"/>
  <c r="I13" i="8"/>
  <c r="I12" i="8"/>
  <c r="K12" i="8" s="1"/>
  <c r="J16" i="8"/>
  <c r="J18" i="8"/>
  <c r="J15" i="8"/>
  <c r="I11" i="8"/>
  <c r="I10" i="8"/>
  <c r="F10" i="8" l="1"/>
  <c r="K13" i="8"/>
  <c r="F18" i="8"/>
  <c r="F15" i="8"/>
  <c r="F13" i="8"/>
  <c r="F12" i="8"/>
  <c r="F17" i="8"/>
  <c r="F16" i="8"/>
  <c r="K11" i="8"/>
  <c r="K14" i="8"/>
  <c r="I15" i="8"/>
  <c r="K15" i="8" s="1"/>
  <c r="I16" i="8"/>
  <c r="K16" i="8" s="1"/>
  <c r="K10" i="8"/>
  <c r="F14" i="8"/>
  <c r="F11" i="8"/>
  <c r="I17" i="8"/>
  <c r="K17" i="8" s="1"/>
  <c r="I18" i="8"/>
  <c r="K18" i="8" s="1"/>
  <c r="J61" i="10"/>
  <c r="K61" i="10" s="1"/>
  <c r="L61" i="10" s="1"/>
  <c r="J62" i="10"/>
  <c r="K62" i="10" s="1"/>
  <c r="L62" i="10" s="1"/>
  <c r="T59" i="7"/>
  <c r="T57" i="7"/>
  <c r="N59" i="7"/>
  <c r="N57" i="7"/>
  <c r="P59" i="7"/>
  <c r="P57" i="7"/>
  <c r="V59" i="7"/>
  <c r="V57" i="7"/>
  <c r="R59" i="7"/>
  <c r="R57" i="7"/>
  <c r="W59" i="7"/>
  <c r="W57" i="7"/>
  <c r="U59" i="7"/>
  <c r="U57" i="7"/>
  <c r="O59" i="7"/>
  <c r="O57" i="7"/>
  <c r="Q59" i="7"/>
  <c r="Q57" i="7"/>
  <c r="S59" i="7"/>
  <c r="S57" i="7" s="1"/>
  <c r="E17" i="7"/>
  <c r="M17" i="7"/>
  <c r="J17" i="7"/>
  <c r="K17" i="7"/>
  <c r="O17" i="7"/>
  <c r="F17" i="7"/>
  <c r="H17" i="7"/>
  <c r="L17" i="7"/>
  <c r="I17" i="7"/>
  <c r="G17" i="7"/>
  <c r="N17" i="7"/>
  <c r="D17" i="7"/>
  <c r="C17" i="7"/>
  <c r="B17" i="7"/>
  <c r="Q29" i="7"/>
  <c r="Q31" i="7"/>
  <c r="N29" i="7"/>
  <c r="N31" i="7"/>
  <c r="R43" i="7"/>
  <c r="R45" i="7"/>
  <c r="L29" i="7"/>
  <c r="L31" i="7"/>
  <c r="I31" i="7"/>
  <c r="I29" i="7"/>
  <c r="B17" i="6"/>
  <c r="B12" i="9"/>
  <c r="B12" i="6"/>
  <c r="B12" i="7"/>
  <c r="K31" i="7"/>
  <c r="K29" i="7"/>
  <c r="P31" i="7"/>
  <c r="P29" i="7"/>
  <c r="T45" i="7"/>
  <c r="T43" i="7"/>
  <c r="O45" i="7"/>
  <c r="O43" i="7"/>
  <c r="M31" i="7"/>
  <c r="M29" i="7"/>
  <c r="G29" i="7"/>
  <c r="G31" i="7"/>
  <c r="E29" i="7"/>
  <c r="E31" i="7"/>
  <c r="L45" i="7"/>
  <c r="L43" i="7"/>
  <c r="J31" i="7"/>
  <c r="J29" i="7"/>
  <c r="O29" i="7"/>
  <c r="O31" i="7"/>
  <c r="B13" i="6"/>
  <c r="B13" i="7"/>
  <c r="B13" i="9"/>
  <c r="K45" i="7"/>
  <c r="K43" i="7"/>
  <c r="Q45" i="7"/>
  <c r="Q43" i="7"/>
  <c r="P45" i="7"/>
  <c r="P43" i="7"/>
  <c r="B14" i="7"/>
  <c r="B14" i="9"/>
  <c r="B14" i="6"/>
  <c r="H29" i="7"/>
  <c r="H31" i="7"/>
  <c r="M45" i="7"/>
  <c r="M43" i="7"/>
  <c r="F31" i="7"/>
  <c r="F29" i="7"/>
  <c r="S43" i="7"/>
  <c r="S45" i="7"/>
  <c r="B16" i="6"/>
  <c r="B16" i="7"/>
  <c r="B16" i="9"/>
  <c r="N45" i="7"/>
  <c r="N43" i="7"/>
</calcChain>
</file>

<file path=xl/sharedStrings.xml><?xml version="1.0" encoding="utf-8"?>
<sst xmlns="http://schemas.openxmlformats.org/spreadsheetml/2006/main" count="1057" uniqueCount="117">
  <si>
    <t>ESCALES I NIVELLS RETRIBUTIUS C.P.N.S.C. 2017 FUNCIONARIS   (conforme a la Llei 3/2017 de PGE del 2017 i Acord meses negociació retribucions del CPNSC de dates 13 de gener de 2017 i 10 de juliol de 2017)</t>
  </si>
  <si>
    <t>Graella anual</t>
  </si>
  <si>
    <t>GRUP  "A1"</t>
  </si>
  <si>
    <t>20a</t>
  </si>
  <si>
    <t>20b</t>
  </si>
  <si>
    <t>20c</t>
  </si>
  <si>
    <t>Sou Base</t>
  </si>
  <si>
    <t>C.Desti</t>
  </si>
  <si>
    <t>C.Especific</t>
  </si>
  <si>
    <t>Assist.Punt</t>
  </si>
  <si>
    <t>Prod. Fixa</t>
  </si>
  <si>
    <t>C.horitzontal</t>
  </si>
  <si>
    <t>GRUP  "A2"</t>
  </si>
  <si>
    <t>26a</t>
  </si>
  <si>
    <t>26b</t>
  </si>
  <si>
    <t>16a</t>
  </si>
  <si>
    <t>GRUP  "C1"</t>
  </si>
  <si>
    <t>GRUP  "C2"</t>
  </si>
  <si>
    <t>COMPLEMENTS PERSONALS ASSIGNATS (Imports anuals)</t>
  </si>
  <si>
    <t>ALTRES PERCEPCIONS (imports anuals)</t>
  </si>
  <si>
    <t>Ajut social per fill/a</t>
  </si>
  <si>
    <t>Ajut social per fill/a disminuït/ida</t>
  </si>
  <si>
    <t>ALTRES PERCEPCIONS (import per unitat/km)</t>
  </si>
  <si>
    <t>exempte</t>
  </si>
  <si>
    <t>subjecte</t>
  </si>
  <si>
    <t>Import desplaçament</t>
  </si>
  <si>
    <t>JSR</t>
  </si>
  <si>
    <t>Ajut per menjar</t>
  </si>
  <si>
    <t>ESCALES I NIVELLS RETRIBUTIUS C.P.N.S.C. 2017 PERSONAL FUNCIONARI   (conforme a la Llei 3/2017 de PGE del 2017 i Acord meses negociació retribucions del CPNSC de dates 13 de gener de 2017 i 10 de juliol de 2017)</t>
  </si>
  <si>
    <t>Graella mensual, pagues extres, partides extrasalarials i complements personals</t>
  </si>
  <si>
    <t>C.horitzontalç</t>
  </si>
  <si>
    <t>C.Horitzontal</t>
  </si>
  <si>
    <t>IMPORT A PERCEBRE PER UNITAT TRIENNI</t>
  </si>
  <si>
    <t>Assist Punt</t>
  </si>
  <si>
    <t>(a cada mensualitat ordinària)</t>
  </si>
  <si>
    <t>GRUP</t>
  </si>
  <si>
    <t>Trienni</t>
  </si>
  <si>
    <t>A1</t>
  </si>
  <si>
    <t>A2</t>
  </si>
  <si>
    <t>C1</t>
  </si>
  <si>
    <t>C2</t>
  </si>
  <si>
    <t>IMPORT A PERCEBRE A LES PAGUES EXTRES-JUNY I DESEMBRE</t>
  </si>
  <si>
    <t>COMPLEMENTS PERSONALS</t>
  </si>
  <si>
    <t>(només pel que fa a sou base i triennis)</t>
  </si>
  <si>
    <t>(imports mensuals)</t>
  </si>
  <si>
    <t>Sou base</t>
  </si>
  <si>
    <t>ALTRES PERCEPCIONS (imports mensuals)</t>
  </si>
  <si>
    <t>QUADRE DE RETRIBUCIONS DEL PERSONAL LABORAL  DEL CONSORCI DEL PARC NATURAL DE LA SERRA DE COLLSEROLA PER L'ANY 2017  (conforme a la Llei 3/2017 de PGE del 2017 i Acord meses negociació retribucions del CPNSC de dates 13 de gener de 2017 i 10 de juliol de 2017)</t>
  </si>
  <si>
    <t>RETRIBUCIONS A LES PAGUES EXTRES ANY 2017</t>
  </si>
  <si>
    <t>CATEGORIES PROFESSIONALS</t>
  </si>
  <si>
    <t xml:space="preserve">TOTAL </t>
  </si>
  <si>
    <t>COMPROVACIONS</t>
  </si>
  <si>
    <t>TOTAL ANY (*)</t>
  </si>
  <si>
    <t>Director Gerent</t>
  </si>
  <si>
    <t>Retribució (*)</t>
  </si>
  <si>
    <t>MES (*)</t>
  </si>
  <si>
    <t>SUBGRUP A1</t>
  </si>
  <si>
    <t>Sou</t>
  </si>
  <si>
    <t>Assistència i</t>
  </si>
  <si>
    <t>Complement Lloc i</t>
  </si>
  <si>
    <t>Tècnic Superior</t>
  </si>
  <si>
    <t>Nivells</t>
  </si>
  <si>
    <t>Base</t>
  </si>
  <si>
    <t>Puntualitat</t>
  </si>
  <si>
    <t>Desen.Professional</t>
  </si>
  <si>
    <t>MES</t>
  </si>
  <si>
    <t>TOTAL ANY</t>
  </si>
  <si>
    <t>SUBGRUP A2</t>
  </si>
  <si>
    <t>Tècnic Mitjà</t>
  </si>
  <si>
    <t>SUBGRUP C1</t>
  </si>
  <si>
    <t>Tècnic Auxiliar</t>
  </si>
  <si>
    <t>SUBGRUP C2</t>
  </si>
  <si>
    <t>Auxiliar administratiu</t>
  </si>
  <si>
    <t>Guarda forestal</t>
  </si>
  <si>
    <t>Oficial conservació, treballs forestals</t>
  </si>
  <si>
    <t xml:space="preserve"> i agrícoles</t>
  </si>
  <si>
    <t>Operari de camp i prevenció d'incendis</t>
  </si>
  <si>
    <t>Subaltern</t>
  </si>
  <si>
    <t>SUBGRUP AP</t>
  </si>
  <si>
    <t>TRIENNIS</t>
  </si>
  <si>
    <t>Antiguitat mes</t>
  </si>
  <si>
    <t>Antiguitat a la</t>
  </si>
  <si>
    <t>ordinari</t>
  </si>
  <si>
    <t>paga extra</t>
  </si>
  <si>
    <t>ALTRES PERCEPCIONS (import unitat)</t>
  </si>
  <si>
    <t>Import desplaçament (qm)</t>
  </si>
  <si>
    <t>AP</t>
  </si>
  <si>
    <t>C.Reventlla S.Joan</t>
  </si>
  <si>
    <t>(*)</t>
  </si>
  <si>
    <t>L'import del personal directiu resta pendent d'aprovació per l'òrgan competent del Consorci del Parc Natural de la Serra de Collserola</t>
  </si>
  <si>
    <t>ESCALES I NIVELLS RETRIBUTIUS C.P.N.S.C. A partir de 01/01/2018 FUNCIONARIS   (conforme a la Llei 6/2018 de PGE del 2018 i Acord mesa negociació retribucions del CPNSC de data 6 de juliol de 2018)</t>
  </si>
  <si>
    <t>QUADRE DE RETRIBUCIONS DEL PERSONAL LABORAL  DEL CONSORCI DEL PARC NATURAL DE LA SERRA DE COLLSEROLA DE L'1/01/2018 al 30/06/2018 (conforme a la Llei 6/2018 de PGE del 2018 i Acord mesa negociació retribucions del CPNSC de data 6 de juliol de 2018)</t>
  </si>
  <si>
    <t>RETRIBUCIONS A LA PAGA EXTRA JUNY DE 2018</t>
  </si>
  <si>
    <t>forestals i agrícoles</t>
  </si>
  <si>
    <t>Oficial conservació treballs</t>
  </si>
  <si>
    <t>i prevenció d'incendis</t>
  </si>
  <si>
    <t>Operari de camp</t>
  </si>
  <si>
    <t>ESCALES I NIVELLS RETRIBUTIUS C.P.N.S.C. 2018 PERSONAL FUNCIONARI   (conforme a la Llei 6/2018 de PGE del 2018 i increment de l'175%)</t>
  </si>
  <si>
    <t>Graella mensual, paga extra desembre 2018, partides extrasalarials i complements personals del període de l'01/07/2018 al 31/12/2018)</t>
  </si>
  <si>
    <t>IMPORT A PERCEBRE A LA PAGA EXTRA DESEMBRE 2018</t>
  </si>
  <si>
    <t>RETRIBUCIONS A LA PAGA EXTRA DESEMBRE DE 2018</t>
  </si>
  <si>
    <t>QUADRE DE RETRIBUCIONS DEL PERSONAL LABORAL  DEL CONSORCI DEL PARC NATURAL DE LA SERRA DE COLLSEROLA DE L'1/07/2018 al 31/12/2018 (conforme a la Llei 6/2018 de PGE del 2018 i increment de l'1,75%)</t>
  </si>
  <si>
    <t>Ç</t>
  </si>
  <si>
    <t>ANUAL</t>
  </si>
  <si>
    <t>DIFERENCIA</t>
  </si>
  <si>
    <t>NOUS IMPORTS DE L'ESTRUCTURA RETRIBUTIVA DEL PERSONAL DEL GRUP C2</t>
  </si>
  <si>
    <t>ANY 2019</t>
  </si>
  <si>
    <t>Retribució</t>
  </si>
  <si>
    <t>TOTAL</t>
  </si>
  <si>
    <t>RETRIBUCIONS A LES PAGUES EXTRES (JUNY I DESEMBRE DE 2019)</t>
  </si>
  <si>
    <t>TOTAL ANUAL</t>
  </si>
  <si>
    <t>QUADRE DE RETRIBUCIONS DEL PERSONAL LABORAL DEL CONSORCI DEL PARC NATURAL DE LA SERRA DE COLLSEROLA APLICABLE L'ANY 2019 (Inclou la pujada derivada del RDL 24/2018, de 21 de desembre, del 2,25%)</t>
  </si>
  <si>
    <t>a compte 2019</t>
  </si>
  <si>
    <t>ESCALES I NIVELLS RETRIBUTIUS C.P.N.S.C. 2019 PERSONAL FUNCIONARI  (inclou l'increment del 2,25% del RDL 24/2018, de 21 de desembre)</t>
  </si>
  <si>
    <t>ANNEX AL DECRET DE VICEPRESIDÈNCIA EXECUTIVA DE DATA 17 DE GENER DE 2019</t>
  </si>
  <si>
    <t>(pendent d'aprovació definitiva per l'Assemblea General)</t>
  </si>
  <si>
    <t>(pendent aprovació definitiva per l'Assemblea General)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</si>
</sst>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#,##0.0000"/>
  </numFmts>
  <fonts count="19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u/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i/>
      <u/>
      <sz val="11"/>
      <color rgb="FFFF0000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u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8"/>
      <color theme="1"/>
      <name val="Arial Narrow"/>
      <family val="2"/>
    </font>
    <font>
      <b/>
      <sz val="18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136">
    <xf numFmtId="0" fontId="0" fillId="0" borderId="0" xfId="0"/>
    <xf numFmtId="4" fontId="0" fillId="0" borderId="0" xfId="0" applyNumberFormat="1"/>
    <xf numFmtId="0" fontId="1" fillId="0" borderId="0" xfId="0" applyFont="1"/>
    <xf numFmtId="4" fontId="1" fillId="0" borderId="0" xfId="0" applyNumberFormat="1" applyFont="1"/>
    <xf numFmtId="0" fontId="0" fillId="0" borderId="0" xfId="0" applyNumberFormat="1"/>
    <xf numFmtId="0" fontId="0" fillId="0" borderId="3" xfId="0" applyBorder="1"/>
    <xf numFmtId="0" fontId="0" fillId="0" borderId="4" xfId="0" applyBorder="1"/>
    <xf numFmtId="0" fontId="2" fillId="0" borderId="2" xfId="0" applyFont="1" applyBorder="1"/>
    <xf numFmtId="0" fontId="0" fillId="0" borderId="3" xfId="0" applyNumberFormat="1" applyBorder="1"/>
    <xf numFmtId="0" fontId="0" fillId="0" borderId="1" xfId="0" applyBorder="1"/>
    <xf numFmtId="4" fontId="0" fillId="0" borderId="1" xfId="0" applyNumberFormat="1" applyBorder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" fontId="0" fillId="0" borderId="2" xfId="0" applyNumberFormat="1" applyBorder="1"/>
    <xf numFmtId="4" fontId="0" fillId="0" borderId="3" xfId="0" applyNumberFormat="1" applyBorder="1"/>
    <xf numFmtId="4" fontId="0" fillId="0" borderId="4" xfId="0" applyNumberFormat="1" applyBorder="1"/>
    <xf numFmtId="0" fontId="0" fillId="0" borderId="0" xfId="0" applyAlignment="1"/>
    <xf numFmtId="4" fontId="0" fillId="0" borderId="0" xfId="0" applyNumberFormat="1" applyAlignment="1"/>
    <xf numFmtId="0" fontId="0" fillId="0" borderId="5" xfId="0" applyBorder="1"/>
    <xf numFmtId="4" fontId="0" fillId="0" borderId="5" xfId="0" applyNumberFormat="1" applyBorder="1"/>
    <xf numFmtId="0" fontId="3" fillId="0" borderId="0" xfId="0" applyFont="1"/>
    <xf numFmtId="0" fontId="4" fillId="0" borderId="0" xfId="0" applyFont="1"/>
    <xf numFmtId="164" fontId="1" fillId="0" borderId="0" xfId="0" applyNumberFormat="1" applyFont="1"/>
    <xf numFmtId="0" fontId="0" fillId="0" borderId="5" xfId="0" applyBorder="1" applyAlignment="1"/>
    <xf numFmtId="0" fontId="0" fillId="0" borderId="1" xfId="0" applyNumberFormat="1" applyBorder="1"/>
    <xf numFmtId="4" fontId="5" fillId="0" borderId="6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1" xfId="0" applyFont="1" applyBorder="1"/>
    <xf numFmtId="0" fontId="2" fillId="0" borderId="1" xfId="0" applyFont="1" applyBorder="1"/>
    <xf numFmtId="4" fontId="2" fillId="0" borderId="6" xfId="0" applyNumberFormat="1" applyFont="1" applyBorder="1"/>
    <xf numFmtId="0" fontId="2" fillId="0" borderId="6" xfId="0" applyFont="1" applyBorder="1"/>
    <xf numFmtId="0" fontId="2" fillId="0" borderId="5" xfId="0" applyFont="1" applyBorder="1"/>
    <xf numFmtId="4" fontId="2" fillId="0" borderId="1" xfId="0" applyNumberFormat="1" applyFont="1" applyBorder="1"/>
    <xf numFmtId="0" fontId="6" fillId="0" borderId="0" xfId="0" applyFont="1"/>
    <xf numFmtId="0" fontId="7" fillId="0" borderId="0" xfId="0" applyFont="1"/>
    <xf numFmtId="0" fontId="7" fillId="0" borderId="0" xfId="0" applyNumberFormat="1" applyFont="1"/>
    <xf numFmtId="0" fontId="7" fillId="0" borderId="0" xfId="0" applyFont="1" applyAlignment="1">
      <alignment horizontal="right"/>
    </xf>
    <xf numFmtId="0" fontId="8" fillId="0" borderId="0" xfId="0" applyFont="1"/>
    <xf numFmtId="0" fontId="5" fillId="0" borderId="5" xfId="0" applyNumberFormat="1" applyFont="1" applyBorder="1" applyAlignment="1"/>
    <xf numFmtId="0" fontId="5" fillId="0" borderId="5" xfId="0" applyFont="1" applyBorder="1" applyAlignment="1">
      <alignment horizontal="center" vertical="center"/>
    </xf>
    <xf numFmtId="0" fontId="5" fillId="0" borderId="5" xfId="0" applyFont="1" applyBorder="1" applyAlignment="1"/>
    <xf numFmtId="0" fontId="5" fillId="0" borderId="0" xfId="0" applyFont="1" applyAlignment="1"/>
    <xf numFmtId="0" fontId="5" fillId="0" borderId="6" xfId="0" applyNumberFormat="1" applyFont="1" applyBorder="1" applyAlignment="1">
      <alignment horizontal="center"/>
    </xf>
    <xf numFmtId="4" fontId="5" fillId="0" borderId="6" xfId="0" applyNumberFormat="1" applyFont="1" applyBorder="1" applyAlignment="1">
      <alignment horizontal="center" vertical="center"/>
    </xf>
    <xf numFmtId="4" fontId="5" fillId="0" borderId="6" xfId="0" applyNumberFormat="1" applyFont="1" applyBorder="1" applyAlignment="1"/>
    <xf numFmtId="4" fontId="5" fillId="0" borderId="0" xfId="0" applyNumberFormat="1" applyFont="1" applyAlignment="1"/>
    <xf numFmtId="0" fontId="5" fillId="0" borderId="0" xfId="0" applyFont="1"/>
    <xf numFmtId="4" fontId="2" fillId="0" borderId="8" xfId="0" applyNumberFormat="1" applyFont="1" applyBorder="1"/>
    <xf numFmtId="4" fontId="2" fillId="0" borderId="7" xfId="0" applyNumberFormat="1" applyFont="1" applyBorder="1"/>
    <xf numFmtId="4" fontId="2" fillId="0" borderId="2" xfId="0" applyNumberFormat="1" applyFont="1" applyBorder="1"/>
    <xf numFmtId="0" fontId="5" fillId="0" borderId="5" xfId="0" applyNumberFormat="1" applyFont="1" applyBorder="1" applyAlignment="1">
      <alignment horizontal="center"/>
    </xf>
    <xf numFmtId="4" fontId="0" fillId="0" borderId="9" xfId="0" applyNumberFormat="1" applyBorder="1"/>
    <xf numFmtId="4" fontId="0" fillId="0" borderId="8" xfId="0" applyNumberFormat="1" applyBorder="1"/>
    <xf numFmtId="0" fontId="0" fillId="0" borderId="0" xfId="0" applyAlignment="1">
      <alignment horizontal="right"/>
    </xf>
    <xf numFmtId="4" fontId="7" fillId="0" borderId="0" xfId="0" applyNumberFormat="1" applyFont="1"/>
    <xf numFmtId="4" fontId="5" fillId="0" borderId="0" xfId="0" applyNumberFormat="1" applyFont="1"/>
    <xf numFmtId="4" fontId="7" fillId="0" borderId="0" xfId="0" applyNumberFormat="1" applyFont="1" applyAlignment="1">
      <alignment horizontal="right"/>
    </xf>
    <xf numFmtId="4" fontId="9" fillId="0" borderId="0" xfId="0" applyNumberFormat="1" applyFont="1"/>
    <xf numFmtId="4" fontId="9" fillId="0" borderId="10" xfId="0" applyNumberFormat="1" applyFont="1" applyBorder="1"/>
    <xf numFmtId="4" fontId="10" fillId="0" borderId="10" xfId="0" applyNumberFormat="1" applyFont="1" applyBorder="1"/>
    <xf numFmtId="4" fontId="1" fillId="0" borderId="10" xfId="0" applyNumberFormat="1" applyFont="1" applyBorder="1"/>
    <xf numFmtId="4" fontId="8" fillId="0" borderId="0" xfId="0" applyNumberFormat="1" applyFont="1" applyAlignment="1">
      <alignment horizontal="right"/>
    </xf>
    <xf numFmtId="2" fontId="0" fillId="0" borderId="0" xfId="0" applyNumberFormat="1"/>
    <xf numFmtId="4" fontId="0" fillId="2" borderId="1" xfId="0" applyNumberFormat="1" applyFill="1" applyBorder="1"/>
    <xf numFmtId="4" fontId="2" fillId="2" borderId="1" xfId="0" applyNumberFormat="1" applyFont="1" applyFill="1" applyBorder="1"/>
    <xf numFmtId="0" fontId="0" fillId="2" borderId="0" xfId="0" applyFill="1"/>
    <xf numFmtId="4" fontId="0" fillId="2" borderId="9" xfId="0" applyNumberFormat="1" applyFill="1" applyBorder="1"/>
    <xf numFmtId="4" fontId="0" fillId="2" borderId="0" xfId="0" applyNumberFormat="1" applyFill="1"/>
    <xf numFmtId="0" fontId="0" fillId="2" borderId="1" xfId="0" applyFill="1" applyBorder="1"/>
    <xf numFmtId="0" fontId="0" fillId="2" borderId="0" xfId="0" applyFill="1" applyAlignment="1">
      <alignment horizontal="right"/>
    </xf>
    <xf numFmtId="0" fontId="5" fillId="0" borderId="1" xfId="0" applyFont="1" applyFill="1" applyBorder="1" applyAlignment="1">
      <alignment horizontal="center"/>
    </xf>
    <xf numFmtId="43" fontId="0" fillId="0" borderId="1" xfId="1" applyFont="1" applyBorder="1"/>
    <xf numFmtId="43" fontId="0" fillId="2" borderId="1" xfId="1" applyFont="1" applyFill="1" applyBorder="1"/>
    <xf numFmtId="0" fontId="0" fillId="3" borderId="0" xfId="0" applyFill="1"/>
    <xf numFmtId="0" fontId="0" fillId="3" borderId="1" xfId="0" applyFill="1" applyBorder="1"/>
    <xf numFmtId="4" fontId="0" fillId="3" borderId="9" xfId="0" applyNumberFormat="1" applyFill="1" applyBorder="1"/>
    <xf numFmtId="4" fontId="0" fillId="3" borderId="0" xfId="0" applyNumberFormat="1" applyFill="1"/>
    <xf numFmtId="4" fontId="0" fillId="3" borderId="1" xfId="0" applyNumberFormat="1" applyFill="1" applyBorder="1"/>
    <xf numFmtId="4" fontId="2" fillId="3" borderId="1" xfId="0" applyNumberFormat="1" applyFont="1" applyFill="1" applyBorder="1"/>
    <xf numFmtId="4" fontId="0" fillId="0" borderId="0" xfId="0" applyNumberFormat="1" applyBorder="1"/>
    <xf numFmtId="0" fontId="0" fillId="0" borderId="1" xfId="0" applyNumberFormat="1" applyFill="1" applyBorder="1"/>
    <xf numFmtId="0" fontId="2" fillId="0" borderId="0" xfId="0" applyFont="1"/>
    <xf numFmtId="0" fontId="12" fillId="0" borderId="0" xfId="0" applyFont="1"/>
    <xf numFmtId="4" fontId="12" fillId="0" borderId="0" xfId="0" applyNumberFormat="1" applyFont="1"/>
    <xf numFmtId="0" fontId="13" fillId="0" borderId="0" xfId="0" applyFont="1"/>
    <xf numFmtId="0" fontId="14" fillId="0" borderId="0" xfId="0" applyFont="1"/>
    <xf numFmtId="0" fontId="15" fillId="0" borderId="0" xfId="0" applyFont="1"/>
    <xf numFmtId="4" fontId="15" fillId="0" borderId="0" xfId="0" applyNumberFormat="1" applyFont="1"/>
    <xf numFmtId="164" fontId="15" fillId="0" borderId="0" xfId="0" applyNumberFormat="1" applyFont="1"/>
    <xf numFmtId="4" fontId="2" fillId="0" borderId="4" xfId="0" applyNumberFormat="1" applyFont="1" applyBorder="1"/>
    <xf numFmtId="0" fontId="16" fillId="0" borderId="5" xfId="0" applyFont="1" applyFill="1" applyBorder="1" applyAlignment="1"/>
    <xf numFmtId="4" fontId="2" fillId="0" borderId="6" xfId="0" applyNumberFormat="1" applyFont="1" applyBorder="1" applyAlignment="1"/>
    <xf numFmtId="4" fontId="2" fillId="0" borderId="0" xfId="0" applyNumberFormat="1" applyFont="1"/>
    <xf numFmtId="4" fontId="2" fillId="0" borderId="0" xfId="0" applyNumberFormat="1" applyFont="1" applyBorder="1"/>
    <xf numFmtId="0" fontId="2" fillId="0" borderId="1" xfId="0" applyFont="1" applyBorder="1" applyAlignment="1">
      <alignment horizontal="right" wrapText="1"/>
    </xf>
    <xf numFmtId="0" fontId="17" fillId="0" borderId="0" xfId="0" applyFont="1"/>
    <xf numFmtId="0" fontId="0" fillId="2" borderId="1" xfId="0" applyNumberFormat="1" applyFill="1" applyBorder="1"/>
    <xf numFmtId="4" fontId="0" fillId="2" borderId="4" xfId="0" applyNumberFormat="1" applyFill="1" applyBorder="1"/>
    <xf numFmtId="0" fontId="18" fillId="0" borderId="11" xfId="0" applyFont="1" applyBorder="1"/>
    <xf numFmtId="0" fontId="2" fillId="0" borderId="12" xfId="0" applyFont="1" applyBorder="1"/>
    <xf numFmtId="0" fontId="2" fillId="0" borderId="13" xfId="0" applyFont="1" applyBorder="1"/>
    <xf numFmtId="0" fontId="2" fillId="0" borderId="14" xfId="0" applyFont="1" applyBorder="1"/>
    <xf numFmtId="0" fontId="18" fillId="0" borderId="15" xfId="0" applyFont="1" applyBorder="1"/>
    <xf numFmtId="0" fontId="2" fillId="0" borderId="15" xfId="0" applyFont="1" applyBorder="1"/>
    <xf numFmtId="0" fontId="2" fillId="0" borderId="16" xfId="0" applyFont="1" applyBorder="1"/>
    <xf numFmtId="0" fontId="0" fillId="4" borderId="0" xfId="0" applyFill="1" applyAlignment="1">
      <alignment horizontal="right"/>
    </xf>
    <xf numFmtId="4" fontId="0" fillId="4" borderId="1" xfId="0" applyNumberFormat="1" applyFill="1" applyBorder="1"/>
    <xf numFmtId="4" fontId="0" fillId="4" borderId="9" xfId="0" applyNumberFormat="1" applyFill="1" applyBorder="1"/>
    <xf numFmtId="4" fontId="0" fillId="4" borderId="0" xfId="0" applyNumberFormat="1" applyFill="1"/>
    <xf numFmtId="4" fontId="0" fillId="5" borderId="1" xfId="0" applyNumberFormat="1" applyFill="1" applyBorder="1"/>
    <xf numFmtId="4" fontId="0" fillId="6" borderId="1" xfId="0" applyNumberFormat="1" applyFill="1" applyBorder="1"/>
    <xf numFmtId="0" fontId="0" fillId="6" borderId="0" xfId="0" applyFill="1"/>
    <xf numFmtId="0" fontId="0" fillId="6" borderId="1" xfId="0" applyFill="1" applyBorder="1"/>
    <xf numFmtId="4" fontId="0" fillId="6" borderId="9" xfId="0" applyNumberFormat="1" applyFill="1" applyBorder="1"/>
    <xf numFmtId="4" fontId="0" fillId="6" borderId="0" xfId="0" applyNumberFormat="1" applyFill="1"/>
    <xf numFmtId="4" fontId="2" fillId="6" borderId="1" xfId="0" applyNumberFormat="1" applyFont="1" applyFill="1" applyBorder="1"/>
    <xf numFmtId="0" fontId="0" fillId="7" borderId="0" xfId="0" applyFill="1"/>
    <xf numFmtId="0" fontId="0" fillId="7" borderId="1" xfId="0" applyFill="1" applyBorder="1"/>
    <xf numFmtId="4" fontId="0" fillId="7" borderId="9" xfId="0" applyNumberFormat="1" applyFill="1" applyBorder="1"/>
    <xf numFmtId="4" fontId="0" fillId="7" borderId="0" xfId="0" applyNumberFormat="1" applyFill="1"/>
    <xf numFmtId="4" fontId="0" fillId="7" borderId="1" xfId="0" applyNumberFormat="1" applyFill="1" applyBorder="1"/>
    <xf numFmtId="4" fontId="2" fillId="7" borderId="1" xfId="0" applyNumberFormat="1" applyFont="1" applyFill="1" applyBorder="1"/>
    <xf numFmtId="0" fontId="2" fillId="0" borderId="11" xfId="0" applyFont="1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4" fontId="2" fillId="4" borderId="1" xfId="0" applyNumberFormat="1" applyFont="1" applyFill="1" applyBorder="1"/>
    <xf numFmtId="14" fontId="0" fillId="0" borderId="0" xfId="0" applyNumberFormat="1"/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7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W76"/>
  <sheetViews>
    <sheetView workbookViewId="0">
      <selection activeCell="D36" sqref="D36"/>
    </sheetView>
  </sheetViews>
  <sheetFormatPr baseColWidth="10" defaultRowHeight="15" x14ac:dyDescent="0.25"/>
  <cols>
    <col min="1" max="1" width="13" customWidth="1"/>
    <col min="4" max="4" width="12.42578125" customWidth="1"/>
  </cols>
  <sheetData>
    <row r="2" spans="1:15" x14ac:dyDescent="0.25">
      <c r="A2" s="36" t="s">
        <v>97</v>
      </c>
    </row>
    <row r="3" spans="1:15" x14ac:dyDescent="0.25">
      <c r="A3" s="36" t="s">
        <v>98</v>
      </c>
    </row>
    <row r="5" spans="1:15" x14ac:dyDescent="0.25">
      <c r="A5" s="36" t="s">
        <v>2</v>
      </c>
    </row>
    <row r="6" spans="1:15" x14ac:dyDescent="0.25">
      <c r="B6">
        <v>30</v>
      </c>
      <c r="C6">
        <v>29</v>
      </c>
      <c r="D6">
        <v>28</v>
      </c>
      <c r="E6">
        <v>27</v>
      </c>
      <c r="F6">
        <v>26</v>
      </c>
      <c r="G6">
        <v>25</v>
      </c>
      <c r="H6">
        <v>24</v>
      </c>
      <c r="I6">
        <v>23</v>
      </c>
      <c r="J6">
        <v>22</v>
      </c>
      <c r="K6">
        <v>21</v>
      </c>
      <c r="L6">
        <v>20</v>
      </c>
      <c r="M6" s="55" t="s">
        <v>3</v>
      </c>
      <c r="N6" s="55" t="s">
        <v>4</v>
      </c>
      <c r="O6" s="55" t="s">
        <v>5</v>
      </c>
    </row>
    <row r="7" spans="1:15" s="1" customFormat="1" x14ac:dyDescent="0.25"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</row>
    <row r="8" spans="1:15" s="1" customFormat="1" x14ac:dyDescent="0.25">
      <c r="A8" s="54"/>
      <c r="B8" s="53"/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</row>
    <row r="9" spans="1:15" s="1" customFormat="1" x14ac:dyDescent="0.25"/>
    <row r="10" spans="1:15" s="1" customFormat="1" x14ac:dyDescent="0.25">
      <c r="A10" s="10" t="s">
        <v>6</v>
      </c>
      <c r="B10" s="10">
        <v>1151.17</v>
      </c>
      <c r="C10" s="10">
        <v>1151.17</v>
      </c>
      <c r="D10" s="10">
        <v>1151.17</v>
      </c>
      <c r="E10" s="10">
        <v>1151.17</v>
      </c>
      <c r="F10" s="10">
        <v>1151.17</v>
      </c>
      <c r="G10" s="10">
        <v>1151.17</v>
      </c>
      <c r="H10" s="10">
        <v>1151.17</v>
      </c>
      <c r="I10" s="10">
        <v>1151.17</v>
      </c>
      <c r="J10" s="10">
        <v>1151.17</v>
      </c>
      <c r="K10" s="10">
        <v>1151.17</v>
      </c>
      <c r="L10" s="10">
        <v>1151.17</v>
      </c>
      <c r="M10" s="10">
        <v>1151.17</v>
      </c>
      <c r="N10" s="10">
        <v>1151.17</v>
      </c>
      <c r="O10" s="10">
        <v>1151.17</v>
      </c>
    </row>
    <row r="11" spans="1:15" s="1" customFormat="1" x14ac:dyDescent="0.25">
      <c r="A11" s="10" t="s">
        <v>7</v>
      </c>
      <c r="B11" s="10">
        <v>1005.54</v>
      </c>
      <c r="C11" s="10">
        <v>901.92</v>
      </c>
      <c r="D11" s="10">
        <v>864.01</v>
      </c>
      <c r="E11" s="10">
        <v>826.06</v>
      </c>
      <c r="F11" s="10">
        <v>724.73</v>
      </c>
      <c r="G11" s="10">
        <v>642.99</v>
      </c>
      <c r="H11" s="10">
        <v>605.04999999999995</v>
      </c>
      <c r="I11" s="10">
        <v>567.16999999999996</v>
      </c>
      <c r="J11" s="10">
        <v>529.21</v>
      </c>
      <c r="K11" s="10">
        <v>491.34</v>
      </c>
      <c r="L11" s="10">
        <v>456.41</v>
      </c>
      <c r="M11" s="10">
        <v>456.41</v>
      </c>
      <c r="N11" s="10">
        <v>456.41</v>
      </c>
      <c r="O11" s="10">
        <v>456.41</v>
      </c>
    </row>
    <row r="12" spans="1:15" s="1" customFormat="1" x14ac:dyDescent="0.25">
      <c r="A12" s="10" t="s">
        <v>8</v>
      </c>
      <c r="B12" s="10">
        <f ca="1">'2019_FUN_ANUAL_AMB_PGE_225'!B12*1.0175</f>
        <v>35077.541133250001</v>
      </c>
      <c r="C12" s="10">
        <f>'2019_FUN_ANUAL_AMB_PGE_225'!C12*1.0175</f>
        <v>33122.412390375001</v>
      </c>
      <c r="D12" s="10">
        <f>'2019_FUN_ANUAL_AMB_PGE_225'!D12*1.0175</f>
        <v>30449.640846625007</v>
      </c>
      <c r="E12" s="10">
        <f>'2019_FUN_ANUAL_AMB_PGE_225'!E12*1.0175</f>
        <v>24628.388120874999</v>
      </c>
      <c r="F12" s="10">
        <f>'2019_FUN_ANUAL_AMB_PGE_225'!F12*1.0175</f>
        <v>21543.121263124998</v>
      </c>
      <c r="G12" s="10">
        <f>'2019_FUN_ANUAL_AMB_PGE_225'!G12*1.0175</f>
        <v>21480.198249125002</v>
      </c>
      <c r="H12" s="10">
        <f>'2019_FUN_ANUAL_AMB_PGE_225'!H12*1.0175</f>
        <v>20938.798149500002</v>
      </c>
      <c r="I12" s="10">
        <f>'2019_FUN_ANUAL_AMB_PGE_225'!I12*1.0175</f>
        <v>20569.562407625002</v>
      </c>
      <c r="J12" s="10">
        <f>'2019_FUN_ANUAL_AMB_PGE_225'!J12*1.0175</f>
        <v>20200.763631125003</v>
      </c>
      <c r="K12" s="10">
        <f>'2019_FUN_ANUAL_AMB_PGE_225'!K12*1.0175</f>
        <v>18648.953929374999</v>
      </c>
      <c r="L12" s="10">
        <f>'2019_FUN_ANUAL_AMB_PGE_225'!L12*1.0175</f>
        <v>17065.682720625002</v>
      </c>
      <c r="M12" s="10">
        <f>'2019_FUN_ANUAL_AMB_PGE_225'!M12*1.0175</f>
        <v>14250.606119750002</v>
      </c>
      <c r="N12" s="10">
        <f>'2019_FUN_ANUAL_AMB_PGE_225'!N12*1.0175</f>
        <v>11267.297849500001</v>
      </c>
      <c r="O12" s="10">
        <f>'2019_FUN_ANUAL_AMB_PGE_225'!O12*1.0175</f>
        <v>7985.1052627500003</v>
      </c>
    </row>
    <row r="13" spans="1:15" s="1" customFormat="1" x14ac:dyDescent="0.25">
      <c r="A13" s="10" t="s">
        <v>9</v>
      </c>
      <c r="B13" s="10">
        <f ca="1">'2019_FUN_ANUAL_AMB_PGE_225'!B13*1.0175</f>
        <v>5464.5433246250013</v>
      </c>
      <c r="C13" s="10">
        <f>'2019_FUN_ANUAL_AMB_PGE_225'!C13*1.0175</f>
        <v>5175.8548668750009</v>
      </c>
      <c r="D13" s="10">
        <f>'2019_FUN_ANUAL_AMB_PGE_225'!D13*1.0175</f>
        <v>4907.1211612499992</v>
      </c>
      <c r="E13" s="10">
        <f>'2019_FUN_ANUAL_AMB_PGE_225'!E13*1.0175</f>
        <v>4375.9169203750007</v>
      </c>
      <c r="F13" s="10">
        <f>'2019_FUN_ANUAL_AMB_PGE_225'!F13*1.0175</f>
        <v>3995.6113890000001</v>
      </c>
      <c r="G13" s="10">
        <f>'2019_FUN_ANUAL_AMB_PGE_225'!G13*1.0175</f>
        <v>3891.3223195000005</v>
      </c>
      <c r="H13" s="10">
        <f>'2019_FUN_ANUAL_AMB_PGE_225'!H13*1.0175</f>
        <v>3800.1422112499999</v>
      </c>
      <c r="I13" s="10">
        <f>'2019_FUN_ANUAL_AMB_PGE_225'!I13*1.0175</f>
        <v>3723.3819603749998</v>
      </c>
      <c r="J13" s="10">
        <f>'2019_FUN_ANUAL_AMB_PGE_225'!J13*1.0175</f>
        <v>3646.6217095000002</v>
      </c>
      <c r="K13" s="10">
        <f>'2019_FUN_ANUAL_AMB_PGE_225'!K13*1.0175</f>
        <v>3471.2529390000004</v>
      </c>
      <c r="L13" s="10">
        <f>'2019_FUN_ANUAL_AMB_PGE_225'!L13*1.0175</f>
        <v>3296.9037543750001</v>
      </c>
      <c r="M13" s="10">
        <f>'2019_FUN_ANUAL_AMB_PGE_225'!M13*1.0175</f>
        <v>3062.3990031250005</v>
      </c>
      <c r="N13" s="10">
        <f>'2019_FUN_ANUAL_AMB_PGE_225'!N13*1.0175</f>
        <v>2813.7657047499997</v>
      </c>
      <c r="O13" s="10">
        <f>'2019_FUN_ANUAL_AMB_PGE_225'!O13*1.0175</f>
        <v>2540.2253800000003</v>
      </c>
    </row>
    <row r="14" spans="1:15" s="1" customFormat="1" x14ac:dyDescent="0.25">
      <c r="A14" s="10" t="s">
        <v>10</v>
      </c>
      <c r="B14" s="10">
        <f ca="1">'2019_FUN_ANUAL_AMB_PGE_225'!B14*1.0175</f>
        <v>6228.0674898749994</v>
      </c>
      <c r="C14" s="10">
        <f>'2019_FUN_ANUAL_AMB_PGE_225'!C14*1.0175</f>
        <v>5864.9492632500005</v>
      </c>
      <c r="D14" s="10">
        <f>'2019_FUN_ANUAL_AMB_PGE_225'!D14*1.0175</f>
        <v>5242.8562243749993</v>
      </c>
      <c r="E14" s="10">
        <f>'2019_FUN_ANUAL_AMB_PGE_225'!E14*1.0175</f>
        <v>3833.4972348750002</v>
      </c>
      <c r="F14" s="10">
        <f>'2019_FUN_ANUAL_AMB_PGE_225'!F14*1.0175</f>
        <v>3185.3319286249998</v>
      </c>
      <c r="G14" s="10">
        <f>'2019_FUN_ANUAL_AMB_PGE_225'!G14*1.0175</f>
        <v>3268.6466601249999</v>
      </c>
      <c r="H14" s="10">
        <f>'2019_FUN_ANUAL_AMB_PGE_225'!H14*1.0175</f>
        <v>3179.505723625</v>
      </c>
      <c r="I14" s="10">
        <f>'2019_FUN_ANUAL_AMB_PGE_225'!I14*1.0175</f>
        <v>3133.0417387499997</v>
      </c>
      <c r="J14" s="10">
        <f>'2019_FUN_ANUAL_AMB_PGE_225'!J14*1.0175</f>
        <v>3087.0147192499999</v>
      </c>
      <c r="K14" s="10">
        <f>'2019_FUN_ANUAL_AMB_PGE_225'!K14*1.0175</f>
        <v>2745.0164857500004</v>
      </c>
      <c r="L14" s="10">
        <f>'2019_FUN_ANUAL_AMB_PGE_225'!L14*1.0175</f>
        <v>2391.6571525000004</v>
      </c>
      <c r="M14" s="10">
        <f>'2019_FUN_ANUAL_AMB_PGE_225'!M14*1.0175</f>
        <v>1687.8515884999999</v>
      </c>
      <c r="N14" s="10">
        <f>'2019_FUN_ANUAL_AMB_PGE_225'!N14*1.0175</f>
        <v>941.95169337499999</v>
      </c>
      <c r="O14" s="10">
        <f>'2019_FUN_ANUAL_AMB_PGE_225'!O14*1.0175</f>
        <v>121.33071912499999</v>
      </c>
    </row>
    <row r="15" spans="1:15" s="1" customFormat="1" x14ac:dyDescent="0.25"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</row>
    <row r="16" spans="1:15" s="1" customFormat="1" x14ac:dyDescent="0.25">
      <c r="A16" s="10" t="s">
        <v>11</v>
      </c>
      <c r="B16" s="10">
        <f ca="1">'2019_FUN_ANUAL_AMB_PGE_225'!B16*1.0175</f>
        <v>5060.3503527499997</v>
      </c>
      <c r="C16" s="10">
        <f>'2019_FUN_ANUAL_AMB_PGE_225'!C16*1.0175</f>
        <v>5060.3503527499997</v>
      </c>
      <c r="D16" s="10">
        <f>'2019_FUN_ANUAL_AMB_PGE_225'!D16*1.0175</f>
        <v>3777.2743566250001</v>
      </c>
      <c r="E16" s="10">
        <f>'2019_FUN_ANUAL_AMB_PGE_225'!E16*1.0175</f>
        <v>3481.5944528750001</v>
      </c>
      <c r="F16" s="10">
        <f>'2019_FUN_ANUAL_AMB_PGE_225'!F16*1.0175</f>
        <v>3209.0737140000001</v>
      </c>
      <c r="G16" s="10">
        <f>'2019_FUN_ANUAL_AMB_PGE_225'!G16*1.0175</f>
        <v>3233.6894301250004</v>
      </c>
      <c r="H16" s="10">
        <f>'2019_FUN_ANUAL_AMB_PGE_225'!H16*1.0175</f>
        <v>3187.8080657500009</v>
      </c>
      <c r="I16" s="10">
        <f>'2019_FUN_ANUAL_AMB_PGE_225'!I16*1.0175</f>
        <v>3127.7981542500002</v>
      </c>
      <c r="J16" s="10">
        <f>'2019_FUN_ANUAL_AMB_PGE_225'!J16*1.0175</f>
        <v>3112.0674007500002</v>
      </c>
      <c r="K16" s="10">
        <f>'2019_FUN_ANUAL_AMB_PGE_225'!K16*1.0175</f>
        <v>2951.7011081250002</v>
      </c>
      <c r="L16" s="10">
        <f>'2019_FUN_ANUAL_AMB_PGE_225'!L16*1.0175</f>
        <v>2864.0167228750001</v>
      </c>
      <c r="M16" s="10">
        <f>'2019_FUN_ANUAL_AMB_PGE_225'!M16*1.0175</f>
        <v>3510.7254778749998</v>
      </c>
      <c r="N16" s="10">
        <f>'2019_FUN_ANUAL_AMB_PGE_225'!N16*1.0175</f>
        <v>3286.8535507500005</v>
      </c>
      <c r="O16" s="10">
        <f>'2019_FUN_ANUAL_AMB_PGE_225'!O16*1.0175</f>
        <v>3040.550734375</v>
      </c>
    </row>
    <row r="17" spans="1:17" s="1" customFormat="1" x14ac:dyDescent="0.25">
      <c r="A17" s="10"/>
      <c r="B17" s="34">
        <f ca="1">SUM(B10:B16)</f>
        <v>53987.212300500003</v>
      </c>
      <c r="C17" s="34">
        <f t="shared" ref="C17:O17" si="0">SUM(C10:C16)</f>
        <v>51276.656873250002</v>
      </c>
      <c r="D17" s="34">
        <f t="shared" si="0"/>
        <v>46392.072588875002</v>
      </c>
      <c r="E17" s="34">
        <f t="shared" si="0"/>
        <v>38296.626728999996</v>
      </c>
      <c r="F17" s="34">
        <f t="shared" si="0"/>
        <v>33809.038294750004</v>
      </c>
      <c r="G17" s="34">
        <f t="shared" si="0"/>
        <v>33668.016658875</v>
      </c>
      <c r="H17" s="34">
        <f t="shared" si="0"/>
        <v>32862.474150125003</v>
      </c>
      <c r="I17" s="34">
        <f t="shared" si="0"/>
        <v>32272.124260999997</v>
      </c>
      <c r="J17" s="34">
        <f t="shared" si="0"/>
        <v>31726.847460625002</v>
      </c>
      <c r="K17" s="34">
        <f t="shared" si="0"/>
        <v>29459.434462249999</v>
      </c>
      <c r="L17" s="34">
        <f t="shared" si="0"/>
        <v>27225.840350375005</v>
      </c>
      <c r="M17" s="34">
        <f t="shared" si="0"/>
        <v>24119.162189250004</v>
      </c>
      <c r="N17" s="34">
        <f t="shared" si="0"/>
        <v>19917.448798375</v>
      </c>
      <c r="O17" s="34">
        <f t="shared" si="0"/>
        <v>15294.792096250001</v>
      </c>
    </row>
    <row r="19" spans="1:17" x14ac:dyDescent="0.25">
      <c r="A19" s="36" t="s">
        <v>12</v>
      </c>
    </row>
    <row r="20" spans="1:17" x14ac:dyDescent="0.25">
      <c r="E20" s="55" t="s">
        <v>13</v>
      </c>
      <c r="F20" s="55" t="s">
        <v>14</v>
      </c>
      <c r="G20" s="55">
        <v>25</v>
      </c>
      <c r="H20" s="55">
        <v>24</v>
      </c>
      <c r="I20" s="55">
        <v>23</v>
      </c>
      <c r="J20" s="55">
        <v>22</v>
      </c>
      <c r="K20" s="55">
        <v>21</v>
      </c>
      <c r="L20" s="55">
        <v>20</v>
      </c>
      <c r="M20" s="55">
        <v>19</v>
      </c>
      <c r="N20" s="55">
        <v>18</v>
      </c>
      <c r="O20" s="55">
        <v>17</v>
      </c>
      <c r="P20" s="55">
        <v>16</v>
      </c>
      <c r="Q20" s="55" t="s">
        <v>15</v>
      </c>
    </row>
    <row r="21" spans="1:17" x14ac:dyDescent="0.25"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</row>
    <row r="22" spans="1:17" s="1" customFormat="1" x14ac:dyDescent="0.25">
      <c r="D22" s="54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</row>
    <row r="23" spans="1:17" s="1" customFormat="1" x14ac:dyDescent="0.25"/>
    <row r="24" spans="1:17" s="1" customFormat="1" x14ac:dyDescent="0.25">
      <c r="D24" s="10" t="s">
        <v>6</v>
      </c>
      <c r="E24" s="10">
        <v>995.39</v>
      </c>
      <c r="F24" s="10">
        <v>995.39</v>
      </c>
      <c r="G24" s="10">
        <v>995.39</v>
      </c>
      <c r="H24" s="10">
        <v>995.39</v>
      </c>
      <c r="I24" s="10">
        <v>995.39</v>
      </c>
      <c r="J24" s="10">
        <v>995.39</v>
      </c>
      <c r="K24" s="10">
        <v>995.39</v>
      </c>
      <c r="L24" s="10">
        <v>995.39</v>
      </c>
      <c r="M24" s="10">
        <v>995.39</v>
      </c>
      <c r="N24" s="10">
        <v>995.39</v>
      </c>
      <c r="O24" s="10">
        <v>995.39</v>
      </c>
      <c r="P24" s="10">
        <v>995.39</v>
      </c>
      <c r="Q24" s="10">
        <v>995.39</v>
      </c>
    </row>
    <row r="25" spans="1:17" s="1" customFormat="1" x14ac:dyDescent="0.25">
      <c r="D25" s="10" t="s">
        <v>7</v>
      </c>
      <c r="E25" s="10">
        <v>724.73</v>
      </c>
      <c r="F25" s="10">
        <v>724.73</v>
      </c>
      <c r="G25" s="10">
        <v>642.99</v>
      </c>
      <c r="H25" s="10">
        <v>605.04999999999995</v>
      </c>
      <c r="I25" s="10">
        <v>567.16999999999996</v>
      </c>
      <c r="J25" s="10">
        <v>529.21</v>
      </c>
      <c r="K25" s="10">
        <v>491.34</v>
      </c>
      <c r="L25" s="10">
        <v>456.41</v>
      </c>
      <c r="M25" s="10">
        <v>433.11</v>
      </c>
      <c r="N25" s="10">
        <v>409.79</v>
      </c>
      <c r="O25" s="10">
        <v>386.48</v>
      </c>
      <c r="P25" s="10">
        <v>363.23</v>
      </c>
      <c r="Q25" s="10">
        <v>363.23</v>
      </c>
    </row>
    <row r="26" spans="1:17" s="1" customFormat="1" x14ac:dyDescent="0.25">
      <c r="D26" s="10" t="s">
        <v>8</v>
      </c>
      <c r="E26" s="10">
        <f>'2019_FUN_ANUAL_AMB_PGE_225'!E26*1.0175</f>
        <v>21718.926998999996</v>
      </c>
      <c r="F26" s="10">
        <f>'2019_FUN_ANUAL_AMB_PGE_225'!F26*1.0175</f>
        <v>18481.159225374999</v>
      </c>
      <c r="G26" s="10">
        <f>'2019_FUN_ANUAL_AMB_PGE_225'!G26*1.0175</f>
        <v>17457.0580415</v>
      </c>
      <c r="H26" s="10">
        <f>'2019_FUN_ANUAL_AMB_PGE_225'!H26*1.0175</f>
        <v>17296.546093750003</v>
      </c>
      <c r="I26" s="10">
        <f>'2019_FUN_ANUAL_AMB_PGE_225'!I26*1.0175</f>
        <v>17018.490460125002</v>
      </c>
      <c r="J26" s="10">
        <f>'2019_FUN_ANUAL_AMB_PGE_225'!J26*1.0175</f>
        <v>16742.037032875</v>
      </c>
      <c r="K26" s="10">
        <f>'2019_FUN_ANUAL_AMB_PGE_225'!K26*1.0175</f>
        <v>16371.636050000001</v>
      </c>
      <c r="L26" s="10">
        <f>'2019_FUN_ANUAL_AMB_PGE_225'!L26*1.0175</f>
        <v>15968.899629374999</v>
      </c>
      <c r="M26" s="10">
        <f>'2019_FUN_ANUAL_AMB_PGE_225'!M26*1.0175</f>
        <v>15732.647016625002</v>
      </c>
      <c r="N26" s="10">
        <f>'2019_FUN_ANUAL_AMB_PGE_225'!N26*1.0175</f>
        <v>14514.096240875</v>
      </c>
      <c r="O26" s="10">
        <f>'2019_FUN_ANUAL_AMB_PGE_225'!O26*1.0175</f>
        <v>13786.403236374999</v>
      </c>
      <c r="P26" s="10">
        <v>881.05381221428581</v>
      </c>
      <c r="Q26" s="10">
        <v>763.27962400000001</v>
      </c>
    </row>
    <row r="27" spans="1:17" s="1" customFormat="1" x14ac:dyDescent="0.25">
      <c r="D27" s="10" t="s">
        <v>9</v>
      </c>
      <c r="E27" s="10">
        <f>'2019_FUN_ANUAL_AMB_PGE_225'!E27*1.0175</f>
        <v>3851.1215050000001</v>
      </c>
      <c r="F27" s="10">
        <f>'2019_FUN_ANUAL_AMB_PGE_225'!F27*1.0175</f>
        <v>3581.2225583750001</v>
      </c>
      <c r="G27" s="10">
        <f>'2019_FUN_ANUAL_AMB_PGE_225'!G27*1.0175</f>
        <v>3396.6775149999999</v>
      </c>
      <c r="H27" s="10">
        <f>'2019_FUN_ANUAL_AMB_PGE_225'!H27*1.0175</f>
        <v>3337.2502239999999</v>
      </c>
      <c r="I27" s="10">
        <f>'2019_FUN_ANUAL_AMB_PGE_225'!I27*1.0175</f>
        <v>3268.0640396250001</v>
      </c>
      <c r="J27" s="10">
        <f>'2019_FUN_ANUAL_AMB_PGE_225'!J27*1.0175</f>
        <v>3199.0235103750006</v>
      </c>
      <c r="K27" s="10">
        <f>'2019_FUN_ANUAL_AMB_PGE_225'!K27*1.0175</f>
        <v>3122.1176043749997</v>
      </c>
      <c r="L27" s="10">
        <f>'2019_FUN_ANUAL_AMB_PGE_225'!L27*1.0175</f>
        <v>3046.23128425</v>
      </c>
      <c r="M27" s="10">
        <f>'2019_FUN_ANUAL_AMB_PGE_225'!M27*1.0175</f>
        <v>2998.3107481249999</v>
      </c>
      <c r="N27" s="10">
        <f>'2019_FUN_ANUAL_AMB_PGE_225'!N27*1.0175</f>
        <v>2868.3863766250006</v>
      </c>
      <c r="O27" s="10">
        <f>'2019_FUN_ANUAL_AMB_PGE_225'!O27*1.0175</f>
        <v>2779.39109525</v>
      </c>
      <c r="P27" s="10">
        <v>181.53699600000002</v>
      </c>
      <c r="Q27" s="10">
        <v>171.72217671428569</v>
      </c>
    </row>
    <row r="28" spans="1:17" s="1" customFormat="1" x14ac:dyDescent="0.25">
      <c r="D28" s="10" t="s">
        <v>10</v>
      </c>
      <c r="E28" s="10">
        <f>'2019_FUN_ANUAL_AMB_PGE_225'!E28*1.0175</f>
        <v>3388.5208280000002</v>
      </c>
      <c r="F28" s="10">
        <f>'2019_FUN_ANUAL_AMB_PGE_225'!F28*1.0175</f>
        <v>2579.1152983749998</v>
      </c>
      <c r="G28" s="10">
        <f>'2019_FUN_ANUAL_AMB_PGE_225'!G28*1.0175</f>
        <v>2422.2447287499999</v>
      </c>
      <c r="H28" s="10">
        <f>'2019_FUN_ANUAL_AMB_PGE_225'!H28*1.0175</f>
        <v>2428.2165888750001</v>
      </c>
      <c r="I28" s="10">
        <f>'2019_FUN_ANUAL_AMB_PGE_225'!I28*1.0175</f>
        <v>2404.7661137499999</v>
      </c>
      <c r="J28" s="10">
        <f>'2019_FUN_ANUAL_AMB_PGE_225'!J28*1.0175</f>
        <v>2381.6069488749995</v>
      </c>
      <c r="K28" s="10">
        <f>'2019_FUN_ANUAL_AMB_PGE_225'!K28*1.0175</f>
        <v>2334.9973088750003</v>
      </c>
      <c r="L28" s="10">
        <f>'2019_FUN_ANUAL_AMB_PGE_225'!L28*1.0175</f>
        <v>2276.7352588750005</v>
      </c>
      <c r="M28" s="10">
        <f>'2019_FUN_ANUAL_AMB_PGE_225'!M28*1.0175</f>
        <v>2246.0020274999997</v>
      </c>
      <c r="N28" s="10">
        <f>'2019_FUN_ANUAL_AMB_PGE_225'!N28*1.0175</f>
        <v>1969.5486002500002</v>
      </c>
      <c r="O28" s="10">
        <f>'2019_FUN_ANUAL_AMB_PGE_225'!O28*1.0175</f>
        <v>1816.0280985000002</v>
      </c>
      <c r="P28" s="10">
        <v>112.14760807142859</v>
      </c>
      <c r="Q28" s="10">
        <v>82.703878857142854</v>
      </c>
    </row>
    <row r="29" spans="1:17" s="1" customFormat="1" x14ac:dyDescent="0.25">
      <c r="E29" s="10" t="e">
        <f ca="1">E31-'2019_FUN_ANUAL_AMB_PGE_225'!E31</f>
        <v>#VALUE!</v>
      </c>
      <c r="F29" s="10" t="e">
        <f ca="1">F31-'2019_FUN_ANUAL_AMB_PGE_225'!F31</f>
        <v>#VALUE!</v>
      </c>
      <c r="G29" s="10" t="e">
        <f ca="1">G31-'2019_FUN_ANUAL_AMB_PGE_225'!G31</f>
        <v>#VALUE!</v>
      </c>
      <c r="H29" s="10" t="e">
        <f ca="1">H31-'2019_FUN_ANUAL_AMB_PGE_225'!H31</f>
        <v>#VALUE!</v>
      </c>
      <c r="I29" s="10" t="e">
        <f ca="1">I31-'2019_FUN_ANUAL_AMB_PGE_225'!I31</f>
        <v>#VALUE!</v>
      </c>
      <c r="J29" s="10" t="e">
        <f ca="1">J31-'2019_FUN_ANUAL_AMB_PGE_225'!J31</f>
        <v>#VALUE!</v>
      </c>
      <c r="K29" s="10" t="e">
        <f ca="1">K31-'2019_FUN_ANUAL_AMB_PGE_225'!K31</f>
        <v>#VALUE!</v>
      </c>
      <c r="L29" s="10" t="e">
        <f ca="1">L31-'2019_FUN_ANUAL_AMB_PGE_225'!L31</f>
        <v>#VALUE!</v>
      </c>
      <c r="M29" s="10" t="e">
        <f ca="1">M31-'2019_FUN_ANUAL_AMB_PGE_225'!M31</f>
        <v>#VALUE!</v>
      </c>
      <c r="N29" s="10" t="e">
        <f ca="1">N31-'2019_FUN_ANUAL_AMB_PGE_225'!N31</f>
        <v>#VALUE!</v>
      </c>
      <c r="O29" s="10" t="e">
        <f ca="1">O31-'2019_FUN_ANUAL_AMB_PGE_225'!O31</f>
        <v>#VALUE!</v>
      </c>
      <c r="P29" s="10">
        <f ca="1">P31-'2019_FUN_ANUAL_AMB_PGE_225'!P31</f>
        <v>0</v>
      </c>
      <c r="Q29" s="10">
        <f ca="1">Q31-'2019_FUN_ANUAL_AMB_PGE_225'!Q31</f>
        <v>0</v>
      </c>
    </row>
    <row r="30" spans="1:17" s="1" customFormat="1" x14ac:dyDescent="0.25">
      <c r="D30" s="10" t="s">
        <v>11</v>
      </c>
      <c r="E30" s="10">
        <f>'2019_FUN_ANUAL_AMB_PGE_225'!E30*1.0175</f>
        <v>5335.9298492500002</v>
      </c>
      <c r="F30" s="10">
        <f>'2019_FUN_ANUAL_AMB_PGE_225'!F30*1.0175</f>
        <v>3906.17914225</v>
      </c>
      <c r="G30" s="10">
        <f>'2019_FUN_ANUAL_AMB_PGE_225'!G30*1.0175</f>
        <v>5575.5325298750004</v>
      </c>
      <c r="H30" s="10">
        <f>'2019_FUN_ANUAL_AMB_PGE_225'!H30*1.0175</f>
        <v>3628.7061291250002</v>
      </c>
      <c r="I30" s="10">
        <f>'2019_FUN_ANUAL_AMB_PGE_225'!I30*1.0175</f>
        <v>2868.6776868750003</v>
      </c>
      <c r="J30" s="10">
        <f>'2019_FUN_ANUAL_AMB_PGE_225'!J30*1.0175</f>
        <v>2797.1610205000002</v>
      </c>
      <c r="K30" s="10">
        <f>'2019_FUN_ANUAL_AMB_PGE_225'!K30*1.0175</f>
        <v>2772.1083389999999</v>
      </c>
      <c r="L30" s="10">
        <f>'2019_FUN_ANUAL_AMB_PGE_225'!L30*1.0175</f>
        <v>2778.8084747500002</v>
      </c>
      <c r="M30" s="10">
        <f>'2019_FUN_ANUAL_AMB_PGE_225'!M30*1.0175</f>
        <v>2755.0666893750004</v>
      </c>
      <c r="N30" s="10">
        <f>'2019_FUN_ANUAL_AMB_PGE_225'!N30*1.0175</f>
        <v>2631.5511433749998</v>
      </c>
      <c r="O30" s="10">
        <f>'2019_FUN_ANUAL_AMB_PGE_225'!O30*1.0175</f>
        <v>2636.7947278750003</v>
      </c>
      <c r="P30" s="10">
        <v>171.41541807142849</v>
      </c>
      <c r="Q30" s="10">
        <v>207.26100342857146</v>
      </c>
    </row>
    <row r="31" spans="1:17" s="1" customFormat="1" x14ac:dyDescent="0.25">
      <c r="D31" s="34"/>
      <c r="E31" s="34" t="e">
        <f ca="1">SUM(E24:E30)</f>
        <v>#VALUE!</v>
      </c>
      <c r="F31" s="34" t="e">
        <f t="shared" ref="F31:Q31" ca="1" si="1">SUM(F24:F30)</f>
        <v>#VALUE!</v>
      </c>
      <c r="G31" s="34" t="e">
        <f t="shared" ca="1" si="1"/>
        <v>#VALUE!</v>
      </c>
      <c r="H31" s="34" t="e">
        <f t="shared" ca="1" si="1"/>
        <v>#VALUE!</v>
      </c>
      <c r="I31" s="34" t="e">
        <f t="shared" ca="1" si="1"/>
        <v>#VALUE!</v>
      </c>
      <c r="J31" s="34" t="e">
        <f t="shared" ca="1" si="1"/>
        <v>#VALUE!</v>
      </c>
      <c r="K31" s="34" t="e">
        <f t="shared" ca="1" si="1"/>
        <v>#VALUE!</v>
      </c>
      <c r="L31" s="34" t="e">
        <f t="shared" ca="1" si="1"/>
        <v>#VALUE!</v>
      </c>
      <c r="M31" s="34" t="e">
        <f t="shared" ca="1" si="1"/>
        <v>#VALUE!</v>
      </c>
      <c r="N31" s="34" t="e">
        <f t="shared" ca="1" si="1"/>
        <v>#VALUE!</v>
      </c>
      <c r="O31" s="34" t="e">
        <f t="shared" ca="1" si="1"/>
        <v>#VALUE!</v>
      </c>
      <c r="P31" s="34">
        <f t="shared" ca="1" si="1"/>
        <v>2704.7738343571427</v>
      </c>
      <c r="Q31" s="34">
        <f t="shared" ca="1" si="1"/>
        <v>2583.5866829999991</v>
      </c>
    </row>
    <row r="32" spans="1:17" s="1" customFormat="1" x14ac:dyDescent="0.25"/>
    <row r="33" spans="1:23" x14ac:dyDescent="0.25">
      <c r="A33" s="36" t="s">
        <v>16</v>
      </c>
    </row>
    <row r="34" spans="1:23" x14ac:dyDescent="0.25">
      <c r="J34">
        <v>22</v>
      </c>
      <c r="K34">
        <v>21</v>
      </c>
      <c r="L34">
        <v>20</v>
      </c>
      <c r="M34">
        <v>19</v>
      </c>
      <c r="N34">
        <v>18</v>
      </c>
      <c r="O34">
        <v>17</v>
      </c>
      <c r="P34">
        <v>16</v>
      </c>
      <c r="Q34">
        <v>15</v>
      </c>
      <c r="R34">
        <v>14</v>
      </c>
      <c r="S34">
        <v>13</v>
      </c>
      <c r="T34">
        <v>12</v>
      </c>
    </row>
    <row r="35" spans="1:23" x14ac:dyDescent="0.25"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</row>
    <row r="36" spans="1:23" s="1" customFormat="1" x14ac:dyDescent="0.25">
      <c r="I36" s="54"/>
      <c r="J36" s="53"/>
      <c r="K36" s="53"/>
      <c r="L36" s="53"/>
      <c r="M36" s="53"/>
      <c r="N36" s="53"/>
      <c r="O36" s="53"/>
      <c r="P36" s="53"/>
      <c r="Q36" s="53"/>
      <c r="R36" s="53"/>
      <c r="S36" s="53"/>
      <c r="T36" s="53"/>
    </row>
    <row r="37" spans="1:23" s="1" customFormat="1" x14ac:dyDescent="0.25"/>
    <row r="38" spans="1:23" s="1" customFormat="1" x14ac:dyDescent="0.25">
      <c r="I38" s="10" t="s">
        <v>6</v>
      </c>
      <c r="J38" s="10"/>
      <c r="K38" s="10">
        <v>747.37</v>
      </c>
      <c r="L38" s="10">
        <v>747.37</v>
      </c>
      <c r="M38" s="10">
        <v>747.37</v>
      </c>
      <c r="N38" s="10">
        <v>747.37</v>
      </c>
      <c r="O38" s="10">
        <v>747.37</v>
      </c>
      <c r="P38" s="10">
        <v>747.37</v>
      </c>
      <c r="Q38" s="10">
        <v>747.37</v>
      </c>
      <c r="R38" s="10">
        <v>747.37</v>
      </c>
      <c r="S38" s="10">
        <v>747.37</v>
      </c>
      <c r="T38" s="10">
        <v>747.37</v>
      </c>
    </row>
    <row r="39" spans="1:23" s="1" customFormat="1" x14ac:dyDescent="0.25">
      <c r="I39" s="10" t="s">
        <v>7</v>
      </c>
      <c r="J39" s="10"/>
      <c r="K39" s="10">
        <v>491.34</v>
      </c>
      <c r="L39" s="10">
        <v>456.41</v>
      </c>
      <c r="M39" s="10">
        <v>433.11</v>
      </c>
      <c r="N39" s="10">
        <v>409.79</v>
      </c>
      <c r="O39" s="10">
        <v>386.48</v>
      </c>
      <c r="P39" s="10">
        <v>363.23</v>
      </c>
      <c r="Q39" s="10">
        <v>339.89</v>
      </c>
      <c r="R39" s="10">
        <v>316.61</v>
      </c>
      <c r="S39" s="10">
        <v>293.27999999999997</v>
      </c>
      <c r="T39" s="10">
        <v>269.95999999999998</v>
      </c>
    </row>
    <row r="40" spans="1:23" s="1" customFormat="1" x14ac:dyDescent="0.25">
      <c r="I40" s="10" t="s">
        <v>8</v>
      </c>
      <c r="J40" s="10"/>
      <c r="K40" s="10">
        <f>'2019_FUN_ANUAL_AMB_PGE_225'!K40*1.0175</f>
        <v>18377.015811000001</v>
      </c>
      <c r="L40" s="10">
        <f>'2019_FUN_ANUAL_AMB_PGE_225'!L40*1.0175</f>
        <v>18106.679898999999</v>
      </c>
      <c r="M40" s="10">
        <f>'2019_FUN_ANUAL_AMB_PGE_225'!M40*1.0175</f>
        <v>17287.952441375</v>
      </c>
      <c r="N40" s="10">
        <f>'2019_FUN_ANUAL_AMB_PGE_225'!N40*1.0175</f>
        <v>16682.318431625001</v>
      </c>
      <c r="O40" s="10">
        <f>'2019_FUN_ANUAL_AMB_PGE_225'!O40*1.0175</f>
        <v>15004.225736499999</v>
      </c>
      <c r="P40" s="10">
        <f>'2019_FUN_ANUAL_AMB_PGE_225'!P40*1.0175</f>
        <v>13829.95411875</v>
      </c>
      <c r="Q40" s="10">
        <f>'2019_FUN_ANUAL_AMB_PGE_225'!Q40*1.0175</f>
        <v>12150.84183775</v>
      </c>
      <c r="R40" s="10">
        <f>'2019_FUN_ANUAL_AMB_PGE_225'!R40*1.0175</f>
        <v>11181.943946250001</v>
      </c>
      <c r="S40" s="10">
        <f>'2019_FUN_ANUAL_AMB_PGE_225'!S40*1.0175</f>
        <v>10499.4040305</v>
      </c>
      <c r="T40" s="10">
        <f>'2019_FUN_ANUAL_AMB_PGE_225'!T40*1.0175</f>
        <v>9193.8971451250018</v>
      </c>
    </row>
    <row r="41" spans="1:23" s="1" customFormat="1" x14ac:dyDescent="0.25">
      <c r="I41" s="10" t="s">
        <v>9</v>
      </c>
      <c r="J41" s="10"/>
      <c r="K41" s="10">
        <f>'2019_FUN_ANUAL_AMB_PGE_225'!K41*1.0175</f>
        <v>3017.3915695000001</v>
      </c>
      <c r="L41" s="10">
        <f>'2019_FUN_ANUAL_AMB_PGE_225'!L41*1.0175</f>
        <v>2952.4293837499999</v>
      </c>
      <c r="M41" s="10">
        <f>'2019_FUN_ANUAL_AMB_PGE_225'!M41*1.0175</f>
        <v>2855.860035875</v>
      </c>
      <c r="N41" s="10">
        <f>'2019_FUN_ANUAL_AMB_PGE_225'!N41*1.0175</f>
        <v>2777.206268375</v>
      </c>
      <c r="O41" s="10">
        <f>'2019_FUN_ANUAL_AMB_PGE_225'!O41*1.0175</f>
        <v>2609.1202541249995</v>
      </c>
      <c r="P41" s="10">
        <f>'2019_FUN_ANUAL_AMB_PGE_225'!P41*1.0175</f>
        <v>2482.9829158749999</v>
      </c>
      <c r="Q41" s="10">
        <f>'2019_FUN_ANUAL_AMB_PGE_225'!Q41*1.0175</f>
        <v>2314.7512465</v>
      </c>
      <c r="R41" s="10">
        <f>'2019_FUN_ANUAL_AMB_PGE_225'!R41*1.0175</f>
        <v>2205.6555578749999</v>
      </c>
      <c r="S41" s="10">
        <f>'2019_FUN_ANUAL_AMB_PGE_225'!S41*1.0175</f>
        <v>2120.4473097499999</v>
      </c>
      <c r="T41" s="10">
        <f>'2019_FUN_ANUAL_AMB_PGE_225'!T41*1.0175</f>
        <v>1983.3858371250001</v>
      </c>
    </row>
    <row r="42" spans="1:23" s="1" customFormat="1" x14ac:dyDescent="0.25">
      <c r="I42" s="10" t="s">
        <v>10</v>
      </c>
      <c r="J42" s="10"/>
      <c r="K42" s="10">
        <f>'2019_FUN_ANUAL_AMB_PGE_225'!K42*1.0175</f>
        <v>3108.2803675</v>
      </c>
      <c r="L42" s="10">
        <f>'2019_FUN_ANUAL_AMB_PGE_225'!L42*1.0175</f>
        <v>3083.0820308749999</v>
      </c>
      <c r="M42" s="10">
        <f>'2019_FUN_ANUAL_AMB_PGE_225'!M42*1.0175</f>
        <v>2906.6936745000003</v>
      </c>
      <c r="N42" s="10">
        <f>'2019_FUN_ANUAL_AMB_PGE_225'!N42*1.0175</f>
        <v>2783.6150938750002</v>
      </c>
      <c r="O42" s="10">
        <f>'2019_FUN_ANUAL_AMB_PGE_225'!O42*1.0175</f>
        <v>2392.3854281250001</v>
      </c>
      <c r="P42" s="10">
        <f>'2019_FUN_ANUAL_AMB_PGE_225'!P42*1.0175</f>
        <v>2127.0017903749999</v>
      </c>
      <c r="Q42" s="10">
        <f>'2019_FUN_ANUAL_AMB_PGE_225'!Q42*1.0175</f>
        <v>1735.6264695000002</v>
      </c>
      <c r="R42" s="10">
        <f>'2019_FUN_ANUAL_AMB_PGE_225'!R42*1.0175</f>
        <v>1521.6590908749999</v>
      </c>
      <c r="S42" s="10">
        <f>'2019_FUN_ANUAL_AMB_PGE_225'!S42*1.0175</f>
        <v>1379.3540337500001</v>
      </c>
      <c r="T42" s="10">
        <f>'2019_FUN_ANUAL_AMB_PGE_225'!T42*1.0175</f>
        <v>1081.1979928750002</v>
      </c>
    </row>
    <row r="43" spans="1:23" s="1" customFormat="1" x14ac:dyDescent="0.25">
      <c r="J43" s="19"/>
      <c r="K43" s="10" t="e">
        <f ca="1">K45-'2019_FUN_ANUAL_AMB_PGE_225'!K45</f>
        <v>#VALUE!</v>
      </c>
      <c r="L43" s="10" t="e">
        <f ca="1">L45-'2019_FUN_ANUAL_AMB_PGE_225'!L45</f>
        <v>#VALUE!</v>
      </c>
      <c r="M43" s="10" t="e">
        <f ca="1">M45-'2019_FUN_ANUAL_AMB_PGE_225'!M45</f>
        <v>#VALUE!</v>
      </c>
      <c r="N43" s="10" t="e">
        <f ca="1">N45-'2019_FUN_ANUAL_AMB_PGE_225'!N45</f>
        <v>#VALUE!</v>
      </c>
      <c r="O43" s="10" t="e">
        <f ca="1">O45-'2019_FUN_ANUAL_AMB_PGE_225'!O45</f>
        <v>#VALUE!</v>
      </c>
      <c r="P43" s="10" t="e">
        <f ca="1">P45-'2019_FUN_ANUAL_AMB_PGE_225'!P45</f>
        <v>#VALUE!</v>
      </c>
      <c r="Q43" s="10" t="e">
        <f ca="1">Q45-'2019_FUN_ANUAL_AMB_PGE_225'!Q45</f>
        <v>#VALUE!</v>
      </c>
      <c r="R43" s="10" t="e">
        <f ca="1">R45-'2019_FUN_ANUAL_AMB_PGE_225'!R45</f>
        <v>#VALUE!</v>
      </c>
      <c r="S43" s="10" t="e">
        <f ca="1">S45-'2019_FUN_ANUAL_AMB_PGE_225'!S45</f>
        <v>#VALUE!</v>
      </c>
      <c r="T43" s="10" t="e">
        <f ca="1">T45-'2019_FUN_ANUAL_AMB_PGE_225'!T45</f>
        <v>#VALUE!</v>
      </c>
    </row>
    <row r="44" spans="1:23" s="1" customFormat="1" x14ac:dyDescent="0.25">
      <c r="I44" s="10" t="s">
        <v>31</v>
      </c>
      <c r="J44" s="10"/>
      <c r="K44" s="10">
        <f>'2019_FUN_ANUAL_AMB_PGE_225'!K44*1.0175</f>
        <v>5829.2637576250008</v>
      </c>
      <c r="L44" s="10">
        <f>'2019_FUN_ANUAL_AMB_PGE_225'!L44*1.0175</f>
        <v>5604.2265895</v>
      </c>
      <c r="M44" s="10">
        <f>'2019_FUN_ANUAL_AMB_PGE_225'!M44*1.0175</f>
        <v>4871.5813107499998</v>
      </c>
      <c r="N44" s="10">
        <f>'2019_FUN_ANUAL_AMB_PGE_225'!N44*1.0175</f>
        <v>2698.2611906250004</v>
      </c>
      <c r="O44" s="10">
        <f>'2019_FUN_ANUAL_AMB_PGE_225'!O44*1.0175</f>
        <v>3184.4579978749998</v>
      </c>
      <c r="P44" s="10">
        <f>'2019_FUN_ANUAL_AMB_PGE_225'!P44*1.0175</f>
        <v>2360.632610875</v>
      </c>
      <c r="Q44" s="10">
        <f>'2019_FUN_ANUAL_AMB_PGE_225'!Q44*1.0175</f>
        <v>2901.8870553750003</v>
      </c>
      <c r="R44" s="10">
        <f>'2019_FUN_ANUAL_AMB_PGE_225'!R44*1.0175</f>
        <v>3216.5021253750001</v>
      </c>
      <c r="S44" s="10">
        <f>'2019_FUN_ANUAL_AMB_PGE_225'!S44*1.0175</f>
        <v>3072.1578964999999</v>
      </c>
      <c r="T44" s="10">
        <f>'2019_FUN_ANUAL_AMB_PGE_225'!T44*1.0175</f>
        <v>2616.4030103750001</v>
      </c>
    </row>
    <row r="45" spans="1:23" s="1" customFormat="1" x14ac:dyDescent="0.25">
      <c r="I45" s="34"/>
      <c r="J45" s="34"/>
      <c r="K45" s="34" t="e">
        <f ca="1">SUM(K38:K44)</f>
        <v>#VALUE!</v>
      </c>
      <c r="L45" s="34" t="e">
        <f t="shared" ref="L45:T45" ca="1" si="2">SUM(L38:L44)</f>
        <v>#VALUE!</v>
      </c>
      <c r="M45" s="34" t="e">
        <f t="shared" ca="1" si="2"/>
        <v>#VALUE!</v>
      </c>
      <c r="N45" s="34" t="e">
        <f t="shared" ca="1" si="2"/>
        <v>#VALUE!</v>
      </c>
      <c r="O45" s="34" t="e">
        <f t="shared" ca="1" si="2"/>
        <v>#VALUE!</v>
      </c>
      <c r="P45" s="34" t="e">
        <f t="shared" ca="1" si="2"/>
        <v>#VALUE!</v>
      </c>
      <c r="Q45" s="34" t="e">
        <f t="shared" ca="1" si="2"/>
        <v>#VALUE!</v>
      </c>
      <c r="R45" s="34" t="e">
        <f t="shared" ca="1" si="2"/>
        <v>#VALUE!</v>
      </c>
      <c r="S45" s="34" t="e">
        <f t="shared" ca="1" si="2"/>
        <v>#VALUE!</v>
      </c>
      <c r="T45" s="34" t="e">
        <f t="shared" ca="1" si="2"/>
        <v>#VALUE!</v>
      </c>
    </row>
    <row r="46" spans="1:23" s="1" customFormat="1" x14ac:dyDescent="0.25"/>
    <row r="47" spans="1:23" x14ac:dyDescent="0.25">
      <c r="A47" s="36" t="s">
        <v>17</v>
      </c>
    </row>
    <row r="48" spans="1:23" x14ac:dyDescent="0.25">
      <c r="N48">
        <v>18</v>
      </c>
      <c r="O48">
        <v>17</v>
      </c>
      <c r="P48">
        <v>16</v>
      </c>
      <c r="Q48">
        <v>15</v>
      </c>
      <c r="R48">
        <v>14</v>
      </c>
      <c r="S48">
        <v>13</v>
      </c>
      <c r="T48">
        <v>12</v>
      </c>
      <c r="U48">
        <v>11</v>
      </c>
      <c r="V48">
        <v>10</v>
      </c>
      <c r="W48">
        <v>9</v>
      </c>
    </row>
    <row r="49" spans="1:23" x14ac:dyDescent="0.25">
      <c r="N49" s="9"/>
      <c r="O49" s="9"/>
      <c r="P49" s="9"/>
      <c r="Q49" s="9"/>
      <c r="R49" s="9"/>
      <c r="S49" s="9"/>
      <c r="T49" s="9"/>
      <c r="U49" s="9"/>
      <c r="V49" s="9"/>
      <c r="W49" s="9"/>
    </row>
    <row r="50" spans="1:23" s="1" customFormat="1" x14ac:dyDescent="0.25">
      <c r="M50" s="54"/>
      <c r="N50" s="53"/>
      <c r="O50" s="53"/>
      <c r="P50" s="53"/>
      <c r="Q50" s="53"/>
      <c r="R50" s="53"/>
      <c r="S50" s="53"/>
      <c r="T50" s="53"/>
      <c r="U50" s="53"/>
      <c r="V50" s="53"/>
      <c r="W50" s="53"/>
    </row>
    <row r="51" spans="1:23" s="1" customFormat="1" x14ac:dyDescent="0.25"/>
    <row r="52" spans="1:23" s="1" customFormat="1" x14ac:dyDescent="0.25">
      <c r="M52" s="10" t="s">
        <v>6</v>
      </c>
      <c r="N52" s="10">
        <v>622.01</v>
      </c>
      <c r="O52" s="10">
        <v>622.01</v>
      </c>
      <c r="P52" s="10">
        <v>622.01</v>
      </c>
      <c r="Q52" s="10">
        <v>622.01</v>
      </c>
      <c r="R52" s="10">
        <v>622.01</v>
      </c>
      <c r="S52" s="10">
        <v>622.01</v>
      </c>
      <c r="T52" s="10">
        <v>622.01</v>
      </c>
      <c r="U52" s="10">
        <v>622.01</v>
      </c>
      <c r="V52" s="10">
        <v>622.01</v>
      </c>
      <c r="W52" s="10">
        <v>622.01</v>
      </c>
    </row>
    <row r="53" spans="1:23" s="1" customFormat="1" x14ac:dyDescent="0.25">
      <c r="M53" s="10" t="s">
        <v>7</v>
      </c>
      <c r="N53" s="10">
        <v>409.79</v>
      </c>
      <c r="O53" s="10">
        <v>386.48</v>
      </c>
      <c r="P53" s="10">
        <v>363.23</v>
      </c>
      <c r="Q53" s="10">
        <v>339.89</v>
      </c>
      <c r="R53" s="10">
        <v>316.61</v>
      </c>
      <c r="S53" s="10">
        <v>293.27999999999997</v>
      </c>
      <c r="T53" s="10">
        <v>269.95999999999998</v>
      </c>
      <c r="U53" s="10">
        <v>246.65</v>
      </c>
      <c r="V53" s="10">
        <v>223.38</v>
      </c>
      <c r="W53" s="10">
        <v>211.74</v>
      </c>
    </row>
    <row r="54" spans="1:23" s="1" customFormat="1" x14ac:dyDescent="0.25">
      <c r="M54" s="10" t="s">
        <v>8</v>
      </c>
      <c r="N54" s="10" t="e">
        <f>'2019_FUN_ANUAL_AMB_PGE_225'!#REF!*1.0175</f>
        <v>#REF!</v>
      </c>
      <c r="O54" s="10" t="e">
        <f>'2019_FUN_ANUAL_AMB_PGE_225'!#REF!*1.0175</f>
        <v>#REF!</v>
      </c>
      <c r="P54" s="10" t="e">
        <f>'2019_FUN_ANUAL_AMB_PGE_225'!#REF!*1.0175</f>
        <v>#REF!</v>
      </c>
      <c r="Q54" s="10" t="e">
        <f>'2019_FUN_ANUAL_AMB_PGE_225'!#REF!*1.0175</f>
        <v>#REF!</v>
      </c>
      <c r="R54" s="10" t="e">
        <f>'2019_FUN_ANUAL_AMB_PGE_225'!#REF!*1.0175</f>
        <v>#REF!</v>
      </c>
      <c r="S54" s="10" t="e">
        <f>'2019_FUN_ANUAL_AMB_PGE_225'!#REF!*1.0175</f>
        <v>#REF!</v>
      </c>
      <c r="T54" s="10" t="e">
        <f>'2019_FUN_ANUAL_AMB_PGE_225'!#REF!*1.0175</f>
        <v>#REF!</v>
      </c>
      <c r="U54" s="10" t="e">
        <f>'2019_FUN_ANUAL_AMB_PGE_225'!#REF!*1.0175</f>
        <v>#REF!</v>
      </c>
      <c r="V54" s="10" t="e">
        <f>'2019_FUN_ANUAL_AMB_PGE_225'!#REF!*1.0175</f>
        <v>#REF!</v>
      </c>
      <c r="W54" s="10" t="e">
        <f>'2019_FUN_ANUAL_AMB_PGE_225'!#REF!*1.0175</f>
        <v>#REF!</v>
      </c>
    </row>
    <row r="55" spans="1:23" s="1" customFormat="1" x14ac:dyDescent="0.25">
      <c r="A55" s="56" t="s">
        <v>32</v>
      </c>
      <c r="B55" s="56"/>
      <c r="C55" s="56"/>
      <c r="M55" s="10" t="s">
        <v>33</v>
      </c>
      <c r="N55" s="10" t="e">
        <f>'2019_FUN_ANUAL_AMB_PGE_225'!#REF!*1.0175</f>
        <v>#REF!</v>
      </c>
      <c r="O55" s="10" t="e">
        <f>'2019_FUN_ANUAL_AMB_PGE_225'!#REF!*1.0175</f>
        <v>#REF!</v>
      </c>
      <c r="P55" s="10" t="e">
        <f>'2019_FUN_ANUAL_AMB_PGE_225'!#REF!*1.0175</f>
        <v>#REF!</v>
      </c>
      <c r="Q55" s="10" t="e">
        <f>'2019_FUN_ANUAL_AMB_PGE_225'!#REF!*1.0175</f>
        <v>#REF!</v>
      </c>
      <c r="R55" s="10" t="e">
        <f>'2019_FUN_ANUAL_AMB_PGE_225'!#REF!*1.0175</f>
        <v>#REF!</v>
      </c>
      <c r="S55" s="10" t="e">
        <f>'2019_FUN_ANUAL_AMB_PGE_225'!#REF!*1.0175</f>
        <v>#REF!</v>
      </c>
      <c r="T55" s="10" t="e">
        <f>'2019_FUN_ANUAL_AMB_PGE_225'!#REF!*1.0175</f>
        <v>#REF!</v>
      </c>
      <c r="U55" s="10" t="e">
        <f>'2019_FUN_ANUAL_AMB_PGE_225'!#REF!*1.0175</f>
        <v>#REF!</v>
      </c>
      <c r="V55" s="10" t="e">
        <f>'2019_FUN_ANUAL_AMB_PGE_225'!#REF!*1.0175</f>
        <v>#REF!</v>
      </c>
      <c r="W55" s="10" t="e">
        <f>'2019_FUN_ANUAL_AMB_PGE_225'!#REF!*1.0175</f>
        <v>#REF!</v>
      </c>
    </row>
    <row r="56" spans="1:23" s="1" customFormat="1" x14ac:dyDescent="0.25">
      <c r="A56" s="57" t="s">
        <v>34</v>
      </c>
      <c r="M56" s="10" t="s">
        <v>10</v>
      </c>
      <c r="N56" s="10" t="e">
        <f>'2019_FUN_ANUAL_AMB_PGE_225'!#REF!*1.0175</f>
        <v>#REF!</v>
      </c>
      <c r="O56" s="10" t="e">
        <f>'2019_FUN_ANUAL_AMB_PGE_225'!#REF!*1.0175</f>
        <v>#REF!</v>
      </c>
      <c r="P56" s="10" t="e">
        <f>'2019_FUN_ANUAL_AMB_PGE_225'!#REF!*1.0175</f>
        <v>#REF!</v>
      </c>
      <c r="Q56" s="10" t="e">
        <f>'2019_FUN_ANUAL_AMB_PGE_225'!#REF!*1.0175</f>
        <v>#REF!</v>
      </c>
      <c r="R56" s="10" t="e">
        <f>'2019_FUN_ANUAL_AMB_PGE_225'!#REF!*1.0175</f>
        <v>#REF!</v>
      </c>
      <c r="S56" s="10" t="e">
        <f>'2019_FUN_ANUAL_AMB_PGE_225'!#REF!*1.0175</f>
        <v>#REF!</v>
      </c>
      <c r="T56" s="10" t="e">
        <f>'2019_FUN_ANUAL_AMB_PGE_225'!#REF!*1.0175</f>
        <v>#REF!</v>
      </c>
      <c r="U56" s="10" t="e">
        <f>'2019_FUN_ANUAL_AMB_PGE_225'!#REF!*1.0175</f>
        <v>#REF!</v>
      </c>
      <c r="V56" s="10" t="e">
        <f>'2019_FUN_ANUAL_AMB_PGE_225'!#REF!*1.0175</f>
        <v>#REF!</v>
      </c>
      <c r="W56" s="10" t="e">
        <f>'2019_FUN_ANUAL_AMB_PGE_225'!#REF!*1.0175</f>
        <v>#REF!</v>
      </c>
    </row>
    <row r="57" spans="1:23" s="1" customFormat="1" x14ac:dyDescent="0.25">
      <c r="A57" s="56" t="s">
        <v>35</v>
      </c>
      <c r="B57" s="56"/>
      <c r="C57" s="58" t="s">
        <v>36</v>
      </c>
      <c r="N57" s="10" t="e">
        <f>N59-'2019_FUN_ANUAL_AMB_PGE_225'!#REF!</f>
        <v>#REF!</v>
      </c>
      <c r="O57" s="10" t="e">
        <f>O59-'2019_FUN_ANUAL_AMB_PGE_225'!#REF!</f>
        <v>#REF!</v>
      </c>
      <c r="P57" s="10" t="e">
        <f>P59-'2019_FUN_ANUAL_AMB_PGE_225'!#REF!</f>
        <v>#REF!</v>
      </c>
      <c r="Q57" s="10" t="e">
        <f>Q59-'2019_FUN_ANUAL_AMB_PGE_225'!#REF!</f>
        <v>#REF!</v>
      </c>
      <c r="R57" s="10" t="e">
        <f>R59-'2019_FUN_ANUAL_AMB_PGE_225'!#REF!</f>
        <v>#REF!</v>
      </c>
      <c r="S57" s="10" t="e">
        <f>S59-'2019_FUN_ANUAL_AMB_PGE_225'!#REF!</f>
        <v>#REF!</v>
      </c>
      <c r="T57" s="10" t="e">
        <f>T59-'2019_FUN_ANUAL_AMB_PGE_225'!#REF!</f>
        <v>#REF!</v>
      </c>
      <c r="U57" s="10" t="e">
        <f>U59-'2019_FUN_ANUAL_AMB_PGE_225'!#REF!</f>
        <v>#REF!</v>
      </c>
      <c r="V57" s="10" t="e">
        <f>V59-'2019_FUN_ANUAL_AMB_PGE_225'!#REF!</f>
        <v>#REF!</v>
      </c>
      <c r="W57" s="10" t="e">
        <f>W59-'2019_FUN_ANUAL_AMB_PGE_225'!#REF!</f>
        <v>#REF!</v>
      </c>
    </row>
    <row r="58" spans="1:23" s="1" customFormat="1" x14ac:dyDescent="0.25">
      <c r="A58" s="1" t="s">
        <v>37</v>
      </c>
      <c r="C58" s="1">
        <v>44.29</v>
      </c>
      <c r="M58" s="10" t="s">
        <v>31</v>
      </c>
      <c r="N58" s="10" t="e">
        <f>'2019_FUN_ANUAL_AMB_PGE_225'!#REF!*1.0175</f>
        <v>#REF!</v>
      </c>
      <c r="O58" s="10" t="e">
        <f>'2019_FUN_ANUAL_AMB_PGE_225'!#REF!*1.0175</f>
        <v>#REF!</v>
      </c>
      <c r="P58" s="10" t="e">
        <f>'2019_FUN_ANUAL_AMB_PGE_225'!#REF!*1.0175</f>
        <v>#REF!</v>
      </c>
      <c r="Q58" s="10" t="e">
        <f>'2019_FUN_ANUAL_AMB_PGE_225'!#REF!*1.0175</f>
        <v>#REF!</v>
      </c>
      <c r="R58" s="10" t="e">
        <f>'2019_FUN_ANUAL_AMB_PGE_225'!#REF!*1.0175</f>
        <v>#REF!</v>
      </c>
      <c r="S58" s="10" t="e">
        <f>'2019_FUN_ANUAL_AMB_PGE_225'!#REF!*1.0175</f>
        <v>#REF!</v>
      </c>
      <c r="T58" s="10" t="e">
        <f>'2019_FUN_ANUAL_AMB_PGE_225'!#REF!*1.0175</f>
        <v>#REF!</v>
      </c>
      <c r="U58" s="10" t="e">
        <f>'2019_FUN_ANUAL_AMB_PGE_225'!#REF!*1.0175</f>
        <v>#REF!</v>
      </c>
      <c r="V58" s="10" t="e">
        <f>'2019_FUN_ANUAL_AMB_PGE_225'!#REF!*1.0175</f>
        <v>#REF!</v>
      </c>
      <c r="W58" s="10" t="e">
        <f>'2019_FUN_ANUAL_AMB_PGE_225'!#REF!*1.0175</f>
        <v>#REF!</v>
      </c>
    </row>
    <row r="59" spans="1:23" s="1" customFormat="1" x14ac:dyDescent="0.25">
      <c r="A59" s="1" t="s">
        <v>38</v>
      </c>
      <c r="C59" s="1">
        <v>36.11</v>
      </c>
      <c r="M59" s="10"/>
      <c r="N59" s="34" t="e">
        <f>SUM(N52:N58)</f>
        <v>#REF!</v>
      </c>
      <c r="O59" s="34" t="e">
        <f t="shared" ref="O59:W59" si="3">SUM(O52:O58)</f>
        <v>#REF!</v>
      </c>
      <c r="P59" s="34" t="e">
        <f t="shared" si="3"/>
        <v>#REF!</v>
      </c>
      <c r="Q59" s="34" t="e">
        <f t="shared" si="3"/>
        <v>#REF!</v>
      </c>
      <c r="R59" s="34" t="e">
        <f t="shared" si="3"/>
        <v>#REF!</v>
      </c>
      <c r="S59" s="34" t="e">
        <f t="shared" si="3"/>
        <v>#REF!</v>
      </c>
      <c r="T59" s="34" t="e">
        <f t="shared" si="3"/>
        <v>#REF!</v>
      </c>
      <c r="U59" s="34" t="e">
        <f t="shared" si="3"/>
        <v>#REF!</v>
      </c>
      <c r="V59" s="34" t="e">
        <f t="shared" si="3"/>
        <v>#REF!</v>
      </c>
      <c r="W59" s="34" t="e">
        <f t="shared" si="3"/>
        <v>#REF!</v>
      </c>
    </row>
    <row r="60" spans="1:23" x14ac:dyDescent="0.25">
      <c r="A60" t="s">
        <v>39</v>
      </c>
      <c r="C60">
        <v>27.33</v>
      </c>
    </row>
    <row r="61" spans="1:23" x14ac:dyDescent="0.25">
      <c r="A61" t="s">
        <v>40</v>
      </c>
      <c r="C61">
        <v>18.600000000000001</v>
      </c>
    </row>
    <row r="63" spans="1:23" s="1" customFormat="1" x14ac:dyDescent="0.25">
      <c r="A63" s="56" t="s">
        <v>99</v>
      </c>
      <c r="B63" s="56"/>
      <c r="C63" s="56"/>
      <c r="D63" s="56"/>
      <c r="E63" s="56"/>
      <c r="G63" s="3"/>
      <c r="H63" s="3"/>
      <c r="I63" s="60" t="s">
        <v>42</v>
      </c>
      <c r="J63" s="3"/>
      <c r="K63" s="3"/>
      <c r="L63" s="3"/>
      <c r="M63" s="3"/>
      <c r="N63" s="3"/>
      <c r="O63" s="3"/>
      <c r="P63" s="3"/>
      <c r="Q63" s="3"/>
    </row>
    <row r="64" spans="1:23" s="1" customFormat="1" x14ac:dyDescent="0.25">
      <c r="A64" s="57" t="s">
        <v>43</v>
      </c>
      <c r="G64" s="3"/>
      <c r="H64" s="3"/>
      <c r="I64" s="61" t="s">
        <v>44</v>
      </c>
      <c r="J64" s="3"/>
      <c r="K64" s="3"/>
      <c r="L64" s="3"/>
      <c r="M64" s="3"/>
      <c r="N64" s="3"/>
      <c r="O64" s="3"/>
      <c r="P64" s="3"/>
      <c r="Q64" s="3"/>
    </row>
    <row r="65" spans="1:17" s="1" customFormat="1" x14ac:dyDescent="0.25">
      <c r="A65" s="56" t="s">
        <v>35</v>
      </c>
      <c r="B65" s="58" t="s">
        <v>45</v>
      </c>
      <c r="C65" s="58" t="s">
        <v>36</v>
      </c>
      <c r="G65" s="3"/>
      <c r="H65" s="3"/>
      <c r="I65" s="62"/>
      <c r="J65" s="3"/>
      <c r="K65" s="3"/>
      <c r="L65" s="59" t="s">
        <v>46</v>
      </c>
      <c r="M65" s="3"/>
      <c r="N65" s="3"/>
      <c r="O65" s="3"/>
      <c r="P65" s="3"/>
      <c r="Q65" s="3"/>
    </row>
    <row r="66" spans="1:17" s="1" customFormat="1" x14ac:dyDescent="0.25">
      <c r="A66" s="1" t="s">
        <v>37</v>
      </c>
      <c r="B66" s="1">
        <v>710.36</v>
      </c>
      <c r="C66" s="1">
        <v>27.33</v>
      </c>
      <c r="G66" s="3"/>
      <c r="H66" s="3"/>
      <c r="I66" s="62"/>
      <c r="J66" s="3"/>
      <c r="K66" s="3"/>
      <c r="L66" s="3"/>
      <c r="M66" s="3"/>
      <c r="N66" s="3"/>
      <c r="O66" s="3"/>
      <c r="P66" s="3"/>
      <c r="Q66" s="3"/>
    </row>
    <row r="67" spans="1:17" s="1" customFormat="1" x14ac:dyDescent="0.25">
      <c r="A67" s="1" t="s">
        <v>38</v>
      </c>
      <c r="B67" s="1">
        <v>725.95</v>
      </c>
      <c r="C67" s="1">
        <v>26.33</v>
      </c>
      <c r="G67" s="3"/>
      <c r="H67" s="3"/>
      <c r="I67" s="62"/>
      <c r="J67" s="3"/>
      <c r="K67" s="3"/>
      <c r="L67" s="3" t="s">
        <v>20</v>
      </c>
      <c r="M67" s="3"/>
      <c r="N67" s="3"/>
      <c r="O67" s="3">
        <v>43.5</v>
      </c>
      <c r="P67" s="3"/>
      <c r="Q67" s="3"/>
    </row>
    <row r="68" spans="1:17" s="1" customFormat="1" x14ac:dyDescent="0.25">
      <c r="A68" s="1" t="s">
        <v>39</v>
      </c>
      <c r="B68" s="1">
        <v>645.94000000000005</v>
      </c>
      <c r="C68" s="1">
        <v>23.6</v>
      </c>
      <c r="G68" s="3"/>
      <c r="H68" s="3"/>
      <c r="I68" s="62"/>
      <c r="J68" s="3"/>
      <c r="K68" s="3"/>
      <c r="L68" s="3" t="s">
        <v>21</v>
      </c>
      <c r="M68" s="3"/>
      <c r="N68" s="3"/>
      <c r="O68" s="3">
        <v>136.30000000000001</v>
      </c>
      <c r="P68" s="3"/>
      <c r="Q68" s="3"/>
    </row>
    <row r="69" spans="1:17" s="1" customFormat="1" x14ac:dyDescent="0.25">
      <c r="A69" s="1" t="s">
        <v>40</v>
      </c>
      <c r="B69" s="1">
        <v>616.34</v>
      </c>
      <c r="C69" s="1">
        <v>18.420000000000002</v>
      </c>
      <c r="G69" s="3"/>
      <c r="H69" s="3"/>
      <c r="I69" s="62"/>
      <c r="J69" s="3"/>
      <c r="K69" s="3"/>
      <c r="L69" s="3"/>
      <c r="M69" s="3"/>
      <c r="N69" s="3"/>
      <c r="O69" s="3"/>
      <c r="P69" s="3"/>
      <c r="Q69" s="3"/>
    </row>
    <row r="70" spans="1:17" s="1" customFormat="1" x14ac:dyDescent="0.25">
      <c r="G70" s="3"/>
      <c r="H70" s="3"/>
      <c r="I70" s="62"/>
      <c r="J70" s="3"/>
      <c r="K70" s="3"/>
      <c r="L70" s="59" t="s">
        <v>22</v>
      </c>
      <c r="M70" s="3"/>
      <c r="N70" s="3"/>
      <c r="O70" s="3"/>
      <c r="P70" s="63" t="s">
        <v>23</v>
      </c>
      <c r="Q70" s="63" t="s">
        <v>24</v>
      </c>
    </row>
    <row r="71" spans="1:17" s="1" customFormat="1" x14ac:dyDescent="0.25">
      <c r="G71" s="3"/>
      <c r="H71" s="3"/>
      <c r="I71" s="62"/>
      <c r="J71" s="3"/>
      <c r="K71" s="3"/>
      <c r="L71" s="3" t="s">
        <v>25</v>
      </c>
      <c r="M71" s="3"/>
      <c r="N71" s="3"/>
      <c r="O71" s="22">
        <v>0.25219999999999998</v>
      </c>
      <c r="P71" s="3">
        <v>0.19</v>
      </c>
      <c r="Q71" s="22">
        <v>6.2199999999999998E-2</v>
      </c>
    </row>
    <row r="72" spans="1:17" s="1" customFormat="1" x14ac:dyDescent="0.25">
      <c r="G72" s="3"/>
      <c r="H72" s="3"/>
      <c r="I72" s="62" t="s">
        <v>26</v>
      </c>
      <c r="J72" s="3">
        <v>462.64595300000002</v>
      </c>
      <c r="K72" s="3"/>
      <c r="L72" s="3" t="s">
        <v>27</v>
      </c>
      <c r="M72" s="3"/>
      <c r="N72" s="3"/>
      <c r="O72" s="3">
        <v>9</v>
      </c>
      <c r="P72" s="3">
        <v>0</v>
      </c>
      <c r="Q72" s="3">
        <v>9</v>
      </c>
    </row>
    <row r="73" spans="1:17" s="1" customFormat="1" x14ac:dyDescent="0.25"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</row>
    <row r="74" spans="1:17" s="1" customFormat="1" x14ac:dyDescent="0.25"/>
    <row r="75" spans="1:17" s="1" customFormat="1" x14ac:dyDescent="0.25"/>
    <row r="76" spans="1:17" s="1" customFormat="1" x14ac:dyDescent="0.25"/>
  </sheetData>
  <pageMargins left="0.70866141732283472" right="0.70866141732283472" top="1.05" bottom="0.74803149606299213" header="0.27" footer="0.43"/>
  <pageSetup paperSize="8" orientation="landscape" r:id="rId1"/>
  <headerFooter>
    <oddHeader>&amp;L&amp;G</oddHeader>
    <oddFooter>&amp;R&amp;G</oddFoot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82"/>
  <sheetViews>
    <sheetView workbookViewId="0">
      <selection activeCell="F10" sqref="F10"/>
    </sheetView>
  </sheetViews>
  <sheetFormatPr baseColWidth="10" defaultRowHeight="15" x14ac:dyDescent="0.25"/>
  <sheetData>
    <row r="2" spans="1:14" x14ac:dyDescent="0.25">
      <c r="A2" t="s">
        <v>47</v>
      </c>
      <c r="I2" t="s">
        <v>48</v>
      </c>
    </row>
    <row r="3" spans="1:14" x14ac:dyDescent="0.25">
      <c r="A3" t="s">
        <v>49</v>
      </c>
      <c r="F3" t="s">
        <v>50</v>
      </c>
      <c r="G3" t="s">
        <v>51</v>
      </c>
      <c r="N3" t="s">
        <v>52</v>
      </c>
    </row>
    <row r="4" spans="1:14" x14ac:dyDescent="0.25">
      <c r="A4" t="s">
        <v>53</v>
      </c>
      <c r="C4" t="s">
        <v>54</v>
      </c>
      <c r="F4" t="s">
        <v>55</v>
      </c>
    </row>
    <row r="5" spans="1:14" s="1" customFormat="1" x14ac:dyDescent="0.25">
      <c r="C5" s="1">
        <v>5507.4593000000004</v>
      </c>
      <c r="F5" s="1">
        <v>5507.4593000000004</v>
      </c>
      <c r="G5" s="1">
        <v>0</v>
      </c>
      <c r="I5" s="1">
        <v>5507.4593000000004</v>
      </c>
      <c r="N5" s="1">
        <v>77104.430200000003</v>
      </c>
    </row>
    <row r="7" spans="1:14" x14ac:dyDescent="0.25">
      <c r="A7" t="s">
        <v>56</v>
      </c>
    </row>
    <row r="8" spans="1:14" x14ac:dyDescent="0.25">
      <c r="C8" t="s">
        <v>57</v>
      </c>
      <c r="D8" t="s">
        <v>58</v>
      </c>
      <c r="E8" t="s">
        <v>59</v>
      </c>
      <c r="F8" t="s">
        <v>50</v>
      </c>
      <c r="I8" t="s">
        <v>57</v>
      </c>
      <c r="J8" t="s">
        <v>58</v>
      </c>
      <c r="K8" t="s">
        <v>59</v>
      </c>
      <c r="L8" t="s">
        <v>50</v>
      </c>
    </row>
    <row r="9" spans="1:14" s="1" customFormat="1" x14ac:dyDescent="0.25">
      <c r="A9" s="1" t="s">
        <v>60</v>
      </c>
      <c r="B9" s="1" t="s">
        <v>61</v>
      </c>
      <c r="C9" s="1" t="s">
        <v>62</v>
      </c>
      <c r="D9" s="1" t="s">
        <v>63</v>
      </c>
      <c r="E9" s="1" t="s">
        <v>64</v>
      </c>
      <c r="F9" s="1" t="s">
        <v>65</v>
      </c>
      <c r="I9" s="1" t="s">
        <v>62</v>
      </c>
      <c r="J9" s="1" t="s">
        <v>63</v>
      </c>
      <c r="K9" s="1" t="s">
        <v>64</v>
      </c>
      <c r="L9" s="1" t="s">
        <v>65</v>
      </c>
      <c r="N9" s="1" t="s">
        <v>66</v>
      </c>
    </row>
    <row r="10" spans="1:14" s="1" customFormat="1" x14ac:dyDescent="0.25">
      <c r="B10" s="1">
        <v>28</v>
      </c>
      <c r="C10" s="1">
        <v>1131.3599999999999</v>
      </c>
      <c r="D10" s="1">
        <v>215.32321805000001</v>
      </c>
      <c r="E10" s="1">
        <v>3627.9917705999997</v>
      </c>
      <c r="F10" s="1">
        <v>4974.6749886499992</v>
      </c>
      <c r="G10" s="1">
        <v>67442.713751999938</v>
      </c>
      <c r="I10" s="1">
        <v>698.13</v>
      </c>
      <c r="J10" s="1">
        <v>215.32321805000001</v>
      </c>
      <c r="K10" s="1">
        <v>3627.9917705999997</v>
      </c>
      <c r="L10" s="1">
        <v>4541.4449886499997</v>
      </c>
      <c r="N10" s="1">
        <v>68778.989841099989</v>
      </c>
    </row>
    <row r="11" spans="1:14" s="1" customFormat="1" x14ac:dyDescent="0.25">
      <c r="B11" s="1">
        <v>27</v>
      </c>
      <c r="C11" s="1">
        <v>1131.3599999999999</v>
      </c>
      <c r="D11" s="1">
        <v>215.32321805000001</v>
      </c>
      <c r="E11" s="1">
        <v>3047.0774637999994</v>
      </c>
      <c r="F11" s="1">
        <v>4393.7606818499989</v>
      </c>
      <c r="G11" s="1">
        <v>59420.529623999995</v>
      </c>
      <c r="I11" s="1">
        <v>698.13</v>
      </c>
      <c r="J11" s="1">
        <v>215.32321805000001</v>
      </c>
      <c r="K11" s="1">
        <v>3047.0774637999994</v>
      </c>
      <c r="L11" s="1">
        <v>3960.5306818499994</v>
      </c>
      <c r="N11" s="1">
        <v>60646.189545899986</v>
      </c>
    </row>
    <row r="12" spans="1:14" s="1" customFormat="1" x14ac:dyDescent="0.25">
      <c r="B12" s="1">
        <v>26</v>
      </c>
      <c r="C12" s="1">
        <v>1131.3599999999999</v>
      </c>
      <c r="D12" s="1">
        <v>215.32321805000001</v>
      </c>
      <c r="E12" s="1">
        <v>2651.5122667000001</v>
      </c>
      <c r="F12" s="1">
        <v>3998.1954847500001</v>
      </c>
      <c r="G12" s="1">
        <v>53958.101999999999</v>
      </c>
      <c r="I12" s="1">
        <v>698.13</v>
      </c>
      <c r="J12" s="1">
        <v>215.32321805000001</v>
      </c>
      <c r="K12" s="1">
        <v>2651.5122667000001</v>
      </c>
      <c r="L12" s="1">
        <v>3564.9654847500001</v>
      </c>
      <c r="N12" s="1">
        <v>55108.276786499999</v>
      </c>
    </row>
    <row r="13" spans="1:14" s="1" customFormat="1" x14ac:dyDescent="0.25">
      <c r="B13" s="1">
        <v>25</v>
      </c>
      <c r="C13" s="1">
        <v>1131.3599999999999</v>
      </c>
      <c r="D13" s="1">
        <v>215.32321805000001</v>
      </c>
      <c r="E13" s="1">
        <v>2567.1913107499995</v>
      </c>
      <c r="F13" s="1">
        <v>3913.8745287999991</v>
      </c>
      <c r="G13" s="1">
        <v>52793.642663999999</v>
      </c>
      <c r="I13" s="1">
        <v>698.13</v>
      </c>
      <c r="J13" s="1">
        <v>215.32321805000001</v>
      </c>
      <c r="K13" s="1">
        <v>2567.1913107499995</v>
      </c>
      <c r="L13" s="1">
        <v>3480.6445287999995</v>
      </c>
      <c r="N13" s="1">
        <v>53927.783403199988</v>
      </c>
    </row>
    <row r="14" spans="1:14" s="1" customFormat="1" x14ac:dyDescent="0.25">
      <c r="B14" s="1">
        <v>24</v>
      </c>
      <c r="C14" s="1">
        <v>1131.3599999999999</v>
      </c>
      <c r="D14" s="1">
        <v>215.32321805000001</v>
      </c>
      <c r="E14" s="1">
        <v>2478.1217892999998</v>
      </c>
      <c r="F14" s="1">
        <v>3824.8050073499999</v>
      </c>
      <c r="G14" s="1">
        <v>51563.554895999994</v>
      </c>
      <c r="I14" s="1">
        <v>698.13</v>
      </c>
      <c r="J14" s="1">
        <v>215.32321805000001</v>
      </c>
      <c r="K14" s="1">
        <v>2478.1217892999998</v>
      </c>
      <c r="L14" s="1">
        <v>3391.5750073499999</v>
      </c>
      <c r="N14" s="1">
        <v>52680.810102899995</v>
      </c>
    </row>
    <row r="15" spans="1:14" s="1" customFormat="1" x14ac:dyDescent="0.25">
      <c r="B15" s="1">
        <v>23</v>
      </c>
      <c r="C15" s="1">
        <v>1131.3599999999999</v>
      </c>
      <c r="D15" s="1">
        <v>215.32321805000001</v>
      </c>
      <c r="E15" s="1">
        <v>2403.5983837999997</v>
      </c>
      <c r="F15" s="1">
        <v>3750.2816018499998</v>
      </c>
      <c r="G15" s="1">
        <v>50534.471592000009</v>
      </c>
      <c r="I15" s="1">
        <v>698.13</v>
      </c>
      <c r="J15" s="1">
        <v>215.32321805000001</v>
      </c>
      <c r="K15" s="1">
        <v>2403.5983837999997</v>
      </c>
      <c r="L15" s="1">
        <v>3317.0516018499998</v>
      </c>
      <c r="N15" s="1">
        <v>51637.482425899994</v>
      </c>
    </row>
    <row r="16" spans="1:14" s="1" customFormat="1" x14ac:dyDescent="0.25">
      <c r="B16" s="1">
        <v>22</v>
      </c>
      <c r="C16" s="1">
        <v>1131.3599999999999</v>
      </c>
      <c r="D16" s="1">
        <v>215.32321805000001</v>
      </c>
      <c r="E16" s="1">
        <v>2332.0597908999998</v>
      </c>
      <c r="F16" s="1">
        <v>3678.7430089499994</v>
      </c>
      <c r="G16" s="1">
        <v>49546.633823999997</v>
      </c>
      <c r="I16" s="1">
        <v>698.13</v>
      </c>
      <c r="J16" s="1">
        <v>215.32321805000001</v>
      </c>
      <c r="K16" s="1">
        <v>2332.0597908999998</v>
      </c>
      <c r="L16" s="1">
        <v>3245.5130089499999</v>
      </c>
      <c r="N16" s="1">
        <v>50635.942125299989</v>
      </c>
    </row>
    <row r="17" spans="1:14" s="1" customFormat="1" x14ac:dyDescent="0.25">
      <c r="B17" s="1">
        <v>21</v>
      </c>
      <c r="C17" s="1">
        <v>1131.3599999999999</v>
      </c>
      <c r="D17" s="1">
        <v>215.32321805000001</v>
      </c>
      <c r="E17" s="1">
        <v>2144.39454415</v>
      </c>
      <c r="F17" s="1">
        <v>3491.0777621999996</v>
      </c>
      <c r="G17" s="1">
        <v>46955.086367999997</v>
      </c>
      <c r="I17" s="1">
        <v>698.13</v>
      </c>
      <c r="J17" s="1">
        <v>215.32321805000001</v>
      </c>
      <c r="K17" s="1">
        <v>2144.39454415</v>
      </c>
      <c r="L17" s="1">
        <v>3057.8477622</v>
      </c>
      <c r="N17" s="1">
        <v>48008.628670799997</v>
      </c>
    </row>
    <row r="18" spans="1:14" s="1" customFormat="1" x14ac:dyDescent="0.25">
      <c r="B18" s="1">
        <v>20</v>
      </c>
      <c r="C18" s="1">
        <v>1131.3599999999999</v>
      </c>
      <c r="D18" s="1">
        <v>215.32321805000001</v>
      </c>
      <c r="E18" s="1">
        <v>1961.7298275999999</v>
      </c>
      <c r="F18" s="1">
        <v>3308.4130456499997</v>
      </c>
      <c r="G18" s="1">
        <v>44432.476632000005</v>
      </c>
      <c r="I18" s="1">
        <v>698.13</v>
      </c>
      <c r="J18" s="1">
        <v>215.32321805000001</v>
      </c>
      <c r="K18" s="1">
        <v>1961.7298275999999</v>
      </c>
      <c r="L18" s="1">
        <v>2875.1830456500002</v>
      </c>
      <c r="N18" s="1">
        <v>45451.322639099999</v>
      </c>
    </row>
    <row r="19" spans="1:14" s="1" customFormat="1" x14ac:dyDescent="0.25"/>
    <row r="20" spans="1:14" x14ac:dyDescent="0.25">
      <c r="A20" t="s">
        <v>67</v>
      </c>
    </row>
    <row r="21" spans="1:14" x14ac:dyDescent="0.25">
      <c r="C21" t="s">
        <v>57</v>
      </c>
      <c r="D21" t="s">
        <v>58</v>
      </c>
      <c r="E21" t="s">
        <v>59</v>
      </c>
      <c r="F21" t="s">
        <v>50</v>
      </c>
      <c r="I21" t="s">
        <v>57</v>
      </c>
      <c r="J21" t="s">
        <v>58</v>
      </c>
      <c r="K21" t="s">
        <v>59</v>
      </c>
      <c r="L21" t="s">
        <v>50</v>
      </c>
    </row>
    <row r="22" spans="1:14" x14ac:dyDescent="0.25">
      <c r="A22" t="s">
        <v>68</v>
      </c>
      <c r="B22" t="s">
        <v>61</v>
      </c>
      <c r="C22" t="s">
        <v>62</v>
      </c>
      <c r="D22" t="s">
        <v>63</v>
      </c>
      <c r="E22" t="s">
        <v>64</v>
      </c>
      <c r="F22" t="s">
        <v>65</v>
      </c>
      <c r="I22" t="s">
        <v>62</v>
      </c>
      <c r="J22" t="s">
        <v>63</v>
      </c>
      <c r="K22" t="s">
        <v>64</v>
      </c>
      <c r="L22" t="s">
        <v>65</v>
      </c>
      <c r="N22" t="s">
        <v>66</v>
      </c>
    </row>
    <row r="23" spans="1:14" s="1" customFormat="1" x14ac:dyDescent="0.25">
      <c r="B23" s="1">
        <v>27</v>
      </c>
      <c r="C23" s="1">
        <v>978.26</v>
      </c>
      <c r="D23" s="1">
        <v>171.98528965</v>
      </c>
      <c r="E23" s="1">
        <v>2950.9238579000003</v>
      </c>
      <c r="F23" s="1">
        <v>4101.1691475500002</v>
      </c>
      <c r="G23" s="1">
        <v>55142.845056000006</v>
      </c>
      <c r="I23" s="1">
        <v>713.45</v>
      </c>
      <c r="J23" s="1">
        <v>171.98528965</v>
      </c>
      <c r="K23" s="1">
        <v>2950.9238579000003</v>
      </c>
      <c r="L23" s="1">
        <v>3836.3591475500002</v>
      </c>
      <c r="N23" s="1">
        <v>56886.748065699998</v>
      </c>
    </row>
    <row r="24" spans="1:14" s="1" customFormat="1" x14ac:dyDescent="0.25">
      <c r="B24" s="1">
        <v>26</v>
      </c>
      <c r="C24" s="1">
        <v>978.26</v>
      </c>
      <c r="D24" s="1">
        <v>171.98528965</v>
      </c>
      <c r="E24" s="1">
        <v>2854.1694131000004</v>
      </c>
      <c r="F24" s="1">
        <v>4004.4147027500003</v>
      </c>
      <c r="G24" s="1">
        <v>53806.747056000007</v>
      </c>
      <c r="I24" s="1">
        <v>713.45</v>
      </c>
      <c r="J24" s="1">
        <v>171.98528965</v>
      </c>
      <c r="K24" s="1">
        <v>2854.1694131000004</v>
      </c>
      <c r="L24" s="1">
        <v>3739.6047027500003</v>
      </c>
      <c r="N24" s="1">
        <v>55532.185838500001</v>
      </c>
    </row>
    <row r="25" spans="1:14" s="1" customFormat="1" x14ac:dyDescent="0.25">
      <c r="B25" s="1">
        <v>25</v>
      </c>
      <c r="C25" s="1">
        <v>978.26</v>
      </c>
      <c r="D25" s="1">
        <v>171.98528965</v>
      </c>
      <c r="E25" s="1">
        <v>2406.6122692500003</v>
      </c>
      <c r="F25" s="1">
        <v>3556.8575589000002</v>
      </c>
      <c r="G25" s="1">
        <v>47626.203936000013</v>
      </c>
      <c r="I25" s="1">
        <v>713.45</v>
      </c>
      <c r="J25" s="1">
        <v>171.98528965</v>
      </c>
      <c r="K25" s="1">
        <v>2406.6122692500003</v>
      </c>
      <c r="L25" s="1">
        <v>3292.0475589000002</v>
      </c>
      <c r="N25" s="1">
        <v>49266.385824600009</v>
      </c>
    </row>
    <row r="26" spans="1:14" s="1" customFormat="1" x14ac:dyDescent="0.25">
      <c r="B26" s="1">
        <v>24</v>
      </c>
      <c r="C26" s="1">
        <v>978.26</v>
      </c>
      <c r="D26" s="1">
        <v>171.98528965</v>
      </c>
      <c r="E26" s="1">
        <v>2223.5308418499999</v>
      </c>
      <c r="F26" s="1">
        <v>3373.7761314999998</v>
      </c>
      <c r="G26" s="1">
        <v>45098.059272000006</v>
      </c>
      <c r="I26" s="1">
        <v>713.45</v>
      </c>
      <c r="J26" s="1">
        <v>171.98528965</v>
      </c>
      <c r="K26" s="1">
        <v>2223.5308418499999</v>
      </c>
      <c r="L26" s="1">
        <v>3108.9661314999998</v>
      </c>
      <c r="N26" s="1">
        <v>46703.245841000004</v>
      </c>
    </row>
    <row r="27" spans="1:14" s="1" customFormat="1" x14ac:dyDescent="0.25">
      <c r="B27" s="1">
        <v>23</v>
      </c>
      <c r="C27" s="1">
        <v>978.26</v>
      </c>
      <c r="D27" s="1">
        <v>171.98528965</v>
      </c>
      <c r="E27" s="1">
        <v>2110.0013625999995</v>
      </c>
      <c r="F27" s="1">
        <v>3260.2466522499994</v>
      </c>
      <c r="G27" s="1">
        <v>43530.269903999993</v>
      </c>
      <c r="I27" s="1">
        <v>713.45</v>
      </c>
      <c r="J27" s="1">
        <v>171.98528965</v>
      </c>
      <c r="K27" s="1">
        <v>2110.0013625999995</v>
      </c>
      <c r="L27" s="1">
        <v>2995.4366522499995</v>
      </c>
      <c r="N27" s="1">
        <v>45113.833131499989</v>
      </c>
    </row>
    <row r="28" spans="1:14" s="1" customFormat="1" x14ac:dyDescent="0.25">
      <c r="B28" s="1">
        <v>22</v>
      </c>
      <c r="C28" s="1">
        <v>978.26</v>
      </c>
      <c r="D28" s="1">
        <v>171.98528965</v>
      </c>
      <c r="E28" s="1">
        <v>2042.9981342999999</v>
      </c>
      <c r="F28" s="1">
        <v>3193.2434239499999</v>
      </c>
      <c r="G28" s="1">
        <v>42604.991592000006</v>
      </c>
      <c r="I28" s="1">
        <v>713.45</v>
      </c>
      <c r="J28" s="1">
        <v>171.98528965</v>
      </c>
      <c r="K28" s="1">
        <v>2042.9981342999999</v>
      </c>
      <c r="L28" s="1">
        <v>2928.4334239499999</v>
      </c>
      <c r="N28" s="1">
        <v>44175.787935299995</v>
      </c>
    </row>
    <row r="29" spans="1:14" s="1" customFormat="1" x14ac:dyDescent="0.25">
      <c r="B29" s="1">
        <v>21</v>
      </c>
      <c r="C29" s="1">
        <v>978.26</v>
      </c>
      <c r="D29" s="1">
        <v>171.98528965</v>
      </c>
      <c r="E29" s="1">
        <v>1970.7521020500001</v>
      </c>
      <c r="F29" s="1">
        <v>3120.9973916999998</v>
      </c>
      <c r="G29" s="1">
        <v>41607.323472000004</v>
      </c>
      <c r="I29" s="1">
        <v>713.45</v>
      </c>
      <c r="J29" s="1">
        <v>171.98528965</v>
      </c>
      <c r="K29" s="1">
        <v>1970.7521020500001</v>
      </c>
      <c r="L29" s="1">
        <v>2856.1873917000003</v>
      </c>
      <c r="N29" s="1">
        <v>43164.343483800003</v>
      </c>
    </row>
    <row r="30" spans="1:14" s="1" customFormat="1" x14ac:dyDescent="0.25">
      <c r="B30" s="1">
        <v>20</v>
      </c>
      <c r="C30" s="1">
        <v>978.26</v>
      </c>
      <c r="D30" s="1">
        <v>171.98528965</v>
      </c>
      <c r="E30" s="1">
        <v>1900.6574607000002</v>
      </c>
      <c r="F30" s="1">
        <v>3050.9027503500001</v>
      </c>
      <c r="G30" s="1">
        <v>40639.312464000002</v>
      </c>
      <c r="I30" s="1">
        <v>713.45</v>
      </c>
      <c r="J30" s="1">
        <v>171.98528965</v>
      </c>
      <c r="K30" s="1">
        <v>1900.6574607000002</v>
      </c>
      <c r="L30" s="1">
        <v>2786.0927503500002</v>
      </c>
      <c r="N30" s="1">
        <v>42183.018504899999</v>
      </c>
    </row>
    <row r="31" spans="1:14" s="1" customFormat="1" x14ac:dyDescent="0.25">
      <c r="B31" s="1">
        <v>19</v>
      </c>
      <c r="C31" s="1">
        <v>978.26</v>
      </c>
      <c r="D31" s="1">
        <v>171.98528965</v>
      </c>
      <c r="E31" s="1">
        <v>1854.8967948</v>
      </c>
      <c r="F31" s="1">
        <v>3005.1420844499999</v>
      </c>
      <c r="G31" s="1">
        <v>40007.380440000001</v>
      </c>
      <c r="I31" s="1">
        <v>713.45</v>
      </c>
      <c r="J31" s="1">
        <v>171.98528965</v>
      </c>
      <c r="K31" s="1">
        <v>1854.8967948</v>
      </c>
      <c r="L31" s="1">
        <v>2740.3320844499999</v>
      </c>
      <c r="N31" s="1">
        <v>41542.369182300004</v>
      </c>
    </row>
    <row r="32" spans="1:14" s="1" customFormat="1" x14ac:dyDescent="0.25">
      <c r="B32" s="1">
        <v>18</v>
      </c>
      <c r="C32" s="1">
        <v>978.26</v>
      </c>
      <c r="D32" s="1">
        <v>171.98528965</v>
      </c>
      <c r="E32" s="1">
        <v>1714.0291456</v>
      </c>
      <c r="F32" s="1">
        <v>2864.2744352499999</v>
      </c>
      <c r="G32" s="1">
        <v>38062.120896</v>
      </c>
      <c r="I32" s="1">
        <v>713.45</v>
      </c>
      <c r="J32" s="1">
        <v>171.98528965</v>
      </c>
      <c r="K32" s="1">
        <v>1714.0291456</v>
      </c>
      <c r="L32" s="1">
        <v>2599.46443525</v>
      </c>
      <c r="N32" s="1">
        <v>39570.2220935</v>
      </c>
    </row>
    <row r="33" spans="1:14" s="1" customFormat="1" x14ac:dyDescent="0.25">
      <c r="B33" s="1">
        <v>17</v>
      </c>
      <c r="C33" s="1">
        <v>978.26</v>
      </c>
      <c r="D33" s="1">
        <v>171.98528965</v>
      </c>
      <c r="E33" s="1">
        <v>1625.9965557999999</v>
      </c>
      <c r="F33" s="1">
        <v>2776.2418454499998</v>
      </c>
      <c r="G33" s="1">
        <v>36846.419615999999</v>
      </c>
      <c r="I33" s="1">
        <v>713.45</v>
      </c>
      <c r="J33" s="1">
        <v>171.98528965</v>
      </c>
      <c r="K33" s="1">
        <v>1625.9965557999999</v>
      </c>
      <c r="L33" s="1">
        <v>2511.4318454499999</v>
      </c>
      <c r="N33" s="1">
        <v>38337.765836299994</v>
      </c>
    </row>
    <row r="34" spans="1:14" s="1" customFormat="1" x14ac:dyDescent="0.25">
      <c r="B34" s="1">
        <v>16</v>
      </c>
      <c r="C34" s="1">
        <v>978.26</v>
      </c>
      <c r="D34" s="1">
        <v>171.98528965</v>
      </c>
      <c r="E34" s="1">
        <v>1531.1318462499999</v>
      </c>
      <c r="F34" s="1">
        <v>2681.3771358999998</v>
      </c>
      <c r="G34" s="1">
        <v>35536.316928</v>
      </c>
      <c r="I34" s="1">
        <v>713.45</v>
      </c>
      <c r="J34" s="1">
        <v>171.98528965</v>
      </c>
      <c r="K34" s="1">
        <v>1531.1318462499999</v>
      </c>
      <c r="L34" s="1">
        <v>2416.5671358999998</v>
      </c>
      <c r="N34" s="1">
        <v>37009.659902599997</v>
      </c>
    </row>
    <row r="36" spans="1:14" x14ac:dyDescent="0.25">
      <c r="A36" t="s">
        <v>69</v>
      </c>
    </row>
    <row r="37" spans="1:14" x14ac:dyDescent="0.25">
      <c r="C37" t="s">
        <v>57</v>
      </c>
      <c r="D37" t="s">
        <v>58</v>
      </c>
      <c r="E37" t="s">
        <v>59</v>
      </c>
      <c r="F37" t="s">
        <v>50</v>
      </c>
      <c r="I37" t="s">
        <v>57</v>
      </c>
      <c r="J37" t="s">
        <v>58</v>
      </c>
      <c r="K37" t="s">
        <v>59</v>
      </c>
      <c r="L37" t="s">
        <v>50</v>
      </c>
    </row>
    <row r="38" spans="1:14" x14ac:dyDescent="0.25">
      <c r="A38" t="s">
        <v>70</v>
      </c>
      <c r="B38" t="s">
        <v>61</v>
      </c>
      <c r="C38" t="s">
        <v>62</v>
      </c>
      <c r="D38" t="s">
        <v>63</v>
      </c>
      <c r="E38" t="s">
        <v>64</v>
      </c>
      <c r="F38" t="s">
        <v>65</v>
      </c>
      <c r="I38" t="s">
        <v>62</v>
      </c>
      <c r="J38" t="s">
        <v>63</v>
      </c>
      <c r="K38" t="s">
        <v>64</v>
      </c>
      <c r="L38" t="s">
        <v>65</v>
      </c>
      <c r="N38" t="s">
        <v>66</v>
      </c>
    </row>
    <row r="39" spans="1:14" s="1" customFormat="1" x14ac:dyDescent="0.25">
      <c r="B39" s="1">
        <v>21</v>
      </c>
      <c r="C39" s="1">
        <v>734.51</v>
      </c>
      <c r="D39" s="1">
        <v>138.0572737</v>
      </c>
      <c r="E39" s="1">
        <v>2391.35871395</v>
      </c>
      <c r="F39" s="1">
        <v>3263.92598765</v>
      </c>
      <c r="G39" s="1">
        <v>43589.501304000005</v>
      </c>
      <c r="I39" s="1">
        <v>634.82000000000005</v>
      </c>
      <c r="J39" s="1">
        <v>138.0572737</v>
      </c>
      <c r="K39" s="1">
        <v>2391.35871395</v>
      </c>
      <c r="L39" s="1">
        <v>3164.23598765</v>
      </c>
      <c r="N39" s="1">
        <v>45495.583827100003</v>
      </c>
    </row>
    <row r="40" spans="1:14" s="1" customFormat="1" x14ac:dyDescent="0.25">
      <c r="B40" s="1">
        <v>20</v>
      </c>
      <c r="C40" s="1">
        <v>734.51</v>
      </c>
      <c r="D40" s="1">
        <v>138.0572737</v>
      </c>
      <c r="E40" s="1">
        <v>2317.5330568499999</v>
      </c>
      <c r="F40" s="1">
        <v>3190.1003305499999</v>
      </c>
      <c r="G40" s="1">
        <v>42569.957040000008</v>
      </c>
      <c r="I40" s="1">
        <v>634.82000000000005</v>
      </c>
      <c r="J40" s="1">
        <v>138.0572737</v>
      </c>
      <c r="K40" s="1">
        <v>2317.5330568499999</v>
      </c>
      <c r="L40" s="1">
        <v>3090.4103305499998</v>
      </c>
      <c r="N40" s="1">
        <v>44462.024627699997</v>
      </c>
    </row>
    <row r="41" spans="1:14" s="1" customFormat="1" x14ac:dyDescent="0.25">
      <c r="B41" s="1">
        <v>19</v>
      </c>
      <c r="C41" s="1">
        <v>734.51</v>
      </c>
      <c r="D41" s="1">
        <v>138.0572737</v>
      </c>
      <c r="E41" s="1">
        <v>2171.5485860499998</v>
      </c>
      <c r="F41" s="1">
        <v>3044.1158597499998</v>
      </c>
      <c r="G41" s="1">
        <v>40554.065759999998</v>
      </c>
      <c r="I41" s="1">
        <v>634.82000000000005</v>
      </c>
      <c r="J41" s="1">
        <v>138.0572737</v>
      </c>
      <c r="K41" s="1">
        <v>2171.5485860499998</v>
      </c>
      <c r="L41" s="1">
        <v>2944.4258597499997</v>
      </c>
      <c r="N41" s="1">
        <v>42418.2420365</v>
      </c>
    </row>
    <row r="42" spans="1:14" s="1" customFormat="1" x14ac:dyDescent="0.25">
      <c r="B42" s="1">
        <v>18</v>
      </c>
      <c r="C42" s="1">
        <v>734.51</v>
      </c>
      <c r="D42" s="1">
        <v>138.0572737</v>
      </c>
      <c r="E42" s="1">
        <v>1947.5132039499999</v>
      </c>
      <c r="F42" s="1">
        <v>2820.0804776499999</v>
      </c>
      <c r="G42" s="1">
        <v>37460.200127999997</v>
      </c>
      <c r="I42" s="1">
        <v>634.82000000000005</v>
      </c>
      <c r="J42" s="1">
        <v>138.0572737</v>
      </c>
      <c r="K42" s="1">
        <v>1947.5132039499999</v>
      </c>
      <c r="L42" s="1">
        <v>2720.3904776499999</v>
      </c>
      <c r="N42" s="1">
        <v>39281.746687099992</v>
      </c>
    </row>
    <row r="43" spans="1:14" s="1" customFormat="1" x14ac:dyDescent="0.25">
      <c r="B43" s="1">
        <v>17</v>
      </c>
      <c r="C43" s="1">
        <v>734.51</v>
      </c>
      <c r="D43" s="1">
        <v>138.0572737</v>
      </c>
      <c r="E43" s="1">
        <v>1806.4226629</v>
      </c>
      <c r="F43" s="1">
        <v>2678.9899366</v>
      </c>
      <c r="G43" s="1">
        <v>35511.851208</v>
      </c>
      <c r="I43" s="1">
        <v>634.82000000000005</v>
      </c>
      <c r="J43" s="1">
        <v>138.0572737</v>
      </c>
      <c r="K43" s="1">
        <v>1806.4226629</v>
      </c>
      <c r="L43" s="1">
        <v>2579.2999365999999</v>
      </c>
      <c r="N43" s="1">
        <v>37306.479112399997</v>
      </c>
    </row>
    <row r="44" spans="1:14" s="1" customFormat="1" x14ac:dyDescent="0.25">
      <c r="B44" s="1">
        <v>16</v>
      </c>
      <c r="C44" s="1">
        <v>734.51</v>
      </c>
      <c r="D44" s="1">
        <v>138.0572737</v>
      </c>
      <c r="E44" s="1">
        <v>1622.3624495499998</v>
      </c>
      <c r="F44" s="1">
        <v>2494.9297232499998</v>
      </c>
      <c r="G44" s="1">
        <v>32970.048336</v>
      </c>
      <c r="I44" s="1">
        <v>634.82000000000005</v>
      </c>
      <c r="J44" s="1">
        <v>138.0572737</v>
      </c>
      <c r="K44" s="1">
        <v>1622.3624495499998</v>
      </c>
      <c r="L44" s="1">
        <v>2395.2397232499998</v>
      </c>
      <c r="N44" s="1">
        <v>34729.636125500001</v>
      </c>
    </row>
    <row r="45" spans="1:14" s="1" customFormat="1" x14ac:dyDescent="0.25">
      <c r="B45" s="1">
        <v>15</v>
      </c>
      <c r="C45" s="1">
        <v>734.51</v>
      </c>
      <c r="D45" s="1">
        <v>138.0572737</v>
      </c>
      <c r="E45" s="1">
        <v>1484.8672509499997</v>
      </c>
      <c r="F45" s="1">
        <v>2357.4345246499997</v>
      </c>
      <c r="G45" s="1">
        <v>31071.328944000001</v>
      </c>
      <c r="I45" s="1">
        <v>634.82000000000005</v>
      </c>
      <c r="J45" s="1">
        <v>138.0572737</v>
      </c>
      <c r="K45" s="1">
        <v>1484.8672509499997</v>
      </c>
      <c r="L45" s="1">
        <v>2257.7445246499997</v>
      </c>
      <c r="N45" s="1">
        <v>32804.703345099995</v>
      </c>
    </row>
    <row r="46" spans="1:14" s="1" customFormat="1" x14ac:dyDescent="0.25">
      <c r="B46" s="1">
        <v>14</v>
      </c>
      <c r="C46" s="1">
        <v>734.51</v>
      </c>
      <c r="D46" s="1">
        <v>138.0572737</v>
      </c>
      <c r="E46" s="1">
        <v>1396.0690760999998</v>
      </c>
      <c r="F46" s="1">
        <v>2268.6363498000001</v>
      </c>
      <c r="G46" s="1">
        <v>29845.079232</v>
      </c>
      <c r="I46" s="1">
        <v>634.82000000000005</v>
      </c>
      <c r="J46" s="1">
        <v>138.0572737</v>
      </c>
      <c r="K46" s="1">
        <v>1396.0690760999998</v>
      </c>
      <c r="L46" s="1">
        <v>2168.9463498</v>
      </c>
      <c r="N46" s="1">
        <v>31561.528897200002</v>
      </c>
    </row>
    <row r="47" spans="1:14" s="1" customFormat="1" x14ac:dyDescent="0.25">
      <c r="B47" s="1">
        <v>13</v>
      </c>
      <c r="C47" s="1">
        <v>734.51</v>
      </c>
      <c r="D47" s="1">
        <v>138.0572737</v>
      </c>
      <c r="E47" s="1">
        <v>1301.9699516000001</v>
      </c>
      <c r="F47" s="1">
        <v>2174.5372253</v>
      </c>
      <c r="G47" s="1">
        <v>28545.660432000004</v>
      </c>
      <c r="I47" s="1">
        <v>634.82000000000005</v>
      </c>
      <c r="J47" s="1">
        <v>138.0572737</v>
      </c>
      <c r="K47" s="1">
        <v>1301.9699516000001</v>
      </c>
      <c r="L47" s="1">
        <v>2074.8472253</v>
      </c>
      <c r="N47" s="1">
        <v>30244.141154199999</v>
      </c>
    </row>
    <row r="48" spans="1:14" s="1" customFormat="1" x14ac:dyDescent="0.25"/>
    <row r="49" spans="1:14" x14ac:dyDescent="0.25">
      <c r="A49" t="s">
        <v>71</v>
      </c>
    </row>
    <row r="50" spans="1:14" x14ac:dyDescent="0.25">
      <c r="A50" t="s">
        <v>72</v>
      </c>
    </row>
    <row r="51" spans="1:14" x14ac:dyDescent="0.25">
      <c r="A51" t="s">
        <v>73</v>
      </c>
      <c r="C51" t="s">
        <v>57</v>
      </c>
      <c r="D51" t="s">
        <v>58</v>
      </c>
      <c r="E51" t="s">
        <v>59</v>
      </c>
      <c r="F51" t="s">
        <v>50</v>
      </c>
      <c r="I51" t="s">
        <v>57</v>
      </c>
      <c r="J51" t="s">
        <v>58</v>
      </c>
      <c r="K51" t="s">
        <v>59</v>
      </c>
      <c r="L51" t="s">
        <v>50</v>
      </c>
    </row>
    <row r="52" spans="1:14" x14ac:dyDescent="0.25">
      <c r="A52" t="s">
        <v>74</v>
      </c>
      <c r="B52" t="s">
        <v>61</v>
      </c>
      <c r="C52" t="s">
        <v>62</v>
      </c>
      <c r="D52" t="s">
        <v>63</v>
      </c>
      <c r="E52" t="s">
        <v>64</v>
      </c>
      <c r="F52" t="s">
        <v>65</v>
      </c>
      <c r="I52" t="s">
        <v>62</v>
      </c>
      <c r="J52" t="s">
        <v>63</v>
      </c>
      <c r="K52" t="s">
        <v>64</v>
      </c>
      <c r="L52" t="s">
        <v>65</v>
      </c>
      <c r="N52" t="s">
        <v>66</v>
      </c>
    </row>
    <row r="53" spans="1:14" s="1" customFormat="1" x14ac:dyDescent="0.25">
      <c r="A53" s="1" t="s">
        <v>75</v>
      </c>
      <c r="B53" s="1">
        <v>18</v>
      </c>
      <c r="C53" s="1">
        <v>611.30999999999995</v>
      </c>
      <c r="D53" s="1">
        <v>122.73588175</v>
      </c>
      <c r="E53" s="1">
        <v>1764.3930127499998</v>
      </c>
      <c r="F53" s="1">
        <v>2498.4388944999996</v>
      </c>
      <c r="G53" s="1">
        <v>32927.269944</v>
      </c>
      <c r="I53" s="1">
        <v>605.73</v>
      </c>
      <c r="J53" s="1">
        <v>122.73588175</v>
      </c>
      <c r="K53" s="1">
        <v>1764.3930127499998</v>
      </c>
      <c r="L53" s="1">
        <v>2492.8588944999997</v>
      </c>
      <c r="N53" s="1">
        <v>34966.984522999999</v>
      </c>
    </row>
    <row r="54" spans="1:14" s="1" customFormat="1" x14ac:dyDescent="0.25">
      <c r="A54" s="1" t="s">
        <v>76</v>
      </c>
      <c r="B54" s="1">
        <v>17</v>
      </c>
      <c r="C54" s="1">
        <v>611.30999999999995</v>
      </c>
      <c r="D54" s="1">
        <v>122.73588175</v>
      </c>
      <c r="E54" s="1">
        <v>1630.2605738000002</v>
      </c>
      <c r="F54" s="1">
        <v>2364.30645555</v>
      </c>
      <c r="G54" s="1">
        <v>31074.958104000001</v>
      </c>
      <c r="I54" s="1">
        <v>605.73</v>
      </c>
      <c r="J54" s="1">
        <v>122.73588175</v>
      </c>
      <c r="K54" s="1">
        <v>1630.2605738000002</v>
      </c>
      <c r="L54" s="1">
        <v>2358.7264555500001</v>
      </c>
      <c r="N54" s="1">
        <v>33089.130377699999</v>
      </c>
    </row>
    <row r="55" spans="1:14" s="1" customFormat="1" x14ac:dyDescent="0.25">
      <c r="A55" s="1" t="s">
        <v>77</v>
      </c>
      <c r="B55" s="1">
        <v>16</v>
      </c>
      <c r="C55" s="1">
        <v>611.30999999999995</v>
      </c>
      <c r="D55" s="1">
        <v>122.73588175</v>
      </c>
      <c r="E55" s="1">
        <v>1575.3807239500002</v>
      </c>
      <c r="F55" s="1">
        <v>2309.4266057</v>
      </c>
      <c r="G55" s="1">
        <v>30317.043431999999</v>
      </c>
      <c r="I55" s="1">
        <v>605.73</v>
      </c>
      <c r="J55" s="1">
        <v>122.73588175</v>
      </c>
      <c r="K55" s="1">
        <v>1575.3807239500002</v>
      </c>
      <c r="L55" s="1">
        <v>2303.8466057000001</v>
      </c>
      <c r="N55" s="1">
        <v>32320.812479799999</v>
      </c>
    </row>
    <row r="56" spans="1:14" s="1" customFormat="1" x14ac:dyDescent="0.25">
      <c r="B56" s="1">
        <v>15</v>
      </c>
      <c r="C56" s="1">
        <v>611.30999999999995</v>
      </c>
      <c r="D56" s="1">
        <v>122.73588175</v>
      </c>
      <c r="E56" s="1">
        <v>1539.79555555</v>
      </c>
      <c r="F56" s="1">
        <v>2273.8414373000001</v>
      </c>
      <c r="G56" s="1">
        <v>29825.582543999994</v>
      </c>
      <c r="I56" s="1">
        <v>605.73</v>
      </c>
      <c r="J56" s="1">
        <v>122.73588175</v>
      </c>
      <c r="K56" s="1">
        <v>1539.79555555</v>
      </c>
      <c r="L56" s="1">
        <v>2268.2614373000001</v>
      </c>
      <c r="N56" s="1">
        <v>31822.620122200002</v>
      </c>
    </row>
    <row r="57" spans="1:14" s="1" customFormat="1" x14ac:dyDescent="0.25">
      <c r="B57" s="1">
        <v>14</v>
      </c>
      <c r="C57" s="1">
        <v>611.30999999999995</v>
      </c>
      <c r="D57" s="1">
        <v>122.73588175</v>
      </c>
      <c r="E57" s="1">
        <v>1447.1016187999999</v>
      </c>
      <c r="F57" s="1">
        <v>2181.1475005499997</v>
      </c>
      <c r="G57" s="1">
        <v>28545.617591999999</v>
      </c>
      <c r="I57" s="1">
        <v>605.73</v>
      </c>
      <c r="J57" s="1">
        <v>122.73588175</v>
      </c>
      <c r="K57" s="1">
        <v>1447.1016187999999</v>
      </c>
      <c r="L57" s="1">
        <v>2175.5675005499997</v>
      </c>
      <c r="N57" s="1">
        <v>30524.905007699996</v>
      </c>
    </row>
    <row r="58" spans="1:14" s="1" customFormat="1" x14ac:dyDescent="0.25">
      <c r="B58" s="1">
        <v>13</v>
      </c>
      <c r="C58" s="1">
        <v>611.30999999999995</v>
      </c>
      <c r="D58" s="1">
        <v>122.73588175</v>
      </c>
      <c r="E58" s="1">
        <v>1403.4148162000001</v>
      </c>
      <c r="F58" s="1">
        <v>2137.4606979499999</v>
      </c>
      <c r="G58" s="1">
        <v>27942.323088000001</v>
      </c>
      <c r="I58" s="1">
        <v>605.73</v>
      </c>
      <c r="J58" s="1">
        <v>122.73588175</v>
      </c>
      <c r="K58" s="1">
        <v>1403.4148162000001</v>
      </c>
      <c r="L58" s="1">
        <v>2131.88069795</v>
      </c>
      <c r="N58" s="1">
        <v>29913.289771299998</v>
      </c>
    </row>
    <row r="59" spans="1:14" s="1" customFormat="1" x14ac:dyDescent="0.25">
      <c r="B59" s="1">
        <v>12</v>
      </c>
      <c r="C59" s="1">
        <v>611.30999999999995</v>
      </c>
      <c r="D59" s="1">
        <v>122.73588175</v>
      </c>
      <c r="E59" s="1">
        <v>1217.7943598999998</v>
      </c>
      <c r="F59" s="1">
        <v>1951.8402416499998</v>
      </c>
      <c r="G59" s="1">
        <v>25378.935384000004</v>
      </c>
      <c r="I59" s="1">
        <v>605.73</v>
      </c>
      <c r="J59" s="1">
        <v>122.73588175</v>
      </c>
      <c r="K59" s="1">
        <v>1217.7943598999998</v>
      </c>
      <c r="L59" s="1">
        <v>1946.2602416499999</v>
      </c>
      <c r="N59" s="1">
        <v>27314.603383099999</v>
      </c>
    </row>
    <row r="60" spans="1:14" s="1" customFormat="1" x14ac:dyDescent="0.25">
      <c r="B60" s="1">
        <v>11</v>
      </c>
      <c r="C60" s="1">
        <v>611.30999999999995</v>
      </c>
      <c r="D60" s="1">
        <v>122.73588175</v>
      </c>
      <c r="E60" s="1">
        <v>1212.4255736</v>
      </c>
      <c r="F60" s="1">
        <v>1946.4714553499998</v>
      </c>
      <c r="G60" s="1">
        <v>25304.871144000001</v>
      </c>
      <c r="I60" s="1">
        <v>605.73</v>
      </c>
      <c r="J60" s="1">
        <v>122.73588175</v>
      </c>
      <c r="K60" s="1">
        <v>1212.4255736</v>
      </c>
      <c r="L60" s="1">
        <v>1940.8914553499999</v>
      </c>
      <c r="N60" s="1">
        <v>27239.440374899998</v>
      </c>
    </row>
    <row r="61" spans="1:14" s="1" customFormat="1" x14ac:dyDescent="0.25"/>
    <row r="62" spans="1:14" x14ac:dyDescent="0.25">
      <c r="A62" t="s">
        <v>78</v>
      </c>
    </row>
    <row r="63" spans="1:14" x14ac:dyDescent="0.25">
      <c r="A63" t="s">
        <v>76</v>
      </c>
      <c r="C63" t="s">
        <v>57</v>
      </c>
      <c r="D63" t="s">
        <v>58</v>
      </c>
      <c r="E63" t="s">
        <v>59</v>
      </c>
      <c r="F63" t="s">
        <v>50</v>
      </c>
      <c r="I63" t="s">
        <v>57</v>
      </c>
      <c r="J63" t="s">
        <v>58</v>
      </c>
      <c r="K63" t="s">
        <v>59</v>
      </c>
      <c r="L63" t="s">
        <v>50</v>
      </c>
    </row>
    <row r="64" spans="1:14" x14ac:dyDescent="0.25">
      <c r="A64" t="s">
        <v>77</v>
      </c>
      <c r="B64" t="s">
        <v>61</v>
      </c>
      <c r="C64" t="s">
        <v>62</v>
      </c>
      <c r="D64" t="s">
        <v>63</v>
      </c>
      <c r="E64" t="s">
        <v>64</v>
      </c>
      <c r="F64" t="s">
        <v>65</v>
      </c>
      <c r="I64" t="s">
        <v>62</v>
      </c>
      <c r="J64" t="s">
        <v>63</v>
      </c>
      <c r="K64" t="s">
        <v>64</v>
      </c>
      <c r="L64" t="s">
        <v>65</v>
      </c>
      <c r="N64" t="s">
        <v>66</v>
      </c>
    </row>
    <row r="65" spans="2:14" s="1" customFormat="1" x14ac:dyDescent="0.25">
      <c r="B65" s="1">
        <v>14</v>
      </c>
      <c r="C65" s="1">
        <v>559.5</v>
      </c>
      <c r="D65" s="1">
        <v>106.10621154999998</v>
      </c>
      <c r="E65" s="1">
        <v>1700.70408935</v>
      </c>
      <c r="F65" s="1">
        <v>2366.3103009000001</v>
      </c>
      <c r="G65" s="1">
        <v>31118.300352000002</v>
      </c>
      <c r="I65" s="1">
        <v>559.5</v>
      </c>
      <c r="J65" s="1">
        <v>106.10621154999998</v>
      </c>
      <c r="K65" s="1">
        <v>1683.8654349999999</v>
      </c>
      <c r="L65" s="1">
        <v>2349.4716465500001</v>
      </c>
      <c r="N65" s="1">
        <v>33094.666903899997</v>
      </c>
    </row>
    <row r="66" spans="2:14" s="1" customFormat="1" x14ac:dyDescent="0.25">
      <c r="B66" s="1">
        <v>13</v>
      </c>
      <c r="C66" s="1">
        <v>559.5</v>
      </c>
      <c r="D66" s="1">
        <v>106.10621154999998</v>
      </c>
      <c r="E66" s="1">
        <v>1476.1744688000001</v>
      </c>
      <c r="F66" s="1">
        <v>2141.7806803500002</v>
      </c>
      <c r="G66" s="1">
        <v>28017.673343999995</v>
      </c>
      <c r="I66" s="1">
        <v>559.5</v>
      </c>
      <c r="J66" s="1">
        <v>106.10621154999998</v>
      </c>
      <c r="K66" s="1">
        <v>1461.55888</v>
      </c>
      <c r="L66" s="1">
        <v>2127.1650915499999</v>
      </c>
      <c r="N66" s="1">
        <v>29955.6983473</v>
      </c>
    </row>
    <row r="67" spans="2:14" s="1" customFormat="1" x14ac:dyDescent="0.25">
      <c r="B67" s="1">
        <v>12</v>
      </c>
      <c r="C67" s="1">
        <v>559.5</v>
      </c>
      <c r="D67" s="1">
        <v>106.10621154999998</v>
      </c>
      <c r="E67" s="1">
        <v>1284.9332615000001</v>
      </c>
      <c r="F67" s="1">
        <v>1950.5394730500002</v>
      </c>
      <c r="G67" s="1">
        <v>25376.767272000001</v>
      </c>
      <c r="I67" s="1">
        <v>559.5</v>
      </c>
      <c r="J67" s="1">
        <v>106.10621154999998</v>
      </c>
      <c r="K67" s="1">
        <v>1272.2111500000001</v>
      </c>
      <c r="L67" s="1">
        <v>1937.81736155</v>
      </c>
      <c r="N67" s="1">
        <v>27282.108399700002</v>
      </c>
    </row>
    <row r="68" spans="2:14" s="1" customFormat="1" x14ac:dyDescent="0.25">
      <c r="B68" s="1">
        <v>11</v>
      </c>
      <c r="C68" s="1">
        <v>559.5</v>
      </c>
      <c r="D68" s="1">
        <v>106.10621154999998</v>
      </c>
      <c r="E68" s="1">
        <v>1279.7195304000002</v>
      </c>
      <c r="F68" s="1">
        <v>1945.3257419500001</v>
      </c>
      <c r="I68" s="1">
        <v>559.5</v>
      </c>
      <c r="J68" s="1">
        <v>106.10621154999998</v>
      </c>
      <c r="K68" s="1">
        <v>1267.0490400000001</v>
      </c>
      <c r="L68" s="1">
        <v>1932.6552515500002</v>
      </c>
      <c r="N68" s="1">
        <v>27209.2194065</v>
      </c>
    </row>
    <row r="69" spans="2:14" s="1" customFormat="1" x14ac:dyDescent="0.25">
      <c r="B69" s="1">
        <v>10</v>
      </c>
      <c r="C69" s="1">
        <v>559.5</v>
      </c>
      <c r="D69" s="1">
        <v>106.10621154999998</v>
      </c>
      <c r="E69" s="1">
        <v>1039.2386061499999</v>
      </c>
      <c r="F69" s="1">
        <v>1704.8448177</v>
      </c>
      <c r="G69" s="1">
        <v>21983.823768000002</v>
      </c>
      <c r="I69" s="1">
        <v>559.5</v>
      </c>
      <c r="J69" s="1">
        <v>106.10621154999998</v>
      </c>
      <c r="K69" s="1">
        <v>1028.9491149999999</v>
      </c>
      <c r="L69" s="1">
        <v>1694.5553265499998</v>
      </c>
      <c r="N69" s="1">
        <v>23847.248465500001</v>
      </c>
    </row>
    <row r="70" spans="2:14" s="1" customFormat="1" x14ac:dyDescent="0.25"/>
    <row r="71" spans="2:14" x14ac:dyDescent="0.25">
      <c r="C71" t="s">
        <v>79</v>
      </c>
      <c r="F71" t="s">
        <v>19</v>
      </c>
    </row>
    <row r="72" spans="2:14" x14ac:dyDescent="0.25">
      <c r="C72" t="s">
        <v>80</v>
      </c>
      <c r="D72" t="s">
        <v>81</v>
      </c>
    </row>
    <row r="73" spans="2:14" x14ac:dyDescent="0.25">
      <c r="B73" t="s">
        <v>35</v>
      </c>
      <c r="C73" t="s">
        <v>82</v>
      </c>
      <c r="D73" t="s">
        <v>83</v>
      </c>
      <c r="F73" t="s">
        <v>20</v>
      </c>
      <c r="J73" s="1"/>
      <c r="K73" s="1">
        <v>515.84073157599994</v>
      </c>
      <c r="L73" s="1"/>
    </row>
    <row r="74" spans="2:14" x14ac:dyDescent="0.25">
      <c r="B74" t="s">
        <v>37</v>
      </c>
      <c r="C74">
        <v>43.52</v>
      </c>
      <c r="D74">
        <v>26.85</v>
      </c>
      <c r="F74" t="s">
        <v>21</v>
      </c>
      <c r="J74" s="1"/>
      <c r="K74" s="1">
        <v>1616.1576408000001</v>
      </c>
      <c r="L74" s="1"/>
    </row>
    <row r="75" spans="2:14" x14ac:dyDescent="0.25">
      <c r="B75" t="s">
        <v>38</v>
      </c>
      <c r="C75">
        <v>35.479999999999997</v>
      </c>
      <c r="D75">
        <v>25.87</v>
      </c>
      <c r="J75" s="1"/>
      <c r="K75" s="1"/>
      <c r="L75" s="1"/>
    </row>
    <row r="76" spans="2:14" x14ac:dyDescent="0.25">
      <c r="B76" t="s">
        <v>39</v>
      </c>
      <c r="C76">
        <v>26.85</v>
      </c>
      <c r="D76">
        <v>23.19</v>
      </c>
      <c r="F76" t="s">
        <v>84</v>
      </c>
      <c r="J76" s="1"/>
      <c r="K76" s="1" t="s">
        <v>23</v>
      </c>
      <c r="L76" s="1" t="s">
        <v>24</v>
      </c>
    </row>
    <row r="77" spans="2:14" x14ac:dyDescent="0.25">
      <c r="B77" t="s">
        <v>40</v>
      </c>
      <c r="C77">
        <v>18.27</v>
      </c>
      <c r="D77">
        <v>18.09</v>
      </c>
      <c r="F77" t="s">
        <v>85</v>
      </c>
      <c r="J77" s="1">
        <v>0.2492</v>
      </c>
      <c r="K77" s="1">
        <v>0.19</v>
      </c>
      <c r="L77" s="1">
        <v>5.9200000000000003E-2</v>
      </c>
    </row>
    <row r="78" spans="2:14" x14ac:dyDescent="0.25">
      <c r="B78" t="s">
        <v>86</v>
      </c>
      <c r="C78">
        <v>13.75</v>
      </c>
      <c r="D78">
        <v>13.75</v>
      </c>
      <c r="F78" t="s">
        <v>27</v>
      </c>
      <c r="J78" s="1">
        <v>8.1778408209999984</v>
      </c>
      <c r="K78" s="1">
        <v>0</v>
      </c>
      <c r="L78" s="1">
        <v>8.1778408209999984</v>
      </c>
    </row>
    <row r="79" spans="2:14" x14ac:dyDescent="0.25">
      <c r="F79" t="s">
        <v>87</v>
      </c>
      <c r="J79" s="1">
        <v>180.10824999999997</v>
      </c>
      <c r="K79" s="1"/>
      <c r="L79" s="1"/>
    </row>
    <row r="80" spans="2:14" x14ac:dyDescent="0.25">
      <c r="J80" s="1"/>
      <c r="K80" s="1"/>
      <c r="L80" s="1"/>
    </row>
    <row r="81" spans="2:12" x14ac:dyDescent="0.25">
      <c r="B81" t="s">
        <v>88</v>
      </c>
      <c r="C81" t="s">
        <v>89</v>
      </c>
      <c r="J81" s="1"/>
      <c r="K81" s="1"/>
      <c r="L81" s="1"/>
    </row>
    <row r="82" spans="2:12" x14ac:dyDescent="0.25">
      <c r="J82" s="1"/>
      <c r="K82" s="1"/>
      <c r="L82" s="1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O82"/>
  <sheetViews>
    <sheetView workbookViewId="0">
      <selection activeCell="O59" sqref="O59"/>
    </sheetView>
  </sheetViews>
  <sheetFormatPr baseColWidth="10" defaultRowHeight="15" x14ac:dyDescent="0.25"/>
  <cols>
    <col min="15" max="15" width="12" bestFit="1" customWidth="1"/>
  </cols>
  <sheetData>
    <row r="2" spans="1:13" x14ac:dyDescent="0.25">
      <c r="A2" t="s">
        <v>101</v>
      </c>
      <c r="H2" t="s">
        <v>100</v>
      </c>
    </row>
    <row r="3" spans="1:13" x14ac:dyDescent="0.25">
      <c r="A3" t="s">
        <v>102</v>
      </c>
      <c r="F3" t="s">
        <v>50</v>
      </c>
      <c r="M3" t="s">
        <v>52</v>
      </c>
    </row>
    <row r="4" spans="1:13" x14ac:dyDescent="0.25">
      <c r="A4" t="s">
        <v>53</v>
      </c>
      <c r="C4" t="s">
        <v>54</v>
      </c>
      <c r="F4" t="s">
        <v>55</v>
      </c>
    </row>
    <row r="5" spans="1:13" x14ac:dyDescent="0.25">
      <c r="C5">
        <v>5562.53</v>
      </c>
      <c r="F5">
        <v>5562.53</v>
      </c>
      <c r="H5">
        <v>5562.53</v>
      </c>
      <c r="M5">
        <v>77875.42</v>
      </c>
    </row>
    <row r="7" spans="1:13" x14ac:dyDescent="0.25">
      <c r="A7" t="s">
        <v>56</v>
      </c>
    </row>
    <row r="8" spans="1:13" x14ac:dyDescent="0.25">
      <c r="C8" t="s">
        <v>57</v>
      </c>
      <c r="D8" t="s">
        <v>58</v>
      </c>
      <c r="E8" t="s">
        <v>59</v>
      </c>
      <c r="F8" t="s">
        <v>50</v>
      </c>
      <c r="H8" t="s">
        <v>57</v>
      </c>
      <c r="I8" t="s">
        <v>58</v>
      </c>
      <c r="J8" t="s">
        <v>59</v>
      </c>
      <c r="K8" t="s">
        <v>50</v>
      </c>
    </row>
    <row r="9" spans="1:13" x14ac:dyDescent="0.25">
      <c r="A9" t="s">
        <v>60</v>
      </c>
      <c r="B9" t="s">
        <v>61</v>
      </c>
      <c r="C9" t="s">
        <v>62</v>
      </c>
      <c r="D9" t="s">
        <v>63</v>
      </c>
      <c r="E9" t="s">
        <v>64</v>
      </c>
      <c r="F9" t="s">
        <v>65</v>
      </c>
      <c r="H9" t="s">
        <v>62</v>
      </c>
      <c r="I9" t="s">
        <v>63</v>
      </c>
      <c r="J9" t="s">
        <v>64</v>
      </c>
      <c r="K9" t="s">
        <v>65</v>
      </c>
      <c r="M9" t="s">
        <v>66</v>
      </c>
    </row>
    <row r="10" spans="1:13" x14ac:dyDescent="0.25">
      <c r="B10">
        <v>28</v>
      </c>
      <c r="C10">
        <v>1151.17</v>
      </c>
      <c r="D10">
        <v>219.09637499999999</v>
      </c>
      <c r="E10">
        <v>3691.6160249999998</v>
      </c>
      <c r="F10">
        <v>5061.8824000000004</v>
      </c>
      <c r="H10">
        <v>710.36</v>
      </c>
      <c r="I10">
        <v>219.09637499999999</v>
      </c>
      <c r="J10">
        <v>3691.6160249999998</v>
      </c>
      <c r="K10">
        <v>4621.0724</v>
      </c>
      <c r="M10">
        <v>69804.346292174989</v>
      </c>
    </row>
    <row r="11" spans="1:13" x14ac:dyDescent="0.25">
      <c r="B11">
        <v>27</v>
      </c>
      <c r="C11">
        <v>1151.17</v>
      </c>
      <c r="D11">
        <v>219.09637499999999</v>
      </c>
      <c r="E11">
        <v>3100.5219749999997</v>
      </c>
      <c r="F11">
        <v>4470.7883499999998</v>
      </c>
      <c r="H11">
        <v>710.36</v>
      </c>
      <c r="I11">
        <v>219.09637499999999</v>
      </c>
      <c r="J11">
        <v>3100.5219749999997</v>
      </c>
      <c r="K11">
        <v>4029.9783499999994</v>
      </c>
      <c r="M11">
        <v>61549.553992546993</v>
      </c>
    </row>
    <row r="12" spans="1:13" x14ac:dyDescent="0.25">
      <c r="B12">
        <v>26</v>
      </c>
      <c r="C12">
        <v>1151.17</v>
      </c>
      <c r="D12">
        <v>219.09637499999999</v>
      </c>
      <c r="E12">
        <v>2698.0082000000002</v>
      </c>
      <c r="F12">
        <v>4068.2745750000004</v>
      </c>
      <c r="H12">
        <v>710.36</v>
      </c>
      <c r="I12">
        <v>219.09637499999999</v>
      </c>
      <c r="J12">
        <v>2698.0082000000002</v>
      </c>
      <c r="K12">
        <v>3627.464575</v>
      </c>
      <c r="M12">
        <v>55928.572541755995</v>
      </c>
    </row>
    <row r="13" spans="1:13" x14ac:dyDescent="0.25">
      <c r="B13">
        <v>25</v>
      </c>
      <c r="C13">
        <v>1151.17</v>
      </c>
      <c r="D13">
        <v>219.09637499999999</v>
      </c>
      <c r="E13">
        <v>2612.2142499999995</v>
      </c>
      <c r="F13">
        <v>3982.4806249999997</v>
      </c>
      <c r="H13">
        <v>710.36</v>
      </c>
      <c r="I13">
        <v>219.09637499999999</v>
      </c>
      <c r="J13">
        <v>2612.2142499999995</v>
      </c>
      <c r="K13">
        <v>3541.6706249999997</v>
      </c>
      <c r="M13">
        <v>54730.371757706489</v>
      </c>
    </row>
    <row r="14" spans="1:13" x14ac:dyDescent="0.25">
      <c r="B14">
        <v>24</v>
      </c>
      <c r="C14">
        <v>1151.17</v>
      </c>
      <c r="D14">
        <v>219.09637499999999</v>
      </c>
      <c r="E14">
        <v>2521.5782249999997</v>
      </c>
      <c r="F14">
        <v>3891.8445999999999</v>
      </c>
      <c r="H14">
        <v>710.36</v>
      </c>
      <c r="I14">
        <v>219.09637499999999</v>
      </c>
      <c r="J14">
        <v>2521.5782249999997</v>
      </c>
      <c r="K14">
        <v>3451.0346</v>
      </c>
      <c r="M14">
        <v>53464.693857901992</v>
      </c>
    </row>
    <row r="15" spans="1:13" x14ac:dyDescent="0.25">
      <c r="B15">
        <v>23</v>
      </c>
      <c r="C15">
        <v>1151.17</v>
      </c>
      <c r="D15">
        <v>219.09637499999999</v>
      </c>
      <c r="E15">
        <v>2445.7491249999998</v>
      </c>
      <c r="F15">
        <v>3816.0155</v>
      </c>
      <c r="H15">
        <v>710.36</v>
      </c>
      <c r="I15">
        <v>219.09637499999999</v>
      </c>
      <c r="J15">
        <v>2445.7491249999998</v>
      </c>
      <c r="K15">
        <v>3375.2055</v>
      </c>
      <c r="M15">
        <v>52405.716265746982</v>
      </c>
    </row>
    <row r="16" spans="1:13" x14ac:dyDescent="0.25">
      <c r="B16">
        <v>22</v>
      </c>
      <c r="C16">
        <v>1151.17</v>
      </c>
      <c r="D16">
        <v>219.09637499999999</v>
      </c>
      <c r="E16">
        <v>2372.9575999999997</v>
      </c>
      <c r="F16">
        <v>3743.2239749999999</v>
      </c>
      <c r="H16">
        <v>710.36</v>
      </c>
      <c r="I16">
        <v>219.09637499999999</v>
      </c>
      <c r="J16">
        <v>2372.9575999999997</v>
      </c>
      <c r="K16">
        <v>3302.4139749999995</v>
      </c>
      <c r="M16">
        <v>51389.152860637994</v>
      </c>
    </row>
    <row r="17" spans="1:13" x14ac:dyDescent="0.25">
      <c r="B17">
        <v>21</v>
      </c>
      <c r="C17">
        <v>1151.17</v>
      </c>
      <c r="D17">
        <v>219.09637499999999</v>
      </c>
      <c r="E17">
        <v>2182.0013999999996</v>
      </c>
      <c r="F17">
        <v>3552.2677749999998</v>
      </c>
      <c r="H17">
        <v>710.36</v>
      </c>
      <c r="I17">
        <v>219.09637499999999</v>
      </c>
      <c r="J17">
        <v>2182.0013999999996</v>
      </c>
      <c r="K17">
        <v>3111.4577749999999</v>
      </c>
      <c r="M17">
        <v>48722.429704320508</v>
      </c>
    </row>
    <row r="18" spans="1:13" x14ac:dyDescent="0.25">
      <c r="B18">
        <v>20</v>
      </c>
      <c r="C18">
        <v>1151.17</v>
      </c>
      <c r="D18">
        <v>219.09637499999999</v>
      </c>
      <c r="E18">
        <v>1996.1378999999999</v>
      </c>
      <c r="F18">
        <v>3366.4042749999999</v>
      </c>
      <c r="H18">
        <v>710.36</v>
      </c>
      <c r="I18">
        <v>219.09637499999999</v>
      </c>
      <c r="J18">
        <v>1996.1378999999999</v>
      </c>
      <c r="K18">
        <v>2925.5942749999999</v>
      </c>
      <c r="M18">
        <v>46126.764082144997</v>
      </c>
    </row>
    <row r="20" spans="1:13" x14ac:dyDescent="0.25">
      <c r="A20" t="s">
        <v>67</v>
      </c>
    </row>
    <row r="21" spans="1:13" x14ac:dyDescent="0.25">
      <c r="C21" t="s">
        <v>57</v>
      </c>
      <c r="D21" t="s">
        <v>58</v>
      </c>
      <c r="E21" t="s">
        <v>59</v>
      </c>
      <c r="F21" t="s">
        <v>50</v>
      </c>
      <c r="H21" t="s">
        <v>57</v>
      </c>
      <c r="I21" t="s">
        <v>58</v>
      </c>
      <c r="J21" t="s">
        <v>59</v>
      </c>
      <c r="K21" t="s">
        <v>50</v>
      </c>
    </row>
    <row r="22" spans="1:13" x14ac:dyDescent="0.25">
      <c r="A22" t="s">
        <v>68</v>
      </c>
      <c r="B22" t="s">
        <v>61</v>
      </c>
      <c r="C22" t="s">
        <v>62</v>
      </c>
      <c r="D22" t="s">
        <v>63</v>
      </c>
      <c r="E22" t="s">
        <v>64</v>
      </c>
      <c r="F22" t="s">
        <v>65</v>
      </c>
      <c r="H22" t="s">
        <v>62</v>
      </c>
      <c r="I22" t="s">
        <v>63</v>
      </c>
      <c r="J22" t="s">
        <v>64</v>
      </c>
      <c r="K22" t="s">
        <v>65</v>
      </c>
      <c r="M22" t="s">
        <v>66</v>
      </c>
    </row>
    <row r="23" spans="1:13" x14ac:dyDescent="0.25">
      <c r="B23">
        <v>27</v>
      </c>
      <c r="C23">
        <v>995.39</v>
      </c>
      <c r="D23">
        <v>175.00642499999998</v>
      </c>
      <c r="E23">
        <v>3002.6679499999996</v>
      </c>
      <c r="F23">
        <v>4173.0643749999999</v>
      </c>
      <c r="H23">
        <v>725.95</v>
      </c>
      <c r="I23">
        <v>175.00642499999998</v>
      </c>
      <c r="J23">
        <v>3002.6679499999996</v>
      </c>
      <c r="K23">
        <v>3903.6243749999994</v>
      </c>
      <c r="M23">
        <v>57734.97942799599</v>
      </c>
    </row>
    <row r="24" spans="1:13" x14ac:dyDescent="0.25">
      <c r="B24">
        <v>26</v>
      </c>
      <c r="C24">
        <v>995.39</v>
      </c>
      <c r="D24">
        <v>175.00642499999998</v>
      </c>
      <c r="E24">
        <v>2904.2244091822413</v>
      </c>
      <c r="F24">
        <v>4074.6208341822412</v>
      </c>
      <c r="H24">
        <v>725.95</v>
      </c>
      <c r="I24">
        <v>175.00642499999998</v>
      </c>
      <c r="J24">
        <v>2904.2244091822413</v>
      </c>
      <c r="K24">
        <v>3805.1808341822416</v>
      </c>
      <c r="M24">
        <v>56360.098767387994</v>
      </c>
    </row>
    <row r="25" spans="1:13" x14ac:dyDescent="0.25">
      <c r="B25">
        <v>25</v>
      </c>
      <c r="C25">
        <v>995.39</v>
      </c>
      <c r="D25">
        <v>175.00642499999998</v>
      </c>
      <c r="E25">
        <v>2448.8182319219718</v>
      </c>
      <c r="F25">
        <v>3619.2146569219717</v>
      </c>
      <c r="H25">
        <v>725.95</v>
      </c>
      <c r="I25">
        <v>175.00642499999998</v>
      </c>
      <c r="J25">
        <v>2448.8182319219718</v>
      </c>
      <c r="K25">
        <v>3349.7746569219717</v>
      </c>
      <c r="M25">
        <v>50000.311753279508</v>
      </c>
    </row>
    <row r="26" spans="1:13" x14ac:dyDescent="0.25">
      <c r="B26">
        <v>24</v>
      </c>
      <c r="C26">
        <v>995.39</v>
      </c>
      <c r="D26">
        <v>175.00642499999998</v>
      </c>
      <c r="E26">
        <v>2262.5237571051398</v>
      </c>
      <c r="F26">
        <v>3432.9201821051397</v>
      </c>
      <c r="H26">
        <v>725.95</v>
      </c>
      <c r="I26">
        <v>175.00642499999998</v>
      </c>
      <c r="J26">
        <v>2262.5237571051398</v>
      </c>
      <c r="K26">
        <v>3163.4801821051396</v>
      </c>
      <c r="M26">
        <v>47398.72466992549</v>
      </c>
    </row>
    <row r="27" spans="1:13" x14ac:dyDescent="0.25">
      <c r="B27">
        <v>23</v>
      </c>
      <c r="C27">
        <v>995.39</v>
      </c>
      <c r="D27">
        <v>175.00642499999998</v>
      </c>
      <c r="E27">
        <v>2147.0033698452139</v>
      </c>
      <c r="F27">
        <v>3317.3997948452138</v>
      </c>
      <c r="H27">
        <v>725.95</v>
      </c>
      <c r="I27">
        <v>175.00642499999998</v>
      </c>
      <c r="J27">
        <v>2147.0033698452139</v>
      </c>
      <c r="K27">
        <v>3047.9597948452138</v>
      </c>
      <c r="M27">
        <v>45785.470769783002</v>
      </c>
    </row>
    <row r="28" spans="1:13" x14ac:dyDescent="0.25">
      <c r="B28">
        <v>22</v>
      </c>
      <c r="C28">
        <v>995.39</v>
      </c>
      <c r="D28">
        <v>175.00642499999998</v>
      </c>
      <c r="E28">
        <v>2078.8341249999999</v>
      </c>
      <c r="F28">
        <v>3249.2305499999998</v>
      </c>
      <c r="H28">
        <v>725.95</v>
      </c>
      <c r="I28">
        <v>175.00642499999998</v>
      </c>
      <c r="J28">
        <v>2078.8341249999999</v>
      </c>
      <c r="K28">
        <v>2979.7905499999997</v>
      </c>
      <c r="M28">
        <v>44833.354895639997</v>
      </c>
    </row>
    <row r="29" spans="1:13" x14ac:dyDescent="0.25">
      <c r="B29">
        <v>21</v>
      </c>
      <c r="C29">
        <v>995.39</v>
      </c>
      <c r="D29">
        <v>175.00642499999998</v>
      </c>
      <c r="E29">
        <v>2005.3141670397015</v>
      </c>
      <c r="F29">
        <v>3175.7105920397016</v>
      </c>
      <c r="H29">
        <v>725.95</v>
      </c>
      <c r="I29">
        <v>175.00642499999998</v>
      </c>
      <c r="J29">
        <v>2005.3141670397015</v>
      </c>
      <c r="K29">
        <v>2906.2705920397016</v>
      </c>
      <c r="M29">
        <v>43806.7387773675</v>
      </c>
    </row>
    <row r="30" spans="1:13" x14ac:dyDescent="0.25">
      <c r="B30">
        <v>20</v>
      </c>
      <c r="C30">
        <v>995.39</v>
      </c>
      <c r="D30">
        <v>175.00642499999998</v>
      </c>
      <c r="E30">
        <v>1933.9902409170263</v>
      </c>
      <c r="F30">
        <v>3104.3866659170262</v>
      </c>
      <c r="H30">
        <v>725.95</v>
      </c>
      <c r="I30">
        <v>175.00642499999998</v>
      </c>
      <c r="J30">
        <v>1933.9902409170263</v>
      </c>
      <c r="K30">
        <v>2834.9466659170266</v>
      </c>
      <c r="M30">
        <v>42810.693923783998</v>
      </c>
    </row>
    <row r="31" spans="1:13" x14ac:dyDescent="0.25">
      <c r="B31">
        <v>19</v>
      </c>
      <c r="C31">
        <v>995.39</v>
      </c>
      <c r="D31">
        <v>175.00642499999998</v>
      </c>
      <c r="E31">
        <v>1887.4270473388046</v>
      </c>
      <c r="F31">
        <v>3057.8234723388045</v>
      </c>
      <c r="H31">
        <v>725.95</v>
      </c>
      <c r="I31">
        <v>175.00642499999998</v>
      </c>
      <c r="J31">
        <v>1887.4270473388046</v>
      </c>
      <c r="K31">
        <v>2788.3834723388045</v>
      </c>
      <c r="M31">
        <v>42160.434861344991</v>
      </c>
    </row>
    <row r="32" spans="1:13" x14ac:dyDescent="0.25">
      <c r="B32">
        <v>18</v>
      </c>
      <c r="C32">
        <v>995.39</v>
      </c>
      <c r="D32">
        <v>175.00642499999998</v>
      </c>
      <c r="E32">
        <v>1744.0889317409597</v>
      </c>
      <c r="F32">
        <v>2914.4853567409596</v>
      </c>
      <c r="H32">
        <v>725.95</v>
      </c>
      <c r="I32">
        <v>175.00642499999998</v>
      </c>
      <c r="J32">
        <v>1744.0889317409597</v>
      </c>
      <c r="K32">
        <v>2645.0453567409595</v>
      </c>
      <c r="M32">
        <v>40158.705566212993</v>
      </c>
    </row>
    <row r="33" spans="1:13" x14ac:dyDescent="0.25">
      <c r="B33">
        <v>17</v>
      </c>
      <c r="C33">
        <v>995.39</v>
      </c>
      <c r="D33">
        <v>175.00642499999998</v>
      </c>
      <c r="E33">
        <v>1654.5156061317</v>
      </c>
      <c r="F33">
        <v>2824.9120311317001</v>
      </c>
      <c r="H33">
        <v>725.95</v>
      </c>
      <c r="I33">
        <v>175.00642499999998</v>
      </c>
      <c r="J33">
        <v>1654.5156061317</v>
      </c>
      <c r="K33">
        <v>2555.4720311317001</v>
      </c>
      <c r="M33">
        <v>38907.762465154992</v>
      </c>
    </row>
    <row r="34" spans="1:13" x14ac:dyDescent="0.25">
      <c r="B34">
        <v>16</v>
      </c>
      <c r="C34">
        <v>995.39</v>
      </c>
      <c r="D34">
        <v>175.00642499999998</v>
      </c>
      <c r="E34">
        <v>1557.9870237913744</v>
      </c>
      <c r="F34">
        <v>2728.3834487913746</v>
      </c>
      <c r="H34">
        <v>725.95</v>
      </c>
      <c r="I34">
        <v>175.00642499999998</v>
      </c>
      <c r="J34">
        <v>1557.9870237913744</v>
      </c>
      <c r="K34">
        <v>2458.9434487913745</v>
      </c>
      <c r="M34">
        <v>37559.73494244949</v>
      </c>
    </row>
    <row r="36" spans="1:13" x14ac:dyDescent="0.25">
      <c r="A36" t="s">
        <v>69</v>
      </c>
    </row>
    <row r="37" spans="1:13" x14ac:dyDescent="0.25">
      <c r="C37" t="s">
        <v>57</v>
      </c>
      <c r="D37" t="s">
        <v>58</v>
      </c>
      <c r="E37" t="s">
        <v>59</v>
      </c>
      <c r="F37" t="s">
        <v>50</v>
      </c>
      <c r="H37" t="s">
        <v>57</v>
      </c>
      <c r="I37" t="s">
        <v>58</v>
      </c>
      <c r="J37" t="s">
        <v>59</v>
      </c>
      <c r="K37" t="s">
        <v>50</v>
      </c>
    </row>
    <row r="38" spans="1:13" x14ac:dyDescent="0.25">
      <c r="A38" t="s">
        <v>70</v>
      </c>
      <c r="B38" t="s">
        <v>61</v>
      </c>
      <c r="C38" t="s">
        <v>62</v>
      </c>
      <c r="D38" t="s">
        <v>63</v>
      </c>
      <c r="E38" t="s">
        <v>64</v>
      </c>
      <c r="F38" t="s">
        <v>65</v>
      </c>
      <c r="H38" t="s">
        <v>62</v>
      </c>
      <c r="I38" t="s">
        <v>63</v>
      </c>
      <c r="J38" t="s">
        <v>64</v>
      </c>
      <c r="K38" t="s">
        <v>65</v>
      </c>
      <c r="M38" t="s">
        <v>66</v>
      </c>
    </row>
    <row r="39" spans="1:13" x14ac:dyDescent="0.25">
      <c r="B39">
        <v>21</v>
      </c>
      <c r="C39">
        <v>747.37</v>
      </c>
      <c r="D39">
        <v>140.48032499999999</v>
      </c>
      <c r="E39">
        <v>2433.2971673958978</v>
      </c>
      <c r="F39">
        <v>3321.1474923958976</v>
      </c>
      <c r="H39">
        <v>645.94000000000005</v>
      </c>
      <c r="I39">
        <v>140.48032499999999</v>
      </c>
      <c r="J39">
        <v>2433.2971673958978</v>
      </c>
      <c r="K39">
        <v>3219.7174923958978</v>
      </c>
      <c r="M39">
        <v>46173.919466295498</v>
      </c>
    </row>
    <row r="40" spans="1:13" x14ac:dyDescent="0.25">
      <c r="B40">
        <v>20</v>
      </c>
      <c r="C40">
        <v>747.37</v>
      </c>
      <c r="D40">
        <v>140.48032499999999</v>
      </c>
      <c r="E40">
        <v>2358.1707249999999</v>
      </c>
      <c r="F40">
        <v>3246.0210499999998</v>
      </c>
      <c r="H40">
        <v>645.94000000000005</v>
      </c>
      <c r="I40">
        <v>140.48032499999999</v>
      </c>
      <c r="J40">
        <v>2358.1707249999999</v>
      </c>
      <c r="K40">
        <v>3144.59105</v>
      </c>
      <c r="M40">
        <v>45124.856878904488</v>
      </c>
    </row>
    <row r="41" spans="1:13" x14ac:dyDescent="0.25">
      <c r="B41">
        <v>19</v>
      </c>
      <c r="C41">
        <v>747.37</v>
      </c>
      <c r="D41">
        <v>140.48032499999999</v>
      </c>
      <c r="E41">
        <v>2209.6321193778513</v>
      </c>
      <c r="F41">
        <v>3097.4824443778512</v>
      </c>
      <c r="H41">
        <v>645.94000000000005</v>
      </c>
      <c r="I41">
        <v>140.48032499999999</v>
      </c>
      <c r="J41">
        <v>2209.6321193778513</v>
      </c>
      <c r="K41">
        <v>2996.0524443778513</v>
      </c>
      <c r="M41">
        <v>43050.417548836493</v>
      </c>
    </row>
    <row r="42" spans="1:13" x14ac:dyDescent="0.25">
      <c r="B42">
        <v>18</v>
      </c>
      <c r="C42">
        <v>747.37</v>
      </c>
      <c r="D42">
        <v>140.48032499999999</v>
      </c>
      <c r="E42">
        <v>1981.6617999999999</v>
      </c>
      <c r="F42">
        <v>2869.5121249999997</v>
      </c>
      <c r="H42">
        <v>645.94000000000005</v>
      </c>
      <c r="I42">
        <v>140.48032499999999</v>
      </c>
      <c r="J42">
        <v>1981.6617999999999</v>
      </c>
      <c r="K42">
        <v>2768.0821249999999</v>
      </c>
      <c r="M42">
        <v>39866.874769195492</v>
      </c>
    </row>
    <row r="43" spans="1:13" x14ac:dyDescent="0.25">
      <c r="B43">
        <v>17</v>
      </c>
      <c r="C43">
        <v>747.37</v>
      </c>
      <c r="D43">
        <v>140.48032499999999</v>
      </c>
      <c r="E43">
        <v>1838.1028003506083</v>
      </c>
      <c r="F43">
        <v>2725.9531253506084</v>
      </c>
      <c r="H43">
        <v>645.94000000000005</v>
      </c>
      <c r="I43">
        <v>140.48032499999999</v>
      </c>
      <c r="J43">
        <v>1838.1028003506083</v>
      </c>
      <c r="K43">
        <v>2624.5231253506081</v>
      </c>
      <c r="M43">
        <v>37861.978180874998</v>
      </c>
    </row>
    <row r="44" spans="1:13" x14ac:dyDescent="0.25">
      <c r="B44">
        <v>16</v>
      </c>
      <c r="C44">
        <v>747.37</v>
      </c>
      <c r="D44">
        <v>140.48032499999999</v>
      </c>
      <c r="E44">
        <v>1650.8179079377767</v>
      </c>
      <c r="F44">
        <v>2538.6682329377768</v>
      </c>
      <c r="H44">
        <v>645.94000000000005</v>
      </c>
      <c r="I44">
        <v>140.48032499999999</v>
      </c>
      <c r="J44">
        <v>1650.8179079377767</v>
      </c>
      <c r="K44">
        <v>2437.238232937777</v>
      </c>
      <c r="M44">
        <v>35246.482549171495</v>
      </c>
    </row>
    <row r="45" spans="1:13" x14ac:dyDescent="0.25">
      <c r="B45">
        <v>15</v>
      </c>
      <c r="C45">
        <v>747.37</v>
      </c>
      <c r="D45">
        <v>140.48032499999999</v>
      </c>
      <c r="E45">
        <v>1510.9081103635351</v>
      </c>
      <c r="F45">
        <v>2398.7584353635352</v>
      </c>
      <c r="H45">
        <v>645.94000000000005</v>
      </c>
      <c r="I45">
        <v>140.48032499999999</v>
      </c>
      <c r="J45">
        <v>1510.9081103635351</v>
      </c>
      <c r="K45">
        <v>2297.3284353635354</v>
      </c>
      <c r="M45">
        <v>33292.675777065495</v>
      </c>
    </row>
    <row r="46" spans="1:13" x14ac:dyDescent="0.25">
      <c r="B46">
        <v>14</v>
      </c>
      <c r="C46">
        <v>747.37</v>
      </c>
      <c r="D46">
        <v>140.48032499999999</v>
      </c>
      <c r="E46">
        <v>1420.5526375221034</v>
      </c>
      <c r="F46">
        <v>2308.4029625221033</v>
      </c>
      <c r="H46">
        <v>645.94000000000005</v>
      </c>
      <c r="I46">
        <v>140.48032499999999</v>
      </c>
      <c r="J46">
        <v>1420.5526375221034</v>
      </c>
      <c r="K46">
        <v>2206.9729625221034</v>
      </c>
      <c r="M46">
        <v>32030.853712446995</v>
      </c>
    </row>
    <row r="47" spans="1:13" x14ac:dyDescent="0.25">
      <c r="B47">
        <v>13</v>
      </c>
      <c r="C47">
        <v>747.37</v>
      </c>
      <c r="D47">
        <v>140.48032499999999</v>
      </c>
      <c r="E47">
        <v>1324.8032496261849</v>
      </c>
      <c r="F47">
        <v>2212.6535746261848</v>
      </c>
      <c r="H47">
        <v>645.94000000000005</v>
      </c>
      <c r="I47">
        <v>140.48032499999999</v>
      </c>
      <c r="J47">
        <v>1324.8032496261849</v>
      </c>
      <c r="K47">
        <v>2111.2235746261849</v>
      </c>
      <c r="M47">
        <v>30693.705153301995</v>
      </c>
    </row>
    <row r="49" spans="1:15" x14ac:dyDescent="0.25">
      <c r="A49" s="9" t="s">
        <v>71</v>
      </c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</row>
    <row r="50" spans="1:15" x14ac:dyDescent="0.25">
      <c r="A50" s="9" t="s">
        <v>72</v>
      </c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</row>
    <row r="51" spans="1:15" x14ac:dyDescent="0.25">
      <c r="A51" s="9" t="s">
        <v>73</v>
      </c>
      <c r="B51" s="9"/>
      <c r="C51" s="9" t="s">
        <v>57</v>
      </c>
      <c r="D51" s="9" t="s">
        <v>58</v>
      </c>
      <c r="E51" s="9" t="s">
        <v>59</v>
      </c>
      <c r="F51" s="9" t="s">
        <v>50</v>
      </c>
      <c r="G51" s="9"/>
      <c r="H51" s="9" t="s">
        <v>57</v>
      </c>
      <c r="I51" s="9" t="s">
        <v>58</v>
      </c>
      <c r="J51" s="9" t="s">
        <v>59</v>
      </c>
      <c r="K51" s="9" t="s">
        <v>50</v>
      </c>
      <c r="L51" s="9"/>
      <c r="M51" s="9" t="s">
        <v>66</v>
      </c>
      <c r="N51" s="9" t="s">
        <v>66</v>
      </c>
      <c r="O51" s="9"/>
    </row>
    <row r="52" spans="1:15" x14ac:dyDescent="0.25">
      <c r="A52" s="9" t="s">
        <v>94</v>
      </c>
      <c r="B52" s="9" t="s">
        <v>61</v>
      </c>
      <c r="C52" s="9" t="s">
        <v>62</v>
      </c>
      <c r="D52" s="9" t="s">
        <v>63</v>
      </c>
      <c r="E52" s="9" t="s">
        <v>64</v>
      </c>
      <c r="F52" s="9" t="s">
        <v>65</v>
      </c>
      <c r="G52" s="9"/>
      <c r="H52" s="9" t="s">
        <v>62</v>
      </c>
      <c r="I52" s="9" t="s">
        <v>63</v>
      </c>
      <c r="J52" s="9" t="s">
        <v>64</v>
      </c>
      <c r="K52" s="9" t="s">
        <v>65</v>
      </c>
      <c r="L52" s="9"/>
      <c r="M52" s="9">
        <v>2019</v>
      </c>
      <c r="N52" s="9">
        <v>2018</v>
      </c>
      <c r="O52" s="9"/>
    </row>
    <row r="53" spans="1:15" x14ac:dyDescent="0.25">
      <c r="A53" s="9" t="s">
        <v>93</v>
      </c>
      <c r="B53" s="9">
        <v>18</v>
      </c>
      <c r="C53" s="9">
        <v>622.01</v>
      </c>
      <c r="D53" s="73">
        <v>124.89144999999999</v>
      </c>
      <c r="E53" s="73">
        <f t="shared" ref="E53:E60" si="0">F53-C53-D53</f>
        <v>1800.32855</v>
      </c>
      <c r="F53" s="9">
        <v>2547.23</v>
      </c>
      <c r="G53" s="9"/>
      <c r="H53" s="9">
        <v>616.34</v>
      </c>
      <c r="I53" s="73">
        <v>124.89144999999999</v>
      </c>
      <c r="J53" s="73">
        <v>1800.32855</v>
      </c>
      <c r="K53" s="9">
        <f>SUM(H53:J53)</f>
        <v>2541.56</v>
      </c>
      <c r="L53" s="9"/>
      <c r="M53" s="9">
        <f>F53*12+K53*2</f>
        <v>35649.880000000005</v>
      </c>
      <c r="N53" s="10">
        <f>'2018_2nSEMESTRE_LABORALS'!L53</f>
        <v>35579.985072955438</v>
      </c>
      <c r="O53" s="73">
        <f>M53-N53</f>
        <v>69.89492704456643</v>
      </c>
    </row>
    <row r="54" spans="1:15" s="67" customFormat="1" x14ac:dyDescent="0.25">
      <c r="A54" s="70" t="s">
        <v>96</v>
      </c>
      <c r="B54" s="70">
        <v>17</v>
      </c>
      <c r="C54" s="70">
        <v>622.01</v>
      </c>
      <c r="D54" s="74">
        <v>124.89144999999999</v>
      </c>
      <c r="E54" s="74">
        <f t="shared" si="0"/>
        <v>1658.8485499999999</v>
      </c>
      <c r="F54" s="70">
        <v>2405.75</v>
      </c>
      <c r="G54" s="70"/>
      <c r="H54" s="70">
        <v>616.34</v>
      </c>
      <c r="I54" s="74">
        <v>124.89144999999999</v>
      </c>
      <c r="J54" s="74">
        <v>1658.8485499999999</v>
      </c>
      <c r="K54" s="70">
        <f t="shared" ref="K54:K61" si="1">SUM(H54:J54)</f>
        <v>2400.08</v>
      </c>
      <c r="L54" s="70"/>
      <c r="M54" s="70">
        <f t="shared" ref="M54:M61" si="2">F54*12+K54*2</f>
        <v>33669.160000000003</v>
      </c>
      <c r="N54" s="65">
        <f>'2018_2nSEMESTRE_LABORALS'!L54</f>
        <v>33669.198060582246</v>
      </c>
      <c r="O54" s="74">
        <f t="shared" ref="O54:O61" si="3">M54-N54</f>
        <v>-3.8060582242906094E-2</v>
      </c>
    </row>
    <row r="55" spans="1:15" x14ac:dyDescent="0.25">
      <c r="A55" s="9" t="s">
        <v>95</v>
      </c>
      <c r="B55" s="9">
        <v>16</v>
      </c>
      <c r="C55" s="9">
        <v>622.01</v>
      </c>
      <c r="D55" s="73">
        <v>124.89144999999999</v>
      </c>
      <c r="E55" s="73">
        <f t="shared" si="0"/>
        <v>1607.6685500000001</v>
      </c>
      <c r="F55" s="9">
        <v>2354.5700000000002</v>
      </c>
      <c r="G55" s="9"/>
      <c r="H55" s="9">
        <v>616.34</v>
      </c>
      <c r="I55" s="73">
        <v>124.89144999999999</v>
      </c>
      <c r="J55" s="73">
        <v>1607.6685500000001</v>
      </c>
      <c r="K55" s="9">
        <f t="shared" si="1"/>
        <v>2348.9</v>
      </c>
      <c r="L55" s="9"/>
      <c r="M55" s="9">
        <f t="shared" si="2"/>
        <v>32952.640000000007</v>
      </c>
      <c r="N55" s="10">
        <f>'2018_2nSEMESTRE_LABORALS'!L55</f>
        <v>32887.405787547817</v>
      </c>
      <c r="O55" s="73">
        <f t="shared" si="3"/>
        <v>65.23421245218924</v>
      </c>
    </row>
    <row r="56" spans="1:15" x14ac:dyDescent="0.25">
      <c r="A56" s="9" t="s">
        <v>77</v>
      </c>
      <c r="B56" s="9">
        <v>15</v>
      </c>
      <c r="C56" s="9">
        <v>622.01</v>
      </c>
      <c r="D56" s="73">
        <v>124.89144999999999</v>
      </c>
      <c r="E56" s="73">
        <f t="shared" si="0"/>
        <v>1511.3385499999997</v>
      </c>
      <c r="F56" s="9">
        <v>2258.2399999999998</v>
      </c>
      <c r="G56" s="9"/>
      <c r="H56" s="9">
        <v>616.34</v>
      </c>
      <c r="I56" s="73">
        <v>124.89144999999999</v>
      </c>
      <c r="J56" s="73">
        <v>1511.3385499999997</v>
      </c>
      <c r="K56" s="9">
        <f t="shared" si="1"/>
        <v>2252.5699999999997</v>
      </c>
      <c r="L56" s="9"/>
      <c r="M56" s="9">
        <f t="shared" si="2"/>
        <v>31604.019999999997</v>
      </c>
      <c r="N56" s="10">
        <f>'2018_2nSEMESTRE_LABORALS'!L56</f>
        <v>32380.5818</v>
      </c>
      <c r="O56" s="73">
        <f t="shared" si="3"/>
        <v>-776.56180000000313</v>
      </c>
    </row>
    <row r="57" spans="1:15" s="67" customFormat="1" x14ac:dyDescent="0.25">
      <c r="A57" s="70"/>
      <c r="B57" s="70">
        <v>14</v>
      </c>
      <c r="C57" s="70">
        <v>622.01</v>
      </c>
      <c r="D57" s="74">
        <v>124.89144999999999</v>
      </c>
      <c r="E57" s="74">
        <f t="shared" si="0"/>
        <v>1415.0085499999998</v>
      </c>
      <c r="F57" s="70">
        <v>2161.91</v>
      </c>
      <c r="G57" s="70"/>
      <c r="H57" s="70">
        <v>616.34</v>
      </c>
      <c r="I57" s="74">
        <v>124.89144999999999</v>
      </c>
      <c r="J57" s="74">
        <v>1415.0085499999998</v>
      </c>
      <c r="K57" s="70">
        <f t="shared" si="1"/>
        <v>2156.2399999999998</v>
      </c>
      <c r="L57" s="70"/>
      <c r="M57" s="70">
        <f t="shared" si="2"/>
        <v>30255.399999999998</v>
      </c>
      <c r="N57" s="65">
        <f>'2018_2nSEMESTRE_LABORALS'!L57</f>
        <v>31060.002588155869</v>
      </c>
      <c r="O57" s="74">
        <f t="shared" si="3"/>
        <v>-804.60258815587076</v>
      </c>
    </row>
    <row r="58" spans="1:15" x14ac:dyDescent="0.25">
      <c r="A58" s="9"/>
      <c r="B58" s="9">
        <v>13</v>
      </c>
      <c r="C58" s="9">
        <v>622.01</v>
      </c>
      <c r="D58" s="73">
        <v>124.89144999999999</v>
      </c>
      <c r="E58" s="73">
        <f t="shared" si="0"/>
        <v>1318.6785499999999</v>
      </c>
      <c r="F58" s="9">
        <v>2065.58</v>
      </c>
      <c r="G58" s="9"/>
      <c r="H58" s="9">
        <v>616.34</v>
      </c>
      <c r="I58" s="73">
        <v>124.89144999999999</v>
      </c>
      <c r="J58" s="73">
        <v>1318.6785499999999</v>
      </c>
      <c r="K58" s="9">
        <f t="shared" si="1"/>
        <v>2059.91</v>
      </c>
      <c r="L58" s="9"/>
      <c r="M58" s="9">
        <f t="shared" si="2"/>
        <v>28906.78</v>
      </c>
      <c r="N58" s="10">
        <f>'2018_2nSEMESTRE_LABORALS'!L58</f>
        <v>30437.576399999998</v>
      </c>
      <c r="O58" s="73">
        <f t="shared" si="3"/>
        <v>-1530.7963999999993</v>
      </c>
    </row>
    <row r="59" spans="1:15" s="67" customFormat="1" x14ac:dyDescent="0.25">
      <c r="A59" s="70"/>
      <c r="B59" s="70">
        <v>12</v>
      </c>
      <c r="C59" s="70">
        <v>622.01</v>
      </c>
      <c r="D59" s="74">
        <v>124.89144999999999</v>
      </c>
      <c r="E59" s="74">
        <f t="shared" si="0"/>
        <v>1239.1485499999999</v>
      </c>
      <c r="F59" s="70">
        <v>1986.05</v>
      </c>
      <c r="G59" s="70"/>
      <c r="H59" s="70">
        <v>616.34</v>
      </c>
      <c r="I59" s="74">
        <v>124.89144999999999</v>
      </c>
      <c r="J59" s="74">
        <v>1239.1485499999999</v>
      </c>
      <c r="K59" s="70">
        <f t="shared" si="1"/>
        <v>1980.3799999999999</v>
      </c>
      <c r="L59" s="70"/>
      <c r="M59" s="70">
        <f t="shared" si="2"/>
        <v>27793.359999999997</v>
      </c>
      <c r="N59" s="65">
        <f>'2018_2nSEMESTRE_LABORALS'!L59</f>
        <v>27793.400298814438</v>
      </c>
      <c r="O59" s="74">
        <f t="shared" si="3"/>
        <v>-4.0298814441484865E-2</v>
      </c>
    </row>
    <row r="60" spans="1:15" s="67" customFormat="1" x14ac:dyDescent="0.25">
      <c r="A60" s="70"/>
      <c r="B60" s="70">
        <v>11</v>
      </c>
      <c r="C60" s="70">
        <v>622.01</v>
      </c>
      <c r="D60" s="74">
        <v>124.89144999999999</v>
      </c>
      <c r="E60" s="74">
        <f t="shared" si="0"/>
        <v>1233.6985499999998</v>
      </c>
      <c r="F60" s="70">
        <v>1980.6</v>
      </c>
      <c r="G60" s="70"/>
      <c r="H60" s="70">
        <v>616.34</v>
      </c>
      <c r="I60" s="74">
        <v>124.89144999999999</v>
      </c>
      <c r="J60" s="74">
        <v>1233.6985499999998</v>
      </c>
      <c r="K60" s="70">
        <f t="shared" si="1"/>
        <v>1974.9299999999998</v>
      </c>
      <c r="L60" s="70"/>
      <c r="M60" s="70">
        <f t="shared" si="2"/>
        <v>27717.059999999998</v>
      </c>
      <c r="N60" s="65">
        <f>'2018_2nSEMESTRE_LABORALS'!L60</f>
        <v>27717.031999999999</v>
      </c>
      <c r="O60" s="74">
        <f t="shared" si="3"/>
        <v>2.7999999998428393E-2</v>
      </c>
    </row>
    <row r="61" spans="1:15" x14ac:dyDescent="0.25">
      <c r="A61" s="9"/>
      <c r="B61" s="9">
        <v>10</v>
      </c>
      <c r="C61" s="9">
        <v>622.01</v>
      </c>
      <c r="D61" s="73">
        <v>124.89145000000001</v>
      </c>
      <c r="E61" s="73">
        <f>F61-C61-D61</f>
        <v>1029.6885499999999</v>
      </c>
      <c r="F61" s="9">
        <v>1776.59</v>
      </c>
      <c r="G61" s="9"/>
      <c r="H61" s="9">
        <v>616.34</v>
      </c>
      <c r="I61" s="73">
        <v>124.89144999999999</v>
      </c>
      <c r="J61" s="73">
        <v>1029.6885499999999</v>
      </c>
      <c r="K61" s="9">
        <f t="shared" si="1"/>
        <v>1770.9199999999998</v>
      </c>
      <c r="L61" s="9"/>
      <c r="M61" s="9">
        <f t="shared" si="2"/>
        <v>24860.92</v>
      </c>
      <c r="N61" s="9">
        <v>0</v>
      </c>
      <c r="O61" s="73">
        <f t="shared" si="3"/>
        <v>24860.92</v>
      </c>
    </row>
    <row r="62" spans="1:15" x14ac:dyDescent="0.25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73"/>
    </row>
    <row r="63" spans="1:15" x14ac:dyDescent="0.25">
      <c r="A63" t="s">
        <v>78</v>
      </c>
    </row>
    <row r="64" spans="1:15" x14ac:dyDescent="0.25">
      <c r="A64" t="s">
        <v>96</v>
      </c>
      <c r="C64" t="s">
        <v>57</v>
      </c>
      <c r="D64" t="s">
        <v>58</v>
      </c>
      <c r="E64" t="s">
        <v>59</v>
      </c>
      <c r="F64" t="s">
        <v>50</v>
      </c>
      <c r="H64" t="s">
        <v>57</v>
      </c>
      <c r="I64" t="s">
        <v>58</v>
      </c>
      <c r="J64" t="s">
        <v>59</v>
      </c>
      <c r="K64" t="s">
        <v>50</v>
      </c>
    </row>
    <row r="65" spans="1:13" x14ac:dyDescent="0.25">
      <c r="A65" t="s">
        <v>95</v>
      </c>
      <c r="B65" t="s">
        <v>61</v>
      </c>
      <c r="C65" t="s">
        <v>62</v>
      </c>
      <c r="D65" t="s">
        <v>63</v>
      </c>
      <c r="E65" t="s">
        <v>64</v>
      </c>
      <c r="F65" t="s">
        <v>65</v>
      </c>
      <c r="H65" t="s">
        <v>62</v>
      </c>
      <c r="I65" t="s">
        <v>63</v>
      </c>
      <c r="J65" t="s">
        <v>64</v>
      </c>
      <c r="K65" t="s">
        <v>65</v>
      </c>
      <c r="M65" t="s">
        <v>66</v>
      </c>
    </row>
    <row r="66" spans="1:13" x14ac:dyDescent="0.25">
      <c r="A66" t="s">
        <v>77</v>
      </c>
      <c r="B66">
        <v>14</v>
      </c>
      <c r="C66">
        <v>569.29999999999995</v>
      </c>
      <c r="D66">
        <v>107.96925</v>
      </c>
      <c r="E66">
        <v>1730.5301873169753</v>
      </c>
      <c r="F66">
        <v>2407.7994373169754</v>
      </c>
      <c r="H66">
        <v>569.29999999999995</v>
      </c>
      <c r="I66">
        <v>107.96925</v>
      </c>
      <c r="J66">
        <v>1730.5301873169753</v>
      </c>
      <c r="K66">
        <v>2407.7994373169754</v>
      </c>
      <c r="M66">
        <v>33588.008721111997</v>
      </c>
    </row>
    <row r="67" spans="1:13" x14ac:dyDescent="0.25">
      <c r="B67">
        <v>13</v>
      </c>
      <c r="C67">
        <v>569.29999999999995</v>
      </c>
      <c r="D67">
        <v>107.96925</v>
      </c>
      <c r="E67">
        <v>1502.0557749999998</v>
      </c>
      <c r="F67">
        <v>2179.3250249999996</v>
      </c>
      <c r="H67">
        <v>569.29999999999995</v>
      </c>
      <c r="I67">
        <v>107.96925</v>
      </c>
      <c r="J67">
        <v>1502.0557749999998</v>
      </c>
      <c r="K67">
        <v>2179.3250249999996</v>
      </c>
      <c r="M67">
        <v>30401.955636163002</v>
      </c>
    </row>
    <row r="68" spans="1:13" x14ac:dyDescent="0.25">
      <c r="B68">
        <v>12</v>
      </c>
      <c r="C68">
        <v>569.29999999999995</v>
      </c>
      <c r="D68">
        <v>107.96925</v>
      </c>
      <c r="E68">
        <v>1307.4604999999999</v>
      </c>
      <c r="F68">
        <v>1984.72975</v>
      </c>
      <c r="H68">
        <v>569.29999999999995</v>
      </c>
      <c r="I68">
        <v>107.96925</v>
      </c>
      <c r="J68">
        <v>1307.4604999999999</v>
      </c>
      <c r="K68">
        <v>1984.72975</v>
      </c>
      <c r="M68">
        <v>27688.261839349001</v>
      </c>
    </row>
    <row r="69" spans="1:13" x14ac:dyDescent="0.25">
      <c r="B69">
        <v>11</v>
      </c>
      <c r="C69">
        <v>569.29999999999995</v>
      </c>
      <c r="D69">
        <v>107.96925</v>
      </c>
      <c r="E69">
        <v>1302.1651965058836</v>
      </c>
      <c r="F69">
        <v>1979.4344465058834</v>
      </c>
      <c r="H69">
        <v>569.29999999999995</v>
      </c>
      <c r="I69">
        <v>107.96925</v>
      </c>
      <c r="J69">
        <v>1302.1651965058836</v>
      </c>
      <c r="K69">
        <v>1979.4344465058834</v>
      </c>
      <c r="M69">
        <v>27614.279511250999</v>
      </c>
    </row>
    <row r="70" spans="1:13" x14ac:dyDescent="0.25">
      <c r="B70">
        <v>10</v>
      </c>
      <c r="C70">
        <v>569.29999999999995</v>
      </c>
      <c r="D70">
        <v>107.96925</v>
      </c>
      <c r="E70">
        <v>1057.4663523114541</v>
      </c>
      <c r="F70">
        <v>1734.7356023114539</v>
      </c>
      <c r="H70">
        <v>569.29999999999995</v>
      </c>
      <c r="I70">
        <v>107.96925</v>
      </c>
      <c r="J70">
        <v>1057.4663523114541</v>
      </c>
      <c r="K70">
        <v>1734.7356023114539</v>
      </c>
      <c r="M70">
        <v>24201.879006135994</v>
      </c>
    </row>
    <row r="72" spans="1:13" x14ac:dyDescent="0.25">
      <c r="C72" t="s">
        <v>79</v>
      </c>
      <c r="F72" t="s">
        <v>19</v>
      </c>
    </row>
    <row r="73" spans="1:13" x14ac:dyDescent="0.25">
      <c r="C73" t="s">
        <v>80</v>
      </c>
      <c r="D73" t="s">
        <v>81</v>
      </c>
    </row>
    <row r="74" spans="1:13" x14ac:dyDescent="0.25">
      <c r="B74" t="s">
        <v>35</v>
      </c>
      <c r="C74" t="s">
        <v>82</v>
      </c>
      <c r="D74" t="s">
        <v>83</v>
      </c>
      <c r="F74" t="s">
        <v>20</v>
      </c>
      <c r="J74">
        <v>522.03</v>
      </c>
    </row>
    <row r="75" spans="1:13" x14ac:dyDescent="0.25">
      <c r="B75" t="s">
        <v>37</v>
      </c>
      <c r="C75">
        <v>44.29</v>
      </c>
      <c r="D75">
        <v>27.33</v>
      </c>
      <c r="F75" t="s">
        <v>21</v>
      </c>
      <c r="J75">
        <v>1635.55</v>
      </c>
    </row>
    <row r="76" spans="1:13" x14ac:dyDescent="0.25">
      <c r="B76" t="s">
        <v>38</v>
      </c>
      <c r="C76">
        <v>36.11</v>
      </c>
      <c r="D76">
        <v>26.33</v>
      </c>
    </row>
    <row r="77" spans="1:13" x14ac:dyDescent="0.25">
      <c r="B77" t="s">
        <v>39</v>
      </c>
      <c r="C77">
        <v>27.33</v>
      </c>
      <c r="D77">
        <v>23.6</v>
      </c>
      <c r="F77" t="s">
        <v>84</v>
      </c>
      <c r="J77" t="s">
        <v>23</v>
      </c>
      <c r="K77" t="s">
        <v>24</v>
      </c>
    </row>
    <row r="78" spans="1:13" x14ac:dyDescent="0.25">
      <c r="B78" t="s">
        <v>40</v>
      </c>
      <c r="C78">
        <v>18.600000000000001</v>
      </c>
      <c r="D78">
        <v>18.420000000000002</v>
      </c>
      <c r="F78" t="s">
        <v>85</v>
      </c>
      <c r="I78">
        <v>0.25219999999999998</v>
      </c>
      <c r="J78">
        <v>0.19</v>
      </c>
      <c r="K78">
        <v>6.2199999999999998E-2</v>
      </c>
    </row>
    <row r="79" spans="1:13" x14ac:dyDescent="0.25">
      <c r="B79" t="s">
        <v>86</v>
      </c>
      <c r="C79">
        <v>14</v>
      </c>
      <c r="D79">
        <v>14</v>
      </c>
      <c r="F79" t="s">
        <v>27</v>
      </c>
      <c r="I79">
        <v>9</v>
      </c>
      <c r="J79">
        <v>0</v>
      </c>
      <c r="K79">
        <v>9</v>
      </c>
    </row>
    <row r="80" spans="1:13" x14ac:dyDescent="0.25">
      <c r="F80" t="s">
        <v>87</v>
      </c>
      <c r="I80">
        <v>180.10824999999997</v>
      </c>
    </row>
    <row r="82" spans="2:3" x14ac:dyDescent="0.25">
      <c r="B82" t="s">
        <v>88</v>
      </c>
      <c r="C82" t="s">
        <v>89</v>
      </c>
    </row>
  </sheetData>
  <pageMargins left="0.7" right="0.7" top="0.75" bottom="0.75" header="0.3" footer="0.3"/>
  <pageSetup paperSize="8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L29"/>
  <sheetViews>
    <sheetView workbookViewId="0">
      <selection activeCell="C12" sqref="C12:L19"/>
    </sheetView>
  </sheetViews>
  <sheetFormatPr baseColWidth="10" defaultRowHeight="15" x14ac:dyDescent="0.25"/>
  <sheetData>
    <row r="4" spans="1:12" x14ac:dyDescent="0.25">
      <c r="D4" s="36" t="s">
        <v>105</v>
      </c>
    </row>
    <row r="5" spans="1:12" x14ac:dyDescent="0.25">
      <c r="D5" s="36" t="s">
        <v>106</v>
      </c>
    </row>
    <row r="8" spans="1:12" x14ac:dyDescent="0.25">
      <c r="C8">
        <v>18</v>
      </c>
      <c r="D8" s="67">
        <v>17</v>
      </c>
      <c r="E8">
        <v>16</v>
      </c>
      <c r="F8">
        <v>15</v>
      </c>
      <c r="G8">
        <v>14</v>
      </c>
      <c r="H8">
        <v>13</v>
      </c>
      <c r="I8" s="67">
        <v>12</v>
      </c>
      <c r="J8" s="67">
        <v>11</v>
      </c>
      <c r="K8" s="75">
        <v>10</v>
      </c>
      <c r="L8" s="75">
        <v>9</v>
      </c>
    </row>
    <row r="9" spans="1:12" x14ac:dyDescent="0.25">
      <c r="B9" s="9"/>
      <c r="C9" s="9"/>
      <c r="D9" s="70"/>
      <c r="E9" s="9"/>
      <c r="F9" s="9"/>
      <c r="G9" s="9"/>
      <c r="H9" s="9"/>
      <c r="I9" s="70"/>
      <c r="J9" s="70"/>
      <c r="K9" s="76"/>
      <c r="L9" s="75"/>
    </row>
    <row r="10" spans="1:12" x14ac:dyDescent="0.25">
      <c r="A10" s="54"/>
      <c r="B10" s="53"/>
      <c r="C10" s="53"/>
      <c r="D10" s="68"/>
      <c r="E10" s="53"/>
      <c r="F10" s="53"/>
      <c r="G10" s="53"/>
      <c r="H10" s="53"/>
      <c r="I10" s="68"/>
      <c r="J10" s="68"/>
      <c r="K10" s="77"/>
      <c r="L10" s="75"/>
    </row>
    <row r="11" spans="1:12" x14ac:dyDescent="0.25">
      <c r="A11" s="1"/>
      <c r="B11" s="1"/>
      <c r="C11" s="1"/>
      <c r="D11" s="69"/>
      <c r="E11" s="1"/>
      <c r="F11" s="1"/>
      <c r="G11" s="1"/>
      <c r="H11" s="1"/>
      <c r="I11" s="69"/>
      <c r="J11" s="69"/>
      <c r="K11" s="78"/>
      <c r="L11" s="75"/>
    </row>
    <row r="12" spans="1:12" x14ac:dyDescent="0.25">
      <c r="A12" s="10"/>
      <c r="B12" s="10" t="s">
        <v>6</v>
      </c>
      <c r="C12" s="10">
        <v>622.01</v>
      </c>
      <c r="D12" s="65">
        <v>622.01</v>
      </c>
      <c r="E12" s="10">
        <v>622.01</v>
      </c>
      <c r="F12" s="10">
        <v>622.01</v>
      </c>
      <c r="G12" s="10">
        <v>622.01</v>
      </c>
      <c r="H12" s="10">
        <v>622.01</v>
      </c>
      <c r="I12" s="65">
        <v>622.01</v>
      </c>
      <c r="J12" s="65">
        <v>622.01</v>
      </c>
      <c r="K12" s="79">
        <v>622.01</v>
      </c>
      <c r="L12" s="75">
        <v>622.01</v>
      </c>
    </row>
    <row r="13" spans="1:12" x14ac:dyDescent="0.25">
      <c r="A13" s="10"/>
      <c r="B13" s="10" t="s">
        <v>7</v>
      </c>
      <c r="C13" s="10">
        <v>409.79</v>
      </c>
      <c r="D13" s="65">
        <v>386.48</v>
      </c>
      <c r="E13" s="10">
        <v>363.23</v>
      </c>
      <c r="F13" s="10">
        <v>339.89</v>
      </c>
      <c r="G13" s="10">
        <v>316.61</v>
      </c>
      <c r="H13" s="10">
        <v>293.27999999999997</v>
      </c>
      <c r="I13" s="65">
        <v>269.95999999999998</v>
      </c>
      <c r="J13" s="65">
        <v>246.65</v>
      </c>
      <c r="K13" s="79">
        <v>223.38</v>
      </c>
      <c r="L13" s="75">
        <v>211.74</v>
      </c>
    </row>
    <row r="14" spans="1:12" x14ac:dyDescent="0.25">
      <c r="A14" s="10"/>
      <c r="B14" s="10" t="s">
        <v>8</v>
      </c>
      <c r="C14" s="79">
        <f>C19-C12-C13-C15-C16-C18</f>
        <v>983.4</v>
      </c>
      <c r="D14" s="65">
        <v>942.59</v>
      </c>
      <c r="E14" s="79">
        <f>E19-E12-E13-E15-E16-E18</f>
        <v>908.49000000000024</v>
      </c>
      <c r="F14" s="79">
        <f>F19-F12-F13-F15-F16-F18</f>
        <v>810.95999999999981</v>
      </c>
      <c r="G14" s="79">
        <f>G19-G12-G13-G15-G16-G18</f>
        <v>758.63999999999987</v>
      </c>
      <c r="H14" s="79">
        <f>H19-H12-H13-H15-H16-H18</f>
        <v>660.82999999999993</v>
      </c>
      <c r="I14" s="65">
        <v>686.7</v>
      </c>
      <c r="J14" s="65">
        <v>689.95</v>
      </c>
      <c r="K14" s="79">
        <f>K19-K12-K13-K15-K16-K18</f>
        <v>574.64</v>
      </c>
      <c r="L14" s="75">
        <v>486.95</v>
      </c>
    </row>
    <row r="15" spans="1:12" x14ac:dyDescent="0.25">
      <c r="A15" s="10"/>
      <c r="B15" s="10" t="s">
        <v>33</v>
      </c>
      <c r="C15" s="10">
        <v>167.45</v>
      </c>
      <c r="D15" s="65">
        <v>162.53</v>
      </c>
      <c r="E15" s="10">
        <v>157.36000000000001</v>
      </c>
      <c r="F15" s="10">
        <v>152.29</v>
      </c>
      <c r="G15" s="10">
        <v>146.15</v>
      </c>
      <c r="H15" s="10">
        <v>140.38999999999999</v>
      </c>
      <c r="I15" s="65">
        <v>131.49</v>
      </c>
      <c r="J15" s="65">
        <v>129.81</v>
      </c>
      <c r="K15" s="79">
        <v>118.27</v>
      </c>
      <c r="L15" s="75">
        <v>109.99</v>
      </c>
    </row>
    <row r="16" spans="1:12" x14ac:dyDescent="0.25">
      <c r="A16" s="10"/>
      <c r="B16" s="10" t="s">
        <v>10</v>
      </c>
      <c r="C16" s="10">
        <v>158.68</v>
      </c>
      <c r="D16" s="65">
        <v>151.68</v>
      </c>
      <c r="E16" s="10">
        <v>143.91999999999999</v>
      </c>
      <c r="F16" s="10">
        <v>136.52000000000001</v>
      </c>
      <c r="G16" s="10">
        <v>125.88</v>
      </c>
      <c r="H16" s="10">
        <v>116.34</v>
      </c>
      <c r="I16" s="65">
        <v>97.41</v>
      </c>
      <c r="J16" s="65">
        <v>100.17</v>
      </c>
      <c r="K16" s="79">
        <v>73.28</v>
      </c>
      <c r="L16" s="75">
        <v>52.33</v>
      </c>
    </row>
    <row r="17" spans="1:12" x14ac:dyDescent="0.25">
      <c r="A17" s="1"/>
      <c r="B17" s="10"/>
      <c r="C17" s="10"/>
      <c r="D17" s="65"/>
      <c r="E17" s="10"/>
      <c r="F17" s="10"/>
      <c r="G17" s="10"/>
      <c r="H17" s="10"/>
      <c r="I17" s="65"/>
      <c r="J17" s="65"/>
      <c r="K17" s="79"/>
      <c r="L17" s="75"/>
    </row>
    <row r="18" spans="1:12" x14ac:dyDescent="0.25">
      <c r="A18" s="10"/>
      <c r="B18" s="10" t="s">
        <v>31</v>
      </c>
      <c r="C18" s="10">
        <v>205.9</v>
      </c>
      <c r="D18" s="65">
        <v>140.47999999999999</v>
      </c>
      <c r="E18" s="10">
        <v>159.56</v>
      </c>
      <c r="F18" s="10">
        <v>196.57</v>
      </c>
      <c r="G18" s="10">
        <v>192.62</v>
      </c>
      <c r="H18" s="10">
        <v>232.73</v>
      </c>
      <c r="I18" s="65">
        <v>178.49</v>
      </c>
      <c r="J18" s="65">
        <v>192</v>
      </c>
      <c r="K18" s="79">
        <v>165.01</v>
      </c>
      <c r="L18" s="75">
        <v>157.9</v>
      </c>
    </row>
    <row r="19" spans="1:12" x14ac:dyDescent="0.25">
      <c r="A19" s="10"/>
      <c r="B19" s="34"/>
      <c r="C19" s="34">
        <v>2547.23</v>
      </c>
      <c r="D19" s="66">
        <v>2405.7600000000002</v>
      </c>
      <c r="E19" s="34">
        <v>2354.5700000000002</v>
      </c>
      <c r="F19" s="34">
        <v>2258.2399999999998</v>
      </c>
      <c r="G19" s="34">
        <v>2161.91</v>
      </c>
      <c r="H19" s="34">
        <v>2065.58</v>
      </c>
      <c r="I19" s="66">
        <v>1986.06</v>
      </c>
      <c r="J19" s="66">
        <v>1980.59</v>
      </c>
      <c r="K19" s="80">
        <v>1776.59</v>
      </c>
      <c r="L19" s="75">
        <v>1640.92</v>
      </c>
    </row>
    <row r="29" spans="1:12" x14ac:dyDescent="0.25">
      <c r="A29" s="10" t="s">
        <v>8</v>
      </c>
      <c r="B29" s="10">
        <f>'2019_FUN_ANUAL_AMB_PGE_225'!B29*1.0175</f>
        <v>0</v>
      </c>
      <c r="C29" s="10">
        <f>'2019_FUN_ANUAL_AMB_PGE_225'!C29*1.0175</f>
        <v>0</v>
      </c>
      <c r="D29" s="10">
        <f>'2019_FUN_ANUAL_AMB_PGE_225'!D29*1.0175</f>
        <v>0</v>
      </c>
      <c r="E29" s="10">
        <f>'2019_FUN_ANUAL_AMB_PGE_225'!E29*1.0175</f>
        <v>0</v>
      </c>
      <c r="F29" s="10">
        <f>'2019_FUN_ANUAL_AMB_PGE_225'!F29*1.0175</f>
        <v>0</v>
      </c>
      <c r="G29" s="10">
        <f>'2019_FUN_ANUAL_AMB_PGE_225'!G29*1.0175</f>
        <v>0</v>
      </c>
      <c r="H29" s="10">
        <f>'2019_FUN_ANUAL_AMB_PGE_225'!H29*1.0175</f>
        <v>0</v>
      </c>
      <c r="I29" s="10">
        <f>'2019_FUN_ANUAL_AMB_PGE_225'!I29*1.0175</f>
        <v>0</v>
      </c>
      <c r="J29" s="10">
        <f>'2019_FUN_ANUAL_AMB_PGE_225'!J29*1.0175</f>
        <v>0</v>
      </c>
      <c r="K29" s="10">
        <f>'2019_FUN_ANUAL_AMB_PGE_225'!K29*1.0175</f>
        <v>0</v>
      </c>
    </row>
  </sheetData>
  <pageMargins left="0.7" right="0.7" top="0.75" bottom="0.75" header="0.3" footer="0.3"/>
  <pageSetup paperSize="9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X76"/>
  <sheetViews>
    <sheetView workbookViewId="0">
      <selection activeCell="D36" sqref="D36"/>
    </sheetView>
  </sheetViews>
  <sheetFormatPr baseColWidth="10" defaultRowHeight="15" x14ac:dyDescent="0.25"/>
  <cols>
    <col min="1" max="1" width="13" customWidth="1"/>
    <col min="4" max="4" width="12.42578125" customWidth="1"/>
  </cols>
  <sheetData>
    <row r="2" spans="1:24" ht="15.75" thickBot="1" x14ac:dyDescent="0.3">
      <c r="A2" s="36" t="s">
        <v>113</v>
      </c>
    </row>
    <row r="3" spans="1:24" x14ac:dyDescent="0.25">
      <c r="A3" s="36"/>
      <c r="R3" s="124" t="s">
        <v>114</v>
      </c>
      <c r="S3" s="125"/>
      <c r="T3" s="125"/>
      <c r="U3" s="125"/>
      <c r="V3" s="125"/>
      <c r="W3" s="125"/>
      <c r="X3" s="126"/>
    </row>
    <row r="4" spans="1:24" ht="15.75" thickBot="1" x14ac:dyDescent="0.3">
      <c r="R4" s="127"/>
      <c r="S4" s="105" t="s">
        <v>116</v>
      </c>
      <c r="T4" s="128"/>
      <c r="U4" s="128"/>
      <c r="V4" s="128"/>
      <c r="W4" s="128"/>
      <c r="X4" s="129"/>
    </row>
    <row r="5" spans="1:24" x14ac:dyDescent="0.25">
      <c r="A5" s="36" t="s">
        <v>2</v>
      </c>
    </row>
    <row r="6" spans="1:24" x14ac:dyDescent="0.25">
      <c r="B6">
        <v>30</v>
      </c>
      <c r="C6">
        <v>29</v>
      </c>
      <c r="D6">
        <v>28</v>
      </c>
      <c r="E6">
        <v>27</v>
      </c>
      <c r="F6" s="67">
        <v>26</v>
      </c>
      <c r="G6">
        <v>25</v>
      </c>
      <c r="H6">
        <v>24</v>
      </c>
      <c r="I6">
        <v>23</v>
      </c>
      <c r="J6">
        <v>22</v>
      </c>
      <c r="K6">
        <v>21</v>
      </c>
      <c r="L6" s="67">
        <v>20</v>
      </c>
      <c r="M6" s="55" t="s">
        <v>3</v>
      </c>
      <c r="N6" s="55" t="s">
        <v>4</v>
      </c>
      <c r="O6" s="107" t="s">
        <v>5</v>
      </c>
    </row>
    <row r="7" spans="1:24" s="1" customFormat="1" x14ac:dyDescent="0.25">
      <c r="B7" s="10"/>
      <c r="C7" s="10"/>
      <c r="D7" s="10"/>
      <c r="E7" s="10"/>
      <c r="F7" s="65"/>
      <c r="G7" s="10"/>
      <c r="H7" s="10"/>
      <c r="I7" s="10"/>
      <c r="J7" s="10"/>
      <c r="K7" s="10"/>
      <c r="L7" s="65"/>
      <c r="M7" s="10"/>
      <c r="N7" s="10"/>
      <c r="O7" s="108"/>
    </row>
    <row r="8" spans="1:24" s="1" customFormat="1" x14ac:dyDescent="0.25">
      <c r="A8" s="54"/>
      <c r="B8" s="53"/>
      <c r="C8" s="53"/>
      <c r="D8" s="53"/>
      <c r="E8" s="53"/>
      <c r="F8" s="68"/>
      <c r="G8" s="53"/>
      <c r="H8" s="53"/>
      <c r="I8" s="53"/>
      <c r="J8" s="53"/>
      <c r="K8" s="53"/>
      <c r="L8" s="68"/>
      <c r="M8" s="53"/>
      <c r="N8" s="53"/>
      <c r="O8" s="109"/>
    </row>
    <row r="9" spans="1:24" s="1" customFormat="1" x14ac:dyDescent="0.25">
      <c r="F9" s="69"/>
      <c r="L9" s="69"/>
      <c r="O9" s="110"/>
    </row>
    <row r="10" spans="1:24" s="1" customFormat="1" x14ac:dyDescent="0.25">
      <c r="A10" s="10" t="s">
        <v>6</v>
      </c>
      <c r="B10" s="10">
        <f>CALCULS_2n2018_FUNC!B10*0.3%</f>
        <v>3.4535100000000001</v>
      </c>
      <c r="C10" s="10">
        <f>'2019_LABORALS'!$C$12</f>
        <v>1177.08</v>
      </c>
      <c r="D10" s="10">
        <f>'2019_LABORALS'!$C$12</f>
        <v>1177.08</v>
      </c>
      <c r="E10" s="10">
        <f>'2019_LABORALS'!$C$12</f>
        <v>1177.08</v>
      </c>
      <c r="F10" s="65">
        <f>'2019_LABORALS'!$C$12</f>
        <v>1177.08</v>
      </c>
      <c r="G10" s="10">
        <f>'2019_LABORALS'!$C$12</f>
        <v>1177.08</v>
      </c>
      <c r="H10" s="10">
        <f>'2019_LABORALS'!$C$12</f>
        <v>1177.08</v>
      </c>
      <c r="I10" s="10">
        <f>'2019_LABORALS'!$C$12</f>
        <v>1177.08</v>
      </c>
      <c r="J10" s="10">
        <f>'2019_LABORALS'!$C$12</f>
        <v>1177.08</v>
      </c>
      <c r="K10" s="10">
        <f>'2019_LABORALS'!$C$12</f>
        <v>1177.08</v>
      </c>
      <c r="L10" s="65">
        <f>'2019_LABORALS'!$C$12</f>
        <v>1177.08</v>
      </c>
      <c r="M10" s="10">
        <f>'2019_LABORALS'!$C$12</f>
        <v>1177.08</v>
      </c>
      <c r="N10" s="10">
        <f>'2019_LABORALS'!$C$12</f>
        <v>1177.08</v>
      </c>
      <c r="O10" s="108">
        <f>'2019_LABORALS'!$C$12</f>
        <v>1177.08</v>
      </c>
    </row>
    <row r="11" spans="1:24" s="1" customFormat="1" x14ac:dyDescent="0.25">
      <c r="A11" s="10" t="s">
        <v>7</v>
      </c>
      <c r="B11" s="10">
        <f>CALCULS_2n2018_FUNC!B11*0.3%</f>
        <v>3.0166200000000001</v>
      </c>
      <c r="C11" s="10">
        <f>11066.64/12</f>
        <v>922.21999999999991</v>
      </c>
      <c r="D11" s="10">
        <f>10601.52/12</f>
        <v>883.46</v>
      </c>
      <c r="E11" s="10">
        <f>10135.8/12</f>
        <v>844.65</v>
      </c>
      <c r="F11" s="65">
        <f>8892.48/12</f>
        <v>741.04</v>
      </c>
      <c r="G11" s="10">
        <f>7889.52/12</f>
        <v>657.46</v>
      </c>
      <c r="H11" s="10">
        <f>7424.04/12</f>
        <v>618.66999999999996</v>
      </c>
      <c r="I11" s="10">
        <f>6959.28/12</f>
        <v>579.93999999999994</v>
      </c>
      <c r="J11" s="10">
        <f>6493.44/12</f>
        <v>541.12</v>
      </c>
      <c r="K11" s="10">
        <f>6028.8/12</f>
        <v>502.40000000000003</v>
      </c>
      <c r="L11" s="65">
        <f>5600.16/12</f>
        <v>466.68</v>
      </c>
      <c r="M11" s="10">
        <f>$L$11</f>
        <v>466.68</v>
      </c>
      <c r="N11" s="10">
        <f>$L$11</f>
        <v>466.68</v>
      </c>
      <c r="O11" s="108">
        <f>$L$11</f>
        <v>466.68</v>
      </c>
    </row>
    <row r="12" spans="1:24" s="1" customFormat="1" x14ac:dyDescent="0.25">
      <c r="A12" s="10" t="s">
        <v>8</v>
      </c>
      <c r="B12" s="10">
        <f ca="1">CALCULS_2n2018_FUNC!B12*0.3%</f>
        <v>3.4535100000000001</v>
      </c>
      <c r="C12" s="10">
        <f>2274.03*'2019_LABORALS'!$G$5</f>
        <v>2325.1956749999999</v>
      </c>
      <c r="D12" s="10">
        <f>2090.53*'2019_LABORALS'!$G$5</f>
        <v>2137.5669250000001</v>
      </c>
      <c r="E12" s="10">
        <f>1690.87*'2019_LABORALS'!$G$5</f>
        <v>1728.9145749999998</v>
      </c>
      <c r="F12" s="65">
        <f>1479.05*'2019_LABORALS'!$G$5</f>
        <v>1512.3286249999999</v>
      </c>
      <c r="G12" s="10">
        <f>1474.73*'2019_LABORALS'!$G$5</f>
        <v>1507.911425</v>
      </c>
      <c r="H12" s="10">
        <f>1437.56*'2019_LABORALS'!$G$5</f>
        <v>1469.9050999999999</v>
      </c>
      <c r="I12" s="10">
        <f>1412.21*'2019_LABORALS'!$G$5</f>
        <v>1443.984725</v>
      </c>
      <c r="J12" s="10">
        <f>1386.89*'2019_LABORALS'!$G$5</f>
        <v>1418.0950250000001</v>
      </c>
      <c r="K12" s="10">
        <f>1280.35*'2019_LABORALS'!$G$5</f>
        <v>1309.1578749999999</v>
      </c>
      <c r="L12" s="65">
        <f>1171.65*'2019_LABORALS'!$G$5</f>
        <v>1198.012125</v>
      </c>
      <c r="M12" s="10">
        <f>978.38*'2019_LABORALS'!$G$5</f>
        <v>1000.39355</v>
      </c>
      <c r="N12" s="10">
        <f>773.56*'2019_LABORALS'!$G$5</f>
        <v>790.96509999999989</v>
      </c>
      <c r="O12" s="108">
        <f>548.22*'2019_LABORALS'!$G$5</f>
        <v>560.55494999999996</v>
      </c>
    </row>
    <row r="13" spans="1:24" s="1" customFormat="1" x14ac:dyDescent="0.25">
      <c r="A13" s="10" t="s">
        <v>9</v>
      </c>
      <c r="B13" s="10">
        <f ca="1">CALCULS_2n2018_FUNC!B13*0.3%</f>
        <v>3.4535100000000001</v>
      </c>
      <c r="C13" s="10">
        <f>355.35*'2019_LABORALS'!$G$5</f>
        <v>363.34537499999999</v>
      </c>
      <c r="D13" s="10">
        <f>336.9*'2019_LABORALS'!$G$5</f>
        <v>344.48024999999996</v>
      </c>
      <c r="E13" s="10">
        <f>300.43*'2019_LABORALS'!$G$5</f>
        <v>307.18967500000002</v>
      </c>
      <c r="F13" s="65">
        <f>274.32*'2019_LABORALS'!$G$5</f>
        <v>280.49219999999997</v>
      </c>
      <c r="G13" s="10">
        <f>267.16*'2019_LABORALS'!$G$5</f>
        <v>273.17110000000002</v>
      </c>
      <c r="H13" s="10">
        <f>260.9*'2019_LABORALS'!$G$5</f>
        <v>266.77024999999998</v>
      </c>
      <c r="I13" s="10">
        <f>255.63*'2019_LABORALS'!$G$5</f>
        <v>261.38167499999997</v>
      </c>
      <c r="J13" s="10">
        <f>250.36*'2019_LABORALS'!$G$5</f>
        <v>255.9931</v>
      </c>
      <c r="K13" s="10">
        <f>238.32*'2019_LABORALS'!$G$5</f>
        <v>243.68219999999999</v>
      </c>
      <c r="L13" s="65">
        <f>226.35*'2019_LABORALS'!$G$5</f>
        <v>231.44287499999999</v>
      </c>
      <c r="M13" s="10">
        <f>210.25*'2019_LABORALS'!$G$5</f>
        <v>214.980625</v>
      </c>
      <c r="N13" s="10">
        <f>193.18*'2019_LABORALS'!$G$5</f>
        <v>197.52654999999999</v>
      </c>
      <c r="O13" s="108">
        <f>174.4*'2019_LABORALS'!$G$5</f>
        <v>178.32400000000001</v>
      </c>
    </row>
    <row r="14" spans="1:24" s="1" customFormat="1" x14ac:dyDescent="0.25">
      <c r="A14" s="10" t="s">
        <v>10</v>
      </c>
      <c r="B14" s="10">
        <f ca="1">CALCULS_2n2018_FUNC!B14*0.3%</f>
        <v>3.4535100000000001</v>
      </c>
      <c r="C14" s="10">
        <f>402.66*'2019_LABORALS'!$G$5</f>
        <v>411.71985000000001</v>
      </c>
      <c r="D14" s="10">
        <f>359.95*'2019_LABORALS'!$G$5</f>
        <v>368.04887499999995</v>
      </c>
      <c r="E14" s="10">
        <f>263.19*'2019_LABORALS'!$G$5</f>
        <v>269.11177499999997</v>
      </c>
      <c r="F14" s="65">
        <f>218.69*'2019_LABORALS'!$G$5</f>
        <v>223.610525</v>
      </c>
      <c r="G14" s="10">
        <f>224.41*'2019_LABORALS'!$G$5</f>
        <v>229.45922499999998</v>
      </c>
      <c r="H14" s="10">
        <f>218.29*'2019_LABORALS'!$G$5</f>
        <v>223.20152499999998</v>
      </c>
      <c r="I14" s="10">
        <f>215.1*'2019_LABORALS'!$G$5</f>
        <v>219.93974999999998</v>
      </c>
      <c r="J14" s="10">
        <f>211.94*'2019_LABORALS'!$G$5</f>
        <v>216.70864999999998</v>
      </c>
      <c r="K14" s="10">
        <f>188.46*'2019_LABORALS'!$G$5</f>
        <v>192.70035000000001</v>
      </c>
      <c r="L14" s="65">
        <f>164.2*'2019_LABORALS'!$G$5</f>
        <v>167.89449999999999</v>
      </c>
      <c r="M14" s="10">
        <f>115.88*'2019_LABORALS'!$G$5</f>
        <v>118.48729999999999</v>
      </c>
      <c r="N14" s="10">
        <f>64.67*'2019_LABORALS'!$G$5</f>
        <v>66.125074999999995</v>
      </c>
      <c r="O14" s="108">
        <f>8.33*'2019_LABORALS'!$G$5</f>
        <v>8.5174249999999994</v>
      </c>
    </row>
    <row r="15" spans="1:24" s="1" customFormat="1" x14ac:dyDescent="0.25">
      <c r="B15" s="10"/>
      <c r="C15" s="10"/>
      <c r="D15" s="10"/>
      <c r="E15" s="10"/>
      <c r="F15" s="65"/>
      <c r="G15" s="10"/>
      <c r="H15" s="10"/>
      <c r="I15" s="10"/>
      <c r="J15" s="10"/>
      <c r="K15" s="10"/>
      <c r="L15" s="65"/>
      <c r="M15" s="10"/>
      <c r="N15" s="10"/>
      <c r="O15" s="108"/>
    </row>
    <row r="16" spans="1:24" s="1" customFormat="1" x14ac:dyDescent="0.25">
      <c r="A16" s="10" t="s">
        <v>11</v>
      </c>
      <c r="B16" s="10">
        <f ca="1">CALCULS_2n2018_FUNC!B16*0.3%</f>
        <v>3.4535100000000001</v>
      </c>
      <c r="C16" s="10">
        <f>347.42*'2019_LABORALS'!$G$5</f>
        <v>355.23694999999998</v>
      </c>
      <c r="D16" s="10">
        <f>259.33*'2019_LABORALS'!$G$5</f>
        <v>265.16492499999998</v>
      </c>
      <c r="E16" s="10">
        <f>239.03*'2019_LABORALS'!$G$5</f>
        <v>244.408175</v>
      </c>
      <c r="F16" s="65">
        <f>220.32*'2019_LABORALS'!$G$5</f>
        <v>225.27719999999999</v>
      </c>
      <c r="G16" s="10">
        <f>222.01*'2019_LABORALS'!$G$5</f>
        <v>227.005225</v>
      </c>
      <c r="H16" s="10">
        <f>218.86*'2019_LABORALS'!$G$5</f>
        <v>223.78435000000002</v>
      </c>
      <c r="I16" s="10">
        <f>214.74*'2019_LABORALS'!$G$5</f>
        <v>219.57165000000001</v>
      </c>
      <c r="J16" s="10">
        <f>213.66*'2019_LABORALS'!$G$5</f>
        <v>218.46734999999998</v>
      </c>
      <c r="K16" s="10">
        <f>202.65*'2019_LABORALS'!$G$5</f>
        <v>207.20962499999999</v>
      </c>
      <c r="L16" s="65">
        <f>196.63*'2019_LABORALS'!$G$5</f>
        <v>201.05417499999999</v>
      </c>
      <c r="M16" s="10">
        <f>241.03*'2019_LABORALS'!$G$5</f>
        <v>246.45317499999999</v>
      </c>
      <c r="N16" s="10">
        <f>225.66*'2019_LABORALS'!$G$5</f>
        <v>230.73734999999999</v>
      </c>
      <c r="O16" s="108">
        <f>208.75*'2019_LABORALS'!$G$5</f>
        <v>213.44687500000001</v>
      </c>
    </row>
    <row r="17" spans="1:17" s="1" customFormat="1" x14ac:dyDescent="0.25">
      <c r="A17" s="10"/>
      <c r="B17" s="34"/>
      <c r="C17" s="34">
        <f t="shared" ref="C17:O17" si="0">SUM(C10:C16)</f>
        <v>5554.7978500000008</v>
      </c>
      <c r="D17" s="34">
        <f t="shared" si="0"/>
        <v>5175.8009749999992</v>
      </c>
      <c r="E17" s="34">
        <f t="shared" si="0"/>
        <v>4571.3541999999998</v>
      </c>
      <c r="F17" s="66">
        <f t="shared" si="0"/>
        <v>4159.8285500000002</v>
      </c>
      <c r="G17" s="34">
        <f t="shared" si="0"/>
        <v>4072.0869750000002</v>
      </c>
      <c r="H17" s="34">
        <f t="shared" si="0"/>
        <v>3979.4112249999998</v>
      </c>
      <c r="I17" s="34">
        <f t="shared" si="0"/>
        <v>3901.8977999999997</v>
      </c>
      <c r="J17" s="34">
        <f t="shared" si="0"/>
        <v>3827.464125</v>
      </c>
      <c r="K17" s="34">
        <f t="shared" si="0"/>
        <v>3632.2300500000001</v>
      </c>
      <c r="L17" s="66">
        <f t="shared" si="0"/>
        <v>3442.1636749999998</v>
      </c>
      <c r="M17" s="34">
        <f t="shared" si="0"/>
        <v>3224.07465</v>
      </c>
      <c r="N17" s="34">
        <f t="shared" si="0"/>
        <v>2929.1140749999995</v>
      </c>
      <c r="O17" s="34">
        <f t="shared" si="0"/>
        <v>2604.6032500000001</v>
      </c>
    </row>
    <row r="19" spans="1:17" x14ac:dyDescent="0.25">
      <c r="A19" s="36" t="s">
        <v>12</v>
      </c>
    </row>
    <row r="20" spans="1:17" x14ac:dyDescent="0.25">
      <c r="E20" s="55" t="s">
        <v>13</v>
      </c>
      <c r="F20" s="55" t="s">
        <v>14</v>
      </c>
      <c r="G20" s="55">
        <v>25</v>
      </c>
      <c r="H20" s="55">
        <v>24</v>
      </c>
      <c r="I20" s="55">
        <v>23</v>
      </c>
      <c r="J20" s="55">
        <v>22</v>
      </c>
      <c r="K20" s="71">
        <v>21</v>
      </c>
      <c r="L20" s="71">
        <v>20</v>
      </c>
      <c r="M20" s="55">
        <v>19</v>
      </c>
      <c r="N20" s="71">
        <v>18</v>
      </c>
      <c r="O20" s="55">
        <v>17</v>
      </c>
      <c r="P20" s="71">
        <v>16</v>
      </c>
      <c r="Q20" s="55" t="s">
        <v>15</v>
      </c>
    </row>
    <row r="21" spans="1:17" x14ac:dyDescent="0.25">
      <c r="E21" s="9"/>
      <c r="F21" s="9"/>
      <c r="G21" s="9"/>
      <c r="H21" s="9"/>
      <c r="I21" s="9"/>
      <c r="J21" s="9"/>
      <c r="K21" s="70"/>
      <c r="L21" s="70"/>
      <c r="M21" s="9"/>
      <c r="N21" s="70"/>
      <c r="O21" s="9"/>
      <c r="P21" s="70"/>
      <c r="Q21" s="9"/>
    </row>
    <row r="22" spans="1:17" s="1" customFormat="1" x14ac:dyDescent="0.25">
      <c r="D22" s="54"/>
      <c r="E22" s="53"/>
      <c r="F22" s="53"/>
      <c r="G22" s="53"/>
      <c r="H22" s="53"/>
      <c r="I22" s="53"/>
      <c r="J22" s="53"/>
      <c r="K22" s="68"/>
      <c r="L22" s="68"/>
      <c r="M22" s="53"/>
      <c r="N22" s="68"/>
      <c r="O22" s="53"/>
      <c r="P22" s="68"/>
      <c r="Q22" s="53"/>
    </row>
    <row r="23" spans="1:17" s="1" customFormat="1" x14ac:dyDescent="0.25">
      <c r="K23" s="69"/>
      <c r="L23" s="69"/>
      <c r="N23" s="69"/>
      <c r="P23" s="69"/>
    </row>
    <row r="24" spans="1:17" s="1" customFormat="1" x14ac:dyDescent="0.25">
      <c r="D24" s="10" t="s">
        <v>6</v>
      </c>
      <c r="E24" s="10">
        <f>'2019_LABORALS'!$C$25</f>
        <v>1017.79</v>
      </c>
      <c r="F24" s="10">
        <f>'2019_LABORALS'!$C$25</f>
        <v>1017.79</v>
      </c>
      <c r="G24" s="10">
        <f>'2019_LABORALS'!$C$25</f>
        <v>1017.79</v>
      </c>
      <c r="H24" s="10">
        <f>'2019_LABORALS'!$C$25</f>
        <v>1017.79</v>
      </c>
      <c r="I24" s="10">
        <f>'2019_LABORALS'!$C$25</f>
        <v>1017.79</v>
      </c>
      <c r="J24" s="10">
        <f>'2019_LABORALS'!$C$25</f>
        <v>1017.79</v>
      </c>
      <c r="K24" s="65">
        <f>'2019_LABORALS'!$C$25</f>
        <v>1017.79</v>
      </c>
      <c r="L24" s="65">
        <f>'2019_LABORALS'!$C$25</f>
        <v>1017.79</v>
      </c>
      <c r="M24" s="10">
        <f>'2019_LABORALS'!$C$25</f>
        <v>1017.79</v>
      </c>
      <c r="N24" s="65">
        <f>'2019_LABORALS'!$C$25</f>
        <v>1017.79</v>
      </c>
      <c r="O24" s="10">
        <f>'2019_LABORALS'!$C$25</f>
        <v>1017.79</v>
      </c>
      <c r="P24" s="65">
        <f>'2019_LABORALS'!$C$25</f>
        <v>1017.79</v>
      </c>
      <c r="Q24" s="10">
        <f>'2019_LABORALS'!$C$25</f>
        <v>1017.79</v>
      </c>
    </row>
    <row r="25" spans="1:17" s="1" customFormat="1" x14ac:dyDescent="0.25">
      <c r="D25" s="10" t="s">
        <v>7</v>
      </c>
      <c r="E25" s="10">
        <f>8892.48/12</f>
        <v>741.04</v>
      </c>
      <c r="F25" s="10">
        <f>8892.48/12</f>
        <v>741.04</v>
      </c>
      <c r="G25" s="10">
        <f>G11</f>
        <v>657.46</v>
      </c>
      <c r="H25" s="10">
        <f t="shared" ref="H25:L25" si="1">H11</f>
        <v>618.66999999999996</v>
      </c>
      <c r="I25" s="10">
        <f t="shared" si="1"/>
        <v>579.93999999999994</v>
      </c>
      <c r="J25" s="10">
        <f t="shared" si="1"/>
        <v>541.12</v>
      </c>
      <c r="K25" s="65">
        <f t="shared" si="1"/>
        <v>502.40000000000003</v>
      </c>
      <c r="L25" s="65">
        <f t="shared" si="1"/>
        <v>466.68</v>
      </c>
      <c r="M25" s="10">
        <f>5314.32/12</f>
        <v>442.85999999999996</v>
      </c>
      <c r="N25" s="65">
        <f>5028.24/12</f>
        <v>419.02</v>
      </c>
      <c r="O25" s="111">
        <f>4742.16/12</f>
        <v>395.18</v>
      </c>
      <c r="P25" s="65">
        <f>4456.92/12</f>
        <v>371.41</v>
      </c>
      <c r="Q25" s="10">
        <f>P25</f>
        <v>371.41</v>
      </c>
    </row>
    <row r="26" spans="1:17" s="1" customFormat="1" x14ac:dyDescent="0.25">
      <c r="D26" s="10" t="s">
        <v>8</v>
      </c>
      <c r="E26" s="10">
        <f>1491.12*'2019_LABORALS'!$G$5</f>
        <v>1524.6701999999998</v>
      </c>
      <c r="F26" s="10">
        <f>1268.83*'2019_LABORALS'!$G$5</f>
        <v>1297.3786749999999</v>
      </c>
      <c r="G26" s="10">
        <f>1198.52*'2019_LABORALS'!$G$5</f>
        <v>1225.4866999999999</v>
      </c>
      <c r="H26" s="10">
        <f>1187.5*'2019_LABORALS'!$G$5</f>
        <v>1214.21875</v>
      </c>
      <c r="I26" s="10">
        <f>1168.41*'2019_LABORALS'!$G$5</f>
        <v>1194.6992250000001</v>
      </c>
      <c r="J26" s="10">
        <f>1149.43*'2019_LABORALS'!$G$5</f>
        <v>1175.292175</v>
      </c>
      <c r="K26" s="65">
        <f>1124*'2019_LABORALS'!$G$5</f>
        <v>1149.29</v>
      </c>
      <c r="L26" s="65">
        <f>1096.35*'2019_LABORALS'!$G$5</f>
        <v>1121.0178749999998</v>
      </c>
      <c r="M26" s="10">
        <f>1080.13*'2019_LABORALS'!$G$5</f>
        <v>1104.4329250000001</v>
      </c>
      <c r="N26" s="65">
        <f>996.47*'2019_LABORALS'!$G$5</f>
        <v>1018.890575</v>
      </c>
      <c r="O26" s="10">
        <f>946.51*'2019_LABORALS'!$G$5</f>
        <v>967.80647499999998</v>
      </c>
      <c r="P26" s="65">
        <f>896.51*'2019_LABORALS'!$G$5</f>
        <v>916.68147499999998</v>
      </c>
      <c r="Q26" s="10">
        <f>776.67*'2019_LABORALS'!$G$5</f>
        <v>794.14507499999991</v>
      </c>
    </row>
    <row r="27" spans="1:17" s="1" customFormat="1" x14ac:dyDescent="0.25">
      <c r="D27" s="10" t="s">
        <v>9</v>
      </c>
      <c r="E27" s="10">
        <f>264.4*'2019_LABORALS'!$G$5</f>
        <v>270.34899999999999</v>
      </c>
      <c r="F27" s="10">
        <f>245.87*'2019_LABORALS'!$G$5</f>
        <v>251.402075</v>
      </c>
      <c r="G27" s="10">
        <f>233.2*'2019_LABORALS'!$G$5</f>
        <v>238.44699999999997</v>
      </c>
      <c r="H27" s="10">
        <f>229.12*'2019_LABORALS'!$G$5</f>
        <v>234.27519999999998</v>
      </c>
      <c r="I27" s="10">
        <f>224.37*'2019_LABORALS'!$G$5</f>
        <v>229.41832500000001</v>
      </c>
      <c r="J27" s="10">
        <f>219.63*'2019_LABORALS'!$G$5</f>
        <v>224.571675</v>
      </c>
      <c r="K27" s="65">
        <f>214.35*'2019_LABORALS'!$G$5</f>
        <v>219.17287499999998</v>
      </c>
      <c r="L27" s="65">
        <f>209.14*'2019_LABORALS'!$G$5</f>
        <v>213.84564999999998</v>
      </c>
      <c r="M27" s="10">
        <f>205.85*'2019_LABORALS'!$G$5</f>
        <v>210.48162499999998</v>
      </c>
      <c r="N27" s="65">
        <f>196.93*'2019_LABORALS'!$G$5</f>
        <v>201.36092500000001</v>
      </c>
      <c r="O27" s="10">
        <f>190.82*'2019_LABORALS'!$G$5</f>
        <v>195.11345</v>
      </c>
      <c r="P27" s="65">
        <f>184.72*'2019_LABORALS'!$G$5</f>
        <v>188.87619999999998</v>
      </c>
      <c r="Q27" s="10">
        <f>174.73*'2019_LABORALS'!$G$5</f>
        <v>178.66142499999998</v>
      </c>
    </row>
    <row r="28" spans="1:17" s="1" customFormat="1" x14ac:dyDescent="0.25">
      <c r="D28" s="10" t="s">
        <v>10</v>
      </c>
      <c r="E28" s="10">
        <f>232.64*'2019_LABORALS'!$G$5</f>
        <v>237.87439999999998</v>
      </c>
      <c r="F28" s="10">
        <f>177.07*'2019_LABORALS'!$G$5</f>
        <v>181.05407499999998</v>
      </c>
      <c r="G28" s="10">
        <f>166.3*'2019_LABORALS'!$G$5</f>
        <v>170.04175000000001</v>
      </c>
      <c r="H28" s="10">
        <f>166.71*'2019_LABORALS'!$G$5</f>
        <v>170.46097499999999</v>
      </c>
      <c r="I28" s="10">
        <f>165.1*'2019_LABORALS'!$G$5</f>
        <v>168.81474999999998</v>
      </c>
      <c r="J28" s="10">
        <f>163.51*'2019_LABORALS'!$G$5</f>
        <v>167.18897499999997</v>
      </c>
      <c r="K28" s="65">
        <f>160.31*'2019_LABORALS'!$G$5</f>
        <v>163.91697500000001</v>
      </c>
      <c r="L28" s="65">
        <f>156.31*'2019_LABORALS'!$G$5</f>
        <v>159.826975</v>
      </c>
      <c r="M28" s="10">
        <f>154.2*'2019_LABORALS'!$G$5</f>
        <v>157.66949999999997</v>
      </c>
      <c r="N28" s="65">
        <f>135.22*'2019_LABORALS'!$G$5</f>
        <v>138.26245</v>
      </c>
      <c r="O28" s="10">
        <f>124.68*'2019_LABORALS'!$G$5</f>
        <v>127.48530000000001</v>
      </c>
      <c r="P28" s="65">
        <f>114.11*'2019_LABORALS'!$G$5</f>
        <v>116.677475</v>
      </c>
      <c r="Q28" s="10">
        <f>84.15*'2019_LABORALS'!$G$5</f>
        <v>86.043374999999997</v>
      </c>
    </row>
    <row r="29" spans="1:17" s="1" customFormat="1" x14ac:dyDescent="0.25">
      <c r="E29" s="10"/>
      <c r="F29" s="10"/>
      <c r="G29" s="10"/>
      <c r="H29" s="10"/>
      <c r="I29" s="10"/>
      <c r="J29" s="10"/>
      <c r="K29" s="65"/>
      <c r="L29" s="65"/>
      <c r="M29" s="10"/>
      <c r="N29" s="65"/>
      <c r="O29" s="10"/>
      <c r="P29" s="65"/>
      <c r="Q29" s="10"/>
    </row>
    <row r="30" spans="1:17" s="1" customFormat="1" x14ac:dyDescent="0.25">
      <c r="D30" s="10" t="s">
        <v>11</v>
      </c>
      <c r="E30" s="10">
        <f>366.34*'2019_LABORALS'!$G$5</f>
        <v>374.58264999999994</v>
      </c>
      <c r="F30" s="10">
        <f>268.18*'2019_LABORALS'!$G$5</f>
        <v>274.21404999999999</v>
      </c>
      <c r="G30" s="10">
        <f>382.79*'2019_LABORALS'!$G$5</f>
        <v>391.40277500000002</v>
      </c>
      <c r="H30" s="10">
        <f>249.13*'2019_LABORALS'!$G$5</f>
        <v>254.73542499999999</v>
      </c>
      <c r="I30" s="10">
        <f>196.95*'2019_LABORALS'!$G$5</f>
        <v>201.38137499999999</v>
      </c>
      <c r="J30" s="10">
        <f>192.04*'2019_LABORALS'!$G$5</f>
        <v>196.36089999999999</v>
      </c>
      <c r="K30" s="65">
        <f>190.32*'2019_LABORALS'!$G$5</f>
        <v>194.60219999999998</v>
      </c>
      <c r="L30" s="65">
        <f>190.78*'2019_LABORALS'!$G$5</f>
        <v>195.07255000000001</v>
      </c>
      <c r="M30" s="10">
        <f>189.15*'2019_LABORALS'!$G$5</f>
        <v>193.40587500000001</v>
      </c>
      <c r="N30" s="65">
        <f>180.67*'2019_LABORALS'!$G$5</f>
        <v>184.73507499999999</v>
      </c>
      <c r="O30" s="10">
        <f>181.03*'2019_LABORALS'!$G$5</f>
        <v>185.10317499999999</v>
      </c>
      <c r="P30" s="65">
        <f>174.42*'2019_LABORALS'!$G$5</f>
        <v>178.34444999999999</v>
      </c>
      <c r="Q30" s="10">
        <f>210.9*'2019_LABORALS'!$G$5</f>
        <v>215.64525</v>
      </c>
    </row>
    <row r="31" spans="1:17" s="1" customFormat="1" x14ac:dyDescent="0.25">
      <c r="D31" s="34"/>
      <c r="E31" s="34">
        <f>SUM(E24:E30)</f>
        <v>4166.3062499999996</v>
      </c>
      <c r="F31" s="34">
        <f t="shared" ref="F31:Q31" si="2">SUM(F24:F30)</f>
        <v>3762.8788749999999</v>
      </c>
      <c r="G31" s="34">
        <f t="shared" si="2"/>
        <v>3700.6282249999999</v>
      </c>
      <c r="H31" s="34">
        <f t="shared" si="2"/>
        <v>3510.1503499999999</v>
      </c>
      <c r="I31" s="34">
        <f t="shared" si="2"/>
        <v>3392.0436749999999</v>
      </c>
      <c r="J31" s="34">
        <f t="shared" si="2"/>
        <v>3322.3237250000002</v>
      </c>
      <c r="K31" s="66">
        <f t="shared" si="2"/>
        <v>3247.1720499999997</v>
      </c>
      <c r="L31" s="66">
        <f t="shared" si="2"/>
        <v>3174.2330499999998</v>
      </c>
      <c r="M31" s="34">
        <f t="shared" si="2"/>
        <v>3126.6399249999995</v>
      </c>
      <c r="N31" s="66">
        <f t="shared" si="2"/>
        <v>2980.059025</v>
      </c>
      <c r="O31" s="34">
        <f t="shared" si="2"/>
        <v>2888.4784</v>
      </c>
      <c r="P31" s="66">
        <f t="shared" si="2"/>
        <v>2789.7796000000003</v>
      </c>
      <c r="Q31" s="34">
        <f t="shared" si="2"/>
        <v>2663.6951250000002</v>
      </c>
    </row>
    <row r="32" spans="1:17" s="1" customFormat="1" x14ac:dyDescent="0.25"/>
    <row r="33" spans="1:23" x14ac:dyDescent="0.25">
      <c r="A33" s="36" t="s">
        <v>16</v>
      </c>
    </row>
    <row r="34" spans="1:23" x14ac:dyDescent="0.25">
      <c r="J34">
        <v>22</v>
      </c>
      <c r="K34">
        <v>21</v>
      </c>
      <c r="L34">
        <v>20</v>
      </c>
      <c r="M34">
        <v>19</v>
      </c>
      <c r="N34">
        <v>18</v>
      </c>
      <c r="O34" s="67">
        <v>17</v>
      </c>
      <c r="P34" s="67">
        <v>16</v>
      </c>
      <c r="Q34" s="67">
        <v>15</v>
      </c>
      <c r="R34">
        <v>14</v>
      </c>
      <c r="S34" s="67">
        <v>13</v>
      </c>
      <c r="T34">
        <v>12</v>
      </c>
    </row>
    <row r="35" spans="1:23" x14ac:dyDescent="0.25">
      <c r="J35" s="9"/>
      <c r="K35" s="9"/>
      <c r="L35" s="9"/>
      <c r="M35" s="9"/>
      <c r="N35" s="9"/>
      <c r="O35" s="70"/>
      <c r="P35" s="70"/>
      <c r="Q35" s="70"/>
      <c r="R35" s="9"/>
      <c r="S35" s="70"/>
      <c r="T35" s="9"/>
    </row>
    <row r="36" spans="1:23" s="1" customFormat="1" x14ac:dyDescent="0.25">
      <c r="I36" s="54"/>
      <c r="J36" s="53"/>
      <c r="K36" s="53"/>
      <c r="L36" s="53"/>
      <c r="M36" s="53"/>
      <c r="N36" s="53"/>
      <c r="O36" s="68"/>
      <c r="P36" s="68"/>
      <c r="Q36" s="68"/>
      <c r="R36" s="53"/>
      <c r="S36" s="68"/>
      <c r="T36" s="53"/>
    </row>
    <row r="37" spans="1:23" s="1" customFormat="1" x14ac:dyDescent="0.25">
      <c r="O37" s="69"/>
      <c r="P37" s="69"/>
      <c r="Q37" s="69"/>
      <c r="S37" s="69"/>
    </row>
    <row r="38" spans="1:23" s="1" customFormat="1" x14ac:dyDescent="0.25">
      <c r="I38" s="10" t="s">
        <v>6</v>
      </c>
      <c r="J38" s="10"/>
      <c r="K38" s="10">
        <f>'2019_LABORALS'!$C$41</f>
        <v>764.19</v>
      </c>
      <c r="L38" s="10">
        <f>'2019_LABORALS'!$C$41</f>
        <v>764.19</v>
      </c>
      <c r="M38" s="10">
        <f>'2019_LABORALS'!$C$41</f>
        <v>764.19</v>
      </c>
      <c r="N38" s="10">
        <f>'2019_LABORALS'!$C$41</f>
        <v>764.19</v>
      </c>
      <c r="O38" s="65">
        <f>'2019_LABORALS'!$C$41</f>
        <v>764.19</v>
      </c>
      <c r="P38" s="65">
        <f>'2019_LABORALS'!$C$41</f>
        <v>764.19</v>
      </c>
      <c r="Q38" s="65">
        <f>'2019_LABORALS'!$C$41</f>
        <v>764.19</v>
      </c>
      <c r="R38" s="10">
        <f>'2019_LABORALS'!$C$41</f>
        <v>764.19</v>
      </c>
      <c r="S38" s="65">
        <f>'2019_LABORALS'!$C$41</f>
        <v>764.19</v>
      </c>
      <c r="T38" s="10">
        <f>'2019_LABORALS'!$C$41</f>
        <v>764.19</v>
      </c>
    </row>
    <row r="39" spans="1:23" s="1" customFormat="1" x14ac:dyDescent="0.25">
      <c r="I39" s="10" t="s">
        <v>7</v>
      </c>
      <c r="J39" s="10"/>
      <c r="K39" s="10">
        <f>K25</f>
        <v>502.40000000000003</v>
      </c>
      <c r="L39" s="10">
        <f t="shared" ref="L39:P39" si="3">L25</f>
        <v>466.68</v>
      </c>
      <c r="M39" s="10">
        <f t="shared" si="3"/>
        <v>442.85999999999996</v>
      </c>
      <c r="N39" s="10">
        <f t="shared" si="3"/>
        <v>419.02</v>
      </c>
      <c r="O39" s="65">
        <f t="shared" si="3"/>
        <v>395.18</v>
      </c>
      <c r="P39" s="65">
        <f t="shared" si="3"/>
        <v>371.41</v>
      </c>
      <c r="Q39" s="65">
        <f>4170.48/12</f>
        <v>347.53999999999996</v>
      </c>
      <c r="R39" s="10">
        <f>3884.88/12</f>
        <v>323.74</v>
      </c>
      <c r="S39" s="65">
        <f>3598.56/12</f>
        <v>299.88</v>
      </c>
      <c r="T39" s="10">
        <f>3312.48/12</f>
        <v>276.04000000000002</v>
      </c>
    </row>
    <row r="40" spans="1:23" s="1" customFormat="1" x14ac:dyDescent="0.25">
      <c r="I40" s="10" t="s">
        <v>8</v>
      </c>
      <c r="J40" s="10"/>
      <c r="K40" s="10">
        <f>1261.68*'2019_LABORALS'!$G$5</f>
        <v>1290.0678</v>
      </c>
      <c r="L40" s="10">
        <f>1243.12*'2019_LABORALS'!$G$5</f>
        <v>1271.0901999999999</v>
      </c>
      <c r="M40" s="10">
        <f>1186.91*'2019_LABORALS'!$G$5</f>
        <v>1213.6154750000001</v>
      </c>
      <c r="N40" s="10">
        <f>1145.33*'2019_LABORALS'!$G$5</f>
        <v>1171.099925</v>
      </c>
      <c r="O40" s="65">
        <f>1030.12*'2019_LABORALS'!$G$5</f>
        <v>1053.2976999999998</v>
      </c>
      <c r="P40" s="65">
        <f>949.5*'2019_LABORALS'!$G$5</f>
        <v>970.86374999999998</v>
      </c>
      <c r="Q40" s="65">
        <f>834.22*'2019_LABORALS'!$G$5</f>
        <v>852.98995000000002</v>
      </c>
      <c r="R40" s="10">
        <f>767.7*'2019_LABORALS'!$G$5</f>
        <v>784.97325000000001</v>
      </c>
      <c r="S40" s="65">
        <f>720.84*'2019_LABORALS'!$G$5</f>
        <v>737.05889999999999</v>
      </c>
      <c r="T40" s="10">
        <f>631.21*'2019_LABORALS'!$G$5</f>
        <v>645.41222500000003</v>
      </c>
    </row>
    <row r="41" spans="1:23" s="1" customFormat="1" x14ac:dyDescent="0.25">
      <c r="I41" s="10" t="s">
        <v>9</v>
      </c>
      <c r="J41" s="10"/>
      <c r="K41" s="10">
        <f>207.16*'2019_LABORALS'!$G$5</f>
        <v>211.8211</v>
      </c>
      <c r="L41" s="10">
        <f>202.7*'2019_LABORALS'!$G$5</f>
        <v>207.26074999999997</v>
      </c>
      <c r="M41" s="10">
        <f>196.07*'2019_LABORALS'!$G$5</f>
        <v>200.48157499999999</v>
      </c>
      <c r="N41" s="10">
        <f>190.67*'2019_LABORALS'!$G$5</f>
        <v>194.96007499999999</v>
      </c>
      <c r="O41" s="65">
        <f>179.13*'2019_LABORALS'!$G$5</f>
        <v>183.16042499999998</v>
      </c>
      <c r="P41" s="65">
        <f>170.47*'2019_LABORALS'!$G$5</f>
        <v>174.305575</v>
      </c>
      <c r="Q41" s="65">
        <f>158.92*'2019_LABORALS'!$G$5</f>
        <v>162.49569999999997</v>
      </c>
      <c r="R41" s="10">
        <f>151.43*'2019_LABORALS'!$G$5</f>
        <v>154.837175</v>
      </c>
      <c r="S41" s="65">
        <f>145.58*'2019_LABORALS'!$G$5</f>
        <v>148.85554999999999</v>
      </c>
      <c r="T41" s="10">
        <f>136.17*'2019_LABORALS'!$G$5</f>
        <v>139.233825</v>
      </c>
    </row>
    <row r="42" spans="1:23" s="1" customFormat="1" x14ac:dyDescent="0.25">
      <c r="I42" s="10" t="s">
        <v>10</v>
      </c>
      <c r="J42" s="10"/>
      <c r="K42" s="10">
        <f>213.4*'2019_LABORALS'!$G$5</f>
        <v>218.20150000000001</v>
      </c>
      <c r="L42" s="10">
        <f>211.67*'2019_LABORALS'!$G$5</f>
        <v>216.43257499999999</v>
      </c>
      <c r="M42" s="10">
        <f>199.56*'2019_LABORALS'!$G$5</f>
        <v>204.05009999999999</v>
      </c>
      <c r="N42" s="10">
        <f>191.11*'2019_LABORALS'!$G$5</f>
        <v>195.409975</v>
      </c>
      <c r="O42" s="65">
        <f>164.25*'2019_LABORALS'!$G$5</f>
        <v>167.94562500000001</v>
      </c>
      <c r="P42" s="65">
        <f>146.03*'2019_LABORALS'!$G$5</f>
        <v>149.315675</v>
      </c>
      <c r="Q42" s="65">
        <f>119.16*'2019_LABORALS'!$G$5</f>
        <v>121.8411</v>
      </c>
      <c r="R42" s="10">
        <f>104.47*'2019_LABORALS'!$G$5</f>
        <v>106.82057499999999</v>
      </c>
      <c r="S42" s="65">
        <f>94.7*'2019_LABORALS'!$G$5</f>
        <v>96.830749999999995</v>
      </c>
      <c r="T42" s="10">
        <f>74.23*'2019_LABORALS'!$G$5</f>
        <v>75.900175000000004</v>
      </c>
    </row>
    <row r="43" spans="1:23" s="1" customFormat="1" x14ac:dyDescent="0.25">
      <c r="J43" s="19"/>
      <c r="K43" s="10"/>
      <c r="L43" s="10"/>
      <c r="M43" s="10"/>
      <c r="N43" s="10"/>
      <c r="O43" s="65"/>
      <c r="P43" s="65"/>
      <c r="Q43" s="65"/>
      <c r="R43" s="10"/>
      <c r="S43" s="65"/>
      <c r="T43" s="10"/>
    </row>
    <row r="44" spans="1:23" s="1" customFormat="1" x14ac:dyDescent="0.25">
      <c r="I44" s="10" t="s">
        <v>31</v>
      </c>
      <c r="J44" s="10"/>
      <c r="K44" s="10">
        <f>400.21*'2019_LABORALS'!$G$5</f>
        <v>409.21472499999999</v>
      </c>
      <c r="L44" s="10">
        <f>384.76*'2019_LABORALS'!$G$5</f>
        <v>393.4171</v>
      </c>
      <c r="M44" s="10">
        <f>334.46*'2019_LABORALS'!$G$5</f>
        <v>341.98534999999998</v>
      </c>
      <c r="N44" s="10">
        <f>185.25*'2019_LABORALS'!$G$5</f>
        <v>189.418125</v>
      </c>
      <c r="O44" s="65">
        <f>218.63*'2019_LABORALS'!$G$5</f>
        <v>223.54917499999999</v>
      </c>
      <c r="P44" s="65">
        <f>162.07*'2019_LABORALS'!$G$5</f>
        <v>165.71657499999998</v>
      </c>
      <c r="Q44" s="65">
        <f>199.23*'2019_LABORALS'!$G$5</f>
        <v>203.71267499999999</v>
      </c>
      <c r="R44" s="10">
        <f>220.83*'2019_LABORALS'!$G$5</f>
        <v>225.798675</v>
      </c>
      <c r="S44" s="65">
        <f>210.92*'2019_LABORALS'!$G$5</f>
        <v>215.66569999999999</v>
      </c>
      <c r="T44" s="10">
        <f>179.63*'2019_LABORALS'!$G$5</f>
        <v>183.67167499999999</v>
      </c>
    </row>
    <row r="45" spans="1:23" s="1" customFormat="1" x14ac:dyDescent="0.25">
      <c r="I45" s="34"/>
      <c r="J45" s="34"/>
      <c r="K45" s="34">
        <f>SUM(K38:K44)</f>
        <v>3395.895125</v>
      </c>
      <c r="L45" s="34">
        <f t="shared" ref="L45:T45" si="4">SUM(L38:L44)</f>
        <v>3319.0706249999998</v>
      </c>
      <c r="M45" s="34">
        <f t="shared" si="4"/>
        <v>3167.1824999999994</v>
      </c>
      <c r="N45" s="34">
        <f t="shared" si="4"/>
        <v>2934.0981000000002</v>
      </c>
      <c r="O45" s="66">
        <f t="shared" si="4"/>
        <v>2787.3229249999999</v>
      </c>
      <c r="P45" s="66">
        <f t="shared" si="4"/>
        <v>2595.8015749999995</v>
      </c>
      <c r="Q45" s="66">
        <f t="shared" si="4"/>
        <v>2452.7694250000004</v>
      </c>
      <c r="R45" s="34">
        <f t="shared" si="4"/>
        <v>2360.3596750000002</v>
      </c>
      <c r="S45" s="66">
        <f t="shared" si="4"/>
        <v>2262.4809</v>
      </c>
      <c r="T45" s="34">
        <f t="shared" si="4"/>
        <v>2084.4479000000001</v>
      </c>
    </row>
    <row r="46" spans="1:23" s="1" customFormat="1" x14ac:dyDescent="0.25"/>
    <row r="47" spans="1:23" x14ac:dyDescent="0.25">
      <c r="A47" s="36" t="s">
        <v>17</v>
      </c>
    </row>
    <row r="48" spans="1:23" x14ac:dyDescent="0.25">
      <c r="N48" s="118">
        <v>18</v>
      </c>
      <c r="O48" s="67">
        <v>17</v>
      </c>
      <c r="P48" s="113">
        <v>16</v>
      </c>
      <c r="Q48" s="118">
        <v>15</v>
      </c>
      <c r="R48" s="113">
        <v>14</v>
      </c>
      <c r="S48" s="118">
        <v>13</v>
      </c>
      <c r="T48" s="67">
        <v>12</v>
      </c>
      <c r="U48" s="67">
        <v>11</v>
      </c>
      <c r="V48" s="118">
        <v>10</v>
      </c>
      <c r="W48" s="118">
        <v>9</v>
      </c>
    </row>
    <row r="49" spans="1:23" x14ac:dyDescent="0.25">
      <c r="N49" s="119"/>
      <c r="O49" s="70"/>
      <c r="P49" s="114"/>
      <c r="Q49" s="119"/>
      <c r="R49" s="114"/>
      <c r="S49" s="119"/>
      <c r="T49" s="70"/>
      <c r="U49" s="70"/>
      <c r="V49" s="119"/>
      <c r="W49" s="119"/>
    </row>
    <row r="50" spans="1:23" s="1" customFormat="1" x14ac:dyDescent="0.25">
      <c r="M50" s="54"/>
      <c r="N50" s="120"/>
      <c r="O50" s="68"/>
      <c r="P50" s="115"/>
      <c r="Q50" s="120"/>
      <c r="R50" s="115"/>
      <c r="S50" s="120"/>
      <c r="T50" s="68"/>
      <c r="U50" s="68"/>
      <c r="V50" s="120"/>
      <c r="W50" s="120"/>
    </row>
    <row r="51" spans="1:23" s="1" customFormat="1" x14ac:dyDescent="0.25">
      <c r="N51" s="121"/>
      <c r="O51" s="69"/>
      <c r="P51" s="116"/>
      <c r="Q51" s="121"/>
      <c r="R51" s="116"/>
      <c r="S51" s="121"/>
      <c r="T51" s="69"/>
      <c r="U51" s="69"/>
      <c r="V51" s="121"/>
      <c r="W51" s="121"/>
    </row>
    <row r="52" spans="1:23" s="1" customFormat="1" x14ac:dyDescent="0.25">
      <c r="M52" s="10" t="s">
        <v>6</v>
      </c>
      <c r="N52" s="122">
        <f>'2019_LABORALS'!$C$55</f>
        <v>636.01</v>
      </c>
      <c r="O52" s="65">
        <f>'2019_LABORALS'!$C$55</f>
        <v>636.01</v>
      </c>
      <c r="P52" s="112">
        <f>'2019_LABORALS'!$C$55</f>
        <v>636.01</v>
      </c>
      <c r="Q52" s="122">
        <f>'2019_LABORALS'!$C$55</f>
        <v>636.01</v>
      </c>
      <c r="R52" s="112">
        <f>'2019_LABORALS'!$C$55</f>
        <v>636.01</v>
      </c>
      <c r="S52" s="122">
        <f>'2019_LABORALS'!$C$55</f>
        <v>636.01</v>
      </c>
      <c r="T52" s="65">
        <f>'2019_LABORALS'!$C$55</f>
        <v>636.01</v>
      </c>
      <c r="U52" s="65">
        <f>'2019_LABORALS'!$C$55</f>
        <v>636.01</v>
      </c>
      <c r="V52" s="122">
        <f>'2019_LABORALS'!$C$55</f>
        <v>636.01</v>
      </c>
      <c r="W52" s="122">
        <f>'2019_LABORALS'!$C$55</f>
        <v>636.01</v>
      </c>
    </row>
    <row r="53" spans="1:23" s="1" customFormat="1" x14ac:dyDescent="0.25">
      <c r="M53" s="10" t="s">
        <v>7</v>
      </c>
      <c r="N53" s="122">
        <f>N39</f>
        <v>419.02</v>
      </c>
      <c r="O53" s="65">
        <f t="shared" ref="O53:T53" si="5">O39</f>
        <v>395.18</v>
      </c>
      <c r="P53" s="112">
        <f t="shared" si="5"/>
        <v>371.41</v>
      </c>
      <c r="Q53" s="122">
        <f t="shared" si="5"/>
        <v>347.53999999999996</v>
      </c>
      <c r="R53" s="112">
        <f t="shared" si="5"/>
        <v>323.74</v>
      </c>
      <c r="S53" s="122">
        <f t="shared" si="5"/>
        <v>299.88</v>
      </c>
      <c r="T53" s="65">
        <f t="shared" si="5"/>
        <v>276.04000000000002</v>
      </c>
      <c r="U53" s="65">
        <f>3026.4/12</f>
        <v>252.20000000000002</v>
      </c>
      <c r="V53" s="122">
        <f>2740.92/12</f>
        <v>228.41</v>
      </c>
      <c r="W53" s="122">
        <f>2598.12/12</f>
        <v>216.51</v>
      </c>
    </row>
    <row r="54" spans="1:23" s="1" customFormat="1" x14ac:dyDescent="0.25">
      <c r="M54" s="10" t="s">
        <v>8</v>
      </c>
      <c r="N54" s="122">
        <f>983.4*'2019_LABORALS'!$G$5</f>
        <v>1005.5264999999999</v>
      </c>
      <c r="O54" s="65">
        <f>942.59*'2019_LABORALS'!$G$5</f>
        <v>963.79827499999999</v>
      </c>
      <c r="P54" s="112">
        <f>908.49*'2019_LABORALS'!$G$5</f>
        <v>928.93102499999998</v>
      </c>
      <c r="Q54" s="122">
        <f>810.96*'2019_LABORALS'!$G$5</f>
        <v>829.20659999999998</v>
      </c>
      <c r="R54" s="112">
        <f>758.64*'2019_LABORALS'!$G$5</f>
        <v>775.70939999999996</v>
      </c>
      <c r="S54" s="122">
        <f>660.83*'2019_LABORALS'!$G$5</f>
        <v>675.69867499999998</v>
      </c>
      <c r="T54" s="65">
        <f>686.7*'2019_LABORALS'!$G$5</f>
        <v>702.15075000000002</v>
      </c>
      <c r="U54" s="65">
        <f>689.95*'2019_LABORALS'!$G$5</f>
        <v>705.47387500000002</v>
      </c>
      <c r="V54" s="122">
        <f>574.64*'2019_LABORALS'!$G$5</f>
        <v>587.56939999999997</v>
      </c>
      <c r="W54" s="122">
        <f>486.95*'2019_LABORALS'!$G$5</f>
        <v>497.90637499999997</v>
      </c>
    </row>
    <row r="55" spans="1:23" s="1" customFormat="1" x14ac:dyDescent="0.25">
      <c r="A55" s="56" t="s">
        <v>32</v>
      </c>
      <c r="B55" s="56"/>
      <c r="C55" s="56"/>
      <c r="M55" s="10" t="s">
        <v>33</v>
      </c>
      <c r="N55" s="122">
        <f>167.45*'2019_LABORALS'!$G$5</f>
        <v>171.21762499999997</v>
      </c>
      <c r="O55" s="65">
        <f>162.53*'2019_LABORALS'!$G$5</f>
        <v>166.186925</v>
      </c>
      <c r="P55" s="112">
        <f>157.36*'2019_LABORALS'!$G$5</f>
        <v>160.9006</v>
      </c>
      <c r="Q55" s="122">
        <f>152.29*'2019_LABORALS'!$G$5</f>
        <v>155.71652499999999</v>
      </c>
      <c r="R55" s="112">
        <f>146.15*'2019_LABORALS'!$G$5</f>
        <v>149.43837500000001</v>
      </c>
      <c r="S55" s="122">
        <f>140.39*'2019_LABORALS'!$G$5</f>
        <v>143.54877499999998</v>
      </c>
      <c r="T55" s="65">
        <f>131.49*'2019_LABORALS'!$G$5</f>
        <v>134.44852500000002</v>
      </c>
      <c r="U55" s="65">
        <f>129.81*'2019_LABORALS'!$G$5</f>
        <v>132.73072500000001</v>
      </c>
      <c r="V55" s="122">
        <f>118.27*'2019_LABORALS'!$G$5</f>
        <v>120.93107499999999</v>
      </c>
      <c r="W55" s="122">
        <f>109.99*'2019_LABORALS'!$G$5</f>
        <v>112.46477499999999</v>
      </c>
    </row>
    <row r="56" spans="1:23" s="1" customFormat="1" x14ac:dyDescent="0.25">
      <c r="A56" s="57" t="s">
        <v>34</v>
      </c>
      <c r="M56" s="10" t="s">
        <v>10</v>
      </c>
      <c r="N56" s="122">
        <f>158.68*'2019_LABORALS'!$G$5</f>
        <v>162.25030000000001</v>
      </c>
      <c r="O56" s="65">
        <f>151.68*'2019_LABORALS'!$G$5</f>
        <v>155.09280000000001</v>
      </c>
      <c r="P56" s="112">
        <f>143.92*'2019_LABORALS'!$G$5</f>
        <v>147.15819999999999</v>
      </c>
      <c r="Q56" s="122">
        <f>136.52*'2019_LABORALS'!$G$5</f>
        <v>139.5917</v>
      </c>
      <c r="R56" s="112">
        <f>125.88*'2019_LABORALS'!$G$5</f>
        <v>128.7123</v>
      </c>
      <c r="S56" s="122">
        <f>116.34*'2019_LABORALS'!$G$5</f>
        <v>118.95765</v>
      </c>
      <c r="T56" s="65">
        <f>97.41*'2019_LABORALS'!$G$5</f>
        <v>99.601724999999988</v>
      </c>
      <c r="U56" s="65">
        <f>100.17*'2019_LABORALS'!$G$5</f>
        <v>102.42382499999999</v>
      </c>
      <c r="V56" s="122">
        <f>73.28*'2019_LABORALS'!$G$5</f>
        <v>74.928799999999995</v>
      </c>
      <c r="W56" s="122">
        <f>52.33*'2019_LABORALS'!$G$5</f>
        <v>53.507424999999998</v>
      </c>
    </row>
    <row r="57" spans="1:23" s="1" customFormat="1" x14ac:dyDescent="0.25">
      <c r="A57" s="56" t="s">
        <v>35</v>
      </c>
      <c r="B57" s="56"/>
      <c r="C57" s="58" t="s">
        <v>36</v>
      </c>
      <c r="N57" s="122"/>
      <c r="O57" s="65"/>
      <c r="P57" s="112"/>
      <c r="Q57" s="122"/>
      <c r="R57" s="112"/>
      <c r="S57" s="122"/>
      <c r="T57" s="65"/>
      <c r="U57" s="65"/>
      <c r="V57" s="122"/>
      <c r="W57" s="122"/>
    </row>
    <row r="58" spans="1:23" s="1" customFormat="1" x14ac:dyDescent="0.25">
      <c r="A58" s="1" t="s">
        <v>37</v>
      </c>
      <c r="C58" s="1">
        <f>'2019_LABORALS'!C77</f>
        <v>45.29</v>
      </c>
      <c r="M58" s="10" t="s">
        <v>31</v>
      </c>
      <c r="N58" s="122">
        <f>205.9*'2019_LABORALS'!$G$5</f>
        <v>210.53274999999999</v>
      </c>
      <c r="O58" s="65">
        <f>140.48*'2019_LABORALS'!$G$5</f>
        <v>143.64079999999998</v>
      </c>
      <c r="P58" s="112">
        <f>159.56*'2019_LABORALS'!$G$5</f>
        <v>163.15010000000001</v>
      </c>
      <c r="Q58" s="122">
        <f>196.57*'2019_LABORALS'!$G$5</f>
        <v>200.99282499999998</v>
      </c>
      <c r="R58" s="112">
        <f>192.62*'2019_LABORALS'!$G$5</f>
        <v>196.95394999999999</v>
      </c>
      <c r="S58" s="122">
        <f>232.73*'2019_LABORALS'!$G$5</f>
        <v>237.96642499999999</v>
      </c>
      <c r="T58" s="65">
        <f>178.49*'2019_LABORALS'!$G$5</f>
        <v>182.50602499999999</v>
      </c>
      <c r="U58" s="65">
        <f>192*'2019_LABORALS'!$G$5</f>
        <v>196.32</v>
      </c>
      <c r="V58" s="122">
        <f>165.01*'2019_LABORALS'!$G$5</f>
        <v>168.722725</v>
      </c>
      <c r="W58" s="122">
        <f>157.9*'2019_LABORALS'!$G$5</f>
        <v>161.45275000000001</v>
      </c>
    </row>
    <row r="59" spans="1:23" s="1" customFormat="1" x14ac:dyDescent="0.25">
      <c r="A59" s="1" t="s">
        <v>38</v>
      </c>
      <c r="C59" s="1">
        <f>'2019_LABORALS'!C78</f>
        <v>36.93</v>
      </c>
      <c r="M59" s="10"/>
      <c r="N59" s="123">
        <f>SUM(N52:N58)</f>
        <v>2604.5571749999995</v>
      </c>
      <c r="O59" s="66">
        <f t="shared" ref="O59:W59" si="6">SUM(O52:O58)</f>
        <v>2459.9088000000002</v>
      </c>
      <c r="P59" s="117">
        <f t="shared" si="6"/>
        <v>2407.5599249999996</v>
      </c>
      <c r="Q59" s="123">
        <f t="shared" si="6"/>
        <v>2309.0576499999997</v>
      </c>
      <c r="R59" s="117">
        <f t="shared" si="6"/>
        <v>2210.5640249999997</v>
      </c>
      <c r="S59" s="123">
        <f t="shared" si="6"/>
        <v>2112.0615250000001</v>
      </c>
      <c r="T59" s="66">
        <f t="shared" si="6"/>
        <v>2030.7570249999999</v>
      </c>
      <c r="U59" s="66">
        <f t="shared" si="6"/>
        <v>2025.1584250000001</v>
      </c>
      <c r="V59" s="123">
        <f t="shared" si="6"/>
        <v>1816.5719999999999</v>
      </c>
      <c r="W59" s="123">
        <f t="shared" si="6"/>
        <v>1677.8513249999999</v>
      </c>
    </row>
    <row r="60" spans="1:23" x14ac:dyDescent="0.25">
      <c r="A60" t="s">
        <v>39</v>
      </c>
      <c r="C60" s="1">
        <f>'2019_LABORALS'!C79</f>
        <v>27.95</v>
      </c>
    </row>
    <row r="61" spans="1:23" x14ac:dyDescent="0.25">
      <c r="A61" t="s">
        <v>40</v>
      </c>
      <c r="C61" s="1">
        <f>'2019_LABORALS'!C80</f>
        <v>19.02</v>
      </c>
    </row>
    <row r="63" spans="1:23" s="1" customFormat="1" x14ac:dyDescent="0.25">
      <c r="A63" s="56" t="s">
        <v>99</v>
      </c>
      <c r="B63" s="56"/>
      <c r="C63" s="56"/>
      <c r="D63" s="56"/>
      <c r="E63" s="56"/>
      <c r="G63" s="3"/>
      <c r="H63" s="3"/>
      <c r="I63" s="60" t="s">
        <v>42</v>
      </c>
      <c r="J63" s="3"/>
      <c r="K63" s="3"/>
      <c r="L63" s="3"/>
      <c r="M63" s="3"/>
      <c r="N63" s="3"/>
      <c r="O63" s="3"/>
      <c r="P63" s="3"/>
      <c r="Q63" s="3"/>
    </row>
    <row r="64" spans="1:23" s="1" customFormat="1" x14ac:dyDescent="0.25">
      <c r="A64" s="57" t="s">
        <v>43</v>
      </c>
      <c r="G64" s="3"/>
      <c r="H64" s="3"/>
      <c r="I64" s="61" t="s">
        <v>44</v>
      </c>
      <c r="J64" s="3"/>
      <c r="K64" s="3"/>
      <c r="L64" s="3"/>
      <c r="M64" s="3"/>
      <c r="N64" s="3"/>
      <c r="O64" s="3"/>
      <c r="P64" s="3"/>
      <c r="Q64" s="3"/>
    </row>
    <row r="65" spans="1:17" s="1" customFormat="1" x14ac:dyDescent="0.25">
      <c r="A65" s="56" t="s">
        <v>35</v>
      </c>
      <c r="B65" s="58" t="s">
        <v>45</v>
      </c>
      <c r="C65" s="58" t="s">
        <v>36</v>
      </c>
      <c r="G65" s="3"/>
      <c r="H65" s="3"/>
      <c r="I65" s="62"/>
      <c r="J65" s="3"/>
      <c r="K65" s="3"/>
      <c r="L65" s="59" t="s">
        <v>46</v>
      </c>
      <c r="M65" s="3"/>
      <c r="N65" s="3"/>
      <c r="O65" s="3"/>
      <c r="P65" s="3"/>
      <c r="Q65" s="3"/>
    </row>
    <row r="66" spans="1:17" s="1" customFormat="1" x14ac:dyDescent="0.25">
      <c r="A66" s="1" t="s">
        <v>37</v>
      </c>
      <c r="B66" s="1">
        <f>'2019_LABORALS'!H12</f>
        <v>726.35</v>
      </c>
      <c r="C66" s="1">
        <f>'2019_LABORALS'!D77</f>
        <v>27.95</v>
      </c>
      <c r="G66" s="3"/>
      <c r="H66" s="3"/>
      <c r="I66" s="62"/>
      <c r="J66" s="3"/>
      <c r="K66" s="3"/>
      <c r="L66" s="3"/>
      <c r="M66" s="3"/>
      <c r="N66" s="3"/>
      <c r="O66" s="3"/>
      <c r="P66" s="3"/>
      <c r="Q66" s="3"/>
    </row>
    <row r="67" spans="1:17" s="1" customFormat="1" x14ac:dyDescent="0.25">
      <c r="A67" s="1" t="s">
        <v>38</v>
      </c>
      <c r="B67" s="1">
        <f>'2019_LABORALS'!H25</f>
        <v>742.29</v>
      </c>
      <c r="C67" s="1">
        <f>'2019_LABORALS'!D78</f>
        <v>26.93</v>
      </c>
      <c r="G67" s="3"/>
      <c r="H67" s="3"/>
      <c r="I67" s="62"/>
      <c r="J67" s="3"/>
      <c r="K67" s="3"/>
      <c r="L67" s="3" t="s">
        <v>20</v>
      </c>
      <c r="M67" s="3"/>
      <c r="N67" s="3"/>
      <c r="O67" s="3">
        <v>43.5</v>
      </c>
      <c r="P67" s="3"/>
      <c r="Q67" s="3"/>
    </row>
    <row r="68" spans="1:17" s="1" customFormat="1" x14ac:dyDescent="0.25">
      <c r="A68" s="1" t="s">
        <v>39</v>
      </c>
      <c r="B68" s="1">
        <f>'2019_LABORALS'!H41</f>
        <v>660.48</v>
      </c>
      <c r="C68" s="1">
        <f>'2019_LABORALS'!D79</f>
        <v>24.14</v>
      </c>
      <c r="G68" s="3"/>
      <c r="H68" s="3"/>
      <c r="I68" s="62"/>
      <c r="J68" s="3"/>
      <c r="K68" s="3"/>
      <c r="L68" s="3" t="s">
        <v>21</v>
      </c>
      <c r="M68" s="3"/>
      <c r="N68" s="3"/>
      <c r="O68" s="3">
        <v>136.30000000000001</v>
      </c>
      <c r="P68" s="3"/>
      <c r="Q68" s="3"/>
    </row>
    <row r="69" spans="1:17" s="1" customFormat="1" x14ac:dyDescent="0.25">
      <c r="A69" s="1" t="s">
        <v>40</v>
      </c>
      <c r="B69" s="1">
        <f>'2019_LABORALS'!H55</f>
        <v>630.21</v>
      </c>
      <c r="C69" s="1">
        <f>'2019_LABORALS'!D80</f>
        <v>18.84</v>
      </c>
      <c r="G69" s="3"/>
      <c r="H69" s="3"/>
      <c r="I69" s="62"/>
      <c r="J69" s="3"/>
      <c r="K69" s="3"/>
      <c r="L69" s="3"/>
      <c r="M69" s="3"/>
      <c r="N69" s="3"/>
      <c r="O69" s="3"/>
      <c r="P69" s="3"/>
      <c r="Q69" s="3"/>
    </row>
    <row r="70" spans="1:17" s="1" customFormat="1" x14ac:dyDescent="0.25">
      <c r="G70" s="3"/>
      <c r="H70" s="3"/>
      <c r="I70" s="62"/>
      <c r="J70" s="3"/>
      <c r="K70" s="3"/>
      <c r="L70" s="59" t="s">
        <v>22</v>
      </c>
      <c r="M70" s="3"/>
      <c r="N70" s="3"/>
      <c r="O70" s="3"/>
      <c r="P70" s="63" t="s">
        <v>23</v>
      </c>
      <c r="Q70" s="63" t="s">
        <v>24</v>
      </c>
    </row>
    <row r="71" spans="1:17" s="1" customFormat="1" x14ac:dyDescent="0.25">
      <c r="G71" s="3"/>
      <c r="H71" s="3"/>
      <c r="I71" s="62"/>
      <c r="J71" s="3"/>
      <c r="K71" s="3"/>
      <c r="L71" s="3" t="s">
        <v>25</v>
      </c>
      <c r="M71" s="3"/>
      <c r="N71" s="3"/>
      <c r="O71" s="22">
        <v>0.25219999999999998</v>
      </c>
      <c r="P71" s="3">
        <v>0.19</v>
      </c>
      <c r="Q71" s="22">
        <v>6.2199999999999998E-2</v>
      </c>
    </row>
    <row r="72" spans="1:17" s="1" customFormat="1" x14ac:dyDescent="0.25">
      <c r="G72" s="3"/>
      <c r="H72" s="3"/>
      <c r="I72" s="62" t="s">
        <v>26</v>
      </c>
      <c r="J72" s="3">
        <f>462.645953*1.0175*1.0225</f>
        <v>481.33395796399378</v>
      </c>
      <c r="K72" s="3"/>
      <c r="L72" s="3" t="s">
        <v>27</v>
      </c>
      <c r="M72" s="3"/>
      <c r="N72" s="3"/>
      <c r="O72" s="3">
        <v>9</v>
      </c>
      <c r="P72" s="3">
        <v>0</v>
      </c>
      <c r="Q72" s="3">
        <v>9</v>
      </c>
    </row>
    <row r="73" spans="1:17" s="1" customFormat="1" x14ac:dyDescent="0.25"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</row>
    <row r="74" spans="1:17" s="1" customFormat="1" x14ac:dyDescent="0.25"/>
    <row r="75" spans="1:17" s="1" customFormat="1" x14ac:dyDescent="0.25"/>
    <row r="76" spans="1:17" s="1" customFormat="1" x14ac:dyDescent="0.25"/>
  </sheetData>
  <pageMargins left="0.70866141732283472" right="0.70866141732283472" top="1.05" bottom="0.74803149606299213" header="0.27" footer="0.43"/>
  <pageSetup paperSize="8" scale="67" orientation="landscape" r:id="rId1"/>
  <headerFooter>
    <oddHeader>&amp;L&amp;G</oddHeader>
    <oddFooter>&amp;R&amp;G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74"/>
  <sheetViews>
    <sheetView topLeftCell="A4" zoomScale="75" zoomScaleNormal="75" workbookViewId="0">
      <selection activeCell="A37" sqref="A37"/>
    </sheetView>
  </sheetViews>
  <sheetFormatPr baseColWidth="10" defaultRowHeight="15" x14ac:dyDescent="0.25"/>
  <cols>
    <col min="1" max="1" width="13" customWidth="1"/>
    <col min="4" max="4" width="12.42578125" customWidth="1"/>
  </cols>
  <sheetData>
    <row r="1" spans="1:24" ht="15.75" thickBot="1" x14ac:dyDescent="0.3"/>
    <row r="2" spans="1:24" x14ac:dyDescent="0.25">
      <c r="A2" s="36" t="s">
        <v>113</v>
      </c>
      <c r="R2" s="124" t="s">
        <v>114</v>
      </c>
      <c r="S2" s="125"/>
      <c r="T2" s="125"/>
      <c r="U2" s="125"/>
      <c r="V2" s="125"/>
      <c r="W2" s="125"/>
      <c r="X2" s="126"/>
    </row>
    <row r="3" spans="1:24" ht="15.75" thickBot="1" x14ac:dyDescent="0.3">
      <c r="A3" s="36"/>
      <c r="R3" s="127"/>
      <c r="S3" s="105" t="s">
        <v>116</v>
      </c>
      <c r="T3" s="128"/>
      <c r="U3" s="128"/>
      <c r="V3" s="128"/>
      <c r="W3" s="128"/>
      <c r="X3" s="129"/>
    </row>
    <row r="5" spans="1:24" x14ac:dyDescent="0.25">
      <c r="A5" s="36" t="s">
        <v>2</v>
      </c>
    </row>
    <row r="6" spans="1:24" x14ac:dyDescent="0.25">
      <c r="B6">
        <v>30</v>
      </c>
      <c r="C6">
        <v>29</v>
      </c>
      <c r="D6">
        <v>28</v>
      </c>
      <c r="E6">
        <v>27</v>
      </c>
      <c r="F6" s="67">
        <v>26</v>
      </c>
      <c r="G6">
        <v>25</v>
      </c>
      <c r="H6">
        <v>24</v>
      </c>
      <c r="I6">
        <v>23</v>
      </c>
      <c r="J6">
        <v>22</v>
      </c>
      <c r="K6">
        <v>21</v>
      </c>
      <c r="L6" s="67">
        <v>20</v>
      </c>
      <c r="M6" s="55" t="s">
        <v>3</v>
      </c>
      <c r="N6" s="55" t="s">
        <v>4</v>
      </c>
      <c r="O6" s="107" t="s">
        <v>5</v>
      </c>
    </row>
    <row r="7" spans="1:24" s="1" customFormat="1" x14ac:dyDescent="0.25">
      <c r="B7" s="10"/>
      <c r="C7" s="10"/>
      <c r="D7" s="10"/>
      <c r="E7" s="10"/>
      <c r="F7" s="65"/>
      <c r="G7" s="10"/>
      <c r="H7" s="10"/>
      <c r="I7" s="10"/>
      <c r="J7" s="10"/>
      <c r="K7" s="10"/>
      <c r="L7" s="65"/>
      <c r="M7" s="10"/>
      <c r="N7" s="10"/>
      <c r="O7" s="108"/>
    </row>
    <row r="8" spans="1:24" s="1" customFormat="1" x14ac:dyDescent="0.25">
      <c r="A8" s="54"/>
      <c r="B8" s="53"/>
      <c r="C8" s="53"/>
      <c r="D8" s="53"/>
      <c r="E8" s="53"/>
      <c r="F8" s="68"/>
      <c r="G8" s="53"/>
      <c r="H8" s="53"/>
      <c r="I8" s="53"/>
      <c r="J8" s="53"/>
      <c r="K8" s="53"/>
      <c r="L8" s="68"/>
      <c r="M8" s="53"/>
      <c r="N8" s="53"/>
      <c r="O8" s="109"/>
    </row>
    <row r="9" spans="1:24" s="1" customFormat="1" x14ac:dyDescent="0.25">
      <c r="F9" s="69"/>
      <c r="L9" s="69"/>
      <c r="O9" s="110"/>
    </row>
    <row r="10" spans="1:24" s="1" customFormat="1" x14ac:dyDescent="0.25">
      <c r="A10" s="10" t="s">
        <v>6</v>
      </c>
      <c r="B10" s="10">
        <f>'2019_FUN_mensual_AMB_225'!B10*12+'2019_FUN_mensual_AMB_225'!$B$66*2</f>
        <v>1494.14212</v>
      </c>
      <c r="C10" s="10">
        <f>'2019_FUN_mensual_AMB_225'!C10*12+'2019_FUN_mensual_AMB_225'!$B$66*2</f>
        <v>15577.66</v>
      </c>
      <c r="D10" s="10">
        <f>'2019_FUN_mensual_AMB_225'!D10*12+'2019_FUN_mensual_AMB_225'!$B$66*2</f>
        <v>15577.66</v>
      </c>
      <c r="E10" s="10">
        <f>'2019_FUN_mensual_AMB_225'!E10*12+'2019_FUN_mensual_AMB_225'!$B$66*2</f>
        <v>15577.66</v>
      </c>
      <c r="F10" s="65">
        <f>'2019_FUN_mensual_AMB_225'!F10*12+'2019_FUN_mensual_AMB_225'!$B$66*2</f>
        <v>15577.66</v>
      </c>
      <c r="G10" s="10">
        <f>'2019_FUN_mensual_AMB_225'!G10*12+'2019_FUN_mensual_AMB_225'!$B$66*2</f>
        <v>15577.66</v>
      </c>
      <c r="H10" s="10">
        <f>'2019_FUN_mensual_AMB_225'!H10*12+'2019_FUN_mensual_AMB_225'!$B$66*2</f>
        <v>15577.66</v>
      </c>
      <c r="I10" s="10">
        <f>'2019_FUN_mensual_AMB_225'!I10*12+'2019_FUN_mensual_AMB_225'!$B$66*2</f>
        <v>15577.66</v>
      </c>
      <c r="J10" s="10">
        <f>'2019_FUN_mensual_AMB_225'!J10*12+'2019_FUN_mensual_AMB_225'!$B$66*2</f>
        <v>15577.66</v>
      </c>
      <c r="K10" s="10">
        <f>'2019_FUN_mensual_AMB_225'!K10*12+'2019_FUN_mensual_AMB_225'!$B$66*2</f>
        <v>15577.66</v>
      </c>
      <c r="L10" s="65">
        <f>'2019_FUN_mensual_AMB_225'!L10*12+'2019_FUN_mensual_AMB_225'!$B$66*2</f>
        <v>15577.66</v>
      </c>
      <c r="M10" s="10">
        <f>'2019_FUN_mensual_AMB_225'!M10*12+'2019_FUN_mensual_AMB_225'!$B$66*2</f>
        <v>15577.66</v>
      </c>
      <c r="N10" s="10">
        <f>'2019_FUN_mensual_AMB_225'!N10*12+'2019_FUN_mensual_AMB_225'!$B$66*2</f>
        <v>15577.66</v>
      </c>
      <c r="O10" s="108">
        <f>'2019_FUN_mensual_AMB_225'!O10*12+'2019_FUN_mensual_AMB_225'!$B$66*2</f>
        <v>15577.66</v>
      </c>
    </row>
    <row r="11" spans="1:24" s="1" customFormat="1" x14ac:dyDescent="0.25">
      <c r="A11" s="10" t="s">
        <v>7</v>
      </c>
      <c r="B11" s="10">
        <f>'2019_FUN_mensual_AMB_225'!B11*14</f>
        <v>42.232680000000002</v>
      </c>
      <c r="C11" s="10">
        <f>'2019_FUN_mensual_AMB_225'!C11*14</f>
        <v>12911.079999999998</v>
      </c>
      <c r="D11" s="10">
        <f>'2019_FUN_mensual_AMB_225'!D11*14</f>
        <v>12368.44</v>
      </c>
      <c r="E11" s="10">
        <f>'2019_FUN_mensual_AMB_225'!E11*14</f>
        <v>11825.1</v>
      </c>
      <c r="F11" s="65">
        <f>'2019_FUN_mensual_AMB_225'!F11*14</f>
        <v>10374.56</v>
      </c>
      <c r="G11" s="10">
        <f>'2019_FUN_mensual_AMB_225'!G11*14</f>
        <v>9204.44</v>
      </c>
      <c r="H11" s="10">
        <f>'2019_FUN_mensual_AMB_225'!H11*14</f>
        <v>8661.3799999999992</v>
      </c>
      <c r="I11" s="10">
        <f>'2019_FUN_mensual_AMB_225'!I11*14</f>
        <v>8119.1599999999989</v>
      </c>
      <c r="J11" s="10">
        <f>'2019_FUN_mensual_AMB_225'!J11*14</f>
        <v>7575.68</v>
      </c>
      <c r="K11" s="10">
        <f>'2019_FUN_mensual_AMB_225'!K11*14</f>
        <v>7033.6</v>
      </c>
      <c r="L11" s="65">
        <f>'2019_FUN_mensual_AMB_225'!L11*14</f>
        <v>6533.52</v>
      </c>
      <c r="M11" s="10">
        <f>'2019_FUN_mensual_AMB_225'!M11*14</f>
        <v>6533.52</v>
      </c>
      <c r="N11" s="10">
        <f>'2019_FUN_mensual_AMB_225'!N11*14</f>
        <v>6533.52</v>
      </c>
      <c r="O11" s="108">
        <f>'2019_FUN_mensual_AMB_225'!O11*14</f>
        <v>6533.52</v>
      </c>
    </row>
    <row r="12" spans="1:24" s="1" customFormat="1" x14ac:dyDescent="0.25">
      <c r="A12" s="10" t="s">
        <v>8</v>
      </c>
      <c r="B12" s="10">
        <f ca="1">'2019_FUN_mensual_AMB_225'!B12*14</f>
        <v>34474.241900000001</v>
      </c>
      <c r="C12" s="10">
        <f>'2019_FUN_mensual_AMB_225'!C12*14</f>
        <v>32552.739450000001</v>
      </c>
      <c r="D12" s="10">
        <f>'2019_FUN_mensual_AMB_225'!D12*14</f>
        <v>29925.936950000003</v>
      </c>
      <c r="E12" s="10">
        <f>'2019_FUN_mensual_AMB_225'!E12*14</f>
        <v>24204.804049999999</v>
      </c>
      <c r="F12" s="65">
        <f>'2019_FUN_mensual_AMB_225'!F12*14</f>
        <v>21172.600749999998</v>
      </c>
      <c r="G12" s="10">
        <f>'2019_FUN_mensual_AMB_225'!G12*14</f>
        <v>21110.75995</v>
      </c>
      <c r="H12" s="10">
        <f>'2019_FUN_mensual_AMB_225'!H12*14</f>
        <v>20578.671399999999</v>
      </c>
      <c r="I12" s="10">
        <f>'2019_FUN_mensual_AMB_225'!I12*14</f>
        <v>20215.78615</v>
      </c>
      <c r="J12" s="10">
        <f>'2019_FUN_mensual_AMB_225'!J12*14</f>
        <v>19853.33035</v>
      </c>
      <c r="K12" s="10">
        <f>'2019_FUN_mensual_AMB_225'!K12*14</f>
        <v>18328.210249999996</v>
      </c>
      <c r="L12" s="65">
        <f>'2019_FUN_mensual_AMB_225'!L12*14</f>
        <v>16772.169750000001</v>
      </c>
      <c r="M12" s="10">
        <f>'2019_FUN_mensual_AMB_225'!M12*14</f>
        <v>14005.509700000001</v>
      </c>
      <c r="N12" s="10">
        <f>'2019_FUN_mensual_AMB_225'!N12*14</f>
        <v>11073.511399999999</v>
      </c>
      <c r="O12" s="108">
        <f>'2019_FUN_mensual_AMB_225'!O12*14</f>
        <v>7847.7692999999999</v>
      </c>
    </row>
    <row r="13" spans="1:24" s="1" customFormat="1" x14ac:dyDescent="0.25">
      <c r="A13" s="10" t="s">
        <v>9</v>
      </c>
      <c r="B13" s="10">
        <f ca="1">'2019_FUN_mensual_AMB_225'!B13*14</f>
        <v>5370.5585500000007</v>
      </c>
      <c r="C13" s="10">
        <f>'2019_FUN_mensual_AMB_225'!C13*14</f>
        <v>5086.8352500000001</v>
      </c>
      <c r="D13" s="10">
        <f>'2019_FUN_mensual_AMB_225'!D13*14</f>
        <v>4822.7234999999991</v>
      </c>
      <c r="E13" s="10">
        <f>'2019_FUN_mensual_AMB_225'!E13*14</f>
        <v>4300.6554500000002</v>
      </c>
      <c r="F13" s="65">
        <f>'2019_FUN_mensual_AMB_225'!F13*14</f>
        <v>3926.8907999999997</v>
      </c>
      <c r="G13" s="10">
        <f>'2019_FUN_mensual_AMB_225'!G13*14</f>
        <v>3824.3954000000003</v>
      </c>
      <c r="H13" s="10">
        <f>'2019_FUN_mensual_AMB_225'!H13*14</f>
        <v>3734.7834999999995</v>
      </c>
      <c r="I13" s="10">
        <f>'2019_FUN_mensual_AMB_225'!I13*14</f>
        <v>3659.3434499999994</v>
      </c>
      <c r="J13" s="10">
        <f>'2019_FUN_mensual_AMB_225'!J13*14</f>
        <v>3583.9034000000001</v>
      </c>
      <c r="K13" s="10">
        <f>'2019_FUN_mensual_AMB_225'!K13*14</f>
        <v>3411.5508</v>
      </c>
      <c r="L13" s="65">
        <f>'2019_FUN_mensual_AMB_225'!L13*14</f>
        <v>3240.2002499999999</v>
      </c>
      <c r="M13" s="10">
        <f>'2019_FUN_mensual_AMB_225'!M13*14</f>
        <v>3009.7287500000002</v>
      </c>
      <c r="N13" s="10">
        <f>'2019_FUN_mensual_AMB_225'!N13*14</f>
        <v>2765.3716999999997</v>
      </c>
      <c r="O13" s="108">
        <f>'2019_FUN_mensual_AMB_225'!O13*14</f>
        <v>2496.5360000000001</v>
      </c>
    </row>
    <row r="14" spans="1:24" s="1" customFormat="1" x14ac:dyDescent="0.25">
      <c r="A14" s="10" t="s">
        <v>10</v>
      </c>
      <c r="B14" s="10">
        <f ca="1">'2019_FUN_mensual_AMB_225'!B14*14</f>
        <v>6120.9508499999993</v>
      </c>
      <c r="C14" s="10">
        <f>'2019_FUN_mensual_AMB_225'!C14*14</f>
        <v>5764.0779000000002</v>
      </c>
      <c r="D14" s="10">
        <f>'2019_FUN_mensual_AMB_225'!D14*14</f>
        <v>5152.6842499999993</v>
      </c>
      <c r="E14" s="10">
        <f>'2019_FUN_mensual_AMB_225'!E14*14</f>
        <v>3767.5648499999998</v>
      </c>
      <c r="F14" s="65">
        <f>'2019_FUN_mensual_AMB_225'!F14*14</f>
        <v>3130.5473499999998</v>
      </c>
      <c r="G14" s="10">
        <f>'2019_FUN_mensual_AMB_225'!G14*14</f>
        <v>3212.4291499999995</v>
      </c>
      <c r="H14" s="10">
        <f>'2019_FUN_mensual_AMB_225'!H14*14</f>
        <v>3124.8213499999997</v>
      </c>
      <c r="I14" s="10">
        <f>'2019_FUN_mensual_AMB_225'!I14*14</f>
        <v>3079.1564999999996</v>
      </c>
      <c r="J14" s="10">
        <f>'2019_FUN_mensual_AMB_225'!J14*14</f>
        <v>3033.9210999999996</v>
      </c>
      <c r="K14" s="10">
        <f>'2019_FUN_mensual_AMB_225'!K14*14</f>
        <v>2697.8049000000001</v>
      </c>
      <c r="L14" s="65">
        <f>'2019_FUN_mensual_AMB_225'!L14*14</f>
        <v>2350.5230000000001</v>
      </c>
      <c r="M14" s="10">
        <f>'2019_FUN_mensual_AMB_225'!M14*14</f>
        <v>1658.8221999999998</v>
      </c>
      <c r="N14" s="10">
        <f>'2019_FUN_mensual_AMB_225'!N14*14</f>
        <v>925.75104999999996</v>
      </c>
      <c r="O14" s="108">
        <f>'2019_FUN_mensual_AMB_225'!O14*14</f>
        <v>119.24394999999998</v>
      </c>
    </row>
    <row r="15" spans="1:24" s="1" customFormat="1" x14ac:dyDescent="0.25">
      <c r="B15" s="10"/>
      <c r="C15" s="10"/>
      <c r="D15" s="10"/>
      <c r="E15" s="10"/>
      <c r="F15" s="65"/>
      <c r="G15" s="10"/>
      <c r="H15" s="10"/>
      <c r="I15" s="10"/>
      <c r="J15" s="10"/>
      <c r="K15" s="10"/>
      <c r="L15" s="65"/>
      <c r="M15" s="10"/>
      <c r="N15" s="10"/>
      <c r="O15" s="108"/>
    </row>
    <row r="16" spans="1:24" s="1" customFormat="1" x14ac:dyDescent="0.25">
      <c r="A16" s="10" t="s">
        <v>11</v>
      </c>
      <c r="B16" s="10">
        <f ca="1">'2019_FUN_mensual_AMB_225'!B16*14</f>
        <v>4973.3172999999997</v>
      </c>
      <c r="C16" s="10">
        <f>'2019_FUN_mensual_AMB_225'!C16*14</f>
        <v>4973.3172999999997</v>
      </c>
      <c r="D16" s="10">
        <f>'2019_FUN_mensual_AMB_225'!D16*14</f>
        <v>3712.3089499999996</v>
      </c>
      <c r="E16" s="10">
        <f>'2019_FUN_mensual_AMB_225'!E16*14</f>
        <v>3421.7144499999999</v>
      </c>
      <c r="F16" s="65">
        <f>'2019_FUN_mensual_AMB_225'!F16*14</f>
        <v>3153.8807999999999</v>
      </c>
      <c r="G16" s="10">
        <f>'2019_FUN_mensual_AMB_225'!G16*14</f>
        <v>3178.0731500000002</v>
      </c>
      <c r="H16" s="10">
        <f>'2019_FUN_mensual_AMB_225'!H16*14</f>
        <v>3132.9809000000005</v>
      </c>
      <c r="I16" s="10">
        <f>'2019_FUN_mensual_AMB_225'!I16*14</f>
        <v>3074.0030999999999</v>
      </c>
      <c r="J16" s="10">
        <f>'2019_FUN_mensual_AMB_225'!J16*14</f>
        <v>3058.5428999999999</v>
      </c>
      <c r="K16" s="10">
        <f>'2019_FUN_mensual_AMB_225'!K16*14</f>
        <v>2900.9347499999999</v>
      </c>
      <c r="L16" s="65">
        <f>'2019_FUN_mensual_AMB_225'!L16*14</f>
        <v>2814.7584499999998</v>
      </c>
      <c r="M16" s="10">
        <f>'2019_FUN_mensual_AMB_225'!M16*14</f>
        <v>3450.3444499999996</v>
      </c>
      <c r="N16" s="10">
        <f>'2019_FUN_mensual_AMB_225'!N16*14</f>
        <v>3230.3229000000001</v>
      </c>
      <c r="O16" s="108">
        <f>'2019_FUN_mensual_AMB_225'!O16*14</f>
        <v>2988.2562499999999</v>
      </c>
    </row>
    <row r="17" spans="1:17" s="1" customFormat="1" x14ac:dyDescent="0.25">
      <c r="A17" s="10"/>
      <c r="B17" s="34">
        <f ca="1">SUM(B10:B16)</f>
        <v>66827.590720000007</v>
      </c>
      <c r="C17" s="34">
        <f t="shared" ref="C17:O17" si="0">SUM(C10:C16)</f>
        <v>76865.709900000002</v>
      </c>
      <c r="D17" s="34">
        <f t="shared" si="0"/>
        <v>71559.753650000013</v>
      </c>
      <c r="E17" s="34">
        <f t="shared" si="0"/>
        <v>63097.498800000001</v>
      </c>
      <c r="F17" s="66">
        <f t="shared" si="0"/>
        <v>57336.1397</v>
      </c>
      <c r="G17" s="34">
        <f t="shared" si="0"/>
        <v>56107.75765</v>
      </c>
      <c r="H17" s="34">
        <f t="shared" si="0"/>
        <v>54810.297149999999</v>
      </c>
      <c r="I17" s="34">
        <f t="shared" si="0"/>
        <v>53725.109199999999</v>
      </c>
      <c r="J17" s="34">
        <f t="shared" si="0"/>
        <v>52683.037750000003</v>
      </c>
      <c r="K17" s="34">
        <f t="shared" si="0"/>
        <v>49949.760699999999</v>
      </c>
      <c r="L17" s="66">
        <f t="shared" si="0"/>
        <v>47288.831450000005</v>
      </c>
      <c r="M17" s="34">
        <f t="shared" si="0"/>
        <v>44235.585100000004</v>
      </c>
      <c r="N17" s="34">
        <f t="shared" si="0"/>
        <v>40106.137049999998</v>
      </c>
      <c r="O17" s="130">
        <f t="shared" si="0"/>
        <v>35562.985500000003</v>
      </c>
    </row>
    <row r="19" spans="1:17" x14ac:dyDescent="0.25">
      <c r="A19" s="36" t="s">
        <v>12</v>
      </c>
    </row>
    <row r="20" spans="1:17" x14ac:dyDescent="0.25">
      <c r="E20" s="55" t="s">
        <v>13</v>
      </c>
      <c r="F20" s="55" t="s">
        <v>14</v>
      </c>
      <c r="G20" s="55">
        <v>25</v>
      </c>
      <c r="H20" s="55">
        <v>24</v>
      </c>
      <c r="I20" s="55">
        <v>23</v>
      </c>
      <c r="J20" s="55">
        <v>22</v>
      </c>
      <c r="K20" s="71">
        <v>21</v>
      </c>
      <c r="L20" s="71">
        <v>20</v>
      </c>
      <c r="M20" s="55">
        <v>19</v>
      </c>
      <c r="N20" s="71">
        <v>18</v>
      </c>
      <c r="O20" s="55">
        <v>17</v>
      </c>
      <c r="P20" s="71">
        <v>16</v>
      </c>
      <c r="Q20" s="55" t="s">
        <v>15</v>
      </c>
    </row>
    <row r="21" spans="1:17" x14ac:dyDescent="0.25">
      <c r="E21" s="9"/>
      <c r="F21" s="9"/>
      <c r="G21" s="9"/>
      <c r="H21" s="9"/>
      <c r="I21" s="9"/>
      <c r="J21" s="9"/>
      <c r="K21" s="70"/>
      <c r="L21" s="70"/>
      <c r="M21" s="9"/>
      <c r="N21" s="70"/>
      <c r="O21" s="9"/>
      <c r="P21" s="70"/>
      <c r="Q21" s="9"/>
    </row>
    <row r="22" spans="1:17" s="1" customFormat="1" x14ac:dyDescent="0.25">
      <c r="D22" s="54"/>
      <c r="E22" s="53"/>
      <c r="F22" s="53"/>
      <c r="G22" s="53"/>
      <c r="H22" s="53"/>
      <c r="I22" s="53"/>
      <c r="J22" s="53"/>
      <c r="K22" s="68"/>
      <c r="L22" s="68"/>
      <c r="M22" s="53"/>
      <c r="N22" s="68"/>
      <c r="O22" s="53"/>
      <c r="P22" s="68"/>
      <c r="Q22" s="53"/>
    </row>
    <row r="23" spans="1:17" s="1" customFormat="1" x14ac:dyDescent="0.25">
      <c r="K23" s="69"/>
      <c r="L23" s="69"/>
      <c r="N23" s="69"/>
      <c r="P23" s="69"/>
    </row>
    <row r="24" spans="1:17" s="1" customFormat="1" x14ac:dyDescent="0.25">
      <c r="D24" s="10" t="s">
        <v>6</v>
      </c>
      <c r="E24" s="10">
        <f>'2019_FUN_mensual_AMB_225'!E24*12+'2019_FUN_mensual_AMB_225'!$B$67*2</f>
        <v>13698.06</v>
      </c>
      <c r="F24" s="10">
        <f>'2019_FUN_mensual_AMB_225'!F24*12+'2019_FUN_mensual_AMB_225'!$B$67*2</f>
        <v>13698.06</v>
      </c>
      <c r="G24" s="10">
        <f>'2019_FUN_mensual_AMB_225'!G24*12+'2019_FUN_mensual_AMB_225'!$B$67*2</f>
        <v>13698.06</v>
      </c>
      <c r="H24" s="10">
        <f>'2019_FUN_mensual_AMB_225'!H24*12+'2019_FUN_mensual_AMB_225'!$B$67*2</f>
        <v>13698.06</v>
      </c>
      <c r="I24" s="10">
        <f>'2019_FUN_mensual_AMB_225'!I24*12+'2019_FUN_mensual_AMB_225'!$B$67*2</f>
        <v>13698.06</v>
      </c>
      <c r="J24" s="10">
        <f>'2019_FUN_mensual_AMB_225'!J24*12+'2019_FUN_mensual_AMB_225'!$B$67*2</f>
        <v>13698.06</v>
      </c>
      <c r="K24" s="65">
        <f>'2019_FUN_mensual_AMB_225'!K24*12+'2019_FUN_mensual_AMB_225'!$B$67*2</f>
        <v>13698.06</v>
      </c>
      <c r="L24" s="65">
        <f>'2019_FUN_mensual_AMB_225'!L24*12+'2019_FUN_mensual_AMB_225'!$B$67*2</f>
        <v>13698.06</v>
      </c>
      <c r="M24" s="10">
        <f>'2019_FUN_mensual_AMB_225'!M24*12+'2019_FUN_mensual_AMB_225'!$B$67*2</f>
        <v>13698.06</v>
      </c>
      <c r="N24" s="65">
        <f>'2019_FUN_mensual_AMB_225'!N24*12+'2019_FUN_mensual_AMB_225'!$B$67*2</f>
        <v>13698.06</v>
      </c>
      <c r="O24" s="10">
        <f>'2019_FUN_mensual_AMB_225'!O24*12+'2019_FUN_mensual_AMB_225'!$B$67*2</f>
        <v>13698.06</v>
      </c>
      <c r="P24" s="65">
        <f>'2019_FUN_mensual_AMB_225'!P24*12+'2019_FUN_mensual_AMB_225'!$B$67*2</f>
        <v>13698.06</v>
      </c>
      <c r="Q24" s="10">
        <f>'2019_FUN_mensual_AMB_225'!Q24*12+'2019_FUN_mensual_AMB_225'!$B$67*2</f>
        <v>13698.06</v>
      </c>
    </row>
    <row r="25" spans="1:17" s="1" customFormat="1" x14ac:dyDescent="0.25">
      <c r="D25" s="10" t="s">
        <v>7</v>
      </c>
      <c r="E25" s="10">
        <f>'2019_FUN_mensual_AMB_225'!E25*14</f>
        <v>10374.56</v>
      </c>
      <c r="F25" s="10">
        <f>'2019_FUN_mensual_AMB_225'!F25*14</f>
        <v>10374.56</v>
      </c>
      <c r="G25" s="10">
        <f>'2019_FUN_mensual_AMB_225'!G25*14</f>
        <v>9204.44</v>
      </c>
      <c r="H25" s="10">
        <f>'2019_FUN_mensual_AMB_225'!H25*14</f>
        <v>8661.3799999999992</v>
      </c>
      <c r="I25" s="10">
        <f>'2019_FUN_mensual_AMB_225'!I25*14</f>
        <v>8119.1599999999989</v>
      </c>
      <c r="J25" s="10">
        <f>'2019_FUN_mensual_AMB_225'!J25*14</f>
        <v>7575.68</v>
      </c>
      <c r="K25" s="65">
        <f>'2019_FUN_mensual_AMB_225'!K25*14</f>
        <v>7033.6</v>
      </c>
      <c r="L25" s="65">
        <f>'2019_FUN_mensual_AMB_225'!L25*14</f>
        <v>6533.52</v>
      </c>
      <c r="M25" s="10">
        <f>'2019_FUN_mensual_AMB_225'!M25*14</f>
        <v>6200.0399999999991</v>
      </c>
      <c r="N25" s="65">
        <f>'2019_FUN_mensual_AMB_225'!N25*14</f>
        <v>5866.28</v>
      </c>
      <c r="O25" s="111">
        <f>'2019_FUN_mensual_AMB_225'!O25*14</f>
        <v>5532.52</v>
      </c>
      <c r="P25" s="65">
        <f>'2019_FUN_mensual_AMB_225'!P25*14</f>
        <v>5199.7400000000007</v>
      </c>
      <c r="Q25" s="10">
        <f>'2019_FUN_mensual_AMB_225'!Q25*14</f>
        <v>5199.7400000000007</v>
      </c>
    </row>
    <row r="26" spans="1:17" s="1" customFormat="1" x14ac:dyDescent="0.25">
      <c r="D26" s="10" t="s">
        <v>8</v>
      </c>
      <c r="E26" s="10">
        <f>'2019_FUN_mensual_AMB_225'!E26*14</f>
        <v>21345.382799999996</v>
      </c>
      <c r="F26" s="10">
        <f>'2019_FUN_mensual_AMB_225'!F26*14</f>
        <v>18163.301449999999</v>
      </c>
      <c r="G26" s="10">
        <f>'2019_FUN_mensual_AMB_225'!G26*14</f>
        <v>17156.8138</v>
      </c>
      <c r="H26" s="10">
        <f>'2019_FUN_mensual_AMB_225'!H26*14</f>
        <v>16999.0625</v>
      </c>
      <c r="I26" s="10">
        <f>'2019_FUN_mensual_AMB_225'!I26*14</f>
        <v>16725.789150000001</v>
      </c>
      <c r="J26" s="10">
        <f>'2019_FUN_mensual_AMB_225'!J26*14</f>
        <v>16454.09045</v>
      </c>
      <c r="K26" s="65">
        <f>'2019_FUN_mensual_AMB_225'!K26*14</f>
        <v>16090.06</v>
      </c>
      <c r="L26" s="65">
        <f>'2019_FUN_mensual_AMB_225'!L26*14</f>
        <v>15694.250249999997</v>
      </c>
      <c r="M26" s="10">
        <f>'2019_FUN_mensual_AMB_225'!M26*14</f>
        <v>15462.060950000001</v>
      </c>
      <c r="N26" s="65">
        <f>'2019_FUN_mensual_AMB_225'!N26*14</f>
        <v>14264.468049999999</v>
      </c>
      <c r="O26" s="10">
        <f>'2019_FUN_mensual_AMB_225'!O26*14</f>
        <v>13549.290649999999</v>
      </c>
      <c r="P26" s="65">
        <f>'2019_FUN_mensual_AMB_225'!P26*14</f>
        <v>12833.540649999999</v>
      </c>
      <c r="Q26" s="10">
        <f>'2019_FUN_mensual_AMB_225'!Q26*14</f>
        <v>11118.031049999998</v>
      </c>
    </row>
    <row r="27" spans="1:17" s="1" customFormat="1" x14ac:dyDescent="0.25">
      <c r="D27" s="10" t="s">
        <v>9</v>
      </c>
      <c r="E27" s="10">
        <f>'2019_FUN_mensual_AMB_225'!E27*14</f>
        <v>3784.886</v>
      </c>
      <c r="F27" s="10">
        <f>'2019_FUN_mensual_AMB_225'!F27*14</f>
        <v>3519.62905</v>
      </c>
      <c r="G27" s="10">
        <f>'2019_FUN_mensual_AMB_225'!G27*14</f>
        <v>3338.2579999999998</v>
      </c>
      <c r="H27" s="10">
        <f>'2019_FUN_mensual_AMB_225'!H27*14</f>
        <v>3279.8527999999997</v>
      </c>
      <c r="I27" s="10">
        <f>'2019_FUN_mensual_AMB_225'!I27*14</f>
        <v>3211.85655</v>
      </c>
      <c r="J27" s="10">
        <f>'2019_FUN_mensual_AMB_225'!J27*14</f>
        <v>3144.0034500000002</v>
      </c>
      <c r="K27" s="65">
        <f>'2019_FUN_mensual_AMB_225'!K27*14</f>
        <v>3068.4202499999997</v>
      </c>
      <c r="L27" s="65">
        <f>'2019_FUN_mensual_AMB_225'!L27*14</f>
        <v>2993.8390999999997</v>
      </c>
      <c r="M27" s="10">
        <f>'2019_FUN_mensual_AMB_225'!M27*14</f>
        <v>2946.7427499999999</v>
      </c>
      <c r="N27" s="65">
        <f>'2019_FUN_mensual_AMB_225'!N27*14</f>
        <v>2819.0529500000002</v>
      </c>
      <c r="O27" s="10">
        <f>'2019_FUN_mensual_AMB_225'!O27*14</f>
        <v>2731.5882999999999</v>
      </c>
      <c r="P27" s="65">
        <f>'2019_FUN_mensual_AMB_225'!P27*14</f>
        <v>2644.2667999999999</v>
      </c>
      <c r="Q27" s="10">
        <f>'2019_FUN_mensual_AMB_225'!Q27*14</f>
        <v>2501.2599499999997</v>
      </c>
    </row>
    <row r="28" spans="1:17" s="1" customFormat="1" x14ac:dyDescent="0.25">
      <c r="D28" s="10" t="s">
        <v>10</v>
      </c>
      <c r="E28" s="10">
        <f>'2019_FUN_mensual_AMB_225'!E28*14</f>
        <v>3330.2415999999998</v>
      </c>
      <c r="F28" s="10">
        <f>'2019_FUN_mensual_AMB_225'!F28*14</f>
        <v>2534.7570499999997</v>
      </c>
      <c r="G28" s="10">
        <f>'2019_FUN_mensual_AMB_225'!G28*14</f>
        <v>2380.5844999999999</v>
      </c>
      <c r="H28" s="10">
        <f>'2019_FUN_mensual_AMB_225'!H28*14</f>
        <v>2386.4536499999999</v>
      </c>
      <c r="I28" s="10">
        <f>'2019_FUN_mensual_AMB_225'!I28*14</f>
        <v>2363.4064999999996</v>
      </c>
      <c r="J28" s="10">
        <f>'2019_FUN_mensual_AMB_225'!J28*14</f>
        <v>2340.6456499999995</v>
      </c>
      <c r="K28" s="65">
        <f>'2019_FUN_mensual_AMB_225'!K28*14</f>
        <v>2294.8376499999999</v>
      </c>
      <c r="L28" s="65">
        <f>'2019_FUN_mensual_AMB_225'!L28*14</f>
        <v>2237.5776500000002</v>
      </c>
      <c r="M28" s="10">
        <f>'2019_FUN_mensual_AMB_225'!M28*14</f>
        <v>2207.3729999999996</v>
      </c>
      <c r="N28" s="65">
        <f>'2019_FUN_mensual_AMB_225'!N28*14</f>
        <v>1935.6743000000001</v>
      </c>
      <c r="O28" s="10">
        <f>'2019_FUN_mensual_AMB_225'!O28*14</f>
        <v>1784.7942</v>
      </c>
      <c r="P28" s="65">
        <f>'2019_FUN_mensual_AMB_225'!P28*14</f>
        <v>1633.4846500000001</v>
      </c>
      <c r="Q28" s="10">
        <f>'2019_FUN_mensual_AMB_225'!Q28*14</f>
        <v>1204.60725</v>
      </c>
    </row>
    <row r="29" spans="1:17" s="1" customFormat="1" x14ac:dyDescent="0.25">
      <c r="E29" s="10"/>
      <c r="F29" s="10"/>
      <c r="G29" s="10"/>
      <c r="H29" s="10"/>
      <c r="I29" s="10"/>
      <c r="J29" s="10"/>
      <c r="K29" s="65"/>
      <c r="L29" s="65"/>
      <c r="M29" s="10"/>
      <c r="N29" s="65"/>
      <c r="O29" s="10"/>
      <c r="P29" s="65"/>
      <c r="Q29" s="10"/>
    </row>
    <row r="30" spans="1:17" s="1" customFormat="1" x14ac:dyDescent="0.25">
      <c r="D30" s="10" t="s">
        <v>11</v>
      </c>
      <c r="E30" s="10">
        <f>'2019_FUN_mensual_AMB_225'!E30*14</f>
        <v>5244.1570999999994</v>
      </c>
      <c r="F30" s="10">
        <f>'2019_FUN_mensual_AMB_225'!F30*14</f>
        <v>3838.9966999999997</v>
      </c>
      <c r="G30" s="10">
        <f>'2019_FUN_mensual_AMB_225'!G30*14</f>
        <v>5479.6388500000003</v>
      </c>
      <c r="H30" s="10">
        <f>'2019_FUN_mensual_AMB_225'!H30*14</f>
        <v>3566.2959499999997</v>
      </c>
      <c r="I30" s="10">
        <f>'2019_FUN_mensual_AMB_225'!I30*14</f>
        <v>2819.33925</v>
      </c>
      <c r="J30" s="10">
        <f>'2019_FUN_mensual_AMB_225'!J30*14</f>
        <v>2749.0526</v>
      </c>
      <c r="K30" s="65">
        <f>'2019_FUN_mensual_AMB_225'!K30*14</f>
        <v>2724.4307999999996</v>
      </c>
      <c r="L30" s="65">
        <f>'2019_FUN_mensual_AMB_225'!L30*14</f>
        <v>2731.0156999999999</v>
      </c>
      <c r="M30" s="10">
        <f>'2019_FUN_mensual_AMB_225'!M30*14</f>
        <v>2707.6822500000003</v>
      </c>
      <c r="N30" s="65">
        <f>'2019_FUN_mensual_AMB_225'!N30*14</f>
        <v>2586.2910499999998</v>
      </c>
      <c r="O30" s="10">
        <f>'2019_FUN_mensual_AMB_225'!O30*14</f>
        <v>2591.44445</v>
      </c>
      <c r="P30" s="65">
        <f>'2019_FUN_mensual_AMB_225'!P30*14</f>
        <v>2496.8222999999998</v>
      </c>
      <c r="Q30" s="10">
        <f>'2019_FUN_mensual_AMB_225'!Q30*14</f>
        <v>3019.0335</v>
      </c>
    </row>
    <row r="31" spans="1:17" s="1" customFormat="1" x14ac:dyDescent="0.25">
      <c r="D31" s="34"/>
      <c r="E31" s="34">
        <f>SUM(E24:E30)</f>
        <v>57777.287499999991</v>
      </c>
      <c r="F31" s="34">
        <f t="shared" ref="F31:Q31" si="1">SUM(F24:F30)</f>
        <v>52129.304250000001</v>
      </c>
      <c r="G31" s="34">
        <f t="shared" si="1"/>
        <v>51257.795150000005</v>
      </c>
      <c r="H31" s="34">
        <f t="shared" si="1"/>
        <v>48591.104900000006</v>
      </c>
      <c r="I31" s="34">
        <f t="shared" si="1"/>
        <v>46937.611449999989</v>
      </c>
      <c r="J31" s="34">
        <f t="shared" si="1"/>
        <v>45961.532149999999</v>
      </c>
      <c r="K31" s="66">
        <f t="shared" si="1"/>
        <v>44909.408700000007</v>
      </c>
      <c r="L31" s="66">
        <f t="shared" si="1"/>
        <v>43888.262699999992</v>
      </c>
      <c r="M31" s="34">
        <f t="shared" si="1"/>
        <v>43221.958949999993</v>
      </c>
      <c r="N31" s="66">
        <f t="shared" si="1"/>
        <v>41169.826349999996</v>
      </c>
      <c r="O31" s="34">
        <f t="shared" si="1"/>
        <v>39887.6976</v>
      </c>
      <c r="P31" s="66">
        <f t="shared" si="1"/>
        <v>38505.914399999994</v>
      </c>
      <c r="Q31" s="34">
        <f t="shared" si="1"/>
        <v>36740.731749999992</v>
      </c>
    </row>
    <row r="32" spans="1:17" s="1" customFormat="1" x14ac:dyDescent="0.25"/>
    <row r="33" spans="1:20" x14ac:dyDescent="0.25">
      <c r="A33" s="36" t="s">
        <v>16</v>
      </c>
    </row>
    <row r="34" spans="1:20" x14ac:dyDescent="0.25">
      <c r="J34">
        <v>22</v>
      </c>
      <c r="K34">
        <v>21</v>
      </c>
      <c r="L34">
        <v>20</v>
      </c>
      <c r="M34">
        <v>19</v>
      </c>
      <c r="N34">
        <v>18</v>
      </c>
      <c r="O34" s="67">
        <v>17</v>
      </c>
      <c r="P34" s="67">
        <v>16</v>
      </c>
      <c r="Q34" s="67">
        <v>15</v>
      </c>
      <c r="R34">
        <v>14</v>
      </c>
      <c r="S34" s="67">
        <v>13</v>
      </c>
      <c r="T34">
        <v>12</v>
      </c>
    </row>
    <row r="35" spans="1:20" x14ac:dyDescent="0.25">
      <c r="J35" s="9"/>
      <c r="K35" s="9"/>
      <c r="L35" s="9"/>
      <c r="M35" s="9"/>
      <c r="N35" s="9"/>
      <c r="O35" s="70"/>
      <c r="P35" s="70"/>
      <c r="Q35" s="70"/>
      <c r="R35" s="9"/>
      <c r="S35" s="70"/>
      <c r="T35" s="9"/>
    </row>
    <row r="36" spans="1:20" s="1" customFormat="1" x14ac:dyDescent="0.25">
      <c r="I36" s="54"/>
      <c r="J36" s="53"/>
      <c r="K36" s="53"/>
      <c r="L36" s="53"/>
      <c r="M36" s="53"/>
      <c r="N36" s="53"/>
      <c r="O36" s="68"/>
      <c r="P36" s="68"/>
      <c r="Q36" s="68"/>
      <c r="R36" s="53"/>
      <c r="S36" s="68"/>
      <c r="T36" s="53"/>
    </row>
    <row r="37" spans="1:20" s="1" customFormat="1" x14ac:dyDescent="0.25">
      <c r="O37" s="69"/>
      <c r="P37" s="69"/>
      <c r="Q37" s="69"/>
      <c r="S37" s="69"/>
    </row>
    <row r="38" spans="1:20" s="1" customFormat="1" x14ac:dyDescent="0.25">
      <c r="I38" s="10" t="s">
        <v>6</v>
      </c>
      <c r="J38" s="10"/>
      <c r="K38" s="10">
        <f>'2019_FUN_mensual_AMB_225'!K38*12+'2019_FUN_mensual_AMB_225'!$B$68*2</f>
        <v>10491.240000000002</v>
      </c>
      <c r="L38" s="10">
        <f>'2019_FUN_mensual_AMB_225'!L38*12+'2019_FUN_mensual_AMB_225'!$B$68*2</f>
        <v>10491.240000000002</v>
      </c>
      <c r="M38" s="10">
        <f>'2019_FUN_mensual_AMB_225'!M38*12+'2019_FUN_mensual_AMB_225'!$B$68*2</f>
        <v>10491.240000000002</v>
      </c>
      <c r="N38" s="10">
        <f>'2019_FUN_mensual_AMB_225'!N38*12+'2019_FUN_mensual_AMB_225'!$B$68*2</f>
        <v>10491.240000000002</v>
      </c>
      <c r="O38" s="65">
        <f>'2019_FUN_mensual_AMB_225'!O38*12+'2019_FUN_mensual_AMB_225'!$B$68*2</f>
        <v>10491.240000000002</v>
      </c>
      <c r="P38" s="65">
        <f>'2019_FUN_mensual_AMB_225'!P38*12+'2019_FUN_mensual_AMB_225'!$B$68*2</f>
        <v>10491.240000000002</v>
      </c>
      <c r="Q38" s="65">
        <f>'2019_FUN_mensual_AMB_225'!Q38*12+'2019_FUN_mensual_AMB_225'!$B$68*2</f>
        <v>10491.240000000002</v>
      </c>
      <c r="R38" s="10">
        <f>'2019_FUN_mensual_AMB_225'!R38*12+'2019_FUN_mensual_AMB_225'!$B$68*2</f>
        <v>10491.240000000002</v>
      </c>
      <c r="S38" s="65">
        <f>'2019_FUN_mensual_AMB_225'!S38*12+'2019_FUN_mensual_AMB_225'!$B$68*2</f>
        <v>10491.240000000002</v>
      </c>
      <c r="T38" s="10">
        <f>'2019_FUN_mensual_AMB_225'!T38*12+'2019_FUN_mensual_AMB_225'!$B$68*2</f>
        <v>10491.240000000002</v>
      </c>
    </row>
    <row r="39" spans="1:20" s="1" customFormat="1" x14ac:dyDescent="0.25">
      <c r="I39" s="10" t="s">
        <v>7</v>
      </c>
      <c r="J39" s="10"/>
      <c r="K39" s="10">
        <f>'2019_FUN_mensual_AMB_225'!K39*14</f>
        <v>7033.6</v>
      </c>
      <c r="L39" s="10">
        <f>'2019_FUN_mensual_AMB_225'!L39*14</f>
        <v>6533.52</v>
      </c>
      <c r="M39" s="10">
        <f>'2019_FUN_mensual_AMB_225'!M39*14</f>
        <v>6200.0399999999991</v>
      </c>
      <c r="N39" s="10">
        <f>'2019_FUN_mensual_AMB_225'!N39*14</f>
        <v>5866.28</v>
      </c>
      <c r="O39" s="65">
        <f>'2019_FUN_mensual_AMB_225'!O39*14</f>
        <v>5532.52</v>
      </c>
      <c r="P39" s="65">
        <f>'2019_FUN_mensual_AMB_225'!P39*14</f>
        <v>5199.7400000000007</v>
      </c>
      <c r="Q39" s="65">
        <f>'2019_FUN_mensual_AMB_225'!Q39*14</f>
        <v>4865.5599999999995</v>
      </c>
      <c r="R39" s="10">
        <f>'2019_FUN_mensual_AMB_225'!R39*14</f>
        <v>4532.3600000000006</v>
      </c>
      <c r="S39" s="65">
        <f>'2019_FUN_mensual_AMB_225'!S39*14</f>
        <v>4198.32</v>
      </c>
      <c r="T39" s="10">
        <f>'2019_FUN_mensual_AMB_225'!T39*14</f>
        <v>3864.5600000000004</v>
      </c>
    </row>
    <row r="40" spans="1:20" s="1" customFormat="1" x14ac:dyDescent="0.25">
      <c r="I40" s="10" t="s">
        <v>8</v>
      </c>
      <c r="J40" s="10"/>
      <c r="K40" s="10">
        <f>'2019_FUN_mensual_AMB_225'!K40*14</f>
        <v>18060.949199999999</v>
      </c>
      <c r="L40" s="10">
        <f>'2019_FUN_mensual_AMB_225'!L40*14</f>
        <v>17795.262799999997</v>
      </c>
      <c r="M40" s="10">
        <f>'2019_FUN_mensual_AMB_225'!M40*14</f>
        <v>16990.61665</v>
      </c>
      <c r="N40" s="10">
        <f>'2019_FUN_mensual_AMB_225'!N40*14</f>
        <v>16395.398949999999</v>
      </c>
      <c r="O40" s="65">
        <f>'2019_FUN_mensual_AMB_225'!O40*14</f>
        <v>14746.167799999997</v>
      </c>
      <c r="P40" s="65">
        <f>'2019_FUN_mensual_AMB_225'!P40*14</f>
        <v>13592.092499999999</v>
      </c>
      <c r="Q40" s="65">
        <f>'2019_FUN_mensual_AMB_225'!Q40*14</f>
        <v>11941.8593</v>
      </c>
      <c r="R40" s="10">
        <f>'2019_FUN_mensual_AMB_225'!R40*14</f>
        <v>10989.6255</v>
      </c>
      <c r="S40" s="65">
        <f>'2019_FUN_mensual_AMB_225'!S40*14</f>
        <v>10318.8246</v>
      </c>
      <c r="T40" s="10">
        <f>'2019_FUN_mensual_AMB_225'!T40*14</f>
        <v>9035.7711500000005</v>
      </c>
    </row>
    <row r="41" spans="1:20" s="1" customFormat="1" x14ac:dyDescent="0.25">
      <c r="I41" s="10" t="s">
        <v>9</v>
      </c>
      <c r="J41" s="10"/>
      <c r="K41" s="10">
        <f>'2019_FUN_mensual_AMB_225'!K41*14</f>
        <v>2965.4953999999998</v>
      </c>
      <c r="L41" s="10">
        <f>'2019_FUN_mensual_AMB_225'!L41*14</f>
        <v>2901.6504999999997</v>
      </c>
      <c r="M41" s="10">
        <f>'2019_FUN_mensual_AMB_225'!M41*14</f>
        <v>2806.7420499999998</v>
      </c>
      <c r="N41" s="10">
        <f>'2019_FUN_mensual_AMB_225'!N41*14</f>
        <v>2729.4410499999999</v>
      </c>
      <c r="O41" s="65">
        <f>'2019_FUN_mensual_AMB_225'!O41*14</f>
        <v>2564.2459499999995</v>
      </c>
      <c r="P41" s="65">
        <f>'2019_FUN_mensual_AMB_225'!P41*14</f>
        <v>2440.2780499999999</v>
      </c>
      <c r="Q41" s="65">
        <f>'2019_FUN_mensual_AMB_225'!Q41*14</f>
        <v>2274.9397999999997</v>
      </c>
      <c r="R41" s="10">
        <f>'2019_FUN_mensual_AMB_225'!R41*14</f>
        <v>2167.7204499999998</v>
      </c>
      <c r="S41" s="65">
        <f>'2019_FUN_mensual_AMB_225'!S41*14</f>
        <v>2083.9776999999999</v>
      </c>
      <c r="T41" s="10">
        <f>'2019_FUN_mensual_AMB_225'!T41*14</f>
        <v>1949.2735499999999</v>
      </c>
    </row>
    <row r="42" spans="1:20" s="1" customFormat="1" x14ac:dyDescent="0.25">
      <c r="I42" s="10" t="s">
        <v>10</v>
      </c>
      <c r="J42" s="10"/>
      <c r="K42" s="10">
        <f>'2019_FUN_mensual_AMB_225'!K42*14</f>
        <v>3054.8209999999999</v>
      </c>
      <c r="L42" s="10">
        <f>'2019_FUN_mensual_AMB_225'!L42*14</f>
        <v>3030.0560499999997</v>
      </c>
      <c r="M42" s="10">
        <f>'2019_FUN_mensual_AMB_225'!M42*14</f>
        <v>2856.7013999999999</v>
      </c>
      <c r="N42" s="10">
        <f>'2019_FUN_mensual_AMB_225'!N42*14</f>
        <v>2735.73965</v>
      </c>
      <c r="O42" s="65">
        <f>'2019_FUN_mensual_AMB_225'!O42*14</f>
        <v>2351.23875</v>
      </c>
      <c r="P42" s="65">
        <f>'2019_FUN_mensual_AMB_225'!P42*14</f>
        <v>2090.4194499999999</v>
      </c>
      <c r="Q42" s="65">
        <f>'2019_FUN_mensual_AMB_225'!Q42*14</f>
        <v>1705.7754</v>
      </c>
      <c r="R42" s="10">
        <f>'2019_FUN_mensual_AMB_225'!R42*14</f>
        <v>1495.4880499999999</v>
      </c>
      <c r="S42" s="65">
        <f>'2019_FUN_mensual_AMB_225'!S42*14</f>
        <v>1355.6305</v>
      </c>
      <c r="T42" s="10">
        <f>'2019_FUN_mensual_AMB_225'!T42*14</f>
        <v>1062.6024500000001</v>
      </c>
    </row>
    <row r="43" spans="1:20" s="1" customFormat="1" x14ac:dyDescent="0.25">
      <c r="J43" s="19"/>
      <c r="K43" s="10"/>
      <c r="L43" s="10"/>
      <c r="M43" s="10"/>
      <c r="N43" s="10"/>
      <c r="O43" s="65"/>
      <c r="P43" s="65"/>
      <c r="Q43" s="65"/>
      <c r="R43" s="10"/>
      <c r="S43" s="65"/>
      <c r="T43" s="10"/>
    </row>
    <row r="44" spans="1:20" s="1" customFormat="1" x14ac:dyDescent="0.25">
      <c r="I44" s="10" t="s">
        <v>31</v>
      </c>
      <c r="J44" s="10"/>
      <c r="K44" s="10">
        <f>'2019_FUN_mensual_AMB_225'!K44*14</f>
        <v>5729.0061500000002</v>
      </c>
      <c r="L44" s="10">
        <f>'2019_FUN_mensual_AMB_225'!L44*14</f>
        <v>5507.8393999999998</v>
      </c>
      <c r="M44" s="10">
        <f>'2019_FUN_mensual_AMB_225'!M44*14</f>
        <v>4787.7948999999999</v>
      </c>
      <c r="N44" s="10">
        <f>'2019_FUN_mensual_AMB_225'!N44*14</f>
        <v>2651.8537500000002</v>
      </c>
      <c r="O44" s="65">
        <f>'2019_FUN_mensual_AMB_225'!O44*14</f>
        <v>3129.6884499999996</v>
      </c>
      <c r="P44" s="65">
        <f>'2019_FUN_mensual_AMB_225'!P44*14</f>
        <v>2320.0320499999998</v>
      </c>
      <c r="Q44" s="65">
        <f>'2019_FUN_mensual_AMB_225'!Q44*14</f>
        <v>2851.9774499999999</v>
      </c>
      <c r="R44" s="10">
        <f>'2019_FUN_mensual_AMB_225'!R44*14</f>
        <v>3161.18145</v>
      </c>
      <c r="S44" s="65">
        <f>'2019_FUN_mensual_AMB_225'!S44*14</f>
        <v>3019.3197999999998</v>
      </c>
      <c r="T44" s="10">
        <f>'2019_FUN_mensual_AMB_225'!T44*14</f>
        <v>2571.4034499999998</v>
      </c>
    </row>
    <row r="45" spans="1:20" s="1" customFormat="1" x14ac:dyDescent="0.25">
      <c r="I45" s="34"/>
      <c r="J45" s="34"/>
      <c r="K45" s="34">
        <f>SUM(K38:K44)</f>
        <v>47335.111749999996</v>
      </c>
      <c r="L45" s="34">
        <f t="shared" ref="L45:T45" si="2">SUM(L38:L44)</f>
        <v>46259.568749999991</v>
      </c>
      <c r="M45" s="34">
        <f t="shared" si="2"/>
        <v>44133.134999999995</v>
      </c>
      <c r="N45" s="34">
        <f t="shared" si="2"/>
        <v>40869.953400000006</v>
      </c>
      <c r="O45" s="66">
        <f t="shared" si="2"/>
        <v>38815.100949999993</v>
      </c>
      <c r="P45" s="66">
        <f t="shared" si="2"/>
        <v>36133.802050000006</v>
      </c>
      <c r="Q45" s="66">
        <f t="shared" si="2"/>
        <v>34131.351949999997</v>
      </c>
      <c r="R45" s="34">
        <f t="shared" si="2"/>
        <v>32837.615449999998</v>
      </c>
      <c r="S45" s="66">
        <f t="shared" si="2"/>
        <v>31467.312600000001</v>
      </c>
      <c r="T45" s="34">
        <f t="shared" si="2"/>
        <v>28974.850599999998</v>
      </c>
    </row>
    <row r="46" spans="1:20" s="1" customFormat="1" x14ac:dyDescent="0.25"/>
    <row r="47" spans="1:20" x14ac:dyDescent="0.25">
      <c r="A47" s="36" t="s">
        <v>17</v>
      </c>
    </row>
    <row r="48" spans="1:20" x14ac:dyDescent="0.25">
      <c r="A48" t="s">
        <v>39</v>
      </c>
      <c r="C48" s="1">
        <f>'2019_FUN_mensual_AMB_225'!C60</f>
        <v>27.95</v>
      </c>
    </row>
    <row r="49" spans="1:23" x14ac:dyDescent="0.25">
      <c r="C49" s="1"/>
      <c r="M49" s="131"/>
    </row>
    <row r="50" spans="1:23" x14ac:dyDescent="0.25">
      <c r="C50" s="1"/>
      <c r="N50" s="118">
        <v>18</v>
      </c>
      <c r="O50" s="67">
        <v>17</v>
      </c>
      <c r="P50" s="113">
        <v>16</v>
      </c>
      <c r="Q50" s="118">
        <v>15</v>
      </c>
      <c r="R50" s="113">
        <v>14</v>
      </c>
      <c r="S50" s="118">
        <v>13</v>
      </c>
      <c r="T50" s="67">
        <v>12</v>
      </c>
      <c r="U50" s="67">
        <v>11</v>
      </c>
      <c r="V50" s="118">
        <v>10</v>
      </c>
      <c r="W50" s="118">
        <v>9</v>
      </c>
    </row>
    <row r="51" spans="1:23" x14ac:dyDescent="0.25">
      <c r="C51" s="1"/>
      <c r="N51" s="119"/>
      <c r="O51" s="70"/>
      <c r="P51" s="114"/>
      <c r="Q51" s="119"/>
      <c r="R51" s="114"/>
      <c r="S51" s="119"/>
      <c r="T51" s="70"/>
      <c r="U51" s="70"/>
      <c r="V51" s="119"/>
      <c r="W51" s="119"/>
    </row>
    <row r="52" spans="1:23" x14ac:dyDescent="0.25">
      <c r="C52" s="1"/>
      <c r="M52" s="54"/>
      <c r="N52" s="120"/>
      <c r="O52" s="68"/>
      <c r="P52" s="115"/>
      <c r="Q52" s="120"/>
      <c r="R52" s="115"/>
      <c r="S52" s="120"/>
      <c r="T52" s="68"/>
      <c r="U52" s="68"/>
      <c r="V52" s="120"/>
      <c r="W52" s="120"/>
    </row>
    <row r="53" spans="1:23" x14ac:dyDescent="0.25">
      <c r="C53" s="1"/>
      <c r="M53" s="1"/>
      <c r="N53" s="121"/>
      <c r="O53" s="69"/>
      <c r="P53" s="116"/>
      <c r="Q53" s="121"/>
      <c r="R53" s="116"/>
      <c r="S53" s="120"/>
      <c r="T53" s="65"/>
      <c r="U53" s="69"/>
      <c r="V53" s="121"/>
      <c r="W53" s="121"/>
    </row>
    <row r="54" spans="1:23" x14ac:dyDescent="0.25">
      <c r="C54" s="1"/>
      <c r="M54" s="10" t="s">
        <v>6</v>
      </c>
      <c r="N54" s="122">
        <f>'2019_FUN_mensual_AMB_225'!N52*12+'2019_FUN_mensual_AMB_225'!$B$69*2</f>
        <v>8892.5400000000009</v>
      </c>
      <c r="O54" s="65">
        <f>'2019_FUN_mensual_AMB_225'!O52*12+'2019_FUN_mensual_AMB_225'!$B$69*2</f>
        <v>8892.5400000000009</v>
      </c>
      <c r="P54" s="112">
        <f>'2019_FUN_mensual_AMB_225'!P52*12+'2019_FUN_mensual_AMB_225'!$B$69*2</f>
        <v>8892.5400000000009</v>
      </c>
      <c r="Q54" s="122">
        <f>'2019_FUN_mensual_AMB_225'!Q52*12+'2019_FUN_mensual_AMB_225'!$B$69*2</f>
        <v>8892.5400000000009</v>
      </c>
      <c r="R54" s="112">
        <f>'2019_FUN_mensual_AMB_225'!R52*12+'2019_FUN_mensual_AMB_225'!$B$69*2</f>
        <v>8892.5400000000009</v>
      </c>
      <c r="S54" s="120">
        <f>'2019_FUN_mensual_AMB_225'!S52*12+'2019_FUN_mensual_AMB_225'!$B$69*2</f>
        <v>8892.5400000000009</v>
      </c>
      <c r="T54" s="65">
        <f>'2019_FUN_mensual_AMB_225'!T52*12+'2019_FUN_mensual_AMB_225'!$B$69*2</f>
        <v>8892.5400000000009</v>
      </c>
      <c r="U54" s="99">
        <f>'2019_FUN_mensual_AMB_225'!U52*12+'2019_FUN_mensual_AMB_225'!$B$69*2</f>
        <v>8892.5400000000009</v>
      </c>
      <c r="V54" s="122">
        <f>'2019_FUN_mensual_AMB_225'!V52*12+'2019_FUN_mensual_AMB_225'!$B$69*2</f>
        <v>8892.5400000000009</v>
      </c>
      <c r="W54" s="122">
        <f>'2019_FUN_mensual_AMB_225'!W52*12+'2019_FUN_mensual_AMB_225'!$B$69*2</f>
        <v>8892.5400000000009</v>
      </c>
    </row>
    <row r="55" spans="1:23" x14ac:dyDescent="0.25">
      <c r="C55" s="1"/>
      <c r="M55" s="10" t="s">
        <v>7</v>
      </c>
      <c r="N55" s="122">
        <f>'2019_FUN_mensual_AMB_225'!N53*14</f>
        <v>5866.28</v>
      </c>
      <c r="O55" s="65">
        <f>'2019_FUN_mensual_AMB_225'!O53*14</f>
        <v>5532.52</v>
      </c>
      <c r="P55" s="112">
        <f>'2019_FUN_mensual_AMB_225'!P53*14</f>
        <v>5199.7400000000007</v>
      </c>
      <c r="Q55" s="122">
        <f>'2019_FUN_mensual_AMB_225'!Q53*14</f>
        <v>4865.5599999999995</v>
      </c>
      <c r="R55" s="112">
        <f>'2019_FUN_mensual_AMB_225'!R53*14</f>
        <v>4532.3600000000006</v>
      </c>
      <c r="S55" s="120">
        <f>'2019_FUN_mensual_AMB_225'!S53*14</f>
        <v>4198.32</v>
      </c>
      <c r="T55" s="65">
        <f>'2019_FUN_mensual_AMB_225'!T53*14</f>
        <v>3864.5600000000004</v>
      </c>
      <c r="U55" s="99">
        <f>'2019_FUN_mensual_AMB_225'!U53*14</f>
        <v>3530.8</v>
      </c>
      <c r="V55" s="122">
        <f>'2019_FUN_mensual_AMB_225'!V53*14</f>
        <v>3197.74</v>
      </c>
      <c r="W55" s="122">
        <f>'2019_FUN_mensual_AMB_225'!W53*14</f>
        <v>3031.14</v>
      </c>
    </row>
    <row r="56" spans="1:23" x14ac:dyDescent="0.25">
      <c r="A56" t="s">
        <v>40</v>
      </c>
      <c r="C56" s="1">
        <f>'2019_FUN_mensual_AMB_225'!C61</f>
        <v>19.02</v>
      </c>
      <c r="M56" s="10" t="s">
        <v>8</v>
      </c>
      <c r="N56" s="122">
        <f>'2019_FUN_mensual_AMB_225'!N54*14</f>
        <v>14077.370999999999</v>
      </c>
      <c r="O56" s="65">
        <f>'2019_FUN_mensual_AMB_225'!O54*14</f>
        <v>13493.17585</v>
      </c>
      <c r="P56" s="112">
        <f>'2019_FUN_mensual_AMB_225'!P54*14</f>
        <v>13005.03435</v>
      </c>
      <c r="Q56" s="122">
        <f>'2019_FUN_mensual_AMB_225'!Q54*14</f>
        <v>11608.892400000001</v>
      </c>
      <c r="R56" s="112">
        <f>'2019_FUN_mensual_AMB_225'!R54*14</f>
        <v>10859.9316</v>
      </c>
      <c r="S56" s="120">
        <f>'2019_FUN_mensual_AMB_225'!S54*14</f>
        <v>9459.7814500000004</v>
      </c>
      <c r="T56" s="65">
        <f>'2019_FUN_mensual_AMB_225'!T54*14</f>
        <v>9830.1105000000007</v>
      </c>
      <c r="U56" s="99">
        <f>'2019_FUN_mensual_AMB_225'!U54*14</f>
        <v>9876.634250000001</v>
      </c>
      <c r="V56" s="122">
        <f>'2019_FUN_mensual_AMB_225'!V54*14</f>
        <v>8225.9715999999989</v>
      </c>
      <c r="W56" s="122">
        <f>'2019_FUN_mensual_AMB_225'!W54*14</f>
        <v>6970.6892499999994</v>
      </c>
    </row>
    <row r="57" spans="1:23" x14ac:dyDescent="0.25">
      <c r="C57" s="1"/>
      <c r="M57" s="10" t="s">
        <v>33</v>
      </c>
      <c r="N57" s="122">
        <f>'2019_FUN_mensual_AMB_225'!N55*14</f>
        <v>2397.0467499999995</v>
      </c>
      <c r="O57" s="65">
        <f>'2019_FUN_mensual_AMB_225'!O55*14</f>
        <v>2326.6169500000001</v>
      </c>
      <c r="P57" s="112">
        <f>'2019_FUN_mensual_AMB_225'!P55*14</f>
        <v>2252.6084000000001</v>
      </c>
      <c r="Q57" s="122">
        <f>'2019_FUN_mensual_AMB_225'!Q55*14</f>
        <v>2180.0313499999997</v>
      </c>
      <c r="R57" s="112">
        <f>'2019_FUN_mensual_AMB_225'!R55*14</f>
        <v>2092.1372500000002</v>
      </c>
      <c r="S57" s="120">
        <f>'2019_FUN_mensual_AMB_225'!S55*14</f>
        <v>2009.6828499999997</v>
      </c>
      <c r="T57" s="65">
        <f>'2019_FUN_mensual_AMB_225'!T55*14</f>
        <v>1882.2793500000002</v>
      </c>
      <c r="U57" s="99">
        <f>'2019_FUN_mensual_AMB_225'!U55*14</f>
        <v>1858.2301500000001</v>
      </c>
      <c r="V57" s="122">
        <f>'2019_FUN_mensual_AMB_225'!V55*14</f>
        <v>1693.03505</v>
      </c>
      <c r="W57" s="122">
        <f>'2019_FUN_mensual_AMB_225'!W55*14</f>
        <v>1574.5068499999998</v>
      </c>
    </row>
    <row r="58" spans="1:23" x14ac:dyDescent="0.25">
      <c r="C58" s="1"/>
      <c r="M58" s="10" t="s">
        <v>10</v>
      </c>
      <c r="N58" s="122">
        <f>'2019_FUN_mensual_AMB_225'!N56*14</f>
        <v>2271.5042000000003</v>
      </c>
      <c r="O58" s="65">
        <f>'2019_FUN_mensual_AMB_225'!O56*14</f>
        <v>2171.2992000000004</v>
      </c>
      <c r="P58" s="112">
        <f>'2019_FUN_mensual_AMB_225'!P56*14</f>
        <v>2060.2147999999997</v>
      </c>
      <c r="Q58" s="122">
        <f>'2019_FUN_mensual_AMB_225'!Q56*14</f>
        <v>1954.2838000000002</v>
      </c>
      <c r="R58" s="112">
        <f>'2019_FUN_mensual_AMB_225'!R56*14</f>
        <v>1801.9721999999999</v>
      </c>
      <c r="S58" s="120">
        <f>'2019_FUN_mensual_AMB_225'!S56*14</f>
        <v>1665.4070999999999</v>
      </c>
      <c r="T58" s="65">
        <f>'2019_FUN_mensual_AMB_225'!T56*14</f>
        <v>1394.4241499999998</v>
      </c>
      <c r="U58" s="99">
        <f>'2019_FUN_mensual_AMB_225'!U56*14</f>
        <v>1433.93355</v>
      </c>
      <c r="V58" s="122">
        <f>'2019_FUN_mensual_AMB_225'!V56*14</f>
        <v>1049.0031999999999</v>
      </c>
      <c r="W58" s="122">
        <f>'2019_FUN_mensual_AMB_225'!W56*14</f>
        <v>749.10394999999994</v>
      </c>
    </row>
    <row r="59" spans="1:23" x14ac:dyDescent="0.25">
      <c r="C59" s="1"/>
      <c r="M59" s="1"/>
      <c r="N59" s="122"/>
      <c r="O59" s="65"/>
      <c r="P59" s="112"/>
      <c r="Q59" s="122"/>
      <c r="R59" s="112"/>
      <c r="S59" s="120"/>
      <c r="T59" s="65"/>
      <c r="U59" s="99"/>
      <c r="V59" s="122"/>
      <c r="W59" s="122"/>
    </row>
    <row r="60" spans="1:23" x14ac:dyDescent="0.25">
      <c r="M60" s="10" t="s">
        <v>31</v>
      </c>
      <c r="N60" s="122">
        <f>'2019_FUN_mensual_AMB_225'!N58*14</f>
        <v>2947.4584999999997</v>
      </c>
      <c r="O60" s="65">
        <f>'2019_FUN_mensual_AMB_225'!O58*14</f>
        <v>2010.9711999999997</v>
      </c>
      <c r="P60" s="112">
        <f>'2019_FUN_mensual_AMB_225'!P58*14</f>
        <v>2284.1014</v>
      </c>
      <c r="Q60" s="122">
        <f>'2019_FUN_mensual_AMB_225'!Q58*14</f>
        <v>2813.8995499999996</v>
      </c>
      <c r="R60" s="112">
        <f>'2019_FUN_mensual_AMB_225'!R58*14</f>
        <v>2757.3552999999997</v>
      </c>
      <c r="S60" s="120">
        <f>'2019_FUN_mensual_AMB_225'!S58*14</f>
        <v>3331.5299499999996</v>
      </c>
      <c r="T60" s="65">
        <f>'2019_FUN_mensual_AMB_225'!T58*14</f>
        <v>2555.0843500000001</v>
      </c>
      <c r="U60" s="99">
        <f>'2019_FUN_mensual_AMB_225'!U58*14</f>
        <v>2748.48</v>
      </c>
      <c r="V60" s="122">
        <f>'2019_FUN_mensual_AMB_225'!V58*14</f>
        <v>2362.1181499999998</v>
      </c>
      <c r="W60" s="122">
        <f>'2019_FUN_mensual_AMB_225'!W58*14</f>
        <v>2260.3385000000003</v>
      </c>
    </row>
    <row r="61" spans="1:23" s="1" customFormat="1" x14ac:dyDescent="0.25">
      <c r="A61" s="56" t="s">
        <v>99</v>
      </c>
      <c r="B61" s="56"/>
      <c r="C61" s="56"/>
      <c r="D61" s="56"/>
      <c r="E61" s="56"/>
      <c r="G61" s="3"/>
      <c r="H61" s="3"/>
      <c r="I61" s="60" t="s">
        <v>42</v>
      </c>
      <c r="J61" s="3"/>
      <c r="K61" s="3"/>
      <c r="L61" s="3"/>
      <c r="M61" s="10"/>
      <c r="N61" s="123">
        <f>SUM(N54:N60)</f>
        <v>36452.200450000004</v>
      </c>
      <c r="O61" s="65">
        <f>SUM(O54:O60)</f>
        <v>34427.123200000002</v>
      </c>
      <c r="P61" s="112">
        <f t="shared" ref="P61:W61" si="3">SUM(P54:P60)</f>
        <v>33694.238949999999</v>
      </c>
      <c r="Q61" s="122">
        <f t="shared" si="3"/>
        <v>32315.207100000003</v>
      </c>
      <c r="R61" s="112">
        <f t="shared" si="3"/>
        <v>30936.296350000001</v>
      </c>
      <c r="S61" s="120">
        <f t="shared" si="3"/>
        <v>29557.261350000004</v>
      </c>
      <c r="T61" s="65">
        <f t="shared" si="3"/>
        <v>28418.998350000002</v>
      </c>
      <c r="U61" s="99">
        <f t="shared" si="3"/>
        <v>28340.61795</v>
      </c>
      <c r="V61" s="122">
        <f t="shared" si="3"/>
        <v>25420.407999999996</v>
      </c>
      <c r="W61" s="122">
        <f t="shared" si="3"/>
        <v>23478.318550000004</v>
      </c>
    </row>
    <row r="62" spans="1:23" s="1" customFormat="1" x14ac:dyDescent="0.25">
      <c r="A62" s="57" t="s">
        <v>43</v>
      </c>
      <c r="G62" s="3"/>
      <c r="H62" s="3"/>
      <c r="I62" s="61" t="s">
        <v>44</v>
      </c>
      <c r="J62" s="3"/>
      <c r="K62" s="3"/>
      <c r="L62" s="3"/>
      <c r="M62" s="3"/>
      <c r="N62" s="3"/>
      <c r="O62" s="3"/>
      <c r="P62" s="3"/>
      <c r="Q62" s="3"/>
    </row>
    <row r="63" spans="1:23" s="1" customFormat="1" x14ac:dyDescent="0.25">
      <c r="A63" s="56" t="s">
        <v>35</v>
      </c>
      <c r="B63" s="58" t="s">
        <v>45</v>
      </c>
      <c r="C63" s="58" t="s">
        <v>36</v>
      </c>
      <c r="G63" s="3"/>
      <c r="H63" s="3"/>
      <c r="I63" s="62"/>
      <c r="J63" s="3"/>
      <c r="K63" s="3"/>
      <c r="L63" s="59" t="s">
        <v>46</v>
      </c>
      <c r="M63" s="3"/>
      <c r="N63" s="3"/>
      <c r="O63" s="3"/>
      <c r="P63" s="3"/>
      <c r="Q63" s="3"/>
    </row>
    <row r="64" spans="1:23" s="1" customFormat="1" x14ac:dyDescent="0.25">
      <c r="A64" s="1" t="s">
        <v>37</v>
      </c>
      <c r="B64" s="1">
        <f>'2019_LABORALS'!H12</f>
        <v>726.35</v>
      </c>
      <c r="C64" s="1">
        <f>'2019_LABORALS'!D77</f>
        <v>27.95</v>
      </c>
      <c r="G64" s="3"/>
      <c r="H64" s="3"/>
      <c r="I64" s="62"/>
      <c r="J64" s="3"/>
      <c r="K64" s="3"/>
      <c r="L64" s="3"/>
      <c r="M64" s="3"/>
      <c r="N64" s="3"/>
      <c r="O64" s="3"/>
      <c r="P64" s="3"/>
      <c r="Q64" s="3"/>
    </row>
    <row r="65" spans="1:17" s="1" customFormat="1" x14ac:dyDescent="0.25">
      <c r="A65" s="1" t="s">
        <v>38</v>
      </c>
      <c r="B65" s="1">
        <f>'2019_LABORALS'!H25</f>
        <v>742.29</v>
      </c>
      <c r="C65" s="1">
        <f>'2019_LABORALS'!D78</f>
        <v>26.93</v>
      </c>
      <c r="G65" s="3"/>
      <c r="H65" s="3"/>
      <c r="I65" s="62"/>
      <c r="J65" s="3"/>
      <c r="K65" s="3"/>
      <c r="L65" s="3" t="s">
        <v>20</v>
      </c>
      <c r="M65" s="3"/>
      <c r="N65" s="3"/>
      <c r="O65" s="3">
        <v>43.5</v>
      </c>
      <c r="P65" s="3"/>
      <c r="Q65" s="3"/>
    </row>
    <row r="66" spans="1:17" s="1" customFormat="1" x14ac:dyDescent="0.25">
      <c r="A66" s="1" t="s">
        <v>39</v>
      </c>
      <c r="B66" s="1">
        <f>'2019_LABORALS'!H41</f>
        <v>660.48</v>
      </c>
      <c r="C66" s="1">
        <f>'2019_LABORALS'!D79</f>
        <v>24.14</v>
      </c>
      <c r="G66" s="3"/>
      <c r="H66" s="3"/>
      <c r="I66" s="62"/>
      <c r="J66" s="3"/>
      <c r="K66" s="3"/>
      <c r="L66" s="3" t="s">
        <v>21</v>
      </c>
      <c r="M66" s="3"/>
      <c r="N66" s="3"/>
      <c r="O66" s="3">
        <v>136.30000000000001</v>
      </c>
      <c r="P66" s="3"/>
      <c r="Q66" s="3"/>
    </row>
    <row r="67" spans="1:17" s="1" customFormat="1" x14ac:dyDescent="0.25">
      <c r="A67" s="1" t="s">
        <v>40</v>
      </c>
      <c r="B67" s="1">
        <f>'2019_LABORALS'!H55</f>
        <v>630.21</v>
      </c>
      <c r="C67" s="1">
        <f>'2019_LABORALS'!D80</f>
        <v>18.84</v>
      </c>
      <c r="G67" s="3"/>
      <c r="H67" s="3"/>
      <c r="I67" s="62"/>
      <c r="J67" s="3"/>
      <c r="K67" s="3"/>
      <c r="L67" s="3"/>
      <c r="M67" s="3"/>
      <c r="N67" s="3"/>
      <c r="O67" s="3"/>
      <c r="P67" s="3"/>
      <c r="Q67" s="3"/>
    </row>
    <row r="68" spans="1:17" s="1" customFormat="1" x14ac:dyDescent="0.25">
      <c r="G68" s="3"/>
      <c r="H68" s="3"/>
      <c r="I68" s="62"/>
      <c r="J68" s="3"/>
      <c r="K68" s="3"/>
      <c r="L68" s="59" t="s">
        <v>22</v>
      </c>
      <c r="M68" s="3"/>
      <c r="N68" s="3"/>
      <c r="O68" s="3"/>
      <c r="P68" s="63" t="s">
        <v>23</v>
      </c>
      <c r="Q68" s="63" t="s">
        <v>24</v>
      </c>
    </row>
    <row r="69" spans="1:17" s="1" customFormat="1" x14ac:dyDescent="0.25">
      <c r="G69" s="3"/>
      <c r="H69" s="3"/>
      <c r="I69" s="62"/>
      <c r="J69" s="3"/>
      <c r="K69" s="3"/>
      <c r="L69" s="3" t="s">
        <v>25</v>
      </c>
      <c r="M69" s="3"/>
      <c r="N69" s="3"/>
      <c r="O69" s="22">
        <v>0.25219999999999998</v>
      </c>
      <c r="P69" s="3">
        <v>0.19</v>
      </c>
      <c r="Q69" s="22">
        <v>6.2199999999999998E-2</v>
      </c>
    </row>
    <row r="70" spans="1:17" s="1" customFormat="1" x14ac:dyDescent="0.25">
      <c r="G70" s="3"/>
      <c r="H70" s="3"/>
      <c r="I70" s="62" t="s">
        <v>26</v>
      </c>
      <c r="J70" s="3">
        <f>462.645953*1.0175*1.0225</f>
        <v>481.33395796399378</v>
      </c>
      <c r="K70" s="3"/>
      <c r="L70" s="3" t="s">
        <v>27</v>
      </c>
      <c r="M70" s="3"/>
      <c r="N70" s="3"/>
      <c r="O70" s="3">
        <v>9</v>
      </c>
      <c r="P70" s="3">
        <v>0</v>
      </c>
      <c r="Q70" s="3">
        <v>9</v>
      </c>
    </row>
    <row r="71" spans="1:17" s="1" customFormat="1" x14ac:dyDescent="0.25"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</row>
    <row r="72" spans="1:17" s="1" customFormat="1" x14ac:dyDescent="0.25"/>
    <row r="73" spans="1:17" s="1" customFormat="1" x14ac:dyDescent="0.25"/>
    <row r="74" spans="1:17" s="1" customFormat="1" x14ac:dyDescent="0.25"/>
  </sheetData>
  <pageMargins left="0.70866141732283472" right="0.70866141732283472" top="1.05" bottom="0.74803149606299213" header="0.27" footer="0.43"/>
  <pageSetup paperSize="8" scale="64" orientation="landscape" r:id="rId1"/>
  <headerFooter>
    <oddHeader>&amp;L&amp;G</oddHeader>
    <oddFooter>&amp;R&amp;G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72"/>
  <sheetViews>
    <sheetView workbookViewId="0">
      <selection activeCell="B9" sqref="B9"/>
    </sheetView>
  </sheetViews>
  <sheetFormatPr baseColWidth="10" defaultRowHeight="15" x14ac:dyDescent="0.25"/>
  <sheetData>
    <row r="1" spans="1:15" x14ac:dyDescent="0.25">
      <c r="A1" t="s">
        <v>0</v>
      </c>
    </row>
    <row r="2" spans="1:15" x14ac:dyDescent="0.25">
      <c r="A2" t="s">
        <v>1</v>
      </c>
    </row>
    <row r="4" spans="1:15" x14ac:dyDescent="0.25">
      <c r="A4" t="s">
        <v>2</v>
      </c>
    </row>
    <row r="5" spans="1:15" x14ac:dyDescent="0.25">
      <c r="B5">
        <v>30</v>
      </c>
      <c r="C5">
        <v>29</v>
      </c>
      <c r="D5">
        <v>28</v>
      </c>
      <c r="E5">
        <v>27</v>
      </c>
      <c r="F5">
        <v>26</v>
      </c>
      <c r="G5">
        <v>25</v>
      </c>
      <c r="H5">
        <v>24</v>
      </c>
      <c r="I5">
        <v>23</v>
      </c>
      <c r="J5">
        <v>22</v>
      </c>
      <c r="K5">
        <v>21</v>
      </c>
      <c r="L5">
        <v>20</v>
      </c>
      <c r="M5" t="s">
        <v>3</v>
      </c>
      <c r="N5" t="s">
        <v>4</v>
      </c>
      <c r="O5" t="s">
        <v>5</v>
      </c>
    </row>
    <row r="6" spans="1:15" s="1" customFormat="1" x14ac:dyDescent="0.25"/>
    <row r="7" spans="1:15" s="1" customFormat="1" x14ac:dyDescent="0.25">
      <c r="B7" s="1">
        <v>72987.198689000012</v>
      </c>
      <c r="C7" s="1">
        <v>69099.098092999993</v>
      </c>
      <c r="D7" s="1">
        <v>65211.107690999997</v>
      </c>
      <c r="E7" s="1">
        <v>57357.466579</v>
      </c>
      <c r="F7" s="1">
        <v>52077.158845000005</v>
      </c>
      <c r="G7" s="1">
        <v>50873.366070000004</v>
      </c>
      <c r="H7" s="1">
        <v>49669.624244999999</v>
      </c>
      <c r="I7" s="1">
        <v>48683.098644999991</v>
      </c>
      <c r="J7" s="1">
        <v>47696.266311000007</v>
      </c>
      <c r="K7" s="1">
        <v>45220.753505000008</v>
      </c>
      <c r="L7" s="1">
        <v>42746.164436999999</v>
      </c>
      <c r="M7" s="1">
        <v>39200.582465000007</v>
      </c>
      <c r="N7" s="1">
        <v>35443.156326000004</v>
      </c>
      <c r="O7" s="1">
        <v>31309.364291999998</v>
      </c>
    </row>
    <row r="8" spans="1:15" s="1" customFormat="1" x14ac:dyDescent="0.25"/>
    <row r="9" spans="1:15" s="1" customFormat="1" x14ac:dyDescent="0.25">
      <c r="A9" s="1" t="s">
        <v>6</v>
      </c>
      <c r="B9" s="1">
        <v>14972.58</v>
      </c>
      <c r="C9" s="1">
        <v>14972.58</v>
      </c>
      <c r="D9" s="1">
        <v>14972.58</v>
      </c>
      <c r="E9" s="1">
        <v>14972.58</v>
      </c>
      <c r="F9" s="1">
        <v>14972.58</v>
      </c>
      <c r="G9" s="1">
        <v>14972.58</v>
      </c>
      <c r="H9" s="1">
        <v>14972.58</v>
      </c>
      <c r="I9" s="1">
        <v>14972.58</v>
      </c>
      <c r="J9" s="1">
        <v>14972.58</v>
      </c>
      <c r="K9" s="1">
        <v>14972.58</v>
      </c>
      <c r="L9" s="1">
        <v>14972.58</v>
      </c>
      <c r="M9" s="1">
        <v>14972.58</v>
      </c>
      <c r="N9" s="1">
        <v>14972.58</v>
      </c>
      <c r="O9" s="1">
        <v>14972.58</v>
      </c>
    </row>
    <row r="10" spans="1:15" s="1" customFormat="1" x14ac:dyDescent="0.25">
      <c r="A10" s="1" t="s">
        <v>7</v>
      </c>
      <c r="B10" s="1">
        <v>13835.22</v>
      </c>
      <c r="C10" s="1">
        <v>12409.6</v>
      </c>
      <c r="D10" s="1">
        <v>11887.96</v>
      </c>
      <c r="E10" s="1">
        <v>11365.9</v>
      </c>
      <c r="F10" s="1">
        <v>9971.5</v>
      </c>
      <c r="G10" s="1">
        <v>8847.02</v>
      </c>
      <c r="H10" s="1">
        <v>8324.9599999999991</v>
      </c>
      <c r="I10" s="1">
        <v>7803.6</v>
      </c>
      <c r="J10" s="1">
        <v>7281.26</v>
      </c>
      <c r="K10" s="1">
        <v>6760.32</v>
      </c>
      <c r="L10" s="1">
        <v>6279.7</v>
      </c>
      <c r="M10" s="1">
        <v>6279.7</v>
      </c>
      <c r="N10" s="1">
        <v>6279.7</v>
      </c>
      <c r="O10" s="1">
        <v>6279.7</v>
      </c>
    </row>
    <row r="11" spans="1:15" s="1" customFormat="1" x14ac:dyDescent="0.25">
      <c r="A11" s="1" t="s">
        <v>8</v>
      </c>
      <c r="B11" s="1">
        <v>33134.551567000002</v>
      </c>
      <c r="C11" s="1">
        <v>31287.69112</v>
      </c>
      <c r="D11" s="1">
        <v>28762.923218</v>
      </c>
      <c r="E11" s="1">
        <v>23264.237384000004</v>
      </c>
      <c r="F11" s="1">
        <v>20349.811684</v>
      </c>
      <c r="G11" s="1">
        <v>20290.329652999997</v>
      </c>
      <c r="H11" s="1">
        <v>19779.065734</v>
      </c>
      <c r="I11" s="1">
        <v>19430.191533999998</v>
      </c>
      <c r="J11" s="1">
        <v>19081.817183000003</v>
      </c>
      <c r="K11" s="1">
        <v>17615.892679</v>
      </c>
      <c r="L11" s="1">
        <v>16120.415878</v>
      </c>
      <c r="M11" s="1">
        <v>13461.229399</v>
      </c>
      <c r="N11" s="1">
        <v>10643.162345000002</v>
      </c>
      <c r="O11" s="1">
        <v>7542.8132189999997</v>
      </c>
    </row>
    <row r="12" spans="1:15" s="1" customFormat="1" x14ac:dyDescent="0.25">
      <c r="A12" s="1" t="s">
        <v>9</v>
      </c>
      <c r="B12" s="1">
        <v>5161.8284119999998</v>
      </c>
      <c r="C12" s="1">
        <v>4889.1352800000004</v>
      </c>
      <c r="D12" s="1">
        <v>4635.2629930000003</v>
      </c>
      <c r="E12" s="1">
        <v>4133.5370090000006</v>
      </c>
      <c r="F12" s="1">
        <v>3774.4516080000003</v>
      </c>
      <c r="G12" s="1">
        <v>3675.7977369999999</v>
      </c>
      <c r="H12" s="1">
        <v>3589.691096</v>
      </c>
      <c r="I12" s="1">
        <v>3517.1721870000001</v>
      </c>
      <c r="J12" s="1">
        <v>3444.612474</v>
      </c>
      <c r="K12" s="1">
        <v>3279.0298420000004</v>
      </c>
      <c r="L12" s="1">
        <v>3114.3550989999999</v>
      </c>
      <c r="M12" s="1">
        <v>2892.7587760000001</v>
      </c>
      <c r="N12" s="1">
        <v>2657.9215550000004</v>
      </c>
      <c r="O12" s="1">
        <v>2399.5608280000006</v>
      </c>
    </row>
    <row r="13" spans="1:15" s="1" customFormat="1" x14ac:dyDescent="0.25">
      <c r="A13" s="1" t="s">
        <v>10</v>
      </c>
      <c r="B13" s="1">
        <v>5883.0187100000003</v>
      </c>
      <c r="C13" s="1">
        <v>5540.0916930000003</v>
      </c>
      <c r="D13" s="1">
        <v>4952.38148</v>
      </c>
      <c r="E13" s="1">
        <v>3621.2121860000002</v>
      </c>
      <c r="F13" s="1">
        <v>3008.8155530000004</v>
      </c>
      <c r="G13" s="1">
        <v>3087.63868</v>
      </c>
      <c r="H13" s="1">
        <v>3003.3274150000002</v>
      </c>
      <c r="I13" s="1">
        <v>2959.554924</v>
      </c>
      <c r="J13" s="1">
        <v>2915.996654</v>
      </c>
      <c r="K13" s="1">
        <v>2592.9309840000001</v>
      </c>
      <c r="L13" s="1">
        <v>2259.11346</v>
      </c>
      <c r="M13" s="1">
        <v>1594.31429</v>
      </c>
      <c r="N13" s="1">
        <v>889.79242600000009</v>
      </c>
      <c r="O13" s="1">
        <v>114.710245</v>
      </c>
    </row>
    <row r="14" spans="1:15" s="1" customFormat="1" x14ac:dyDescent="0.25">
      <c r="B14" s="1">
        <v>72987.198689000012</v>
      </c>
      <c r="C14" s="1">
        <v>69099.098092999993</v>
      </c>
      <c r="D14" s="1">
        <v>65211.107690999997</v>
      </c>
      <c r="E14" s="1">
        <v>57357.466579</v>
      </c>
      <c r="F14" s="1">
        <v>52077.158845000005</v>
      </c>
      <c r="G14" s="1">
        <v>50873.366070000004</v>
      </c>
      <c r="H14" s="1">
        <v>49669.624244999999</v>
      </c>
      <c r="I14" s="1">
        <v>48683.098644999991</v>
      </c>
      <c r="J14" s="1">
        <v>47696.266311000007</v>
      </c>
      <c r="K14" s="1">
        <v>45220.753505000008</v>
      </c>
      <c r="L14" s="1">
        <v>42746.164436999999</v>
      </c>
      <c r="M14" s="1">
        <v>39200.582465000007</v>
      </c>
      <c r="N14" s="1">
        <v>35443.156326000004</v>
      </c>
      <c r="O14" s="1">
        <v>31309.364291999998</v>
      </c>
    </row>
    <row r="15" spans="1:15" s="1" customFormat="1" x14ac:dyDescent="0.25">
      <c r="A15" s="1" t="s">
        <v>11</v>
      </c>
      <c r="B15" s="1">
        <v>4780.0661879999998</v>
      </c>
      <c r="C15" s="1">
        <v>4780.0661879999998</v>
      </c>
      <c r="D15" s="1">
        <v>3568.0037699999971</v>
      </c>
      <c r="E15" s="1">
        <v>3288.7717970000085</v>
      </c>
      <c r="F15" s="1">
        <v>3031.3393610000007</v>
      </c>
      <c r="G15" s="1">
        <v>3054.5364349999909</v>
      </c>
      <c r="H15" s="1">
        <v>3011.2331900000017</v>
      </c>
      <c r="I15" s="1">
        <v>2954.4850270000043</v>
      </c>
      <c r="J15" s="1">
        <v>2939.7037779999987</v>
      </c>
      <c r="K15" s="1">
        <v>2788.096515999996</v>
      </c>
      <c r="L15" s="1">
        <v>2705.3766069999997</v>
      </c>
      <c r="M15" s="1">
        <v>3316.2328889999999</v>
      </c>
      <c r="N15" s="1">
        <v>3104.7661590000002</v>
      </c>
      <c r="O15" s="1">
        <v>2872.1119520000002</v>
      </c>
    </row>
    <row r="16" spans="1:15" s="1" customFormat="1" x14ac:dyDescent="0.25">
      <c r="B16" s="1">
        <v>77767.264877000009</v>
      </c>
      <c r="C16" s="1">
        <v>73879.16428099999</v>
      </c>
      <c r="D16" s="1">
        <v>68779.111460999993</v>
      </c>
      <c r="E16" s="1">
        <v>60646.238376000008</v>
      </c>
      <c r="F16" s="1">
        <v>55108.498206000004</v>
      </c>
      <c r="G16" s="1">
        <v>53927.902504999991</v>
      </c>
      <c r="H16" s="1">
        <v>52680.857434999998</v>
      </c>
      <c r="I16" s="1">
        <v>51637.583671999993</v>
      </c>
      <c r="J16" s="1">
        <v>50635.970089000002</v>
      </c>
      <c r="K16" s="1">
        <v>48008.850021000006</v>
      </c>
      <c r="L16" s="1">
        <v>45451.541043999998</v>
      </c>
      <c r="M16" s="1">
        <v>42516.815354000006</v>
      </c>
      <c r="N16" s="1">
        <v>38547.922485000003</v>
      </c>
      <c r="O16" s="1">
        <v>34181.476243999998</v>
      </c>
    </row>
    <row r="18" spans="1:17" x14ac:dyDescent="0.25">
      <c r="A18" t="s">
        <v>12</v>
      </c>
    </row>
    <row r="19" spans="1:17" x14ac:dyDescent="0.25">
      <c r="E19" t="s">
        <v>13</v>
      </c>
      <c r="F19" t="s">
        <v>14</v>
      </c>
      <c r="G19">
        <v>25</v>
      </c>
      <c r="H19">
        <v>24</v>
      </c>
      <c r="I19">
        <v>23</v>
      </c>
      <c r="J19">
        <v>22</v>
      </c>
      <c r="K19">
        <v>21</v>
      </c>
      <c r="L19">
        <v>20</v>
      </c>
      <c r="M19">
        <v>19</v>
      </c>
      <c r="N19">
        <v>18</v>
      </c>
      <c r="O19">
        <v>17</v>
      </c>
      <c r="P19">
        <v>16</v>
      </c>
      <c r="Q19" t="s">
        <v>15</v>
      </c>
    </row>
    <row r="21" spans="1:17" s="1" customFormat="1" x14ac:dyDescent="0.25">
      <c r="E21" s="1">
        <v>50492.072755999987</v>
      </c>
      <c r="F21" s="1">
        <v>46414.314814999998</v>
      </c>
      <c r="G21" s="1">
        <v>43999.816355000003</v>
      </c>
      <c r="H21" s="1">
        <v>43275.613339000003</v>
      </c>
      <c r="I21" s="1">
        <v>42404.114214999994</v>
      </c>
      <c r="J21" s="1">
        <v>41533.552878999995</v>
      </c>
      <c r="K21" s="1">
        <v>40546.070143999998</v>
      </c>
      <c r="L21" s="1">
        <v>39558.307428999993</v>
      </c>
      <c r="M21" s="1">
        <v>38940.042248999998</v>
      </c>
      <c r="N21" s="1">
        <v>37084.421799000003</v>
      </c>
      <c r="O21" s="1">
        <v>35847.272149999997</v>
      </c>
      <c r="P21" s="1">
        <v>34609.937827999995</v>
      </c>
      <c r="Q21" s="1">
        <v>32411.479513999999</v>
      </c>
    </row>
    <row r="22" spans="1:17" s="1" customFormat="1" x14ac:dyDescent="0.25"/>
    <row r="23" spans="1:17" s="1" customFormat="1" x14ac:dyDescent="0.25">
      <c r="D23" s="1" t="s">
        <v>6</v>
      </c>
      <c r="E23" s="1">
        <v>13166.019999999999</v>
      </c>
      <c r="F23" s="1">
        <v>13166.019999999999</v>
      </c>
      <c r="G23" s="1">
        <v>13166.019999999999</v>
      </c>
      <c r="H23" s="1">
        <v>13166.019999999999</v>
      </c>
      <c r="I23" s="1">
        <v>13166.019999999999</v>
      </c>
      <c r="J23" s="1">
        <v>13166.019999999999</v>
      </c>
      <c r="K23" s="1">
        <v>13166.019999999999</v>
      </c>
      <c r="L23" s="1">
        <v>13166.019999999999</v>
      </c>
      <c r="M23" s="1">
        <v>13166.019999999999</v>
      </c>
      <c r="N23" s="1">
        <v>13166.019999999999</v>
      </c>
      <c r="O23" s="1">
        <v>13166.019999999999</v>
      </c>
      <c r="P23" s="1">
        <v>13166.019999999999</v>
      </c>
      <c r="Q23" s="1">
        <v>13166.019999999999</v>
      </c>
    </row>
    <row r="24" spans="1:17" s="1" customFormat="1" x14ac:dyDescent="0.25">
      <c r="D24" s="1" t="s">
        <v>7</v>
      </c>
      <c r="E24" s="1">
        <v>9971.5</v>
      </c>
      <c r="F24" s="1">
        <v>9971.5</v>
      </c>
      <c r="G24" s="1">
        <v>8847.02</v>
      </c>
      <c r="H24" s="1">
        <v>8324.9599999999991</v>
      </c>
      <c r="I24" s="1">
        <v>7803.6</v>
      </c>
      <c r="J24" s="1">
        <v>7281.26</v>
      </c>
      <c r="K24" s="1">
        <v>6760.32</v>
      </c>
      <c r="L24" s="1">
        <v>6279.7</v>
      </c>
      <c r="M24" s="1">
        <v>5959.1</v>
      </c>
      <c r="N24" s="1">
        <v>5638.22</v>
      </c>
      <c r="O24" s="1">
        <v>5317.62</v>
      </c>
      <c r="P24" s="1">
        <v>4997.58</v>
      </c>
      <c r="Q24" s="1">
        <v>4997.58</v>
      </c>
    </row>
    <row r="25" spans="1:17" s="1" customFormat="1" x14ac:dyDescent="0.25">
      <c r="D25" s="1" t="s">
        <v>8</v>
      </c>
      <c r="E25" s="1">
        <v>20515.914566999996</v>
      </c>
      <c r="F25" s="1">
        <v>17457.593561000002</v>
      </c>
      <c r="G25" s="1">
        <v>16490.079716</v>
      </c>
      <c r="H25" s="1">
        <v>16338.472454000001</v>
      </c>
      <c r="I25" s="1">
        <v>16075.868111</v>
      </c>
      <c r="J25" s="1">
        <v>15814.702109</v>
      </c>
      <c r="K25" s="1">
        <v>15464.797608000001</v>
      </c>
      <c r="L25" s="1">
        <v>15084.443121999999</v>
      </c>
      <c r="M25" s="1">
        <v>14861.194237</v>
      </c>
      <c r="N25" s="1">
        <v>13710.133799000001</v>
      </c>
      <c r="O25" s="1">
        <v>13022.729212999999</v>
      </c>
      <c r="P25" s="1">
        <v>12334.753371000001</v>
      </c>
      <c r="Q25" s="1">
        <v>10685.914736000001</v>
      </c>
    </row>
    <row r="26" spans="1:17" s="1" customFormat="1" x14ac:dyDescent="0.25">
      <c r="D26" s="1" t="s">
        <v>9</v>
      </c>
      <c r="E26" s="1">
        <v>3637.7582080000002</v>
      </c>
      <c r="F26" s="1">
        <v>3382.896424</v>
      </c>
      <c r="G26" s="1">
        <v>3208.5817360000001</v>
      </c>
      <c r="H26" s="1">
        <v>3152.4456329999998</v>
      </c>
      <c r="I26" s="1">
        <v>3087.1082280000001</v>
      </c>
      <c r="J26" s="1">
        <v>3021.8218280000006</v>
      </c>
      <c r="K26" s="1">
        <v>2949.2417130000003</v>
      </c>
      <c r="L26" s="1">
        <v>2877.4980800000003</v>
      </c>
      <c r="M26" s="1">
        <v>2832.175037</v>
      </c>
      <c r="N26" s="1">
        <v>2709.5182129999998</v>
      </c>
      <c r="O26" s="1">
        <v>2625.5027770000002</v>
      </c>
      <c r="P26" s="1">
        <v>2541.5179440000002</v>
      </c>
      <c r="Q26" s="1">
        <v>2404.1104739999996</v>
      </c>
    </row>
    <row r="27" spans="1:17" s="1" customFormat="1" x14ac:dyDescent="0.25">
      <c r="D27" s="1" t="s">
        <v>10</v>
      </c>
      <c r="E27" s="1">
        <v>3200.879981</v>
      </c>
      <c r="F27" s="1">
        <v>2436.30483</v>
      </c>
      <c r="G27" s="1">
        <v>2288.1149030000001</v>
      </c>
      <c r="H27" s="1">
        <v>2293.715252</v>
      </c>
      <c r="I27" s="1">
        <v>2271.5178760000003</v>
      </c>
      <c r="J27" s="1">
        <v>2249.7489420000002</v>
      </c>
      <c r="K27" s="1">
        <v>2205.6908229999999</v>
      </c>
      <c r="L27" s="1">
        <v>2150.6462269999997</v>
      </c>
      <c r="M27" s="1">
        <v>2121.5529750000001</v>
      </c>
      <c r="N27" s="1">
        <v>1860.5297869999999</v>
      </c>
      <c r="O27" s="1">
        <v>1715.4001599999999</v>
      </c>
      <c r="P27" s="1">
        <v>1570.0665130000002</v>
      </c>
      <c r="Q27" s="1">
        <v>1157.854304</v>
      </c>
    </row>
    <row r="28" spans="1:17" s="1" customFormat="1" x14ac:dyDescent="0.25">
      <c r="E28" s="1">
        <v>50492.072755999987</v>
      </c>
      <c r="F28" s="1">
        <v>46414.314814999998</v>
      </c>
      <c r="G28" s="1">
        <v>43999.816355000003</v>
      </c>
      <c r="H28" s="1">
        <v>43275.613339000003</v>
      </c>
      <c r="I28" s="1">
        <v>42404.114214999994</v>
      </c>
      <c r="J28" s="1">
        <v>41533.552878999995</v>
      </c>
      <c r="K28" s="1">
        <v>40546.070143999998</v>
      </c>
      <c r="L28" s="1">
        <v>39558.307428999993</v>
      </c>
      <c r="M28" s="1">
        <v>38940.042248999998</v>
      </c>
      <c r="N28" s="1">
        <v>37084.421799000003</v>
      </c>
      <c r="O28" s="1">
        <v>35847.272149999997</v>
      </c>
      <c r="P28" s="1">
        <v>34609.937827999995</v>
      </c>
      <c r="Q28" s="1">
        <v>32411.479513999999</v>
      </c>
    </row>
    <row r="29" spans="1:17" s="1" customFormat="1" x14ac:dyDescent="0.25">
      <c r="D29" s="1" t="s">
        <v>11</v>
      </c>
      <c r="E29" s="1">
        <v>5040.344703000007</v>
      </c>
      <c r="F29" s="1">
        <v>3689.7731070000004</v>
      </c>
      <c r="G29" s="1">
        <v>5266.6946920000064</v>
      </c>
      <c r="H29" s="1">
        <v>3427.6788139999994</v>
      </c>
      <c r="I29" s="1">
        <v>2709.8242429999927</v>
      </c>
      <c r="J29" s="1">
        <v>2642.2630200000044</v>
      </c>
      <c r="K29" s="1">
        <v>2618.4946900000014</v>
      </c>
      <c r="L29" s="1">
        <v>2624.8805159999961</v>
      </c>
      <c r="M29" s="1">
        <v>2602.5097229999956</v>
      </c>
      <c r="N29" s="1">
        <v>2485.8714889999992</v>
      </c>
      <c r="O29" s="1">
        <v>2490.716964000007</v>
      </c>
      <c r="P29" s="1">
        <v>2399.8158529999987</v>
      </c>
      <c r="Q29" s="1">
        <v>2901.6540480000003</v>
      </c>
    </row>
    <row r="30" spans="1:17" s="1" customFormat="1" x14ac:dyDescent="0.25">
      <c r="E30" s="1">
        <v>55532.417458999997</v>
      </c>
      <c r="F30" s="1">
        <v>50104.087921999999</v>
      </c>
      <c r="G30" s="1">
        <v>49266.511047000007</v>
      </c>
      <c r="H30" s="1">
        <v>46703.292153000002</v>
      </c>
      <c r="I30" s="1">
        <v>45113.93845799999</v>
      </c>
      <c r="J30" s="1">
        <v>44175.815899000001</v>
      </c>
      <c r="K30" s="1">
        <v>43164.564833999997</v>
      </c>
      <c r="L30" s="1">
        <v>42183.187944999991</v>
      </c>
      <c r="M30" s="1">
        <v>41542.551971999994</v>
      </c>
      <c r="N30" s="1">
        <v>39570.293288000001</v>
      </c>
      <c r="O30" s="1">
        <v>38337.989114000004</v>
      </c>
      <c r="P30" s="1">
        <v>37009.753680999995</v>
      </c>
      <c r="Q30" s="1">
        <v>35313.133562000003</v>
      </c>
    </row>
    <row r="31" spans="1:17" s="1" customFormat="1" x14ac:dyDescent="0.25"/>
    <row r="32" spans="1:17" x14ac:dyDescent="0.25">
      <c r="A32" t="s">
        <v>16</v>
      </c>
    </row>
    <row r="33" spans="1:23" x14ac:dyDescent="0.25">
      <c r="J33">
        <v>22</v>
      </c>
      <c r="K33">
        <v>21</v>
      </c>
      <c r="L33">
        <v>20</v>
      </c>
      <c r="M33">
        <v>19</v>
      </c>
      <c r="N33">
        <v>18</v>
      </c>
      <c r="O33">
        <v>17</v>
      </c>
      <c r="P33">
        <v>16</v>
      </c>
      <c r="Q33">
        <v>15</v>
      </c>
      <c r="R33">
        <v>14</v>
      </c>
      <c r="S33">
        <v>13</v>
      </c>
      <c r="T33">
        <v>12</v>
      </c>
    </row>
    <row r="34" spans="1:23" s="1" customFormat="1" x14ac:dyDescent="0.25"/>
    <row r="35" spans="1:23" s="1" customFormat="1" x14ac:dyDescent="0.25">
      <c r="K35" s="1">
        <v>39989.475734000007</v>
      </c>
      <c r="L35" s="1">
        <v>39168.458564999994</v>
      </c>
      <c r="M35" s="1">
        <v>37816.680279</v>
      </c>
      <c r="N35" s="1">
        <v>36732.969498999999</v>
      </c>
      <c r="O35" s="1">
        <v>34298.783504999999</v>
      </c>
      <c r="P35" s="1">
        <v>32499.843328999996</v>
      </c>
      <c r="Q35" s="1">
        <v>30063.801807999997</v>
      </c>
      <c r="R35" s="1">
        <v>28523.439393999997</v>
      </c>
      <c r="S35" s="1">
        <v>27342.416701999999</v>
      </c>
      <c r="T35" s="1">
        <v>25377.652938999996</v>
      </c>
    </row>
    <row r="36" spans="1:23" s="1" customFormat="1" x14ac:dyDescent="0.25"/>
    <row r="37" spans="1:23" s="1" customFormat="1" x14ac:dyDescent="0.25">
      <c r="I37" s="1" t="s">
        <v>6</v>
      </c>
      <c r="K37" s="1">
        <v>10083.759999999998</v>
      </c>
      <c r="L37" s="1">
        <v>10083.759999999998</v>
      </c>
      <c r="M37" s="1">
        <v>10083.759999999998</v>
      </c>
      <c r="N37" s="1">
        <v>10083.759999999998</v>
      </c>
      <c r="O37" s="1">
        <v>10083.759999999998</v>
      </c>
      <c r="P37" s="1">
        <v>10083.759999999998</v>
      </c>
      <c r="Q37" s="1">
        <v>10083.759999999998</v>
      </c>
      <c r="R37" s="1">
        <v>10083.759999999998</v>
      </c>
      <c r="S37" s="1">
        <v>10083.759999999998</v>
      </c>
      <c r="T37" s="1">
        <v>10083.759999999998</v>
      </c>
    </row>
    <row r="38" spans="1:23" s="1" customFormat="1" x14ac:dyDescent="0.25">
      <c r="I38" s="1" t="s">
        <v>7</v>
      </c>
      <c r="K38" s="1">
        <v>6760.32</v>
      </c>
      <c r="L38" s="1">
        <v>6279.7</v>
      </c>
      <c r="M38" s="1">
        <v>5959.1</v>
      </c>
      <c r="N38" s="1">
        <v>5638.22</v>
      </c>
      <c r="O38" s="1">
        <v>5317.62</v>
      </c>
      <c r="P38" s="1">
        <v>4997.58</v>
      </c>
      <c r="Q38" s="1">
        <v>4676.42</v>
      </c>
      <c r="R38" s="1">
        <v>4356.24</v>
      </c>
      <c r="S38" s="1">
        <v>4035.08</v>
      </c>
      <c r="T38" s="1">
        <v>3714.34</v>
      </c>
    </row>
    <row r="39" spans="1:23" s="1" customFormat="1" x14ac:dyDescent="0.25">
      <c r="I39" s="1" t="s">
        <v>8</v>
      </c>
      <c r="K39" s="1">
        <v>17359.051900999999</v>
      </c>
      <c r="L39" s="1">
        <v>17103.751474000001</v>
      </c>
      <c r="M39" s="1">
        <v>16330.362659</v>
      </c>
      <c r="N39" s="1">
        <v>15758.239573999999</v>
      </c>
      <c r="O39" s="1">
        <v>14173.055179000003</v>
      </c>
      <c r="P39" s="1">
        <v>13063.880047000001</v>
      </c>
      <c r="Q39" s="1">
        <v>11477.716356000001</v>
      </c>
      <c r="R39" s="1">
        <v>10562.584645999999</v>
      </c>
      <c r="S39" s="1">
        <v>9917.6876270000012</v>
      </c>
      <c r="T39" s="1">
        <v>8684.6621539999996</v>
      </c>
    </row>
    <row r="40" spans="1:23" s="1" customFormat="1" x14ac:dyDescent="0.25">
      <c r="I40" s="1" t="s">
        <v>9</v>
      </c>
      <c r="K40" s="1">
        <v>2850.2206059999999</v>
      </c>
      <c r="L40" s="1">
        <v>2788.9023950000001</v>
      </c>
      <c r="M40" s="1">
        <v>2697.736058</v>
      </c>
      <c r="N40" s="1">
        <v>2623.3299639999996</v>
      </c>
      <c r="O40" s="1">
        <v>2464.5003940000001</v>
      </c>
      <c r="P40" s="1">
        <v>2345.4037189999999</v>
      </c>
      <c r="Q40" s="1">
        <v>2186.4619380000004</v>
      </c>
      <c r="R40" s="1">
        <v>2083.5032449999999</v>
      </c>
      <c r="S40" s="1">
        <v>2003.0071540000001</v>
      </c>
      <c r="T40" s="1">
        <v>1873.5258609999998</v>
      </c>
    </row>
    <row r="41" spans="1:23" s="1" customFormat="1" x14ac:dyDescent="0.25">
      <c r="I41" s="1" t="s">
        <v>10</v>
      </c>
      <c r="K41" s="1">
        <v>2936.123227</v>
      </c>
      <c r="L41" s="1">
        <v>2912.3446960000001</v>
      </c>
      <c r="M41" s="1">
        <v>2745.7215620000002</v>
      </c>
      <c r="N41" s="1">
        <v>2629.4199610000001</v>
      </c>
      <c r="O41" s="1">
        <v>2259.8479320000006</v>
      </c>
      <c r="P41" s="1">
        <v>2009.2195630000001</v>
      </c>
      <c r="Q41" s="1">
        <v>1639.4435140000001</v>
      </c>
      <c r="R41" s="1">
        <v>1437.3515030000001</v>
      </c>
      <c r="S41" s="1">
        <v>1302.8819209999999</v>
      </c>
      <c r="T41" s="1">
        <v>1021.364924</v>
      </c>
    </row>
    <row r="42" spans="1:23" s="1" customFormat="1" x14ac:dyDescent="0.25">
      <c r="K42" s="1">
        <v>39989.475734000007</v>
      </c>
      <c r="L42" s="1">
        <v>39168.458564999994</v>
      </c>
      <c r="M42" s="1">
        <v>37816.680279</v>
      </c>
      <c r="N42" s="1">
        <v>36732.969498999999</v>
      </c>
      <c r="O42" s="1">
        <v>34298.783504999999</v>
      </c>
      <c r="P42" s="1">
        <v>32499.843328999996</v>
      </c>
      <c r="Q42" s="1">
        <v>30063.801807999997</v>
      </c>
      <c r="R42" s="1">
        <v>28523.439393999997</v>
      </c>
      <c r="S42" s="1">
        <v>27342.416701999999</v>
      </c>
      <c r="T42" s="1">
        <v>25377.652938999996</v>
      </c>
    </row>
    <row r="43" spans="1:23" s="1" customFormat="1" x14ac:dyDescent="0.25">
      <c r="I43" s="1" t="s">
        <v>11</v>
      </c>
      <c r="K43" s="1">
        <v>5506.3263830000087</v>
      </c>
      <c r="L43" s="1">
        <v>5293.7375430000002</v>
      </c>
      <c r="M43" s="1">
        <v>4601.7527079999945</v>
      </c>
      <c r="N43" s="1">
        <v>2548.8422620000024</v>
      </c>
      <c r="O43" s="1">
        <v>3008.0300759999946</v>
      </c>
      <c r="P43" s="1">
        <v>2229.887594999997</v>
      </c>
      <c r="Q43" s="1">
        <v>2741.0189010000022</v>
      </c>
      <c r="R43" s="1">
        <v>3038.3576490000019</v>
      </c>
      <c r="S43" s="1">
        <v>2901.878470000001</v>
      </c>
      <c r="T43" s="1">
        <v>2471.539084</v>
      </c>
    </row>
    <row r="44" spans="1:23" s="1" customFormat="1" x14ac:dyDescent="0.25">
      <c r="K44" s="1">
        <v>45495.802117000014</v>
      </c>
      <c r="L44" s="1">
        <v>44462.196107999996</v>
      </c>
      <c r="M44" s="1">
        <v>42418.432986999993</v>
      </c>
      <c r="N44" s="1">
        <v>39281.811761000004</v>
      </c>
      <c r="O44" s="1">
        <v>37306.813580999995</v>
      </c>
      <c r="P44" s="1">
        <v>34729.730923999996</v>
      </c>
      <c r="Q44" s="1">
        <v>32804.820709</v>
      </c>
      <c r="R44" s="1">
        <v>31561.797042999999</v>
      </c>
      <c r="S44" s="1">
        <v>30244.295171999998</v>
      </c>
      <c r="T44" s="1">
        <v>27849.192022999996</v>
      </c>
    </row>
    <row r="46" spans="1:23" x14ac:dyDescent="0.25">
      <c r="A46" t="s">
        <v>17</v>
      </c>
    </row>
    <row r="47" spans="1:23" x14ac:dyDescent="0.25">
      <c r="N47">
        <v>18</v>
      </c>
      <c r="O47">
        <v>17</v>
      </c>
      <c r="P47">
        <v>16</v>
      </c>
      <c r="Q47">
        <v>15</v>
      </c>
      <c r="R47">
        <v>14</v>
      </c>
      <c r="S47">
        <v>13</v>
      </c>
      <c r="T47">
        <v>12</v>
      </c>
      <c r="U47">
        <v>11</v>
      </c>
      <c r="V47">
        <v>10</v>
      </c>
      <c r="W47">
        <v>9</v>
      </c>
    </row>
    <row r="49" spans="9:23" s="1" customFormat="1" x14ac:dyDescent="0.25">
      <c r="N49" s="1">
        <v>32134.151309000004</v>
      </c>
      <c r="O49" s="1">
        <v>31156.494697999999</v>
      </c>
      <c r="P49" s="1">
        <v>30125.526606000003</v>
      </c>
      <c r="Q49" s="1">
        <v>29118.247346</v>
      </c>
      <c r="R49" s="1">
        <v>27875.009459000001</v>
      </c>
      <c r="S49" s="1">
        <v>26711.440677999999</v>
      </c>
      <c r="T49" s="1">
        <v>24859.091935</v>
      </c>
      <c r="U49" s="1">
        <v>24597.833966000002</v>
      </c>
      <c r="V49" s="1">
        <v>22162.344003000002</v>
      </c>
      <c r="W49" s="1">
        <v>20393.376906000001</v>
      </c>
    </row>
    <row r="50" spans="9:23" s="1" customFormat="1" x14ac:dyDescent="0.25"/>
    <row r="51" spans="9:23" s="1" customFormat="1" x14ac:dyDescent="0.25">
      <c r="M51" s="1" t="s">
        <v>6</v>
      </c>
      <c r="N51" s="1">
        <v>8547.18</v>
      </c>
      <c r="O51" s="1">
        <v>8547.18</v>
      </c>
      <c r="P51" s="1">
        <v>8547.18</v>
      </c>
      <c r="Q51" s="1">
        <v>8547.18</v>
      </c>
      <c r="R51" s="1">
        <v>8547.18</v>
      </c>
      <c r="S51" s="1">
        <v>8547.18</v>
      </c>
      <c r="T51" s="1">
        <v>8547.18</v>
      </c>
      <c r="U51" s="1">
        <v>8547.18</v>
      </c>
      <c r="V51" s="1">
        <v>8547.18</v>
      </c>
      <c r="W51" s="1">
        <v>8547.18</v>
      </c>
    </row>
    <row r="52" spans="9:23" s="1" customFormat="1" x14ac:dyDescent="0.25">
      <c r="M52" s="1" t="s">
        <v>7</v>
      </c>
      <c r="N52" s="1">
        <v>5638.22</v>
      </c>
      <c r="O52" s="1">
        <v>5317.62</v>
      </c>
      <c r="P52" s="1">
        <v>4997.58</v>
      </c>
      <c r="Q52" s="1">
        <v>4676.42</v>
      </c>
      <c r="R52" s="1">
        <v>4356.24</v>
      </c>
      <c r="S52" s="1">
        <v>4035.08</v>
      </c>
      <c r="T52" s="1">
        <v>3714.34</v>
      </c>
      <c r="U52" s="1">
        <v>3393.6</v>
      </c>
      <c r="V52" s="1">
        <v>3073.42</v>
      </c>
      <c r="W52" s="1">
        <v>2913.12</v>
      </c>
    </row>
    <row r="53" spans="9:23" s="1" customFormat="1" x14ac:dyDescent="0.25">
      <c r="M53" s="1" t="s">
        <v>8</v>
      </c>
      <c r="N53" s="1">
        <v>13461.566032000001</v>
      </c>
      <c r="O53" s="1">
        <v>12968.776124</v>
      </c>
      <c r="P53" s="1">
        <v>12435.580055</v>
      </c>
      <c r="Q53" s="1">
        <v>11920.990610000001</v>
      </c>
      <c r="R53" s="1">
        <v>11228.689544000001</v>
      </c>
      <c r="S53" s="1">
        <v>10596.890609</v>
      </c>
      <c r="T53" s="1">
        <v>9448.1764010000006</v>
      </c>
      <c r="U53" s="1">
        <v>9492.7955750000001</v>
      </c>
      <c r="V53" s="1">
        <v>7906.3054520000014</v>
      </c>
      <c r="W53" s="1">
        <v>6699.8127800000002</v>
      </c>
    </row>
    <row r="54" spans="9:23" s="1" customFormat="1" x14ac:dyDescent="0.25">
      <c r="M54" s="1" t="s">
        <v>9</v>
      </c>
      <c r="N54" s="1">
        <v>2303.8958499999999</v>
      </c>
      <c r="O54" s="1">
        <v>2236.1000039999999</v>
      </c>
      <c r="P54" s="1">
        <v>2165.009235</v>
      </c>
      <c r="Q54" s="1">
        <v>2095.3568070000001</v>
      </c>
      <c r="R54" s="1">
        <v>2010.9741349999999</v>
      </c>
      <c r="S54" s="1">
        <v>1931.5695509999998</v>
      </c>
      <c r="T54" s="1">
        <v>1809.106546</v>
      </c>
      <c r="U54" s="1">
        <v>1786.113492</v>
      </c>
      <c r="V54" s="1">
        <v>1627.2125150000002</v>
      </c>
      <c r="W54" s="1">
        <v>1513.31835</v>
      </c>
    </row>
    <row r="55" spans="9:23" s="1" customFormat="1" x14ac:dyDescent="0.25">
      <c r="M55" s="1" t="s">
        <v>10</v>
      </c>
      <c r="N55" s="1">
        <v>2183.2894270000002</v>
      </c>
      <c r="O55" s="1">
        <v>2086.8185700000004</v>
      </c>
      <c r="P55" s="1">
        <v>1980.177316</v>
      </c>
      <c r="Q55" s="1">
        <v>1878.299929</v>
      </c>
      <c r="R55" s="1">
        <v>1731.92578</v>
      </c>
      <c r="S55" s="1">
        <v>1600.7205180000001</v>
      </c>
      <c r="T55" s="1">
        <v>1340.288988</v>
      </c>
      <c r="U55" s="1">
        <v>1378.1448990000001</v>
      </c>
      <c r="V55" s="1">
        <v>1008.226036</v>
      </c>
      <c r="W55" s="1">
        <v>719.94577600000002</v>
      </c>
    </row>
    <row r="56" spans="9:23" s="1" customFormat="1" x14ac:dyDescent="0.25">
      <c r="N56" s="1">
        <v>32134.151309000004</v>
      </c>
      <c r="O56" s="1">
        <v>31156.494697999999</v>
      </c>
      <c r="P56" s="1">
        <v>30125.526606000003</v>
      </c>
      <c r="Q56" s="1">
        <v>29118.247346</v>
      </c>
      <c r="R56" s="1">
        <v>27875.009459000001</v>
      </c>
      <c r="S56" s="1">
        <v>26711.440677999999</v>
      </c>
      <c r="T56" s="1">
        <v>24859.091935</v>
      </c>
      <c r="U56" s="1">
        <v>24597.833966000002</v>
      </c>
      <c r="V56" s="1">
        <v>22162.344003000002</v>
      </c>
      <c r="W56" s="1">
        <v>20393.376906000001</v>
      </c>
    </row>
    <row r="57" spans="9:23" s="1" customFormat="1" x14ac:dyDescent="0.25">
      <c r="M57" s="1" t="s">
        <v>11</v>
      </c>
      <c r="N57" s="1">
        <v>2832.8993079999977</v>
      </c>
      <c r="O57" s="1">
        <v>1932.865077999995</v>
      </c>
      <c r="P57" s="1">
        <v>2195.3776119999993</v>
      </c>
      <c r="Q57" s="1">
        <v>2704.4891200000011</v>
      </c>
      <c r="R57" s="1">
        <v>2650.1687949999969</v>
      </c>
      <c r="S57" s="1">
        <v>3202.0020909999998</v>
      </c>
      <c r="T57" s="1">
        <v>2455.7683380000012</v>
      </c>
      <c r="U57" s="1">
        <v>2641.6611609999968</v>
      </c>
      <c r="V57" s="1">
        <v>2270.3549619999999</v>
      </c>
      <c r="W57" s="1">
        <v>2172.4763669999998</v>
      </c>
    </row>
    <row r="58" spans="9:23" s="1" customFormat="1" x14ac:dyDescent="0.25">
      <c r="N58" s="1">
        <v>34967.050617000001</v>
      </c>
      <c r="O58" s="1">
        <v>33089.35977599999</v>
      </c>
      <c r="P58" s="1">
        <v>32320.904218000003</v>
      </c>
      <c r="Q58" s="1">
        <v>31822.736466000002</v>
      </c>
      <c r="R58" s="1">
        <v>30525.178253999999</v>
      </c>
      <c r="S58" s="1">
        <v>29913.442768999997</v>
      </c>
      <c r="T58" s="1">
        <v>27314.860273000002</v>
      </c>
      <c r="U58" s="1">
        <v>27239.495126999998</v>
      </c>
      <c r="V58" s="1">
        <v>24432.698965000003</v>
      </c>
      <c r="W58" s="1">
        <v>22565.853273000001</v>
      </c>
    </row>
    <row r="59" spans="9:23" s="1" customFormat="1" x14ac:dyDescent="0.25"/>
    <row r="60" spans="9:23" s="1" customFormat="1" x14ac:dyDescent="0.25"/>
    <row r="62" spans="9:23" x14ac:dyDescent="0.25">
      <c r="I62" t="s">
        <v>18</v>
      </c>
    </row>
    <row r="63" spans="9:23" s="1" customFormat="1" x14ac:dyDescent="0.25"/>
    <row r="64" spans="9:23" s="1" customFormat="1" x14ac:dyDescent="0.25">
      <c r="L64" s="1" t="s">
        <v>19</v>
      </c>
    </row>
    <row r="65" spans="9:17" s="1" customFormat="1" x14ac:dyDescent="0.25"/>
    <row r="66" spans="9:17" s="1" customFormat="1" x14ac:dyDescent="0.25">
      <c r="L66" s="1" t="s">
        <v>20</v>
      </c>
      <c r="O66" s="1">
        <v>515.84073157599994</v>
      </c>
    </row>
    <row r="67" spans="9:17" s="1" customFormat="1" x14ac:dyDescent="0.25">
      <c r="L67" s="1" t="s">
        <v>21</v>
      </c>
      <c r="O67" s="1">
        <v>1616.1576408000001</v>
      </c>
    </row>
    <row r="68" spans="9:17" s="1" customFormat="1" x14ac:dyDescent="0.25"/>
    <row r="69" spans="9:17" s="1" customFormat="1" x14ac:dyDescent="0.25">
      <c r="L69" s="1" t="s">
        <v>22</v>
      </c>
      <c r="P69" s="1" t="s">
        <v>23</v>
      </c>
      <c r="Q69" s="1" t="s">
        <v>24</v>
      </c>
    </row>
    <row r="70" spans="9:17" s="1" customFormat="1" x14ac:dyDescent="0.25">
      <c r="L70" s="1" t="s">
        <v>25</v>
      </c>
      <c r="O70" s="1">
        <v>0.24926981799999998</v>
      </c>
      <c r="P70" s="1">
        <v>0.19</v>
      </c>
      <c r="Q70" s="1">
        <v>5.9269817999999974E-2</v>
      </c>
    </row>
    <row r="71" spans="9:17" s="1" customFormat="1" x14ac:dyDescent="0.25">
      <c r="I71" s="1" t="s">
        <v>26</v>
      </c>
      <c r="J71" s="1">
        <v>6477.0433419999999</v>
      </c>
      <c r="L71" s="1" t="s">
        <v>27</v>
      </c>
      <c r="O71" s="1">
        <v>8.1778408209999984</v>
      </c>
      <c r="P71" s="1">
        <v>0</v>
      </c>
      <c r="Q71" s="1">
        <v>8.1778408209999984</v>
      </c>
    </row>
    <row r="72" spans="9:17" s="1" customFormat="1" x14ac:dyDescent="0.25"/>
  </sheetData>
  <pageMargins left="0.7" right="0.7" top="0.75" bottom="0.75" header="0.3" footer="0.3"/>
  <pageSetup paperSize="9"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76"/>
  <sheetViews>
    <sheetView topLeftCell="A7" workbookViewId="0">
      <selection activeCell="B12" sqref="B12"/>
    </sheetView>
  </sheetViews>
  <sheetFormatPr baseColWidth="10" defaultRowHeight="15" x14ac:dyDescent="0.25"/>
  <sheetData>
    <row r="2" spans="1:15" x14ac:dyDescent="0.25">
      <c r="A2" t="s">
        <v>28</v>
      </c>
    </row>
    <row r="3" spans="1:15" x14ac:dyDescent="0.25">
      <c r="A3" t="s">
        <v>29</v>
      </c>
    </row>
    <row r="5" spans="1:15" x14ac:dyDescent="0.25">
      <c r="A5" t="s">
        <v>2</v>
      </c>
    </row>
    <row r="6" spans="1:15" x14ac:dyDescent="0.25">
      <c r="B6">
        <v>30</v>
      </c>
      <c r="C6">
        <v>29</v>
      </c>
      <c r="D6">
        <v>28</v>
      </c>
      <c r="E6">
        <v>27</v>
      </c>
      <c r="F6">
        <v>26</v>
      </c>
      <c r="G6">
        <v>25</v>
      </c>
      <c r="H6">
        <v>24</v>
      </c>
      <c r="I6">
        <v>23</v>
      </c>
      <c r="J6">
        <v>22</v>
      </c>
      <c r="K6">
        <v>21</v>
      </c>
      <c r="L6">
        <v>20</v>
      </c>
      <c r="M6" t="s">
        <v>3</v>
      </c>
      <c r="N6" t="s">
        <v>4</v>
      </c>
      <c r="O6" t="s">
        <v>5</v>
      </c>
    </row>
    <row r="7" spans="1:15" s="1" customFormat="1" x14ac:dyDescent="0.25"/>
    <row r="8" spans="1:15" s="1" customFormat="1" x14ac:dyDescent="0.25"/>
    <row r="9" spans="1:15" s="1" customFormat="1" x14ac:dyDescent="0.25"/>
    <row r="10" spans="1:15" s="1" customFormat="1" x14ac:dyDescent="0.25">
      <c r="A10" s="1" t="s">
        <v>6</v>
      </c>
      <c r="B10" s="1">
        <v>1131.3599999999999</v>
      </c>
      <c r="C10" s="1">
        <v>1131.3599999999999</v>
      </c>
      <c r="D10" s="1">
        <v>1131.3599999999999</v>
      </c>
      <c r="E10" s="1">
        <v>1131.3599999999999</v>
      </c>
      <c r="F10" s="1">
        <v>1131.3599999999999</v>
      </c>
      <c r="G10" s="1">
        <v>1131.3599999999999</v>
      </c>
      <c r="H10" s="1">
        <v>1131.3599999999999</v>
      </c>
      <c r="I10" s="1">
        <v>1131.3599999999999</v>
      </c>
      <c r="J10" s="1">
        <v>1131.3599999999999</v>
      </c>
      <c r="K10" s="1">
        <v>1131.3599999999999</v>
      </c>
      <c r="L10" s="1">
        <v>1131.3599999999999</v>
      </c>
      <c r="M10" s="1">
        <v>1131.3599999999999</v>
      </c>
      <c r="N10" s="1">
        <v>1131.3599999999999</v>
      </c>
      <c r="O10" s="1">
        <v>1131.3599999999999</v>
      </c>
    </row>
    <row r="11" spans="1:15" s="1" customFormat="1" x14ac:dyDescent="0.25">
      <c r="A11" s="1" t="s">
        <v>7</v>
      </c>
      <c r="B11" s="1">
        <v>988.2299999999999</v>
      </c>
      <c r="C11" s="1">
        <v>886.4</v>
      </c>
      <c r="D11" s="1">
        <v>849.14</v>
      </c>
      <c r="E11" s="1">
        <v>811.85</v>
      </c>
      <c r="F11" s="1">
        <v>712.25</v>
      </c>
      <c r="G11" s="1">
        <v>631.93000000000006</v>
      </c>
      <c r="H11" s="1">
        <v>594.64</v>
      </c>
      <c r="I11" s="1">
        <v>557.4</v>
      </c>
      <c r="J11" s="1">
        <v>520.09</v>
      </c>
      <c r="K11" s="1">
        <v>482.88</v>
      </c>
      <c r="L11" s="1">
        <v>448.55</v>
      </c>
      <c r="M11" s="1">
        <v>448.55</v>
      </c>
      <c r="N11" s="1">
        <v>448.55</v>
      </c>
      <c r="O11" s="1">
        <v>448.55</v>
      </c>
    </row>
    <row r="12" spans="1:15" s="1" customFormat="1" x14ac:dyDescent="0.25">
      <c r="A12" s="1" t="s">
        <v>8</v>
      </c>
      <c r="B12" s="1">
        <v>2366.753683357143</v>
      </c>
      <c r="C12" s="1">
        <v>2234.8350799999998</v>
      </c>
      <c r="D12" s="1">
        <v>2054.4945155714286</v>
      </c>
      <c r="E12" s="1">
        <v>1661.7312417142859</v>
      </c>
      <c r="F12" s="1">
        <v>1453.5579774285713</v>
      </c>
      <c r="G12" s="1">
        <v>1449.3092609285711</v>
      </c>
      <c r="H12" s="1">
        <v>1412.7904095714287</v>
      </c>
      <c r="I12" s="1">
        <v>1387.8708238571428</v>
      </c>
      <c r="J12" s="1">
        <v>1362.9869416428573</v>
      </c>
      <c r="K12" s="1">
        <v>1258.2780485000001</v>
      </c>
      <c r="L12" s="1">
        <v>1151.458277</v>
      </c>
      <c r="M12" s="1">
        <v>961.51638564285713</v>
      </c>
      <c r="N12" s="1">
        <v>760.22588178571448</v>
      </c>
      <c r="O12" s="1">
        <v>538.77237278571431</v>
      </c>
    </row>
    <row r="13" spans="1:15" s="1" customFormat="1" x14ac:dyDescent="0.25">
      <c r="A13" s="1" t="s">
        <v>9</v>
      </c>
      <c r="B13" s="1">
        <v>368.70202942857139</v>
      </c>
      <c r="C13" s="1">
        <v>349.22394857142859</v>
      </c>
      <c r="D13" s="1">
        <v>331.0902137857143</v>
      </c>
      <c r="E13" s="1">
        <v>295.25264350000003</v>
      </c>
      <c r="F13" s="1">
        <v>269.60368628571433</v>
      </c>
      <c r="G13" s="1">
        <v>262.55698121428571</v>
      </c>
      <c r="H13" s="1">
        <v>256.40650685714286</v>
      </c>
      <c r="I13" s="1">
        <v>251.22658478571429</v>
      </c>
      <c r="J13" s="1">
        <v>246.04374814285714</v>
      </c>
      <c r="K13" s="1">
        <v>234.2164172857143</v>
      </c>
      <c r="L13" s="1">
        <v>222.45393564285715</v>
      </c>
      <c r="M13" s="1">
        <v>206.62562685714286</v>
      </c>
      <c r="N13" s="1">
        <v>189.85153964285718</v>
      </c>
      <c r="O13" s="1">
        <v>171.39720200000005</v>
      </c>
    </row>
    <row r="14" spans="1:15" s="1" customFormat="1" x14ac:dyDescent="0.25">
      <c r="A14" s="1" t="s">
        <v>10</v>
      </c>
      <c r="B14" s="1">
        <v>420.21562214285717</v>
      </c>
      <c r="C14" s="1">
        <v>395.72083521428573</v>
      </c>
      <c r="D14" s="1">
        <v>353.74153428571429</v>
      </c>
      <c r="E14" s="1">
        <v>258.65801328571428</v>
      </c>
      <c r="F14" s="1">
        <v>214.91539664285716</v>
      </c>
      <c r="G14" s="1">
        <v>220.54562000000001</v>
      </c>
      <c r="H14" s="1">
        <v>214.52338678571431</v>
      </c>
      <c r="I14" s="1">
        <v>211.3967802857143</v>
      </c>
      <c r="J14" s="1">
        <v>208.28547528571428</v>
      </c>
      <c r="K14" s="1">
        <v>185.20935600000001</v>
      </c>
      <c r="L14" s="1">
        <v>161.36524714285716</v>
      </c>
      <c r="M14" s="1">
        <v>113.87959214285715</v>
      </c>
      <c r="N14" s="1">
        <v>63.556601857142866</v>
      </c>
      <c r="O14" s="1">
        <v>8.1935889285714278</v>
      </c>
    </row>
    <row r="15" spans="1:15" s="1" customFormat="1" x14ac:dyDescent="0.25"/>
    <row r="16" spans="1:15" s="1" customFormat="1" x14ac:dyDescent="0.25">
      <c r="A16" s="1" t="s">
        <v>11</v>
      </c>
      <c r="B16" s="1">
        <v>341.43329914285715</v>
      </c>
      <c r="C16" s="1">
        <v>341.43329914285715</v>
      </c>
      <c r="D16" s="1">
        <v>254.85741214285693</v>
      </c>
      <c r="E16" s="1">
        <v>234.91227121428633</v>
      </c>
      <c r="F16" s="1">
        <v>216.52424007142864</v>
      </c>
      <c r="G16" s="1">
        <v>218.18117392857079</v>
      </c>
      <c r="H16" s="1">
        <v>215.08808500000012</v>
      </c>
      <c r="I16" s="1">
        <v>211.03464478571459</v>
      </c>
      <c r="J16" s="1">
        <v>209.9788412857142</v>
      </c>
      <c r="K16" s="1">
        <v>199.14975114285684</v>
      </c>
      <c r="L16" s="1">
        <v>193.2411862142857</v>
      </c>
      <c r="M16" s="1">
        <v>236.87377778571428</v>
      </c>
      <c r="N16" s="1">
        <v>221.76901135714289</v>
      </c>
      <c r="O16" s="1">
        <v>205.15085371428572</v>
      </c>
    </row>
    <row r="17" spans="1:17" s="1" customFormat="1" x14ac:dyDescent="0.25">
      <c r="B17" s="1">
        <v>5616.6946340714285</v>
      </c>
      <c r="C17" s="1">
        <v>5338.9731629285716</v>
      </c>
      <c r="D17" s="1">
        <v>4974.6836757857145</v>
      </c>
      <c r="E17" s="1">
        <v>4393.7641697142863</v>
      </c>
      <c r="F17" s="1">
        <v>3998.2113004285716</v>
      </c>
      <c r="G17" s="1">
        <v>3913.8830360714278</v>
      </c>
      <c r="H17" s="1">
        <v>3824.8083882142855</v>
      </c>
      <c r="I17" s="1">
        <v>3750.2888337142858</v>
      </c>
      <c r="J17" s="1">
        <v>3678.7450063571428</v>
      </c>
      <c r="K17" s="1">
        <v>3491.0935729285711</v>
      </c>
      <c r="L17" s="1">
        <v>3308.4286459999998</v>
      </c>
      <c r="M17" s="1">
        <v>3098.8053824285712</v>
      </c>
      <c r="N17" s="1">
        <v>2815.3130346428575</v>
      </c>
      <c r="O17" s="1">
        <v>2503.4240174285715</v>
      </c>
    </row>
    <row r="19" spans="1:17" x14ac:dyDescent="0.25">
      <c r="A19" t="s">
        <v>12</v>
      </c>
    </row>
    <row r="20" spans="1:17" x14ac:dyDescent="0.25">
      <c r="E20" t="s">
        <v>13</v>
      </c>
      <c r="F20" t="s">
        <v>14</v>
      </c>
      <c r="G20">
        <v>25</v>
      </c>
      <c r="H20">
        <v>24</v>
      </c>
      <c r="I20">
        <v>23</v>
      </c>
      <c r="J20">
        <v>22</v>
      </c>
      <c r="K20">
        <v>21</v>
      </c>
      <c r="L20">
        <v>20</v>
      </c>
      <c r="M20">
        <v>19</v>
      </c>
      <c r="N20">
        <v>18</v>
      </c>
      <c r="O20">
        <v>17</v>
      </c>
      <c r="P20">
        <v>16</v>
      </c>
      <c r="Q20" t="s">
        <v>15</v>
      </c>
    </row>
    <row r="22" spans="1:17" s="1" customFormat="1" x14ac:dyDescent="0.25"/>
    <row r="23" spans="1:17" s="1" customFormat="1" x14ac:dyDescent="0.25"/>
    <row r="24" spans="1:17" s="1" customFormat="1" x14ac:dyDescent="0.25">
      <c r="D24" s="1" t="s">
        <v>6</v>
      </c>
      <c r="E24" s="1">
        <v>978.26</v>
      </c>
      <c r="F24" s="1">
        <v>978.26</v>
      </c>
      <c r="G24" s="1">
        <v>978.26</v>
      </c>
      <c r="H24" s="1">
        <v>978.26</v>
      </c>
      <c r="I24" s="1">
        <v>978.26</v>
      </c>
      <c r="J24" s="1">
        <v>978.26</v>
      </c>
      <c r="K24" s="1">
        <v>978.26</v>
      </c>
      <c r="L24" s="1">
        <v>978.26</v>
      </c>
      <c r="M24" s="1">
        <v>978.26</v>
      </c>
      <c r="N24" s="1">
        <v>978.26</v>
      </c>
      <c r="O24" s="1">
        <v>978.26</v>
      </c>
      <c r="P24" s="1">
        <v>978.26</v>
      </c>
      <c r="Q24" s="1">
        <v>978.26</v>
      </c>
    </row>
    <row r="25" spans="1:17" s="1" customFormat="1" x14ac:dyDescent="0.25">
      <c r="D25" s="1" t="s">
        <v>7</v>
      </c>
      <c r="E25" s="1">
        <v>712.25</v>
      </c>
      <c r="F25" s="1">
        <v>712.25</v>
      </c>
      <c r="G25" s="1">
        <v>631.93000000000006</v>
      </c>
      <c r="H25" s="1">
        <v>594.64</v>
      </c>
      <c r="I25" s="1">
        <v>557.4</v>
      </c>
      <c r="J25" s="1">
        <v>520.09</v>
      </c>
      <c r="K25" s="1">
        <v>482.88</v>
      </c>
      <c r="L25" s="1">
        <v>448.55</v>
      </c>
      <c r="M25" s="1">
        <v>425.65000000000003</v>
      </c>
      <c r="N25" s="1">
        <v>402.73</v>
      </c>
      <c r="O25" s="1">
        <v>379.83</v>
      </c>
      <c r="P25" s="1">
        <v>356.96999999999997</v>
      </c>
      <c r="Q25" s="1">
        <v>356.96999999999997</v>
      </c>
    </row>
    <row r="26" spans="1:17" s="1" customFormat="1" x14ac:dyDescent="0.25">
      <c r="D26" s="1" t="s">
        <v>8</v>
      </c>
      <c r="E26" s="1">
        <v>1465.4224690714284</v>
      </c>
      <c r="F26" s="1">
        <v>1246.9709686428573</v>
      </c>
      <c r="G26" s="1">
        <v>1177.8628368571428</v>
      </c>
      <c r="H26" s="1">
        <v>1167.0337467142858</v>
      </c>
      <c r="I26" s="1">
        <v>1148.2762936428571</v>
      </c>
      <c r="J26" s="1">
        <v>1129.6215792142857</v>
      </c>
      <c r="K26" s="1">
        <v>1104.6284005714285</v>
      </c>
      <c r="L26" s="1">
        <v>1077.4602229999998</v>
      </c>
      <c r="M26" s="1">
        <v>1061.5138740714285</v>
      </c>
      <c r="N26" s="1">
        <v>979.29527135714295</v>
      </c>
      <c r="O26" s="1">
        <v>930.19494378571414</v>
      </c>
      <c r="P26" s="1">
        <v>881.05381221428581</v>
      </c>
      <c r="Q26" s="1">
        <v>763.27962400000001</v>
      </c>
    </row>
    <row r="27" spans="1:17" s="1" customFormat="1" x14ac:dyDescent="0.25">
      <c r="D27" s="1" t="s">
        <v>9</v>
      </c>
      <c r="E27" s="1">
        <v>259.83987200000001</v>
      </c>
      <c r="F27" s="1">
        <v>241.63545885714285</v>
      </c>
      <c r="G27" s="1">
        <v>229.18440971428572</v>
      </c>
      <c r="H27" s="1">
        <v>225.17468807142856</v>
      </c>
      <c r="I27" s="1">
        <v>220.50773057142857</v>
      </c>
      <c r="J27" s="1">
        <v>215.84441628571432</v>
      </c>
      <c r="K27" s="1">
        <v>210.66012235714288</v>
      </c>
      <c r="L27" s="1">
        <v>205.53557714285716</v>
      </c>
      <c r="M27" s="1">
        <v>202.29821692857143</v>
      </c>
      <c r="N27" s="1">
        <v>193.5370152142857</v>
      </c>
      <c r="O27" s="1">
        <v>187.53591264285714</v>
      </c>
      <c r="P27" s="1">
        <v>181.53699600000002</v>
      </c>
      <c r="Q27" s="1">
        <v>171.72217671428569</v>
      </c>
    </row>
    <row r="28" spans="1:17" s="1" customFormat="1" x14ac:dyDescent="0.25">
      <c r="D28" s="1" t="s">
        <v>10</v>
      </c>
      <c r="E28" s="1">
        <v>228.63428435714286</v>
      </c>
      <c r="F28" s="1">
        <v>174.02177357142858</v>
      </c>
      <c r="G28" s="1">
        <v>163.4367787857143</v>
      </c>
      <c r="H28" s="1">
        <v>163.83680371428571</v>
      </c>
      <c r="I28" s="1">
        <v>162.25127685714287</v>
      </c>
      <c r="J28" s="1">
        <v>160.69635300000002</v>
      </c>
      <c r="K28" s="1">
        <v>157.54934449999999</v>
      </c>
      <c r="L28" s="1">
        <v>153.61758764285713</v>
      </c>
      <c r="M28" s="1">
        <v>151.53949821428571</v>
      </c>
      <c r="N28" s="1">
        <v>132.89498478571429</v>
      </c>
      <c r="O28" s="1">
        <v>122.52858285714285</v>
      </c>
      <c r="P28" s="1">
        <v>112.14760807142859</v>
      </c>
      <c r="Q28" s="1">
        <v>82.703878857142854</v>
      </c>
    </row>
    <row r="29" spans="1:17" s="1" customFormat="1" x14ac:dyDescent="0.25"/>
    <row r="30" spans="1:17" s="1" customFormat="1" x14ac:dyDescent="0.25">
      <c r="D30" s="1" t="s">
        <v>30</v>
      </c>
      <c r="E30" s="1">
        <v>360.02462164285765</v>
      </c>
      <c r="F30" s="1">
        <v>263.55522192857148</v>
      </c>
      <c r="G30" s="1">
        <v>376.19247800000045</v>
      </c>
      <c r="H30" s="1">
        <v>244.83420099999995</v>
      </c>
      <c r="I30" s="1">
        <v>193.55887449999949</v>
      </c>
      <c r="J30" s="1">
        <v>188.73307285714318</v>
      </c>
      <c r="K30" s="1">
        <v>187.03533500000009</v>
      </c>
      <c r="L30" s="1">
        <v>187.49146542857116</v>
      </c>
      <c r="M30" s="1">
        <v>185.89355164285683</v>
      </c>
      <c r="N30" s="1">
        <v>177.56224921428566</v>
      </c>
      <c r="O30" s="1">
        <v>177.90835457142907</v>
      </c>
      <c r="P30" s="1">
        <v>171.41541807142849</v>
      </c>
      <c r="Q30" s="1">
        <v>207.26100342857146</v>
      </c>
    </row>
    <row r="31" spans="1:17" s="1" customFormat="1" x14ac:dyDescent="0.25">
      <c r="E31" s="1">
        <v>4004.431247071429</v>
      </c>
      <c r="F31" s="1">
        <v>3616.6934230000002</v>
      </c>
      <c r="G31" s="1">
        <v>3556.8665033571438</v>
      </c>
      <c r="H31" s="1">
        <v>3373.7794395000005</v>
      </c>
      <c r="I31" s="1">
        <v>3260.2541755714278</v>
      </c>
      <c r="J31" s="1">
        <v>3193.2454213571432</v>
      </c>
      <c r="K31" s="1">
        <v>3121.0132024285713</v>
      </c>
      <c r="L31" s="1">
        <v>3050.9148532142849</v>
      </c>
      <c r="M31" s="1">
        <v>3005.1551408571427</v>
      </c>
      <c r="N31" s="1">
        <v>2864.2795205714287</v>
      </c>
      <c r="O31" s="1">
        <v>2776.257793857143</v>
      </c>
      <c r="P31" s="1">
        <v>2681.3838343571429</v>
      </c>
      <c r="Q31" s="1">
        <v>2560.1966829999997</v>
      </c>
    </row>
    <row r="32" spans="1:17" s="1" customFormat="1" x14ac:dyDescent="0.25"/>
    <row r="33" spans="1:23" x14ac:dyDescent="0.25">
      <c r="A33" t="s">
        <v>16</v>
      </c>
    </row>
    <row r="34" spans="1:23" x14ac:dyDescent="0.25">
      <c r="J34">
        <v>22</v>
      </c>
      <c r="K34">
        <v>21</v>
      </c>
      <c r="L34">
        <v>20</v>
      </c>
      <c r="M34">
        <v>19</v>
      </c>
      <c r="N34">
        <v>18</v>
      </c>
      <c r="O34">
        <v>17</v>
      </c>
      <c r="P34">
        <v>16</v>
      </c>
      <c r="Q34">
        <v>15</v>
      </c>
      <c r="R34">
        <v>14</v>
      </c>
      <c r="S34">
        <v>13</v>
      </c>
      <c r="T34">
        <v>12</v>
      </c>
    </row>
    <row r="36" spans="1:23" s="1" customFormat="1" x14ac:dyDescent="0.25"/>
    <row r="37" spans="1:23" s="1" customFormat="1" x14ac:dyDescent="0.25"/>
    <row r="38" spans="1:23" s="1" customFormat="1" x14ac:dyDescent="0.25">
      <c r="I38" s="1" t="s">
        <v>6</v>
      </c>
      <c r="K38" s="1">
        <v>734.51</v>
      </c>
      <c r="L38" s="1">
        <v>734.51</v>
      </c>
      <c r="M38" s="1">
        <v>734.51</v>
      </c>
      <c r="N38" s="1">
        <v>734.51</v>
      </c>
      <c r="O38" s="1">
        <v>734.51</v>
      </c>
      <c r="P38" s="1">
        <v>734.51</v>
      </c>
      <c r="Q38" s="1">
        <v>734.51</v>
      </c>
      <c r="R38" s="1">
        <v>734.51</v>
      </c>
      <c r="S38" s="1">
        <v>734.51</v>
      </c>
      <c r="T38" s="1">
        <v>734.51</v>
      </c>
    </row>
    <row r="39" spans="1:23" s="1" customFormat="1" x14ac:dyDescent="0.25">
      <c r="I39" s="1" t="s">
        <v>7</v>
      </c>
      <c r="K39" s="1">
        <v>482.88</v>
      </c>
      <c r="L39" s="1">
        <v>448.55</v>
      </c>
      <c r="M39" s="1">
        <v>425.65000000000003</v>
      </c>
      <c r="N39" s="1">
        <v>402.73</v>
      </c>
      <c r="O39" s="1">
        <v>379.83</v>
      </c>
      <c r="P39" s="1">
        <v>356.96999999999997</v>
      </c>
      <c r="Q39" s="1">
        <v>334.03000000000003</v>
      </c>
      <c r="R39" s="1">
        <v>311.15999999999997</v>
      </c>
      <c r="S39" s="1">
        <v>288.21999999999997</v>
      </c>
      <c r="T39" s="1">
        <v>265.31</v>
      </c>
    </row>
    <row r="40" spans="1:23" s="1" customFormat="1" x14ac:dyDescent="0.25">
      <c r="I40" s="1" t="s">
        <v>8</v>
      </c>
      <c r="K40" s="1">
        <v>1239.932278642857</v>
      </c>
      <c r="L40" s="1">
        <v>1221.6965338571429</v>
      </c>
      <c r="M40" s="1">
        <v>1166.4544756428572</v>
      </c>
      <c r="N40" s="1">
        <v>1125.5885409999999</v>
      </c>
      <c r="O40" s="1">
        <v>1012.3610842142859</v>
      </c>
      <c r="P40" s="1">
        <v>933.13428907142861</v>
      </c>
      <c r="Q40" s="1">
        <v>819.83688257142865</v>
      </c>
      <c r="R40" s="1">
        <v>754.47033185714281</v>
      </c>
      <c r="S40" s="1">
        <v>708.40625907142862</v>
      </c>
      <c r="T40" s="1">
        <v>620.33301099999994</v>
      </c>
    </row>
    <row r="41" spans="1:23" s="1" customFormat="1" x14ac:dyDescent="0.25">
      <c r="I41" s="1" t="s">
        <v>9</v>
      </c>
      <c r="K41" s="1">
        <v>203.58718614285712</v>
      </c>
      <c r="L41" s="1">
        <v>199.20731392857144</v>
      </c>
      <c r="M41" s="1">
        <v>192.69543271428572</v>
      </c>
      <c r="N41" s="1">
        <v>187.3807117142857</v>
      </c>
      <c r="O41" s="1">
        <v>176.03574242857144</v>
      </c>
      <c r="P41" s="1">
        <v>167.52883707142857</v>
      </c>
      <c r="Q41" s="1">
        <v>156.17585271428575</v>
      </c>
      <c r="R41" s="1">
        <v>148.82166035714286</v>
      </c>
      <c r="S41" s="1">
        <v>143.07193957142857</v>
      </c>
      <c r="T41" s="1">
        <v>133.82327578571429</v>
      </c>
    </row>
    <row r="42" spans="1:23" s="1" customFormat="1" x14ac:dyDescent="0.25">
      <c r="I42" s="1" t="s">
        <v>10</v>
      </c>
      <c r="K42" s="1">
        <v>209.72308764285714</v>
      </c>
      <c r="L42" s="1">
        <v>208.02462114285714</v>
      </c>
      <c r="M42" s="1">
        <v>196.12296871428572</v>
      </c>
      <c r="N42" s="1">
        <v>187.81571149999999</v>
      </c>
      <c r="O42" s="1">
        <v>161.41770942857147</v>
      </c>
      <c r="P42" s="1">
        <v>143.51568307142858</v>
      </c>
      <c r="Q42" s="1">
        <v>117.10310814285715</v>
      </c>
      <c r="R42" s="1">
        <v>102.66796450000001</v>
      </c>
      <c r="S42" s="1">
        <v>93.062994357142856</v>
      </c>
      <c r="T42" s="1">
        <v>72.954637428571431</v>
      </c>
    </row>
    <row r="43" spans="1:23" s="1" customFormat="1" x14ac:dyDescent="0.25"/>
    <row r="44" spans="1:23" s="1" customFormat="1" x14ac:dyDescent="0.25">
      <c r="I44" s="1" t="s">
        <v>31</v>
      </c>
      <c r="K44" s="1">
        <v>393.30902735714346</v>
      </c>
      <c r="L44" s="1">
        <v>378.12411021428574</v>
      </c>
      <c r="M44" s="1">
        <v>328.69662199999959</v>
      </c>
      <c r="N44" s="1">
        <v>182.06016157142875</v>
      </c>
      <c r="O44" s="1">
        <v>214.85929114285676</v>
      </c>
      <c r="P44" s="1">
        <v>159.27768535714264</v>
      </c>
      <c r="Q44" s="1">
        <v>195.78706435714301</v>
      </c>
      <c r="R44" s="1">
        <v>217.02554635714299</v>
      </c>
      <c r="S44" s="1">
        <v>207.27703357142863</v>
      </c>
      <c r="T44" s="1">
        <v>176.53850600000001</v>
      </c>
    </row>
    <row r="45" spans="1:23" s="1" customFormat="1" x14ac:dyDescent="0.25">
      <c r="K45" s="1">
        <v>3263.9415797857146</v>
      </c>
      <c r="L45" s="1">
        <v>3190.1125791428572</v>
      </c>
      <c r="M45" s="1">
        <v>3044.1294990714287</v>
      </c>
      <c r="N45" s="1">
        <v>2820.0851257857139</v>
      </c>
      <c r="O45" s="1">
        <v>2679.0138272142858</v>
      </c>
      <c r="P45" s="1">
        <v>2494.9364945714283</v>
      </c>
      <c r="Q45" s="1">
        <v>2357.4429077857149</v>
      </c>
      <c r="R45" s="1">
        <v>2268.6555030714289</v>
      </c>
      <c r="S45" s="1">
        <v>2174.5482265714286</v>
      </c>
      <c r="T45" s="1">
        <v>2003.4694302142857</v>
      </c>
    </row>
    <row r="46" spans="1:23" s="1" customFormat="1" x14ac:dyDescent="0.25"/>
    <row r="47" spans="1:23" x14ac:dyDescent="0.25">
      <c r="A47" t="s">
        <v>17</v>
      </c>
    </row>
    <row r="48" spans="1:23" x14ac:dyDescent="0.25">
      <c r="N48">
        <v>18</v>
      </c>
      <c r="O48">
        <v>17</v>
      </c>
      <c r="P48">
        <v>16</v>
      </c>
      <c r="Q48">
        <v>15</v>
      </c>
      <c r="R48">
        <v>14</v>
      </c>
      <c r="S48">
        <v>13</v>
      </c>
      <c r="T48">
        <v>12</v>
      </c>
      <c r="U48">
        <v>11</v>
      </c>
      <c r="V48">
        <v>10</v>
      </c>
      <c r="W48">
        <v>9</v>
      </c>
    </row>
    <row r="50" spans="1:23" s="1" customFormat="1" x14ac:dyDescent="0.25"/>
    <row r="51" spans="1:23" s="1" customFormat="1" x14ac:dyDescent="0.25"/>
    <row r="52" spans="1:23" s="1" customFormat="1" x14ac:dyDescent="0.25">
      <c r="M52" s="1" t="s">
        <v>6</v>
      </c>
      <c r="N52" s="1">
        <v>611.30999999999995</v>
      </c>
      <c r="O52" s="1">
        <v>611.30999999999995</v>
      </c>
      <c r="P52" s="1">
        <v>611.30999999999995</v>
      </c>
      <c r="Q52" s="1">
        <v>611.30999999999995</v>
      </c>
      <c r="R52" s="1">
        <v>611.30999999999995</v>
      </c>
      <c r="S52" s="1">
        <v>611.30999999999995</v>
      </c>
      <c r="T52" s="1">
        <v>611.30999999999995</v>
      </c>
      <c r="U52" s="1">
        <v>611.30999999999995</v>
      </c>
      <c r="V52" s="1">
        <v>611.30999999999995</v>
      </c>
      <c r="W52" s="1">
        <v>611.30999999999995</v>
      </c>
    </row>
    <row r="53" spans="1:23" s="1" customFormat="1" x14ac:dyDescent="0.25">
      <c r="M53" s="1" t="s">
        <v>7</v>
      </c>
      <c r="N53" s="1">
        <v>402.73</v>
      </c>
      <c r="O53" s="1">
        <v>379.83</v>
      </c>
      <c r="P53" s="1">
        <v>356.96999999999997</v>
      </c>
      <c r="Q53" s="1">
        <v>334.03000000000003</v>
      </c>
      <c r="R53" s="1">
        <v>311.15999999999997</v>
      </c>
      <c r="S53" s="1">
        <v>288.21999999999997</v>
      </c>
      <c r="T53" s="1">
        <v>265.31</v>
      </c>
      <c r="U53" s="1">
        <v>242.4</v>
      </c>
      <c r="V53" s="1">
        <v>219.53</v>
      </c>
      <c r="W53" s="1">
        <v>208.07999999999998</v>
      </c>
    </row>
    <row r="54" spans="1:23" s="1" customFormat="1" x14ac:dyDescent="0.25">
      <c r="M54" s="1" t="s">
        <v>8</v>
      </c>
      <c r="N54" s="1">
        <v>961.54043085714295</v>
      </c>
      <c r="O54" s="1">
        <v>926.34115171428573</v>
      </c>
      <c r="P54" s="1">
        <v>888.25571821428571</v>
      </c>
      <c r="Q54" s="1">
        <v>851.49932928571434</v>
      </c>
      <c r="R54" s="1">
        <v>802.0492531428572</v>
      </c>
      <c r="S54" s="1">
        <v>756.92075778571427</v>
      </c>
      <c r="T54" s="1">
        <v>674.86974292857144</v>
      </c>
      <c r="U54" s="1">
        <v>678.05682678571429</v>
      </c>
      <c r="V54" s="1">
        <v>564.73610371428583</v>
      </c>
      <c r="W54" s="1">
        <v>478.55805571428573</v>
      </c>
    </row>
    <row r="55" spans="1:23" s="1" customFormat="1" x14ac:dyDescent="0.25">
      <c r="A55" s="1" t="s">
        <v>32</v>
      </c>
      <c r="M55" s="1" t="s">
        <v>33</v>
      </c>
      <c r="N55" s="1">
        <v>164.56398928571429</v>
      </c>
      <c r="O55" s="1">
        <v>159.72142885714285</v>
      </c>
      <c r="P55" s="1">
        <v>154.6435167857143</v>
      </c>
      <c r="Q55" s="1">
        <v>149.66834335714287</v>
      </c>
      <c r="R55" s="1">
        <v>143.64100964285714</v>
      </c>
      <c r="S55" s="1">
        <v>137.96925364285713</v>
      </c>
      <c r="T55" s="1">
        <v>129.22189614285713</v>
      </c>
      <c r="U55" s="1">
        <v>127.57953514285714</v>
      </c>
      <c r="V55" s="1">
        <v>116.22946535714287</v>
      </c>
      <c r="W55" s="1">
        <v>108.09416785714286</v>
      </c>
    </row>
    <row r="56" spans="1:23" s="1" customFormat="1" x14ac:dyDescent="0.25">
      <c r="A56" s="1" t="s">
        <v>34</v>
      </c>
      <c r="M56" s="1" t="s">
        <v>10</v>
      </c>
      <c r="N56" s="1">
        <v>155.94924478571428</v>
      </c>
      <c r="O56" s="1">
        <v>149.05846928571432</v>
      </c>
      <c r="P56" s="1">
        <v>141.44123685714285</v>
      </c>
      <c r="Q56" s="1">
        <v>134.16428064285714</v>
      </c>
      <c r="R56" s="1">
        <v>123.70898428571429</v>
      </c>
      <c r="S56" s="1">
        <v>114.33717985714286</v>
      </c>
      <c r="T56" s="1">
        <v>95.734927714285718</v>
      </c>
      <c r="U56" s="1">
        <v>98.43892135714286</v>
      </c>
      <c r="V56" s="1">
        <v>72.016145428571434</v>
      </c>
      <c r="W56" s="1">
        <v>51.424698285714285</v>
      </c>
    </row>
    <row r="57" spans="1:23" s="1" customFormat="1" x14ac:dyDescent="0.25">
      <c r="A57" s="1" t="s">
        <v>35</v>
      </c>
      <c r="C57" s="1" t="s">
        <v>36</v>
      </c>
    </row>
    <row r="58" spans="1:23" s="1" customFormat="1" x14ac:dyDescent="0.25">
      <c r="A58" s="1" t="s">
        <v>37</v>
      </c>
      <c r="C58" s="1">
        <v>43.52</v>
      </c>
      <c r="M58" s="1" t="s">
        <v>31</v>
      </c>
      <c r="N58" s="1">
        <v>202.34995057142842</v>
      </c>
      <c r="O58" s="1">
        <v>138.06179128571392</v>
      </c>
      <c r="P58" s="1">
        <v>156.81268657142851</v>
      </c>
      <c r="Q58" s="1">
        <v>193.17779428571436</v>
      </c>
      <c r="R58" s="1">
        <v>189.29777107142834</v>
      </c>
      <c r="S58" s="1">
        <v>228.71443507142857</v>
      </c>
      <c r="T58" s="1">
        <v>175.41202414285723</v>
      </c>
      <c r="U58" s="1">
        <v>188.6900829285712</v>
      </c>
      <c r="V58" s="1">
        <v>162.16821157142857</v>
      </c>
      <c r="W58" s="1">
        <v>155.17688335714283</v>
      </c>
    </row>
    <row r="59" spans="1:23" s="1" customFormat="1" x14ac:dyDescent="0.25">
      <c r="A59" s="1" t="s">
        <v>38</v>
      </c>
      <c r="C59" s="1">
        <v>35.479999999999997</v>
      </c>
      <c r="N59" s="1">
        <v>2498.4436154999999</v>
      </c>
      <c r="O59" s="1">
        <v>2364.3228411428563</v>
      </c>
      <c r="P59" s="1">
        <v>2309.4331584285715</v>
      </c>
      <c r="Q59" s="1">
        <v>2273.8497475714285</v>
      </c>
      <c r="R59" s="1">
        <v>2181.1670181428567</v>
      </c>
      <c r="S59" s="1">
        <v>2137.4716263571431</v>
      </c>
      <c r="T59" s="1">
        <v>1951.8585909285714</v>
      </c>
      <c r="U59" s="1">
        <v>1946.4753662142855</v>
      </c>
      <c r="V59" s="1">
        <v>1745.9899260714285</v>
      </c>
      <c r="W59" s="1">
        <v>1612.6438052142855</v>
      </c>
    </row>
    <row r="60" spans="1:23" x14ac:dyDescent="0.25">
      <c r="A60" t="s">
        <v>39</v>
      </c>
      <c r="C60">
        <v>26.85</v>
      </c>
    </row>
    <row r="61" spans="1:23" x14ac:dyDescent="0.25">
      <c r="A61" t="s">
        <v>40</v>
      </c>
      <c r="C61">
        <v>18.27</v>
      </c>
    </row>
    <row r="63" spans="1:23" s="1" customFormat="1" x14ac:dyDescent="0.25">
      <c r="A63" s="1" t="s">
        <v>41</v>
      </c>
      <c r="I63" s="1" t="s">
        <v>42</v>
      </c>
    </row>
    <row r="64" spans="1:23" s="1" customFormat="1" x14ac:dyDescent="0.25">
      <c r="A64" s="1" t="s">
        <v>43</v>
      </c>
      <c r="I64" s="1" t="s">
        <v>44</v>
      </c>
    </row>
    <row r="65" spans="1:17" s="1" customFormat="1" x14ac:dyDescent="0.25">
      <c r="A65" s="1" t="s">
        <v>35</v>
      </c>
      <c r="B65" s="1" t="s">
        <v>45</v>
      </c>
      <c r="C65" s="1" t="s">
        <v>36</v>
      </c>
      <c r="L65" s="1" t="s">
        <v>46</v>
      </c>
    </row>
    <row r="66" spans="1:17" s="1" customFormat="1" x14ac:dyDescent="0.25">
      <c r="A66" s="1" t="s">
        <v>37</v>
      </c>
      <c r="B66" s="1">
        <v>698.13</v>
      </c>
      <c r="C66" s="1">
        <v>26.85</v>
      </c>
    </row>
    <row r="67" spans="1:17" s="1" customFormat="1" x14ac:dyDescent="0.25">
      <c r="A67" s="1" t="s">
        <v>38</v>
      </c>
      <c r="B67" s="1">
        <v>713.45</v>
      </c>
      <c r="C67" s="1">
        <v>25.87</v>
      </c>
      <c r="L67" s="1" t="s">
        <v>20</v>
      </c>
      <c r="O67" s="1">
        <v>42.986727631333331</v>
      </c>
    </row>
    <row r="68" spans="1:17" s="1" customFormat="1" x14ac:dyDescent="0.25">
      <c r="A68" s="1" t="s">
        <v>39</v>
      </c>
      <c r="B68" s="1">
        <v>634.82000000000005</v>
      </c>
      <c r="C68" s="1">
        <v>23.19</v>
      </c>
      <c r="L68" s="1" t="s">
        <v>21</v>
      </c>
      <c r="O68" s="1">
        <v>134.67980340000003</v>
      </c>
    </row>
    <row r="69" spans="1:17" s="1" customFormat="1" x14ac:dyDescent="0.25">
      <c r="A69" s="1" t="s">
        <v>40</v>
      </c>
      <c r="B69" s="1">
        <v>605.73</v>
      </c>
      <c r="C69" s="1">
        <v>18.09</v>
      </c>
    </row>
    <row r="70" spans="1:17" s="1" customFormat="1" x14ac:dyDescent="0.25">
      <c r="L70" s="1" t="s">
        <v>22</v>
      </c>
      <c r="P70" s="1" t="s">
        <v>23</v>
      </c>
      <c r="Q70" s="1" t="s">
        <v>24</v>
      </c>
    </row>
    <row r="71" spans="1:17" s="1" customFormat="1" x14ac:dyDescent="0.25">
      <c r="L71" s="1" t="s">
        <v>25</v>
      </c>
      <c r="O71" s="1">
        <v>0.2492</v>
      </c>
      <c r="P71" s="1">
        <v>0.19</v>
      </c>
      <c r="Q71" s="1">
        <v>5.9200000000000003E-2</v>
      </c>
    </row>
    <row r="72" spans="1:17" s="1" customFormat="1" x14ac:dyDescent="0.25">
      <c r="I72" s="1" t="s">
        <v>26</v>
      </c>
      <c r="J72" s="1">
        <v>462.64595300000002</v>
      </c>
      <c r="L72" s="1" t="s">
        <v>27</v>
      </c>
      <c r="O72" s="1">
        <v>8.1778408209999984</v>
      </c>
      <c r="P72" s="1">
        <v>0</v>
      </c>
      <c r="Q72" s="1">
        <v>8.1778408209999984</v>
      </c>
    </row>
    <row r="73" spans="1:17" s="1" customFormat="1" x14ac:dyDescent="0.25"/>
    <row r="74" spans="1:17" s="1" customFormat="1" x14ac:dyDescent="0.25"/>
    <row r="75" spans="1:17" s="1" customFormat="1" x14ac:dyDescent="0.25"/>
    <row r="76" spans="1:17" s="1" customFormat="1" x14ac:dyDescent="0.25"/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72"/>
  <sheetViews>
    <sheetView workbookViewId="0">
      <selection activeCell="B10" sqref="B10"/>
    </sheetView>
  </sheetViews>
  <sheetFormatPr baseColWidth="10" defaultRowHeight="15" x14ac:dyDescent="0.25"/>
  <cols>
    <col min="1" max="1" width="12.140625" customWidth="1"/>
    <col min="4" max="4" width="12" customWidth="1"/>
    <col min="13" max="13" width="12.28515625" customWidth="1"/>
    <col min="14" max="14" width="12" customWidth="1"/>
  </cols>
  <sheetData>
    <row r="1" spans="1:15" x14ac:dyDescent="0.25">
      <c r="A1" t="s">
        <v>90</v>
      </c>
    </row>
    <row r="2" spans="1:15" x14ac:dyDescent="0.25">
      <c r="A2" t="s">
        <v>1</v>
      </c>
    </row>
    <row r="4" spans="1:15" x14ac:dyDescent="0.25">
      <c r="A4" t="s">
        <v>2</v>
      </c>
    </row>
    <row r="5" spans="1:15" x14ac:dyDescent="0.25">
      <c r="B5">
        <v>30</v>
      </c>
      <c r="C5">
        <v>29</v>
      </c>
      <c r="D5">
        <v>28</v>
      </c>
      <c r="E5">
        <v>27</v>
      </c>
      <c r="F5">
        <v>26</v>
      </c>
      <c r="G5">
        <v>25</v>
      </c>
      <c r="H5">
        <v>24</v>
      </c>
      <c r="I5">
        <v>23</v>
      </c>
      <c r="J5">
        <v>22</v>
      </c>
      <c r="K5">
        <v>21</v>
      </c>
      <c r="L5">
        <v>20</v>
      </c>
      <c r="M5" t="s">
        <v>3</v>
      </c>
      <c r="N5" t="s">
        <v>4</v>
      </c>
      <c r="O5" t="s">
        <v>5</v>
      </c>
    </row>
    <row r="6" spans="1:15" s="1" customFormat="1" x14ac:dyDescent="0.25"/>
    <row r="7" spans="1:15" s="1" customFormat="1" x14ac:dyDescent="0.25">
      <c r="B7" s="1">
        <v>74082.229669334993</v>
      </c>
      <c r="C7" s="1">
        <v>70135.771864394992</v>
      </c>
      <c r="D7" s="1">
        <v>66189.446206364999</v>
      </c>
      <c r="E7" s="1">
        <v>58217.991377685001</v>
      </c>
      <c r="F7" s="1">
        <v>52858.535027675003</v>
      </c>
      <c r="G7" s="1">
        <v>51636.612561049988</v>
      </c>
      <c r="H7" s="1">
        <v>50414.805508674996</v>
      </c>
      <c r="I7" s="1">
        <v>49413.602424674995</v>
      </c>
      <c r="J7" s="1">
        <v>48411.962705665006</v>
      </c>
      <c r="K7" s="1">
        <v>45899.291307574997</v>
      </c>
      <c r="L7" s="1">
        <v>43387.512703555003</v>
      </c>
      <c r="M7" s="1">
        <v>39788.747001975004</v>
      </c>
      <c r="N7" s="1">
        <v>35974.959470889997</v>
      </c>
      <c r="O7" s="1">
        <v>31779.16055638</v>
      </c>
    </row>
    <row r="8" spans="1:15" s="1" customFormat="1" x14ac:dyDescent="0.25"/>
    <row r="9" spans="1:15" s="1" customFormat="1" x14ac:dyDescent="0.25">
      <c r="A9" s="1" t="s">
        <v>6</v>
      </c>
      <c r="B9" s="1">
        <v>15197.3</v>
      </c>
      <c r="C9" s="1">
        <v>15197.3</v>
      </c>
      <c r="D9" s="1">
        <v>15197.3</v>
      </c>
      <c r="E9" s="1">
        <v>15197.3</v>
      </c>
      <c r="F9" s="1">
        <v>15197.3</v>
      </c>
      <c r="G9" s="1">
        <v>15197.3</v>
      </c>
      <c r="H9" s="1">
        <v>15197.3</v>
      </c>
      <c r="I9" s="1">
        <v>15197.3</v>
      </c>
      <c r="J9" s="1">
        <v>15197.3</v>
      </c>
      <c r="K9" s="1">
        <v>15197.3</v>
      </c>
      <c r="L9" s="1">
        <v>15197.3</v>
      </c>
      <c r="M9" s="1">
        <v>15197.3</v>
      </c>
      <c r="N9" s="1">
        <v>15197.3</v>
      </c>
      <c r="O9" s="1">
        <v>15197.3</v>
      </c>
    </row>
    <row r="10" spans="1:15" s="1" customFormat="1" x14ac:dyDescent="0.25">
      <c r="A10" s="1" t="s">
        <v>7</v>
      </c>
      <c r="B10" s="1">
        <v>14042.84</v>
      </c>
      <c r="C10" s="1">
        <v>12595.8</v>
      </c>
      <c r="D10" s="1">
        <v>12066.32</v>
      </c>
      <c r="E10" s="1">
        <v>11536.42</v>
      </c>
      <c r="F10" s="1">
        <v>10121.16</v>
      </c>
      <c r="G10" s="1">
        <v>8979.74</v>
      </c>
      <c r="H10" s="1">
        <v>8449.84</v>
      </c>
      <c r="I10" s="1">
        <v>7920.78</v>
      </c>
      <c r="J10" s="1">
        <v>7390.6</v>
      </c>
      <c r="K10" s="1">
        <v>6861.82</v>
      </c>
      <c r="L10" s="1">
        <v>6373.92</v>
      </c>
      <c r="M10" s="1">
        <v>6373.92</v>
      </c>
      <c r="N10" s="1">
        <v>6373.92</v>
      </c>
      <c r="O10" s="1">
        <v>6373.92</v>
      </c>
    </row>
    <row r="11" spans="1:15" s="1" customFormat="1" x14ac:dyDescent="0.25">
      <c r="A11" s="1" t="s">
        <v>8</v>
      </c>
      <c r="B11" s="1">
        <v>33631.569840504999</v>
      </c>
      <c r="C11" s="1">
        <v>31757.006486799997</v>
      </c>
      <c r="D11" s="1">
        <v>29194.367066269999</v>
      </c>
      <c r="E11" s="1">
        <v>23613.200944760003</v>
      </c>
      <c r="F11" s="1">
        <v>20655.05885926</v>
      </c>
      <c r="G11" s="1">
        <v>20594.684597794996</v>
      </c>
      <c r="H11" s="1">
        <v>20075.751720009997</v>
      </c>
      <c r="I11" s="1">
        <v>19721.644407009997</v>
      </c>
      <c r="J11" s="1">
        <v>19368.044440745001</v>
      </c>
      <c r="K11" s="1">
        <v>17880.131069184998</v>
      </c>
      <c r="L11" s="1">
        <v>16362.222116169998</v>
      </c>
      <c r="M11" s="1">
        <v>13663.147839984998</v>
      </c>
      <c r="N11" s="1">
        <v>10802.809780175001</v>
      </c>
      <c r="O11" s="1">
        <v>7655.9554172849985</v>
      </c>
    </row>
    <row r="12" spans="1:15" s="1" customFormat="1" x14ac:dyDescent="0.25">
      <c r="A12" s="1" t="s">
        <v>9</v>
      </c>
      <c r="B12" s="1">
        <v>5239.255838179999</v>
      </c>
      <c r="C12" s="1">
        <v>4962.4723092000004</v>
      </c>
      <c r="D12" s="1">
        <v>4704.791937895</v>
      </c>
      <c r="E12" s="1">
        <v>4195.5400641349997</v>
      </c>
      <c r="F12" s="1">
        <v>3831.06838212</v>
      </c>
      <c r="G12" s="1">
        <v>3730.9347030549993</v>
      </c>
      <c r="H12" s="1">
        <v>3643.5364624399995</v>
      </c>
      <c r="I12" s="1">
        <v>3569.929769805</v>
      </c>
      <c r="J12" s="1">
        <v>3496.2816611099997</v>
      </c>
      <c r="K12" s="1">
        <v>3328.2152896299999</v>
      </c>
      <c r="L12" s="1">
        <v>3161.0704254849998</v>
      </c>
      <c r="M12" s="1">
        <v>2936.1501576399996</v>
      </c>
      <c r="N12" s="1">
        <v>2697.7903783249999</v>
      </c>
      <c r="O12" s="1">
        <v>2435.5542404200005</v>
      </c>
    </row>
    <row r="13" spans="1:15" s="1" customFormat="1" x14ac:dyDescent="0.25">
      <c r="A13" s="1" t="s">
        <v>10</v>
      </c>
      <c r="B13" s="1">
        <v>5971.2639906499999</v>
      </c>
      <c r="C13" s="1">
        <v>5623.1930683949995</v>
      </c>
      <c r="D13" s="1">
        <v>5026.6672021999993</v>
      </c>
      <c r="E13" s="1">
        <v>3675.53036879</v>
      </c>
      <c r="F13" s="1">
        <v>3053.9477862950002</v>
      </c>
      <c r="G13" s="1">
        <v>3133.9532601999999</v>
      </c>
      <c r="H13" s="1">
        <v>3048.3773262249997</v>
      </c>
      <c r="I13" s="1">
        <v>3003.9482478599998</v>
      </c>
      <c r="J13" s="1">
        <v>2959.7366038099999</v>
      </c>
      <c r="K13" s="1">
        <v>2631.8249487599996</v>
      </c>
      <c r="L13" s="1">
        <v>2293.0001619</v>
      </c>
      <c r="M13" s="1">
        <v>1618.22900435</v>
      </c>
      <c r="N13" s="1">
        <v>903.13931238999999</v>
      </c>
      <c r="O13" s="1">
        <v>116.43089867499999</v>
      </c>
    </row>
    <row r="14" spans="1:15" s="1" customFormat="1" x14ac:dyDescent="0.25">
      <c r="B14" s="1">
        <v>74082.229669334993</v>
      </c>
      <c r="C14" s="1">
        <v>70135.771864394992</v>
      </c>
      <c r="D14" s="1">
        <v>66189.446206364999</v>
      </c>
      <c r="E14" s="1">
        <v>58217.991377685001</v>
      </c>
      <c r="F14" s="1">
        <v>52858.535027675003</v>
      </c>
      <c r="G14" s="1">
        <v>51636.612561049988</v>
      </c>
      <c r="H14" s="1">
        <v>50414.805508674996</v>
      </c>
      <c r="I14" s="1">
        <v>49413.602424674995</v>
      </c>
      <c r="J14" s="1">
        <v>48411.962705665006</v>
      </c>
      <c r="K14" s="1">
        <v>45899.291307574997</v>
      </c>
      <c r="L14" s="1">
        <v>43387.512703555003</v>
      </c>
      <c r="M14" s="1">
        <v>39788.747001975004</v>
      </c>
      <c r="N14" s="1">
        <v>35974.959470889997</v>
      </c>
      <c r="O14" s="1">
        <v>31779.16055638</v>
      </c>
    </row>
    <row r="15" spans="1:15" s="1" customFormat="1" x14ac:dyDescent="0.25">
      <c r="A15" s="1" t="s">
        <v>11</v>
      </c>
      <c r="B15" s="1">
        <v>4851.7671808199993</v>
      </c>
      <c r="C15" s="1">
        <v>4851.7671808199993</v>
      </c>
      <c r="D15" s="1">
        <v>3621.5238265499966</v>
      </c>
      <c r="E15" s="1">
        <v>3338.1033739550085</v>
      </c>
      <c r="F15" s="1">
        <v>3076.8094514150002</v>
      </c>
      <c r="G15" s="1">
        <v>3100.3544815249907</v>
      </c>
      <c r="H15" s="1">
        <v>3056.4016878500015</v>
      </c>
      <c r="I15" s="1">
        <v>2998.802302405004</v>
      </c>
      <c r="J15" s="1">
        <v>2983.7993346699982</v>
      </c>
      <c r="K15" s="1">
        <v>2829.9179637399957</v>
      </c>
      <c r="L15" s="1">
        <v>2745.9572561049995</v>
      </c>
      <c r="M15" s="1">
        <v>3365.9763823349995</v>
      </c>
      <c r="N15" s="1">
        <v>3151.3376513849998</v>
      </c>
      <c r="O15" s="1">
        <v>2915.1936312799999</v>
      </c>
    </row>
    <row r="16" spans="1:15" s="1" customFormat="1" x14ac:dyDescent="0.25">
      <c r="B16" s="1">
        <v>78933.996850154988</v>
      </c>
      <c r="C16" s="1">
        <v>74987.539045214988</v>
      </c>
      <c r="D16" s="1">
        <v>69810.970032914993</v>
      </c>
      <c r="E16" s="1">
        <v>61556.094751640012</v>
      </c>
      <c r="F16" s="1">
        <v>55935.344479090003</v>
      </c>
      <c r="G16" s="1">
        <v>54736.967042574979</v>
      </c>
      <c r="H16" s="1">
        <v>53471.207196525</v>
      </c>
      <c r="I16" s="1">
        <v>52412.40472708</v>
      </c>
      <c r="J16" s="1">
        <v>51395.762040335001</v>
      </c>
      <c r="K16" s="1">
        <v>48729.20927131499</v>
      </c>
      <c r="L16" s="1">
        <v>46133.469959660004</v>
      </c>
      <c r="M16" s="1">
        <v>43154.723384310004</v>
      </c>
      <c r="N16" s="1">
        <v>39126.297122274998</v>
      </c>
      <c r="O16" s="1">
        <v>34694.354187659999</v>
      </c>
    </row>
    <row r="18" spans="1:17" x14ac:dyDescent="0.25">
      <c r="A18" t="s">
        <v>12</v>
      </c>
    </row>
    <row r="19" spans="1:17" x14ac:dyDescent="0.25">
      <c r="E19" t="s">
        <v>13</v>
      </c>
      <c r="F19" t="s">
        <v>14</v>
      </c>
      <c r="G19">
        <v>25</v>
      </c>
      <c r="H19">
        <v>24</v>
      </c>
      <c r="I19">
        <v>23</v>
      </c>
      <c r="J19">
        <v>22</v>
      </c>
      <c r="K19">
        <v>21</v>
      </c>
      <c r="L19">
        <v>20</v>
      </c>
      <c r="M19">
        <v>19</v>
      </c>
      <c r="N19">
        <v>18</v>
      </c>
      <c r="O19">
        <v>17</v>
      </c>
      <c r="P19">
        <v>16</v>
      </c>
      <c r="Q19" t="s">
        <v>15</v>
      </c>
    </row>
    <row r="21" spans="1:17" s="1" customFormat="1" x14ac:dyDescent="0.25">
      <c r="E21" s="1">
        <v>51249.631047340001</v>
      </c>
      <c r="F21" s="1">
        <v>47110.706737225002</v>
      </c>
      <c r="G21" s="1">
        <v>44659.918000324993</v>
      </c>
      <c r="H21" s="1">
        <v>43924.842839084995</v>
      </c>
      <c r="I21" s="1">
        <v>43040.391628224999</v>
      </c>
      <c r="J21" s="1">
        <v>42156.766972185011</v>
      </c>
      <c r="K21" s="1">
        <v>41154.446096159998</v>
      </c>
      <c r="L21" s="1">
        <v>40151.796240434996</v>
      </c>
      <c r="M21" s="1">
        <v>39524.306082734998</v>
      </c>
      <c r="N21" s="1">
        <v>37640.904525984995</v>
      </c>
      <c r="O21" s="1">
        <v>36385.106632249997</v>
      </c>
      <c r="P21" s="1">
        <v>35129.252895420002</v>
      </c>
      <c r="Q21" s="1">
        <v>32897.741406710004</v>
      </c>
    </row>
    <row r="22" spans="1:17" s="1" customFormat="1" x14ac:dyDescent="0.25"/>
    <row r="23" spans="1:17" s="1" customFormat="1" x14ac:dyDescent="0.25">
      <c r="D23" s="1" t="s">
        <v>6</v>
      </c>
      <c r="E23" s="1">
        <v>13363.6</v>
      </c>
      <c r="F23" s="1">
        <v>13363.6</v>
      </c>
      <c r="G23" s="1">
        <v>13363.6</v>
      </c>
      <c r="H23" s="1">
        <v>13363.6</v>
      </c>
      <c r="I23" s="1">
        <v>13363.6</v>
      </c>
      <c r="J23" s="1">
        <v>13363.6</v>
      </c>
      <c r="K23" s="1">
        <v>13363.6</v>
      </c>
      <c r="L23" s="1">
        <v>13363.6</v>
      </c>
      <c r="M23" s="1">
        <v>13363.6</v>
      </c>
      <c r="N23" s="1">
        <v>13363.6</v>
      </c>
      <c r="O23" s="1">
        <v>13363.6</v>
      </c>
      <c r="P23" s="1">
        <v>13363.6</v>
      </c>
      <c r="Q23" s="1">
        <v>13363.6</v>
      </c>
    </row>
    <row r="24" spans="1:17" s="1" customFormat="1" x14ac:dyDescent="0.25">
      <c r="D24" s="1" t="s">
        <v>7</v>
      </c>
      <c r="E24" s="1">
        <v>10121.16</v>
      </c>
      <c r="F24" s="1">
        <v>10121.16</v>
      </c>
      <c r="G24" s="1">
        <v>8979.74</v>
      </c>
      <c r="H24" s="1">
        <v>8449.84</v>
      </c>
      <c r="I24" s="1">
        <v>7920.78</v>
      </c>
      <c r="J24" s="1">
        <v>7390.6</v>
      </c>
      <c r="K24" s="1">
        <v>6861.82</v>
      </c>
      <c r="L24" s="1">
        <v>6373.92</v>
      </c>
      <c r="M24" s="1">
        <v>6048.56</v>
      </c>
      <c r="N24" s="1">
        <v>5722.92</v>
      </c>
      <c r="O24" s="1">
        <v>5397.42</v>
      </c>
      <c r="P24" s="1">
        <v>5072.62</v>
      </c>
      <c r="Q24" s="1">
        <v>5072.5436999999993</v>
      </c>
    </row>
    <row r="25" spans="1:17" s="1" customFormat="1" x14ac:dyDescent="0.25">
      <c r="D25" s="1" t="s">
        <v>8</v>
      </c>
      <c r="E25" s="1">
        <v>20823.653285504995</v>
      </c>
      <c r="F25" s="1">
        <v>17719.457464415002</v>
      </c>
      <c r="G25" s="1">
        <v>16737.430911739997</v>
      </c>
      <c r="H25" s="1">
        <v>16583.54954081</v>
      </c>
      <c r="I25" s="1">
        <v>16317.006132664997</v>
      </c>
      <c r="J25" s="1">
        <v>16051.922640634999</v>
      </c>
      <c r="K25" s="1">
        <v>15696.76957212</v>
      </c>
      <c r="L25" s="1">
        <v>15310.709768829996</v>
      </c>
      <c r="M25" s="1">
        <v>15084.112150554998</v>
      </c>
      <c r="N25" s="1">
        <v>13915.785805985</v>
      </c>
      <c r="O25" s="1">
        <v>13218.070151194997</v>
      </c>
      <c r="P25" s="1">
        <v>12519.774671564999</v>
      </c>
      <c r="Q25" s="1">
        <v>10846.203457039999</v>
      </c>
    </row>
    <row r="26" spans="1:17" s="1" customFormat="1" x14ac:dyDescent="0.25">
      <c r="D26" s="1" t="s">
        <v>9</v>
      </c>
      <c r="E26" s="1">
        <v>3692.3245811199999</v>
      </c>
      <c r="F26" s="1">
        <v>3433.6398703599998</v>
      </c>
      <c r="G26" s="1">
        <v>3256.7104620399996</v>
      </c>
      <c r="H26" s="1">
        <v>3199.7323174949993</v>
      </c>
      <c r="I26" s="1">
        <v>3133.4148514199996</v>
      </c>
      <c r="J26" s="1">
        <v>3067.1491554200002</v>
      </c>
      <c r="K26" s="1">
        <v>2993.4803386950002</v>
      </c>
      <c r="L26" s="1">
        <v>2920.6605512000001</v>
      </c>
      <c r="M26" s="1">
        <v>2874.6576625549997</v>
      </c>
      <c r="N26" s="1">
        <v>2750.1609861949996</v>
      </c>
      <c r="O26" s="1">
        <v>2664.885318655</v>
      </c>
      <c r="P26" s="1">
        <v>2579.6407131599999</v>
      </c>
      <c r="Q26" s="1">
        <v>2440.1721311099996</v>
      </c>
    </row>
    <row r="27" spans="1:17" s="1" customFormat="1" x14ac:dyDescent="0.25">
      <c r="D27" s="1" t="s">
        <v>10</v>
      </c>
      <c r="E27" s="1">
        <v>3248.8931807149997</v>
      </c>
      <c r="F27" s="1">
        <v>2472.8494024499996</v>
      </c>
      <c r="G27" s="1">
        <v>2322.4366265449999</v>
      </c>
      <c r="H27" s="1">
        <v>2328.1209807799996</v>
      </c>
      <c r="I27" s="1">
        <v>2305.5906441400002</v>
      </c>
      <c r="J27" s="1">
        <v>2283.4951761299999</v>
      </c>
      <c r="K27" s="1">
        <v>2238.7761853449997</v>
      </c>
      <c r="L27" s="1">
        <v>2182.9059204049995</v>
      </c>
      <c r="M27" s="1">
        <v>2153.3762696250001</v>
      </c>
      <c r="N27" s="1">
        <v>1888.4377338049997</v>
      </c>
      <c r="O27" s="1">
        <v>1741.1311623999998</v>
      </c>
      <c r="P27" s="1">
        <v>1593.617510695</v>
      </c>
      <c r="Q27" s="1">
        <v>1175.2221185599999</v>
      </c>
    </row>
    <row r="28" spans="1:17" s="1" customFormat="1" x14ac:dyDescent="0.25">
      <c r="E28" s="1">
        <v>51249.631047340001</v>
      </c>
      <c r="F28" s="1">
        <v>47110.706737225002</v>
      </c>
      <c r="G28" s="1">
        <v>44659.918000324993</v>
      </c>
      <c r="H28" s="1">
        <v>43924.842839084995</v>
      </c>
      <c r="I28" s="1">
        <v>43040.391628224999</v>
      </c>
      <c r="J28" s="1">
        <v>42156.766972185011</v>
      </c>
      <c r="K28" s="1">
        <v>41154.446096159998</v>
      </c>
      <c r="L28" s="1">
        <v>40151.796240434996</v>
      </c>
      <c r="M28" s="1">
        <v>39524.306082734998</v>
      </c>
      <c r="N28" s="1">
        <v>37640.904525984995</v>
      </c>
      <c r="O28" s="1">
        <v>36385.106632249997</v>
      </c>
      <c r="P28" s="1">
        <v>35129.252895420002</v>
      </c>
      <c r="Q28" s="1">
        <v>32897.741406710004</v>
      </c>
    </row>
    <row r="29" spans="1:17" s="1" customFormat="1" x14ac:dyDescent="0.25">
      <c r="D29" s="1" t="s">
        <v>11</v>
      </c>
      <c r="E29" s="1">
        <v>5115.949873545007</v>
      </c>
      <c r="F29" s="1">
        <v>3745.1197036050003</v>
      </c>
      <c r="G29" s="1">
        <v>5345.6951123800063</v>
      </c>
      <c r="H29" s="1">
        <v>3479.0939962099992</v>
      </c>
      <c r="I29" s="1">
        <v>2750.4716066449923</v>
      </c>
      <c r="J29" s="1">
        <v>2681.896965300004</v>
      </c>
      <c r="K29" s="1">
        <v>2657.7721103500012</v>
      </c>
      <c r="L29" s="1">
        <v>2664.2537237399956</v>
      </c>
      <c r="M29" s="1">
        <v>2641.5473688449952</v>
      </c>
      <c r="N29" s="1">
        <v>2523.1595613349991</v>
      </c>
      <c r="O29" s="1">
        <v>2528.077718460007</v>
      </c>
      <c r="P29" s="1">
        <v>2435.8130907949985</v>
      </c>
      <c r="Q29" s="1">
        <v>2945.1788587199999</v>
      </c>
    </row>
    <row r="30" spans="1:17" s="1" customFormat="1" x14ac:dyDescent="0.25">
      <c r="E30" s="1">
        <v>56365.580920885011</v>
      </c>
      <c r="F30" s="1">
        <v>50855.826440830002</v>
      </c>
      <c r="G30" s="1">
        <v>50005.613112705003</v>
      </c>
      <c r="H30" s="1">
        <v>47403.936835294997</v>
      </c>
      <c r="I30" s="1">
        <v>45790.86323486999</v>
      </c>
      <c r="J30" s="1">
        <v>44838.663937485013</v>
      </c>
      <c r="K30" s="1">
        <v>43812.218206509999</v>
      </c>
      <c r="L30" s="1">
        <v>42816.049964174992</v>
      </c>
      <c r="M30" s="1">
        <v>42165.853451579991</v>
      </c>
      <c r="N30" s="1">
        <v>40164.064087319995</v>
      </c>
      <c r="O30" s="1">
        <v>38913.184350710006</v>
      </c>
      <c r="P30" s="1">
        <v>37565.065986214999</v>
      </c>
      <c r="Q30" s="1">
        <v>35842.920265430002</v>
      </c>
    </row>
    <row r="31" spans="1:17" s="1" customFormat="1" x14ac:dyDescent="0.25"/>
    <row r="32" spans="1:17" x14ac:dyDescent="0.25">
      <c r="A32" t="s">
        <v>16</v>
      </c>
    </row>
    <row r="33" spans="1:23" x14ac:dyDescent="0.25">
      <c r="J33">
        <v>22</v>
      </c>
      <c r="K33">
        <v>21</v>
      </c>
      <c r="L33">
        <v>20</v>
      </c>
      <c r="M33">
        <v>19</v>
      </c>
      <c r="N33">
        <v>18</v>
      </c>
      <c r="O33">
        <v>17</v>
      </c>
      <c r="P33">
        <v>16</v>
      </c>
      <c r="Q33">
        <v>15</v>
      </c>
      <c r="R33">
        <v>14</v>
      </c>
      <c r="S33">
        <v>13</v>
      </c>
      <c r="T33">
        <v>12</v>
      </c>
    </row>
    <row r="34" spans="1:23" s="1" customFormat="1" x14ac:dyDescent="0.25"/>
    <row r="35" spans="1:23" s="1" customFormat="1" x14ac:dyDescent="0.25">
      <c r="K35" s="1">
        <v>40589.456670009989</v>
      </c>
      <c r="L35" s="1">
        <v>39756.053543475005</v>
      </c>
      <c r="M35" s="1">
        <v>38384.047583185005</v>
      </c>
      <c r="N35" s="1">
        <v>37284.134341484991</v>
      </c>
      <c r="O35" s="1">
        <v>34813.344557575001</v>
      </c>
      <c r="P35" s="1">
        <v>32987.460878935002</v>
      </c>
      <c r="Q35" s="1">
        <v>30514.936135119995</v>
      </c>
      <c r="R35" s="1">
        <v>28951.370984909994</v>
      </c>
      <c r="S35" s="1">
        <v>27752.69035253</v>
      </c>
      <c r="T35" s="1">
        <v>25758.361333084995</v>
      </c>
    </row>
    <row r="36" spans="1:23" s="1" customFormat="1" x14ac:dyDescent="0.25"/>
    <row r="37" spans="1:23" s="1" customFormat="1" x14ac:dyDescent="0.25">
      <c r="I37" s="1" t="s">
        <v>6</v>
      </c>
      <c r="K37" s="1">
        <v>10235.06</v>
      </c>
      <c r="L37" s="1">
        <v>10235.06</v>
      </c>
      <c r="M37" s="1">
        <v>10235.06</v>
      </c>
      <c r="N37" s="1">
        <v>10235.06</v>
      </c>
      <c r="O37" s="1">
        <v>10235.06</v>
      </c>
      <c r="P37" s="1">
        <v>10235.06</v>
      </c>
      <c r="Q37" s="1">
        <v>10235.06</v>
      </c>
      <c r="R37" s="1">
        <v>10235.06</v>
      </c>
      <c r="S37" s="1">
        <v>10235.06</v>
      </c>
      <c r="T37" s="1">
        <v>10235.06</v>
      </c>
    </row>
    <row r="38" spans="1:23" s="1" customFormat="1" x14ac:dyDescent="0.25">
      <c r="I38" s="1" t="s">
        <v>7</v>
      </c>
      <c r="K38" s="1">
        <v>6861.82</v>
      </c>
      <c r="L38" s="1">
        <v>6373.92</v>
      </c>
      <c r="M38" s="1">
        <v>6048.56</v>
      </c>
      <c r="N38" s="1">
        <v>5722.92</v>
      </c>
      <c r="O38" s="1">
        <v>5397.42</v>
      </c>
      <c r="P38" s="1">
        <v>5072.62</v>
      </c>
      <c r="Q38" s="1">
        <v>4746.7</v>
      </c>
      <c r="R38" s="1">
        <v>4421.62</v>
      </c>
      <c r="S38" s="1">
        <v>4095.7</v>
      </c>
      <c r="T38" s="1">
        <v>3770.0550999999996</v>
      </c>
    </row>
    <row r="39" spans="1:23" s="1" customFormat="1" x14ac:dyDescent="0.25">
      <c r="I39" s="1" t="s">
        <v>8</v>
      </c>
      <c r="K39" s="1">
        <v>17619.437679514998</v>
      </c>
      <c r="L39" s="1">
        <v>17360.30774611</v>
      </c>
      <c r="M39" s="1">
        <v>16575.318098885</v>
      </c>
      <c r="N39" s="1">
        <v>15994.613167609998</v>
      </c>
      <c r="O39" s="1">
        <v>14385.651006685001</v>
      </c>
      <c r="P39" s="1">
        <v>13259.838247705</v>
      </c>
      <c r="Q39" s="1">
        <v>11649.882101339999</v>
      </c>
      <c r="R39" s="1">
        <v>10721.023415689999</v>
      </c>
      <c r="S39" s="1">
        <v>10066.452941404999</v>
      </c>
      <c r="T39" s="1">
        <v>8814.9320863099983</v>
      </c>
    </row>
    <row r="40" spans="1:23" s="1" customFormat="1" x14ac:dyDescent="0.25">
      <c r="I40" s="1" t="s">
        <v>9</v>
      </c>
      <c r="K40" s="1">
        <v>2892.9739150899995</v>
      </c>
      <c r="L40" s="1">
        <v>2830.7359309249996</v>
      </c>
      <c r="M40" s="1">
        <v>2738.2020988699996</v>
      </c>
      <c r="N40" s="1">
        <v>2662.6799134599992</v>
      </c>
      <c r="O40" s="1">
        <v>2501.4678999099997</v>
      </c>
      <c r="P40" s="1">
        <v>2380.5847747849998</v>
      </c>
      <c r="Q40" s="1">
        <v>2219.2588670700002</v>
      </c>
      <c r="R40" s="1">
        <v>2114.7557936749995</v>
      </c>
      <c r="S40" s="1">
        <v>2033.0522613099999</v>
      </c>
      <c r="T40" s="1">
        <v>1901.6287489149997</v>
      </c>
    </row>
    <row r="41" spans="1:23" s="1" customFormat="1" x14ac:dyDescent="0.25">
      <c r="I41" s="1" t="s">
        <v>10</v>
      </c>
      <c r="K41" s="1">
        <v>2980.1650754049997</v>
      </c>
      <c r="L41" s="1">
        <v>2956.0298664399998</v>
      </c>
      <c r="M41" s="1">
        <v>2786.90738543</v>
      </c>
      <c r="N41" s="1">
        <v>2668.8612604149998</v>
      </c>
      <c r="O41" s="1">
        <v>2293.7456509800004</v>
      </c>
      <c r="P41" s="1">
        <v>2039.3578564449999</v>
      </c>
      <c r="Q41" s="1">
        <v>1664.0351667099999</v>
      </c>
      <c r="R41" s="1">
        <v>1458.911775545</v>
      </c>
      <c r="S41" s="1">
        <v>1322.4251498149997</v>
      </c>
      <c r="T41" s="1">
        <v>1036.68539786</v>
      </c>
    </row>
    <row r="42" spans="1:23" s="1" customFormat="1" x14ac:dyDescent="0.25">
      <c r="K42" s="1">
        <v>40589.456670009989</v>
      </c>
      <c r="L42" s="1">
        <v>39756.053543475005</v>
      </c>
      <c r="M42" s="1">
        <v>38384.047583185005</v>
      </c>
      <c r="N42" s="1">
        <v>37284.134341484991</v>
      </c>
      <c r="O42" s="1">
        <v>34813.344557575001</v>
      </c>
      <c r="P42" s="1">
        <v>32987.460878935002</v>
      </c>
      <c r="Q42" s="1">
        <v>30514.936135119995</v>
      </c>
      <c r="R42" s="1">
        <v>28951.370984909994</v>
      </c>
      <c r="S42" s="1">
        <v>27752.69035253</v>
      </c>
      <c r="T42" s="1">
        <v>25758.361333084995</v>
      </c>
    </row>
    <row r="43" spans="1:23" s="1" customFormat="1" x14ac:dyDescent="0.25">
      <c r="I43" s="1" t="s">
        <v>11</v>
      </c>
      <c r="K43" s="1">
        <v>5588.9212787450087</v>
      </c>
      <c r="L43" s="1">
        <v>5373.1436061449995</v>
      </c>
      <c r="M43" s="1">
        <v>4670.7789986199941</v>
      </c>
      <c r="N43" s="1">
        <v>2587.0748959300022</v>
      </c>
      <c r="O43" s="1">
        <v>3053.1505271399942</v>
      </c>
      <c r="P43" s="1">
        <v>2263.3359089249966</v>
      </c>
      <c r="Q43" s="1">
        <v>2782.1341845150018</v>
      </c>
      <c r="R43" s="1">
        <v>3083.9330137350016</v>
      </c>
      <c r="S43" s="1">
        <v>2945.4066470500006</v>
      </c>
      <c r="T43" s="1">
        <v>2508.6121702599999</v>
      </c>
    </row>
    <row r="44" spans="1:23" s="1" customFormat="1" x14ac:dyDescent="0.25">
      <c r="K44" s="1">
        <v>46178.377948754998</v>
      </c>
      <c r="L44" s="1">
        <v>45129.197149620006</v>
      </c>
      <c r="M44" s="1">
        <v>43054.826581804999</v>
      </c>
      <c r="N44" s="1">
        <v>39871.209237414994</v>
      </c>
      <c r="O44" s="1">
        <v>37866.495084714996</v>
      </c>
      <c r="P44" s="1">
        <v>35250.796787859996</v>
      </c>
      <c r="Q44" s="1">
        <v>33297.070319634993</v>
      </c>
      <c r="R44" s="1">
        <v>32035.303998644995</v>
      </c>
      <c r="S44" s="1">
        <v>30698.096999580001</v>
      </c>
      <c r="T44" s="1">
        <v>28266.973503344994</v>
      </c>
    </row>
    <row r="46" spans="1:23" x14ac:dyDescent="0.25">
      <c r="A46" t="s">
        <v>17</v>
      </c>
    </row>
    <row r="47" spans="1:23" x14ac:dyDescent="0.25">
      <c r="N47">
        <v>18</v>
      </c>
      <c r="O47">
        <v>17</v>
      </c>
      <c r="P47">
        <v>16</v>
      </c>
      <c r="Q47">
        <v>15</v>
      </c>
      <c r="R47">
        <v>14</v>
      </c>
      <c r="S47">
        <v>13</v>
      </c>
      <c r="T47">
        <v>12</v>
      </c>
      <c r="U47">
        <v>11</v>
      </c>
      <c r="V47">
        <v>10</v>
      </c>
      <c r="W47">
        <v>9</v>
      </c>
    </row>
    <row r="49" spans="8:23" s="1" customFormat="1" x14ac:dyDescent="0.25">
      <c r="N49" s="1">
        <v>32616.302578634997</v>
      </c>
      <c r="O49" s="1">
        <v>31623.890118470001</v>
      </c>
      <c r="P49" s="1">
        <v>30577.498105090002</v>
      </c>
      <c r="Q49" s="1">
        <v>29555.167056189995</v>
      </c>
      <c r="R49" s="1">
        <v>28293.183300885001</v>
      </c>
      <c r="S49" s="1">
        <v>27112.218388169997</v>
      </c>
      <c r="T49" s="1">
        <v>25231.990614025002</v>
      </c>
      <c r="U49" s="1">
        <v>24966.869775489999</v>
      </c>
      <c r="V49" s="1">
        <v>22494.890163044998</v>
      </c>
      <c r="W49" s="1">
        <v>20699.413059590002</v>
      </c>
    </row>
    <row r="50" spans="8:23" s="1" customFormat="1" x14ac:dyDescent="0.25"/>
    <row r="51" spans="8:23" s="1" customFormat="1" x14ac:dyDescent="0.25">
      <c r="M51" s="1" t="s">
        <v>6</v>
      </c>
      <c r="N51" s="1">
        <v>8675.4</v>
      </c>
      <c r="O51" s="1">
        <v>8675.4</v>
      </c>
      <c r="P51" s="1">
        <v>8675.4</v>
      </c>
      <c r="Q51" s="1">
        <v>8675.4</v>
      </c>
      <c r="R51" s="1">
        <v>8675.4</v>
      </c>
      <c r="S51" s="1">
        <v>8675.4</v>
      </c>
      <c r="T51" s="1">
        <v>8675.4</v>
      </c>
      <c r="U51" s="1">
        <v>8675.4</v>
      </c>
      <c r="V51" s="1">
        <v>8675.4</v>
      </c>
      <c r="W51" s="1">
        <v>8675.4</v>
      </c>
    </row>
    <row r="52" spans="8:23" s="1" customFormat="1" x14ac:dyDescent="0.25">
      <c r="M52" s="1" t="s">
        <v>7</v>
      </c>
      <c r="N52" s="1">
        <v>5722.92</v>
      </c>
      <c r="O52" s="1">
        <v>5397.42</v>
      </c>
      <c r="P52" s="1">
        <v>5072.62</v>
      </c>
      <c r="Q52" s="1">
        <v>4746.7</v>
      </c>
      <c r="R52" s="1">
        <v>4421.62</v>
      </c>
      <c r="S52" s="1">
        <v>4095.7</v>
      </c>
      <c r="T52" s="1">
        <v>3770.0550999999996</v>
      </c>
      <c r="U52" s="1">
        <v>3444.56</v>
      </c>
      <c r="V52" s="1">
        <v>3119.62</v>
      </c>
      <c r="W52" s="1">
        <v>2956.94</v>
      </c>
    </row>
    <row r="53" spans="8:23" s="1" customFormat="1" x14ac:dyDescent="0.25">
      <c r="M53" s="1" t="s">
        <v>8</v>
      </c>
      <c r="N53" s="1">
        <v>13663.48952248</v>
      </c>
      <c r="O53" s="1">
        <v>13163.30776586</v>
      </c>
      <c r="P53" s="1">
        <v>12622.113755824999</v>
      </c>
      <c r="Q53" s="1">
        <v>12099.80546915</v>
      </c>
      <c r="R53" s="1">
        <v>11397.119887159999</v>
      </c>
      <c r="S53" s="1">
        <v>10755.843968134999</v>
      </c>
      <c r="T53" s="1">
        <v>9589.8990470150002</v>
      </c>
      <c r="U53" s="1">
        <v>9635.1875086249984</v>
      </c>
      <c r="V53" s="1">
        <v>8024.9000337800007</v>
      </c>
      <c r="W53" s="1">
        <v>6800.3099716999996</v>
      </c>
    </row>
    <row r="54" spans="8:23" s="1" customFormat="1" x14ac:dyDescent="0.25">
      <c r="M54" s="1" t="s">
        <v>9</v>
      </c>
      <c r="N54" s="1">
        <v>2338.4542877499998</v>
      </c>
      <c r="O54" s="1">
        <v>2269.6415040599995</v>
      </c>
      <c r="P54" s="1">
        <v>2197.4843735249997</v>
      </c>
      <c r="Q54" s="1">
        <v>2126.7871591049998</v>
      </c>
      <c r="R54" s="1">
        <v>2041.1387470249997</v>
      </c>
      <c r="S54" s="1">
        <v>1960.5430942649996</v>
      </c>
      <c r="T54" s="1">
        <v>1836.2431441899998</v>
      </c>
      <c r="U54" s="1">
        <v>1812.9051943799998</v>
      </c>
      <c r="V54" s="1">
        <v>1651.620702725</v>
      </c>
      <c r="W54" s="1">
        <v>1536.0181252499999</v>
      </c>
    </row>
    <row r="55" spans="8:23" s="1" customFormat="1" x14ac:dyDescent="0.25">
      <c r="M55" s="1" t="s">
        <v>10</v>
      </c>
      <c r="N55" s="1">
        <v>2216.0387684050002</v>
      </c>
      <c r="O55" s="1">
        <v>2118.1208485500001</v>
      </c>
      <c r="P55" s="1">
        <v>2009.8799757399997</v>
      </c>
      <c r="Q55" s="1">
        <v>1906.4744279349998</v>
      </c>
      <c r="R55" s="1">
        <v>1757.9046666999998</v>
      </c>
      <c r="S55" s="1">
        <v>1624.73132577</v>
      </c>
      <c r="T55" s="1">
        <v>1360.3933228199999</v>
      </c>
      <c r="U55" s="1">
        <v>1398.8170724849999</v>
      </c>
      <c r="V55" s="1">
        <v>1023.34942654</v>
      </c>
      <c r="W55" s="1">
        <v>730.74496263999993</v>
      </c>
    </row>
    <row r="56" spans="8:23" s="1" customFormat="1" x14ac:dyDescent="0.25">
      <c r="N56" s="1">
        <v>32616.302578634997</v>
      </c>
      <c r="O56" s="1">
        <v>31623.890118470001</v>
      </c>
      <c r="P56" s="1">
        <v>30577.498105090002</v>
      </c>
      <c r="Q56" s="1">
        <v>29555.167056189995</v>
      </c>
      <c r="R56" s="1">
        <v>28293.183300885001</v>
      </c>
      <c r="S56" s="1">
        <v>27112.218388169997</v>
      </c>
      <c r="T56" s="1">
        <v>25231.990614025002</v>
      </c>
      <c r="U56" s="1">
        <v>24966.869775489999</v>
      </c>
      <c r="V56" s="1">
        <v>22494.890163044998</v>
      </c>
      <c r="W56" s="1">
        <v>20699.413059590002</v>
      </c>
    </row>
    <row r="57" spans="8:23" s="1" customFormat="1" x14ac:dyDescent="0.25">
      <c r="M57" s="1" t="s">
        <v>11</v>
      </c>
      <c r="N57" s="1">
        <v>2875.3927976199975</v>
      </c>
      <c r="O57" s="1">
        <v>1961.8580541699948</v>
      </c>
      <c r="P57" s="1">
        <v>2228.3082761799992</v>
      </c>
      <c r="Q57" s="1">
        <v>2745.0564568000009</v>
      </c>
      <c r="R57" s="1">
        <v>2689.9213269249967</v>
      </c>
      <c r="S57" s="1">
        <v>3250.0321223649994</v>
      </c>
      <c r="T57" s="1">
        <v>2492.6048630700011</v>
      </c>
      <c r="U57" s="1">
        <v>2681.2860784149966</v>
      </c>
      <c r="V57" s="1">
        <v>2304.4102864299998</v>
      </c>
      <c r="W57" s="1">
        <v>2205.0635125049994</v>
      </c>
    </row>
    <row r="58" spans="8:23" s="1" customFormat="1" x14ac:dyDescent="0.25">
      <c r="N58" s="1">
        <v>35491.695376254997</v>
      </c>
      <c r="O58" s="1">
        <v>33585.748172639993</v>
      </c>
      <c r="P58" s="1">
        <v>32805.806381269998</v>
      </c>
      <c r="Q58" s="1">
        <v>32300.223512989996</v>
      </c>
      <c r="R58" s="1">
        <v>30983.104627809997</v>
      </c>
      <c r="S58" s="1">
        <v>30362.250510534996</v>
      </c>
      <c r="T58" s="1">
        <v>27724.595477095005</v>
      </c>
      <c r="U58" s="1">
        <v>27648.155853904995</v>
      </c>
      <c r="V58" s="1">
        <v>24799.300449474998</v>
      </c>
      <c r="W58" s="1">
        <v>22904.476572095002</v>
      </c>
    </row>
    <row r="59" spans="8:23" s="1" customFormat="1" x14ac:dyDescent="0.25"/>
    <row r="60" spans="8:23" s="1" customFormat="1" x14ac:dyDescent="0.25"/>
    <row r="62" spans="8:23" x14ac:dyDescent="0.25">
      <c r="H62" s="2"/>
      <c r="I62" s="2" t="s">
        <v>18</v>
      </c>
      <c r="J62" s="2"/>
      <c r="K62" s="2"/>
      <c r="L62" s="2"/>
      <c r="M62" s="2"/>
      <c r="N62" s="2"/>
      <c r="O62" s="2"/>
      <c r="P62" s="2"/>
      <c r="Q62" s="2"/>
      <c r="R62" s="2"/>
    </row>
    <row r="63" spans="8:23" s="1" customFormat="1" x14ac:dyDescent="0.25"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</row>
    <row r="64" spans="8:23" s="1" customFormat="1" x14ac:dyDescent="0.25">
      <c r="H64" s="3"/>
      <c r="I64" s="3"/>
      <c r="J64" s="3"/>
      <c r="K64" s="3"/>
      <c r="L64" s="3" t="s">
        <v>19</v>
      </c>
      <c r="M64" s="3"/>
      <c r="N64" s="3"/>
      <c r="O64" s="3"/>
      <c r="P64" s="3"/>
      <c r="Q64" s="3"/>
      <c r="R64" s="3"/>
    </row>
    <row r="65" spans="8:18" s="1" customFormat="1" x14ac:dyDescent="0.25"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</row>
    <row r="66" spans="8:18" s="1" customFormat="1" x14ac:dyDescent="0.25">
      <c r="H66" s="3"/>
      <c r="I66" s="3"/>
      <c r="J66" s="3"/>
      <c r="K66" s="3"/>
      <c r="L66" s="3" t="s">
        <v>20</v>
      </c>
      <c r="M66" s="3"/>
      <c r="N66" s="3"/>
      <c r="O66" s="3">
        <v>522.03</v>
      </c>
      <c r="P66" s="3"/>
      <c r="Q66" s="3"/>
      <c r="R66" s="3"/>
    </row>
    <row r="67" spans="8:18" s="1" customFormat="1" x14ac:dyDescent="0.25">
      <c r="H67" s="3"/>
      <c r="I67" s="3"/>
      <c r="J67" s="3"/>
      <c r="K67" s="3"/>
      <c r="L67" s="3" t="s">
        <v>21</v>
      </c>
      <c r="M67" s="3"/>
      <c r="N67" s="3"/>
      <c r="O67" s="3">
        <v>1635.55</v>
      </c>
      <c r="P67" s="3"/>
      <c r="Q67" s="3"/>
      <c r="R67" s="3"/>
    </row>
    <row r="68" spans="8:18" s="1" customFormat="1" x14ac:dyDescent="0.25"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</row>
    <row r="69" spans="8:18" s="1" customFormat="1" x14ac:dyDescent="0.25">
      <c r="H69" s="3"/>
      <c r="I69" s="3"/>
      <c r="J69" s="3"/>
      <c r="K69" s="3"/>
      <c r="L69" s="3" t="s">
        <v>22</v>
      </c>
      <c r="M69" s="3"/>
      <c r="N69" s="3"/>
      <c r="O69" s="3"/>
      <c r="P69" s="3" t="s">
        <v>23</v>
      </c>
      <c r="Q69" s="3" t="s">
        <v>24</v>
      </c>
      <c r="R69" s="3"/>
    </row>
    <row r="70" spans="8:18" s="1" customFormat="1" x14ac:dyDescent="0.25">
      <c r="H70" s="3"/>
      <c r="I70" s="3"/>
      <c r="J70" s="3"/>
      <c r="K70" s="3"/>
      <c r="L70" s="3" t="s">
        <v>25</v>
      </c>
      <c r="M70" s="3"/>
      <c r="N70" s="3"/>
      <c r="O70" s="22">
        <v>0.25219999999999998</v>
      </c>
      <c r="P70" s="3">
        <v>0.19</v>
      </c>
      <c r="Q70" s="22">
        <v>6.2199999999999998E-2</v>
      </c>
      <c r="R70" s="3"/>
    </row>
    <row r="71" spans="8:18" s="1" customFormat="1" x14ac:dyDescent="0.25">
      <c r="H71" s="3"/>
      <c r="I71" s="3" t="s">
        <v>26</v>
      </c>
      <c r="J71" s="3">
        <v>6477.0433419999999</v>
      </c>
      <c r="K71" s="3"/>
      <c r="L71" s="3" t="s">
        <v>27</v>
      </c>
      <c r="M71" s="3"/>
      <c r="N71" s="3"/>
      <c r="O71" s="3">
        <v>9</v>
      </c>
      <c r="P71" s="3">
        <v>0</v>
      </c>
      <c r="Q71" s="3">
        <v>9</v>
      </c>
      <c r="R71" s="3"/>
    </row>
    <row r="72" spans="8:18" s="1" customFormat="1" x14ac:dyDescent="0.25"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</row>
  </sheetData>
  <pageMargins left="0.7" right="0.7" top="0.75" bottom="0.75" header="0.3" footer="0.3"/>
  <pageSetup paperSize="8" scale="71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82"/>
  <sheetViews>
    <sheetView workbookViewId="0">
      <selection activeCell="E23" sqref="E23"/>
    </sheetView>
  </sheetViews>
  <sheetFormatPr baseColWidth="10" defaultRowHeight="15" x14ac:dyDescent="0.25"/>
  <cols>
    <col min="1" max="1" width="27.140625" customWidth="1"/>
    <col min="2" max="2" width="11.42578125" style="4"/>
    <col min="3" max="3" width="14.5703125" customWidth="1"/>
    <col min="4" max="4" width="14.140625" customWidth="1"/>
    <col min="5" max="5" width="20.7109375" customWidth="1"/>
    <col min="9" max="9" width="14.85546875" customWidth="1"/>
    <col min="10" max="10" width="19.85546875" customWidth="1"/>
    <col min="13" max="13" width="12.85546875" hidden="1" customWidth="1"/>
  </cols>
  <sheetData>
    <row r="2" spans="1:13" ht="53.25" customHeight="1" x14ac:dyDescent="0.25">
      <c r="A2" s="132" t="s">
        <v>91</v>
      </c>
      <c r="B2" s="133"/>
      <c r="C2" s="133"/>
      <c r="D2" s="133"/>
      <c r="E2" s="133"/>
      <c r="F2" s="133"/>
      <c r="G2" s="134"/>
      <c r="H2" s="7" t="s">
        <v>92</v>
      </c>
      <c r="I2" s="5"/>
      <c r="J2" s="5"/>
      <c r="K2" s="6"/>
    </row>
    <row r="3" spans="1:13" x14ac:dyDescent="0.25">
      <c r="A3" s="7" t="s">
        <v>49</v>
      </c>
      <c r="B3" s="8"/>
      <c r="C3" s="6"/>
      <c r="F3" s="27" t="s">
        <v>50</v>
      </c>
      <c r="M3" s="26" t="s">
        <v>52</v>
      </c>
    </row>
    <row r="4" spans="1:13" x14ac:dyDescent="0.25">
      <c r="A4" s="7" t="s">
        <v>53</v>
      </c>
      <c r="B4" s="8"/>
      <c r="C4" s="29" t="s">
        <v>54</v>
      </c>
      <c r="F4" s="28" t="s">
        <v>55</v>
      </c>
    </row>
    <row r="5" spans="1:13" s="1" customFormat="1" x14ac:dyDescent="0.25">
      <c r="B5" s="4"/>
      <c r="C5" s="10">
        <v>5562.53</v>
      </c>
      <c r="D5" s="13"/>
      <c r="E5" s="15"/>
      <c r="F5" s="10">
        <v>5562.53</v>
      </c>
      <c r="G5" s="10"/>
      <c r="H5" s="10">
        <v>5562.53</v>
      </c>
      <c r="I5" s="13"/>
      <c r="J5" s="14"/>
      <c r="K5" s="14"/>
      <c r="L5" s="15"/>
      <c r="M5" s="10">
        <v>77875.42</v>
      </c>
    </row>
    <row r="7" spans="1:13" x14ac:dyDescent="0.25">
      <c r="A7" s="30" t="s">
        <v>56</v>
      </c>
    </row>
    <row r="8" spans="1:13" x14ac:dyDescent="0.25">
      <c r="A8" s="18"/>
      <c r="B8" s="40"/>
      <c r="C8" s="41" t="s">
        <v>57</v>
      </c>
      <c r="D8" s="27" t="s">
        <v>58</v>
      </c>
      <c r="E8" s="41" t="s">
        <v>59</v>
      </c>
      <c r="F8" s="27" t="s">
        <v>50</v>
      </c>
      <c r="G8" s="43"/>
      <c r="H8" s="27" t="s">
        <v>57</v>
      </c>
      <c r="I8" s="27" t="s">
        <v>58</v>
      </c>
      <c r="J8" s="42" t="s">
        <v>59</v>
      </c>
      <c r="K8" s="42" t="s">
        <v>50</v>
      </c>
      <c r="L8" s="16"/>
      <c r="M8" s="23"/>
    </row>
    <row r="9" spans="1:13" s="1" customFormat="1" x14ac:dyDescent="0.25">
      <c r="A9" s="31" t="s">
        <v>60</v>
      </c>
      <c r="B9" s="44" t="s">
        <v>61</v>
      </c>
      <c r="C9" s="45" t="s">
        <v>62</v>
      </c>
      <c r="D9" s="25" t="s">
        <v>63</v>
      </c>
      <c r="E9" s="45" t="s">
        <v>64</v>
      </c>
      <c r="F9" s="25" t="s">
        <v>65</v>
      </c>
      <c r="G9" s="47"/>
      <c r="H9" s="25" t="s">
        <v>62</v>
      </c>
      <c r="I9" s="25" t="s">
        <v>63</v>
      </c>
      <c r="J9" s="46" t="s">
        <v>64</v>
      </c>
      <c r="K9" s="46" t="s">
        <v>65</v>
      </c>
      <c r="L9" s="17"/>
      <c r="M9" s="25" t="s">
        <v>66</v>
      </c>
    </row>
    <row r="10" spans="1:13" s="1" customFormat="1" x14ac:dyDescent="0.25">
      <c r="B10" s="24">
        <v>28</v>
      </c>
      <c r="C10" s="10">
        <v>1151.17</v>
      </c>
      <c r="D10" s="10">
        <v>218.55</v>
      </c>
      <c r="E10" s="10">
        <v>3682.41</v>
      </c>
      <c r="F10" s="10">
        <f>SUM(C10:E10)</f>
        <v>5052.13</v>
      </c>
      <c r="H10" s="10">
        <v>710.36</v>
      </c>
      <c r="I10" s="10">
        <v>215.32321805000001</v>
      </c>
      <c r="J10" s="10">
        <v>3627.9917705999997</v>
      </c>
      <c r="K10" s="10">
        <f>SUM(H10:J10)</f>
        <v>4553.6749886500002</v>
      </c>
      <c r="M10" s="10">
        <v>69804.346292174989</v>
      </c>
    </row>
    <row r="11" spans="1:13" s="1" customFormat="1" x14ac:dyDescent="0.25">
      <c r="B11" s="24">
        <v>27</v>
      </c>
      <c r="C11" s="10">
        <v>1151.17</v>
      </c>
      <c r="D11" s="10">
        <v>218.55</v>
      </c>
      <c r="E11" s="10">
        <v>3092.79</v>
      </c>
      <c r="F11" s="10">
        <f t="shared" ref="F11:F18" si="0">SUM(C11:E11)</f>
        <v>4462.51</v>
      </c>
      <c r="H11" s="10">
        <v>710.36</v>
      </c>
      <c r="I11" s="10">
        <v>215.32321805000001</v>
      </c>
      <c r="J11" s="10">
        <v>3047.0774637999994</v>
      </c>
      <c r="K11" s="10">
        <f t="shared" ref="K11:K18" si="1">SUM(H11:J11)</f>
        <v>3972.7606818499994</v>
      </c>
      <c r="M11" s="10">
        <v>61549.553992546993</v>
      </c>
    </row>
    <row r="12" spans="1:13" s="1" customFormat="1" x14ac:dyDescent="0.25">
      <c r="B12" s="24">
        <v>26</v>
      </c>
      <c r="C12" s="10">
        <v>1151.17</v>
      </c>
      <c r="D12" s="10">
        <v>218.55</v>
      </c>
      <c r="E12" s="10">
        <v>2691.2849507004998</v>
      </c>
      <c r="F12" s="10">
        <f t="shared" si="0"/>
        <v>4061.0049507004996</v>
      </c>
      <c r="H12" s="10">
        <v>710.36</v>
      </c>
      <c r="I12" s="10">
        <v>215.32321805000001</v>
      </c>
      <c r="J12" s="10">
        <v>2651.5122667000001</v>
      </c>
      <c r="K12" s="10">
        <f t="shared" si="1"/>
        <v>3577.1954847500001</v>
      </c>
      <c r="M12" s="10">
        <v>55928.572541755995</v>
      </c>
    </row>
    <row r="13" spans="1:13" s="1" customFormat="1" x14ac:dyDescent="0.25">
      <c r="B13" s="24">
        <v>25</v>
      </c>
      <c r="C13" s="10">
        <v>1151.17</v>
      </c>
      <c r="D13" s="10">
        <v>218.55</v>
      </c>
      <c r="E13" s="10">
        <v>2605.699180411249</v>
      </c>
      <c r="F13" s="10">
        <f t="shared" si="0"/>
        <v>3975.4191804112488</v>
      </c>
      <c r="H13" s="10">
        <v>710.36</v>
      </c>
      <c r="I13" s="10">
        <v>215.32321805000001</v>
      </c>
      <c r="J13" s="10">
        <v>2567.1913107499995</v>
      </c>
      <c r="K13" s="10">
        <f t="shared" si="1"/>
        <v>3492.8745287999996</v>
      </c>
      <c r="M13" s="10">
        <v>54730.371757706489</v>
      </c>
    </row>
    <row r="14" spans="1:13" s="1" customFormat="1" x14ac:dyDescent="0.25">
      <c r="B14" s="24">
        <v>24</v>
      </c>
      <c r="C14" s="10">
        <v>1151.17</v>
      </c>
      <c r="D14" s="10">
        <v>218.55</v>
      </c>
      <c r="E14" s="10">
        <v>2515.2936161394996</v>
      </c>
      <c r="F14" s="10">
        <f t="shared" si="0"/>
        <v>3885.0136161394994</v>
      </c>
      <c r="H14" s="10">
        <v>710.36</v>
      </c>
      <c r="I14" s="10">
        <v>215.32321805000001</v>
      </c>
      <c r="J14" s="10">
        <v>2478.1217892999998</v>
      </c>
      <c r="K14" s="10">
        <f t="shared" si="1"/>
        <v>3403.8050073499999</v>
      </c>
      <c r="M14" s="10">
        <v>53464.693857901992</v>
      </c>
    </row>
    <row r="15" spans="1:13" s="1" customFormat="1" x14ac:dyDescent="0.25">
      <c r="B15" s="24">
        <v>23</v>
      </c>
      <c r="C15" s="10">
        <v>1151.17</v>
      </c>
      <c r="D15" s="10">
        <v>218.55</v>
      </c>
      <c r="E15" s="10">
        <v>2439.6523595569993</v>
      </c>
      <c r="F15" s="10">
        <f t="shared" si="0"/>
        <v>3809.3723595569991</v>
      </c>
      <c r="H15" s="10">
        <v>710.36</v>
      </c>
      <c r="I15" s="10">
        <v>215.32321805000001</v>
      </c>
      <c r="J15" s="10">
        <v>2403.5983837999997</v>
      </c>
      <c r="K15" s="10">
        <f t="shared" si="1"/>
        <v>3329.2816018499998</v>
      </c>
      <c r="M15" s="10">
        <v>52405.716265746982</v>
      </c>
    </row>
    <row r="16" spans="1:13" s="1" customFormat="1" x14ac:dyDescent="0.25">
      <c r="B16" s="24">
        <v>22</v>
      </c>
      <c r="C16" s="10">
        <v>1151.17</v>
      </c>
      <c r="D16" s="10">
        <v>218.55</v>
      </c>
      <c r="E16" s="10">
        <v>2367.0406877634996</v>
      </c>
      <c r="F16" s="10">
        <f t="shared" si="0"/>
        <v>3736.7606877634998</v>
      </c>
      <c r="H16" s="10">
        <v>710.36</v>
      </c>
      <c r="I16" s="10">
        <v>215.32321805000001</v>
      </c>
      <c r="J16" s="10">
        <v>2332.0597908999998</v>
      </c>
      <c r="K16" s="10">
        <f t="shared" si="1"/>
        <v>3257.7430089499999</v>
      </c>
      <c r="M16" s="10">
        <v>51389.152860637994</v>
      </c>
    </row>
    <row r="17" spans="1:13" s="1" customFormat="1" x14ac:dyDescent="0.25">
      <c r="B17" s="24">
        <v>21</v>
      </c>
      <c r="C17" s="10">
        <v>1151.17</v>
      </c>
      <c r="D17" s="10">
        <v>218.55</v>
      </c>
      <c r="E17" s="10">
        <v>2176.5604623122499</v>
      </c>
      <c r="F17" s="10">
        <f t="shared" si="0"/>
        <v>3546.2804623122502</v>
      </c>
      <c r="H17" s="10">
        <v>710.36</v>
      </c>
      <c r="I17" s="10">
        <v>215.32321805000001</v>
      </c>
      <c r="J17" s="10">
        <v>2144.39454415</v>
      </c>
      <c r="K17" s="10">
        <f t="shared" si="1"/>
        <v>3070.0777622000001</v>
      </c>
      <c r="M17" s="10">
        <v>48722.429704320508</v>
      </c>
    </row>
    <row r="18" spans="1:13" s="1" customFormat="1" x14ac:dyDescent="0.25">
      <c r="B18" s="24">
        <v>20</v>
      </c>
      <c r="C18" s="10">
        <v>1151.17</v>
      </c>
      <c r="D18" s="10">
        <v>218.55</v>
      </c>
      <c r="E18" s="10">
        <v>1991.1557750139998</v>
      </c>
      <c r="F18" s="10">
        <f t="shared" si="0"/>
        <v>3360.8757750139998</v>
      </c>
      <c r="H18" s="10">
        <v>710.36</v>
      </c>
      <c r="I18" s="10">
        <v>215.32321805000001</v>
      </c>
      <c r="J18" s="10">
        <v>1961.7298275999999</v>
      </c>
      <c r="K18" s="10">
        <f t="shared" si="1"/>
        <v>2887.4130456499997</v>
      </c>
      <c r="M18" s="10">
        <v>46126.764082144997</v>
      </c>
    </row>
    <row r="19" spans="1:13" s="1" customFormat="1" x14ac:dyDescent="0.25">
      <c r="B19" s="4"/>
    </row>
    <row r="20" spans="1:13" x14ac:dyDescent="0.25">
      <c r="A20" s="30" t="s">
        <v>67</v>
      </c>
    </row>
    <row r="21" spans="1:13" x14ac:dyDescent="0.25">
      <c r="A21" s="18"/>
      <c r="B21" s="52"/>
      <c r="C21" s="27" t="s">
        <v>57</v>
      </c>
      <c r="D21" s="27" t="s">
        <v>58</v>
      </c>
      <c r="E21" s="27" t="s">
        <v>59</v>
      </c>
      <c r="F21" s="27" t="s">
        <v>50</v>
      </c>
      <c r="G21" s="48"/>
      <c r="H21" s="27" t="s">
        <v>57</v>
      </c>
      <c r="I21" s="27" t="s">
        <v>58</v>
      </c>
      <c r="J21" s="27" t="s">
        <v>59</v>
      </c>
      <c r="K21" s="27" t="s">
        <v>50</v>
      </c>
      <c r="M21" s="11"/>
    </row>
    <row r="22" spans="1:13" x14ac:dyDescent="0.25">
      <c r="A22" s="32" t="s">
        <v>68</v>
      </c>
      <c r="B22" s="44" t="s">
        <v>61</v>
      </c>
      <c r="C22" s="28" t="s">
        <v>62</v>
      </c>
      <c r="D22" s="28" t="s">
        <v>63</v>
      </c>
      <c r="E22" s="28" t="s">
        <v>64</v>
      </c>
      <c r="F22" s="28" t="s">
        <v>65</v>
      </c>
      <c r="G22" s="48"/>
      <c r="H22" s="28" t="s">
        <v>62</v>
      </c>
      <c r="I22" s="28" t="s">
        <v>63</v>
      </c>
      <c r="J22" s="28" t="s">
        <v>64</v>
      </c>
      <c r="K22" s="28" t="s">
        <v>65</v>
      </c>
      <c r="M22" s="28" t="s">
        <v>66</v>
      </c>
    </row>
    <row r="23" spans="1:13" s="1" customFormat="1" x14ac:dyDescent="0.25">
      <c r="B23" s="24">
        <v>27</v>
      </c>
      <c r="C23" s="10">
        <v>995.39</v>
      </c>
      <c r="D23" s="10">
        <v>174.57</v>
      </c>
      <c r="E23" s="10">
        <v>2995.18</v>
      </c>
      <c r="F23" s="10">
        <f t="shared" ref="F23:F34" si="2">SUM(C23:E23)</f>
        <v>4165.1399999999994</v>
      </c>
      <c r="H23" s="10">
        <v>725.95</v>
      </c>
      <c r="I23" s="10">
        <v>171.98528965</v>
      </c>
      <c r="J23" s="10">
        <v>2950.9238579000003</v>
      </c>
      <c r="K23" s="10">
        <f t="shared" ref="K23:K34" si="3">SUM(H23:J23)</f>
        <v>3848.8591475500002</v>
      </c>
      <c r="M23" s="10">
        <v>57734.97942799599</v>
      </c>
    </row>
    <row r="24" spans="1:13" s="1" customFormat="1" x14ac:dyDescent="0.25">
      <c r="B24" s="24">
        <v>26</v>
      </c>
      <c r="C24" s="10">
        <v>995.39</v>
      </c>
      <c r="D24" s="10">
        <v>174.57</v>
      </c>
      <c r="E24" s="10">
        <v>2896.9819542965001</v>
      </c>
      <c r="F24" s="10">
        <f t="shared" si="2"/>
        <v>4066.9419542965002</v>
      </c>
      <c r="H24" s="10">
        <v>725.95</v>
      </c>
      <c r="I24" s="10">
        <v>171.98528965</v>
      </c>
      <c r="J24" s="10">
        <v>2854.1694131000004</v>
      </c>
      <c r="K24" s="10">
        <f t="shared" si="3"/>
        <v>3752.1047027500003</v>
      </c>
      <c r="M24" s="10">
        <v>56360.098767387994</v>
      </c>
    </row>
    <row r="25" spans="1:13" s="1" customFormat="1" x14ac:dyDescent="0.25">
      <c r="B25" s="24">
        <v>25</v>
      </c>
      <c r="C25" s="10">
        <v>995.39</v>
      </c>
      <c r="D25" s="10">
        <v>174.57</v>
      </c>
      <c r="E25" s="10">
        <v>2442.7114532887499</v>
      </c>
      <c r="F25" s="10">
        <f t="shared" si="2"/>
        <v>3612.6714532887499</v>
      </c>
      <c r="H25" s="10">
        <v>725.95</v>
      </c>
      <c r="I25" s="10">
        <v>171.98528965</v>
      </c>
      <c r="J25" s="10">
        <v>2406.6122692500003</v>
      </c>
      <c r="K25" s="10">
        <f t="shared" si="3"/>
        <v>3304.5475589000002</v>
      </c>
      <c r="M25" s="10">
        <v>50000.311753279508</v>
      </c>
    </row>
    <row r="26" spans="1:13" s="1" customFormat="1" x14ac:dyDescent="0.25">
      <c r="B26" s="24">
        <v>24</v>
      </c>
      <c r="C26" s="10">
        <v>995.39</v>
      </c>
      <c r="D26" s="10">
        <v>174.57</v>
      </c>
      <c r="E26" s="10">
        <v>2256.8838044777499</v>
      </c>
      <c r="F26" s="10">
        <f t="shared" si="2"/>
        <v>3426.8438044777499</v>
      </c>
      <c r="H26" s="10">
        <v>725.95</v>
      </c>
      <c r="I26" s="10">
        <v>171.98528965</v>
      </c>
      <c r="J26" s="10">
        <v>2223.5308418499999</v>
      </c>
      <c r="K26" s="10">
        <f t="shared" si="3"/>
        <v>3121.4661314999998</v>
      </c>
      <c r="M26" s="10">
        <v>47398.72466992549</v>
      </c>
    </row>
    <row r="27" spans="1:13" s="1" customFormat="1" x14ac:dyDescent="0.25">
      <c r="B27" s="24">
        <v>23</v>
      </c>
      <c r="C27" s="10">
        <v>995.39</v>
      </c>
      <c r="D27" s="10">
        <v>174.57</v>
      </c>
      <c r="E27" s="10">
        <v>2141.6513830389995</v>
      </c>
      <c r="F27" s="10">
        <f t="shared" si="2"/>
        <v>3311.6113830389995</v>
      </c>
      <c r="H27" s="10">
        <v>725.95</v>
      </c>
      <c r="I27" s="10">
        <v>171.98528965</v>
      </c>
      <c r="J27" s="10">
        <v>2110.0013625999995</v>
      </c>
      <c r="K27" s="10">
        <f t="shared" si="3"/>
        <v>3007.9366522499995</v>
      </c>
      <c r="M27" s="10">
        <v>45785.470769783002</v>
      </c>
    </row>
    <row r="28" spans="1:13" s="1" customFormat="1" x14ac:dyDescent="0.25">
      <c r="B28" s="24">
        <v>22</v>
      </c>
      <c r="C28" s="10">
        <v>995.39</v>
      </c>
      <c r="D28" s="10">
        <v>174.57</v>
      </c>
      <c r="E28" s="10">
        <v>2073.65</v>
      </c>
      <c r="F28" s="10">
        <f t="shared" si="2"/>
        <v>3243.61</v>
      </c>
      <c r="H28" s="10">
        <v>725.95</v>
      </c>
      <c r="I28" s="10">
        <v>171.98528965</v>
      </c>
      <c r="J28" s="10">
        <v>2042.9981342999999</v>
      </c>
      <c r="K28" s="10">
        <f t="shared" si="3"/>
        <v>2940.9334239499999</v>
      </c>
      <c r="M28" s="10">
        <v>44833.354895639997</v>
      </c>
    </row>
    <row r="29" spans="1:13" s="1" customFormat="1" x14ac:dyDescent="0.25">
      <c r="B29" s="24">
        <v>21</v>
      </c>
      <c r="C29" s="10">
        <v>995.39</v>
      </c>
      <c r="D29" s="10">
        <v>174.57</v>
      </c>
      <c r="E29" s="10">
        <v>2000.3133835807498</v>
      </c>
      <c r="F29" s="10">
        <f t="shared" si="2"/>
        <v>3170.2733835807499</v>
      </c>
      <c r="H29" s="10">
        <v>725.95</v>
      </c>
      <c r="I29" s="10">
        <v>171.98528965</v>
      </c>
      <c r="J29" s="10">
        <v>1970.7521020500001</v>
      </c>
      <c r="K29" s="10">
        <f t="shared" si="3"/>
        <v>2868.6873917000003</v>
      </c>
      <c r="M29" s="10">
        <v>43806.7387773675</v>
      </c>
    </row>
    <row r="30" spans="1:13" s="1" customFormat="1" x14ac:dyDescent="0.25">
      <c r="B30" s="24">
        <v>20</v>
      </c>
      <c r="C30" s="10">
        <v>995.39</v>
      </c>
      <c r="D30" s="10">
        <v>174.57</v>
      </c>
      <c r="E30" s="10">
        <v>1929.1673226105002</v>
      </c>
      <c r="F30" s="10">
        <f t="shared" si="2"/>
        <v>3099.1273226105004</v>
      </c>
      <c r="H30" s="10">
        <v>725.95</v>
      </c>
      <c r="I30" s="10">
        <v>171.98528965</v>
      </c>
      <c r="J30" s="10">
        <v>1900.6574607000002</v>
      </c>
      <c r="K30" s="10">
        <f t="shared" si="3"/>
        <v>2798.5927503500002</v>
      </c>
      <c r="M30" s="10">
        <v>42810.693923783998</v>
      </c>
    </row>
    <row r="31" spans="1:13" s="1" customFormat="1" x14ac:dyDescent="0.25">
      <c r="B31" s="24">
        <v>19</v>
      </c>
      <c r="C31" s="10">
        <v>995.39</v>
      </c>
      <c r="D31" s="10">
        <v>174.57</v>
      </c>
      <c r="E31" s="10">
        <v>1882.7202467219997</v>
      </c>
      <c r="F31" s="10">
        <f t="shared" si="2"/>
        <v>3052.6802467219995</v>
      </c>
      <c r="H31" s="10">
        <v>725.95</v>
      </c>
      <c r="I31" s="10">
        <v>171.98528965</v>
      </c>
      <c r="J31" s="10">
        <v>1854.8967948</v>
      </c>
      <c r="K31" s="10">
        <f t="shared" si="3"/>
        <v>2752.8320844499999</v>
      </c>
      <c r="M31" s="10">
        <v>42160.434861344991</v>
      </c>
    </row>
    <row r="32" spans="1:13" s="1" customFormat="1" x14ac:dyDescent="0.25">
      <c r="B32" s="24">
        <v>18</v>
      </c>
      <c r="C32" s="10">
        <v>995.39</v>
      </c>
      <c r="D32" s="10">
        <v>174.57</v>
      </c>
      <c r="E32" s="10">
        <v>1739.7395827839998</v>
      </c>
      <c r="F32" s="10">
        <f t="shared" si="2"/>
        <v>2909.6995827840001</v>
      </c>
      <c r="H32" s="10">
        <v>725.95</v>
      </c>
      <c r="I32" s="10">
        <v>171.98528965</v>
      </c>
      <c r="J32" s="10">
        <v>1714.0291456</v>
      </c>
      <c r="K32" s="10">
        <f t="shared" si="3"/>
        <v>2611.96443525</v>
      </c>
      <c r="M32" s="10">
        <v>40158.705566212993</v>
      </c>
    </row>
    <row r="33" spans="1:13" s="1" customFormat="1" x14ac:dyDescent="0.25">
      <c r="B33" s="24">
        <v>17</v>
      </c>
      <c r="C33" s="10">
        <v>995.39</v>
      </c>
      <c r="D33" s="10">
        <v>174.57</v>
      </c>
      <c r="E33" s="10">
        <v>1650.3865041369997</v>
      </c>
      <c r="F33" s="10">
        <f t="shared" si="2"/>
        <v>2820.346504137</v>
      </c>
      <c r="H33" s="10">
        <v>725.95</v>
      </c>
      <c r="I33" s="10">
        <v>171.98528965</v>
      </c>
      <c r="J33" s="10">
        <v>1625.9965557999999</v>
      </c>
      <c r="K33" s="10">
        <f t="shared" si="3"/>
        <v>2523.9318454499999</v>
      </c>
      <c r="M33" s="10">
        <v>38907.762465154992</v>
      </c>
    </row>
    <row r="34" spans="1:13" s="1" customFormat="1" x14ac:dyDescent="0.25">
      <c r="B34" s="24">
        <v>16</v>
      </c>
      <c r="C34" s="10">
        <v>995.39</v>
      </c>
      <c r="D34" s="10">
        <v>174.57</v>
      </c>
      <c r="E34" s="10">
        <v>1554.0988239437497</v>
      </c>
      <c r="F34" s="10">
        <f t="shared" si="2"/>
        <v>2724.0588239437498</v>
      </c>
      <c r="H34" s="10">
        <v>725.95</v>
      </c>
      <c r="I34" s="10">
        <v>171.98528965</v>
      </c>
      <c r="J34" s="10">
        <v>1531.1318462499999</v>
      </c>
      <c r="K34" s="10">
        <f t="shared" si="3"/>
        <v>2429.0671358999998</v>
      </c>
      <c r="M34" s="10">
        <v>37559.73494244949</v>
      </c>
    </row>
    <row r="36" spans="1:13" x14ac:dyDescent="0.25">
      <c r="A36" s="30" t="s">
        <v>69</v>
      </c>
    </row>
    <row r="37" spans="1:13" x14ac:dyDescent="0.25">
      <c r="A37" s="18"/>
      <c r="B37" s="52"/>
      <c r="C37" s="27" t="s">
        <v>57</v>
      </c>
      <c r="D37" s="27" t="s">
        <v>58</v>
      </c>
      <c r="E37" s="27" t="s">
        <v>59</v>
      </c>
      <c r="F37" s="27" t="s">
        <v>50</v>
      </c>
      <c r="G37" s="48"/>
      <c r="H37" s="27" t="s">
        <v>57</v>
      </c>
      <c r="I37" s="27" t="s">
        <v>58</v>
      </c>
      <c r="J37" s="27" t="s">
        <v>59</v>
      </c>
      <c r="K37" s="27" t="s">
        <v>50</v>
      </c>
      <c r="L37" s="48"/>
      <c r="M37" s="27"/>
    </row>
    <row r="38" spans="1:13" x14ac:dyDescent="0.25">
      <c r="A38" s="32" t="s">
        <v>70</v>
      </c>
      <c r="B38" s="44" t="s">
        <v>61</v>
      </c>
      <c r="C38" s="28" t="s">
        <v>62</v>
      </c>
      <c r="D38" s="28" t="s">
        <v>63</v>
      </c>
      <c r="E38" s="28" t="s">
        <v>64</v>
      </c>
      <c r="F38" s="28" t="s">
        <v>65</v>
      </c>
      <c r="G38" s="48"/>
      <c r="H38" s="28" t="s">
        <v>62</v>
      </c>
      <c r="I38" s="28" t="s">
        <v>63</v>
      </c>
      <c r="J38" s="28" t="s">
        <v>64</v>
      </c>
      <c r="K38" s="28" t="s">
        <v>65</v>
      </c>
      <c r="L38" s="48"/>
      <c r="M38" s="28" t="s">
        <v>66</v>
      </c>
    </row>
    <row r="39" spans="1:13" s="1" customFormat="1" x14ac:dyDescent="0.25">
      <c r="B39" s="24">
        <v>21</v>
      </c>
      <c r="C39" s="10">
        <v>747.37</v>
      </c>
      <c r="D39" s="10">
        <v>140.13</v>
      </c>
      <c r="E39" s="10">
        <v>2427.2290946592498</v>
      </c>
      <c r="F39" s="10">
        <f t="shared" ref="F39:F47" si="4">SUM(C39:E39)</f>
        <v>3314.7290946592498</v>
      </c>
      <c r="H39" s="10">
        <v>645.94000000000005</v>
      </c>
      <c r="I39" s="10">
        <v>138.0572737</v>
      </c>
      <c r="J39" s="10">
        <v>2391.35871395</v>
      </c>
      <c r="K39" s="10">
        <f t="shared" ref="K39:K47" si="5">SUM(H39:J39)</f>
        <v>3175.3559876500003</v>
      </c>
      <c r="M39" s="10">
        <v>46173.919466295498</v>
      </c>
    </row>
    <row r="40" spans="1:13" s="1" customFormat="1" x14ac:dyDescent="0.25">
      <c r="B40" s="24">
        <v>20</v>
      </c>
      <c r="C40" s="10">
        <v>747.37</v>
      </c>
      <c r="D40" s="10">
        <v>140.13</v>
      </c>
      <c r="E40" s="10">
        <v>2352.29</v>
      </c>
      <c r="F40" s="10">
        <f t="shared" si="4"/>
        <v>3239.79</v>
      </c>
      <c r="H40" s="10">
        <v>645.94000000000005</v>
      </c>
      <c r="I40" s="10">
        <v>138.0572737</v>
      </c>
      <c r="J40" s="10">
        <v>2317.5330568499999</v>
      </c>
      <c r="K40" s="10">
        <f t="shared" si="5"/>
        <v>3101.5303305500001</v>
      </c>
      <c r="M40" s="10">
        <v>45124.856878904488</v>
      </c>
    </row>
    <row r="41" spans="1:13" s="1" customFormat="1" x14ac:dyDescent="0.25">
      <c r="B41" s="24">
        <v>19</v>
      </c>
      <c r="C41" s="10">
        <v>747.37</v>
      </c>
      <c r="D41" s="10">
        <v>140.13</v>
      </c>
      <c r="E41" s="10">
        <v>2204.1218148407497</v>
      </c>
      <c r="F41" s="10">
        <f t="shared" si="4"/>
        <v>3091.6218148407497</v>
      </c>
      <c r="H41" s="10">
        <v>645.94000000000005</v>
      </c>
      <c r="I41" s="10">
        <v>138.0572737</v>
      </c>
      <c r="J41" s="10">
        <v>2171.5485860499998</v>
      </c>
      <c r="K41" s="10">
        <f t="shared" si="5"/>
        <v>2955.5458597500001</v>
      </c>
      <c r="M41" s="10">
        <v>43050.417548836493</v>
      </c>
    </row>
    <row r="42" spans="1:13" s="1" customFormat="1" x14ac:dyDescent="0.25">
      <c r="B42" s="24">
        <v>18</v>
      </c>
      <c r="C42" s="10">
        <v>747.37</v>
      </c>
      <c r="D42" s="10">
        <v>140.13</v>
      </c>
      <c r="E42" s="10">
        <v>1976.72</v>
      </c>
      <c r="F42" s="10">
        <f t="shared" si="4"/>
        <v>2864.2200000000003</v>
      </c>
      <c r="H42" s="10">
        <v>645.94000000000005</v>
      </c>
      <c r="I42" s="10">
        <v>138.0572737</v>
      </c>
      <c r="J42" s="10">
        <v>1947.5132039499999</v>
      </c>
      <c r="K42" s="10">
        <f t="shared" si="5"/>
        <v>2731.5104776500002</v>
      </c>
      <c r="M42" s="10">
        <v>39866.874769195492</v>
      </c>
    </row>
    <row r="43" spans="1:13" s="1" customFormat="1" x14ac:dyDescent="0.25">
      <c r="B43" s="24">
        <v>17</v>
      </c>
      <c r="C43" s="10">
        <v>747.37</v>
      </c>
      <c r="D43" s="10">
        <v>140.13</v>
      </c>
      <c r="E43" s="10">
        <v>1833.5190028434997</v>
      </c>
      <c r="F43" s="10">
        <f t="shared" si="4"/>
        <v>2721.0190028434999</v>
      </c>
      <c r="H43" s="10">
        <v>645.94000000000005</v>
      </c>
      <c r="I43" s="10">
        <v>138.0572737</v>
      </c>
      <c r="J43" s="10">
        <v>1806.4226629</v>
      </c>
      <c r="K43" s="10">
        <f t="shared" si="5"/>
        <v>2590.4199366000003</v>
      </c>
      <c r="M43" s="10">
        <v>37861.978180874998</v>
      </c>
    </row>
    <row r="44" spans="1:13" s="1" customFormat="1" x14ac:dyDescent="0.25">
      <c r="B44" s="24">
        <v>16</v>
      </c>
      <c r="C44" s="10">
        <v>747.37</v>
      </c>
      <c r="D44" s="10">
        <v>140.13</v>
      </c>
      <c r="E44" s="10">
        <v>1646.6978862932497</v>
      </c>
      <c r="F44" s="10">
        <f t="shared" si="4"/>
        <v>2534.1978862932497</v>
      </c>
      <c r="H44" s="10">
        <v>645.94000000000005</v>
      </c>
      <c r="I44" s="10">
        <v>138.0572737</v>
      </c>
      <c r="J44" s="10">
        <v>1622.3624495499998</v>
      </c>
      <c r="K44" s="10">
        <f t="shared" si="5"/>
        <v>2406.3597232499997</v>
      </c>
      <c r="M44" s="10">
        <v>35246.482549171495</v>
      </c>
    </row>
    <row r="45" spans="1:13" s="1" customFormat="1" x14ac:dyDescent="0.25">
      <c r="B45" s="24">
        <v>15</v>
      </c>
      <c r="C45" s="10">
        <v>747.37</v>
      </c>
      <c r="D45" s="10">
        <v>140.13</v>
      </c>
      <c r="E45" s="10">
        <v>1507.1402597142496</v>
      </c>
      <c r="F45" s="10">
        <f t="shared" si="4"/>
        <v>2394.6402597142496</v>
      </c>
      <c r="H45" s="10">
        <v>645.94000000000005</v>
      </c>
      <c r="I45" s="10">
        <v>138.0572737</v>
      </c>
      <c r="J45" s="10">
        <v>1484.8672509499997</v>
      </c>
      <c r="K45" s="10">
        <f t="shared" si="5"/>
        <v>2268.86452465</v>
      </c>
      <c r="M45" s="10">
        <v>33292.675777065495</v>
      </c>
    </row>
    <row r="46" spans="1:13" s="1" customFormat="1" x14ac:dyDescent="0.25">
      <c r="B46" s="24">
        <v>14</v>
      </c>
      <c r="C46" s="10">
        <v>747.37</v>
      </c>
      <c r="D46" s="10">
        <v>140.13</v>
      </c>
      <c r="E46" s="10">
        <v>1417.0101122414997</v>
      </c>
      <c r="F46" s="10">
        <f t="shared" si="4"/>
        <v>2304.5101122414999</v>
      </c>
      <c r="H46" s="10">
        <v>645.94000000000005</v>
      </c>
      <c r="I46" s="10">
        <v>138.0572737</v>
      </c>
      <c r="J46" s="10">
        <v>1396.0690760999998</v>
      </c>
      <c r="K46" s="10">
        <f t="shared" si="5"/>
        <v>2180.0663497999999</v>
      </c>
      <c r="M46" s="10">
        <v>32030.853712446995</v>
      </c>
    </row>
    <row r="47" spans="1:13" s="1" customFormat="1" x14ac:dyDescent="0.25">
      <c r="B47" s="24">
        <v>13</v>
      </c>
      <c r="C47" s="10">
        <v>747.37</v>
      </c>
      <c r="D47" s="10">
        <v>140.13</v>
      </c>
      <c r="E47" s="10">
        <v>1321.499500874</v>
      </c>
      <c r="F47" s="10">
        <f t="shared" si="4"/>
        <v>2208.9995008739998</v>
      </c>
      <c r="H47" s="10">
        <v>645.94000000000005</v>
      </c>
      <c r="I47" s="10">
        <v>138.0572737</v>
      </c>
      <c r="J47" s="10">
        <v>1301.9699516000001</v>
      </c>
      <c r="K47" s="10">
        <f t="shared" si="5"/>
        <v>2085.9672252999999</v>
      </c>
      <c r="M47" s="10">
        <v>30693.705153301995</v>
      </c>
    </row>
    <row r="48" spans="1:13" s="1" customFormat="1" x14ac:dyDescent="0.25">
      <c r="B48" s="4"/>
    </row>
    <row r="49" spans="1:13" x14ac:dyDescent="0.25">
      <c r="A49" s="30" t="s">
        <v>71</v>
      </c>
    </row>
    <row r="50" spans="1:13" x14ac:dyDescent="0.25">
      <c r="A50" s="30" t="s">
        <v>72</v>
      </c>
    </row>
    <row r="51" spans="1:13" x14ac:dyDescent="0.25">
      <c r="A51" s="30" t="s">
        <v>73</v>
      </c>
      <c r="B51" s="52"/>
      <c r="C51" s="27" t="s">
        <v>57</v>
      </c>
      <c r="D51" s="27" t="s">
        <v>58</v>
      </c>
      <c r="E51" s="27" t="s">
        <v>59</v>
      </c>
      <c r="F51" s="27" t="s">
        <v>50</v>
      </c>
      <c r="G51" s="48"/>
      <c r="H51" s="27" t="s">
        <v>57</v>
      </c>
      <c r="I51" s="27" t="s">
        <v>58</v>
      </c>
      <c r="J51" s="27" t="s">
        <v>59</v>
      </c>
      <c r="K51" s="27" t="s">
        <v>50</v>
      </c>
      <c r="L51" s="48"/>
      <c r="M51" s="48"/>
    </row>
    <row r="52" spans="1:13" x14ac:dyDescent="0.25">
      <c r="A52" s="33" t="s">
        <v>94</v>
      </c>
      <c r="B52" s="44" t="s">
        <v>61</v>
      </c>
      <c r="C52" s="28" t="s">
        <v>62</v>
      </c>
      <c r="D52" s="28" t="s">
        <v>63</v>
      </c>
      <c r="E52" s="28" t="s">
        <v>64</v>
      </c>
      <c r="F52" s="28" t="s">
        <v>65</v>
      </c>
      <c r="G52" s="48"/>
      <c r="H52" s="28" t="s">
        <v>62</v>
      </c>
      <c r="I52" s="28" t="s">
        <v>63</v>
      </c>
      <c r="J52" s="28" t="s">
        <v>64</v>
      </c>
      <c r="K52" s="28" t="s">
        <v>65</v>
      </c>
      <c r="L52" s="48"/>
      <c r="M52" s="48" t="s">
        <v>66</v>
      </c>
    </row>
    <row r="53" spans="1:13" s="1" customFormat="1" x14ac:dyDescent="0.25">
      <c r="A53" s="49" t="s">
        <v>93</v>
      </c>
      <c r="B53" s="24">
        <v>18</v>
      </c>
      <c r="C53" s="10">
        <v>622.01</v>
      </c>
      <c r="D53" s="10">
        <v>124.58</v>
      </c>
      <c r="E53" s="10">
        <v>1790.8589079412495</v>
      </c>
      <c r="F53" s="10">
        <f t="shared" ref="F53:F60" si="6">SUM(C53:E53)</f>
        <v>2537.4489079412497</v>
      </c>
      <c r="H53" s="10">
        <v>616.34</v>
      </c>
      <c r="I53" s="10">
        <v>122.73588175</v>
      </c>
      <c r="J53" s="10">
        <v>1764.3930127499998</v>
      </c>
      <c r="K53" s="10">
        <f t="shared" ref="K53:K60" si="7">SUM(H53:J53)</f>
        <v>2503.4688944999998</v>
      </c>
      <c r="M53" s="10">
        <v>35487.819514392497</v>
      </c>
    </row>
    <row r="54" spans="1:13" s="1" customFormat="1" x14ac:dyDescent="0.25">
      <c r="A54" s="50" t="s">
        <v>96</v>
      </c>
      <c r="B54" s="24">
        <v>17</v>
      </c>
      <c r="C54" s="10">
        <v>622.01</v>
      </c>
      <c r="D54" s="10">
        <v>124.58</v>
      </c>
      <c r="E54" s="10">
        <v>1654.7144824070001</v>
      </c>
      <c r="F54" s="10">
        <f t="shared" si="6"/>
        <v>2401.3044824070003</v>
      </c>
      <c r="H54" s="10">
        <v>616.34</v>
      </c>
      <c r="I54" s="10">
        <v>122.73588175</v>
      </c>
      <c r="J54" s="10">
        <v>1630.2605738000002</v>
      </c>
      <c r="K54" s="10">
        <f t="shared" si="7"/>
        <v>2369.3364555500002</v>
      </c>
      <c r="M54" s="10">
        <v>33581.797556912999</v>
      </c>
    </row>
    <row r="55" spans="1:13" s="1" customFormat="1" x14ac:dyDescent="0.25">
      <c r="A55" s="49" t="s">
        <v>95</v>
      </c>
      <c r="B55" s="24">
        <v>16</v>
      </c>
      <c r="C55" s="10">
        <v>622.01</v>
      </c>
      <c r="D55" s="10">
        <v>124.58</v>
      </c>
      <c r="E55" s="10">
        <v>1599.01143480925</v>
      </c>
      <c r="F55" s="10">
        <f t="shared" si="6"/>
        <v>2345.6014348092499</v>
      </c>
      <c r="H55" s="10">
        <v>616.34</v>
      </c>
      <c r="I55" s="10">
        <v>122.73588175</v>
      </c>
      <c r="J55" s="10">
        <v>1575.3807239500002</v>
      </c>
      <c r="K55" s="10">
        <f t="shared" si="7"/>
        <v>2314.4566057000002</v>
      </c>
      <c r="M55" s="10">
        <v>32801.954890544497</v>
      </c>
    </row>
    <row r="56" spans="1:13" s="1" customFormat="1" x14ac:dyDescent="0.25">
      <c r="A56" s="51" t="s">
        <v>77</v>
      </c>
      <c r="B56" s="24">
        <v>15</v>
      </c>
      <c r="C56" s="10">
        <v>622.01</v>
      </c>
      <c r="D56" s="10">
        <v>124.58</v>
      </c>
      <c r="E56" s="10">
        <v>1562.9</v>
      </c>
      <c r="F56" s="10">
        <f t="shared" si="6"/>
        <v>2309.4900000000002</v>
      </c>
      <c r="H56" s="10">
        <v>616.34</v>
      </c>
      <c r="I56" s="10">
        <v>122.73588175</v>
      </c>
      <c r="J56" s="10">
        <v>1539.79555555</v>
      </c>
      <c r="K56" s="10">
        <f t="shared" si="7"/>
        <v>2278.8714373000003</v>
      </c>
      <c r="M56" s="10">
        <v>32296.289647580496</v>
      </c>
    </row>
    <row r="57" spans="1:13" s="1" customFormat="1" x14ac:dyDescent="0.25">
      <c r="B57" s="24">
        <v>14</v>
      </c>
      <c r="C57" s="10">
        <v>622.01</v>
      </c>
      <c r="D57" s="10">
        <v>124.58</v>
      </c>
      <c r="E57" s="10">
        <v>1468.8081430819998</v>
      </c>
      <c r="F57" s="10">
        <f t="shared" si="6"/>
        <v>2215.3981430819999</v>
      </c>
      <c r="H57" s="10">
        <v>616.34</v>
      </c>
      <c r="I57" s="10">
        <v>122.73588175</v>
      </c>
      <c r="J57" s="10">
        <v>1447.1016187999999</v>
      </c>
      <c r="K57" s="10">
        <f t="shared" si="7"/>
        <v>2186.1775005499999</v>
      </c>
      <c r="M57" s="10">
        <v>30979.108806362994</v>
      </c>
    </row>
    <row r="58" spans="1:13" s="1" customFormat="1" x14ac:dyDescent="0.25">
      <c r="B58" s="24">
        <v>13</v>
      </c>
      <c r="C58" s="10">
        <v>622.01</v>
      </c>
      <c r="D58" s="10">
        <v>124.58</v>
      </c>
      <c r="E58" s="10">
        <v>1424.46</v>
      </c>
      <c r="F58" s="10">
        <f t="shared" si="6"/>
        <v>2171.0500000000002</v>
      </c>
      <c r="H58" s="10">
        <v>616.34</v>
      </c>
      <c r="I58" s="10">
        <v>122.73588175</v>
      </c>
      <c r="J58" s="10">
        <v>1403.4148162000001</v>
      </c>
      <c r="K58" s="10">
        <f t="shared" si="7"/>
        <v>2142.4906979500001</v>
      </c>
      <c r="M58" s="10">
        <v>30358.319341416998</v>
      </c>
    </row>
    <row r="59" spans="1:13" s="1" customFormat="1" x14ac:dyDescent="0.25">
      <c r="B59" s="24">
        <v>12</v>
      </c>
      <c r="C59" s="10">
        <v>622.01</v>
      </c>
      <c r="D59" s="10">
        <v>124.58</v>
      </c>
      <c r="E59" s="10">
        <v>1236.0612752984996</v>
      </c>
      <c r="F59" s="10">
        <f t="shared" si="6"/>
        <v>1982.6512752984995</v>
      </c>
      <c r="H59" s="10">
        <v>616.34</v>
      </c>
      <c r="I59" s="10">
        <v>122.73588175</v>
      </c>
      <c r="J59" s="10">
        <v>1217.7943598999998</v>
      </c>
      <c r="K59" s="10">
        <f t="shared" si="7"/>
        <v>1956.8702416499998</v>
      </c>
      <c r="M59" s="10">
        <v>27720.652657393995</v>
      </c>
    </row>
    <row r="60" spans="1:13" s="1" customFormat="1" x14ac:dyDescent="0.25">
      <c r="B60" s="24">
        <v>11</v>
      </c>
      <c r="C60" s="10">
        <v>622.01</v>
      </c>
      <c r="D60" s="10">
        <v>124.58</v>
      </c>
      <c r="E60" s="10">
        <v>1230.6199999999999</v>
      </c>
      <c r="F60" s="10">
        <f t="shared" si="6"/>
        <v>1977.21</v>
      </c>
      <c r="H60" s="10">
        <v>616.34</v>
      </c>
      <c r="I60" s="10">
        <v>122.73588175</v>
      </c>
      <c r="J60" s="10">
        <v>1212.4255736</v>
      </c>
      <c r="K60" s="10">
        <f t="shared" si="7"/>
        <v>1951.50145535</v>
      </c>
      <c r="M60" s="10">
        <v>27644.362204071</v>
      </c>
    </row>
    <row r="61" spans="1:13" s="1" customFormat="1" x14ac:dyDescent="0.25">
      <c r="B61" s="4"/>
    </row>
    <row r="62" spans="1:13" x14ac:dyDescent="0.25">
      <c r="A62" s="30" t="s">
        <v>78</v>
      </c>
    </row>
    <row r="63" spans="1:13" x14ac:dyDescent="0.25">
      <c r="A63" s="33" t="s">
        <v>96</v>
      </c>
      <c r="B63" s="52"/>
      <c r="C63" s="27" t="s">
        <v>57</v>
      </c>
      <c r="D63" s="27" t="s">
        <v>58</v>
      </c>
      <c r="E63" s="27" t="s">
        <v>59</v>
      </c>
      <c r="F63" s="27" t="s">
        <v>50</v>
      </c>
      <c r="G63" s="48"/>
      <c r="H63" s="27" t="s">
        <v>57</v>
      </c>
      <c r="I63" s="27" t="s">
        <v>58</v>
      </c>
      <c r="J63" s="27" t="s">
        <v>59</v>
      </c>
      <c r="K63" s="27" t="s">
        <v>50</v>
      </c>
      <c r="M63" s="11"/>
    </row>
    <row r="64" spans="1:13" x14ac:dyDescent="0.25">
      <c r="A64" s="32" t="s">
        <v>95</v>
      </c>
      <c r="B64" s="44" t="s">
        <v>61</v>
      </c>
      <c r="C64" s="28" t="s">
        <v>62</v>
      </c>
      <c r="D64" s="28" t="s">
        <v>63</v>
      </c>
      <c r="E64" s="28" t="s">
        <v>64</v>
      </c>
      <c r="F64" s="28" t="s">
        <v>65</v>
      </c>
      <c r="G64" s="48"/>
      <c r="H64" s="28" t="s">
        <v>62</v>
      </c>
      <c r="I64" s="28" t="s">
        <v>63</v>
      </c>
      <c r="J64" s="28" t="s">
        <v>64</v>
      </c>
      <c r="K64" s="28" t="s">
        <v>65</v>
      </c>
      <c r="M64" s="12" t="s">
        <v>66</v>
      </c>
    </row>
    <row r="65" spans="1:13" s="1" customFormat="1" x14ac:dyDescent="0.25">
      <c r="A65" s="51" t="s">
        <v>77</v>
      </c>
      <c r="B65" s="24">
        <v>14</v>
      </c>
      <c r="C65" s="10">
        <v>569.29999999999995</v>
      </c>
      <c r="D65" s="10">
        <v>107.7</v>
      </c>
      <c r="E65" s="10">
        <v>1726.2146506902498</v>
      </c>
      <c r="F65" s="10">
        <f t="shared" ref="F65:F69" si="8">SUM(C65:E65)</f>
        <v>2403.21465069025</v>
      </c>
      <c r="H65" s="10">
        <v>569.29999999999995</v>
      </c>
      <c r="I65" s="10">
        <v>106.10621154999998</v>
      </c>
      <c r="J65" s="10">
        <v>1683.8654349999999</v>
      </c>
      <c r="K65" s="10">
        <f t="shared" ref="K65:K69" si="9">SUM(H65:J65)</f>
        <v>2359.2716465499998</v>
      </c>
      <c r="M65" s="10">
        <v>33588.008721111997</v>
      </c>
    </row>
    <row r="66" spans="1:13" s="1" customFormat="1" x14ac:dyDescent="0.25">
      <c r="B66" s="24">
        <v>13</v>
      </c>
      <c r="C66" s="10">
        <v>569.29999999999995</v>
      </c>
      <c r="D66" s="10">
        <v>107.7</v>
      </c>
      <c r="E66" s="10">
        <v>1498.31</v>
      </c>
      <c r="F66" s="10">
        <f t="shared" si="8"/>
        <v>2175.31</v>
      </c>
      <c r="H66" s="10">
        <v>569.29999999999995</v>
      </c>
      <c r="I66" s="10">
        <v>106.10621154999998</v>
      </c>
      <c r="J66" s="10">
        <v>1461.55888</v>
      </c>
      <c r="K66" s="10">
        <f t="shared" si="9"/>
        <v>2136.9650915500001</v>
      </c>
      <c r="M66" s="10">
        <v>30401.955636163002</v>
      </c>
    </row>
    <row r="67" spans="1:13" s="1" customFormat="1" x14ac:dyDescent="0.25">
      <c r="B67" s="24">
        <v>12</v>
      </c>
      <c r="C67" s="10">
        <v>569.29999999999995</v>
      </c>
      <c r="D67" s="10">
        <v>107.7</v>
      </c>
      <c r="E67" s="10">
        <v>1304.2</v>
      </c>
      <c r="F67" s="10">
        <f t="shared" si="8"/>
        <v>1981.2</v>
      </c>
      <c r="H67" s="10">
        <v>569.29999999999995</v>
      </c>
      <c r="I67" s="10">
        <v>106.10621154999998</v>
      </c>
      <c r="J67" s="10">
        <v>1272.2111500000001</v>
      </c>
      <c r="K67" s="10">
        <f t="shared" si="9"/>
        <v>1947.6173615500002</v>
      </c>
      <c r="M67" s="10">
        <v>27688.261839349001</v>
      </c>
    </row>
    <row r="68" spans="1:13" s="1" customFormat="1" x14ac:dyDescent="0.25">
      <c r="B68" s="24">
        <v>11</v>
      </c>
      <c r="C68" s="10">
        <v>569.29999999999995</v>
      </c>
      <c r="D68" s="10">
        <v>107.7</v>
      </c>
      <c r="E68" s="10">
        <v>1298.915323356</v>
      </c>
      <c r="F68" s="10">
        <f t="shared" si="8"/>
        <v>1975.915323356</v>
      </c>
      <c r="H68" s="10">
        <v>569.29999999999995</v>
      </c>
      <c r="I68" s="10">
        <v>106.10621154999998</v>
      </c>
      <c r="J68" s="10">
        <v>1267.0490400000001</v>
      </c>
      <c r="K68" s="10">
        <f t="shared" si="9"/>
        <v>1942.45525155</v>
      </c>
      <c r="M68" s="10">
        <v>27614.279511250999</v>
      </c>
    </row>
    <row r="69" spans="1:13" s="1" customFormat="1" x14ac:dyDescent="0.25">
      <c r="B69" s="24">
        <v>10</v>
      </c>
      <c r="C69" s="10">
        <v>569.29999999999995</v>
      </c>
      <c r="D69" s="10">
        <v>107.7</v>
      </c>
      <c r="E69" s="10">
        <v>1054.8271852422497</v>
      </c>
      <c r="F69" s="10">
        <f t="shared" si="8"/>
        <v>1731.8271852422497</v>
      </c>
      <c r="H69" s="10">
        <v>569.29999999999995</v>
      </c>
      <c r="I69" s="10">
        <v>106.10621154999998</v>
      </c>
      <c r="J69" s="10">
        <v>1028.9491149999999</v>
      </c>
      <c r="K69" s="10">
        <f t="shared" si="9"/>
        <v>1704.35532655</v>
      </c>
      <c r="M69" s="10">
        <v>24201.879006135994</v>
      </c>
    </row>
    <row r="70" spans="1:13" s="1" customFormat="1" x14ac:dyDescent="0.25">
      <c r="B70" s="4"/>
    </row>
    <row r="71" spans="1:13" x14ac:dyDescent="0.25">
      <c r="C71" s="135" t="s">
        <v>79</v>
      </c>
      <c r="D71" s="135"/>
      <c r="F71" s="35" t="s">
        <v>19</v>
      </c>
      <c r="G71" s="20"/>
      <c r="H71" s="20"/>
    </row>
    <row r="72" spans="1:13" x14ac:dyDescent="0.25">
      <c r="C72" s="38" t="s">
        <v>80</v>
      </c>
      <c r="D72" s="38" t="s">
        <v>81</v>
      </c>
    </row>
    <row r="73" spans="1:13" x14ac:dyDescent="0.25">
      <c r="B73" s="37" t="s">
        <v>35</v>
      </c>
      <c r="C73" s="38" t="s">
        <v>82</v>
      </c>
      <c r="D73" s="38" t="s">
        <v>83</v>
      </c>
      <c r="F73" s="2" t="s">
        <v>20</v>
      </c>
      <c r="G73" s="2"/>
      <c r="H73" s="2"/>
      <c r="I73" s="3"/>
      <c r="J73" s="3">
        <v>522.03</v>
      </c>
      <c r="K73" s="3"/>
    </row>
    <row r="74" spans="1:13" x14ac:dyDescent="0.25">
      <c r="B74" s="4" t="s">
        <v>37</v>
      </c>
      <c r="C74">
        <v>44.29</v>
      </c>
      <c r="D74">
        <v>27.33</v>
      </c>
      <c r="F74" s="2" t="s">
        <v>21</v>
      </c>
      <c r="G74" s="2"/>
      <c r="H74" s="2"/>
      <c r="I74" s="3"/>
      <c r="J74" s="3">
        <v>1635.55</v>
      </c>
      <c r="K74" s="3"/>
    </row>
    <row r="75" spans="1:13" x14ac:dyDescent="0.25">
      <c r="B75" s="4" t="s">
        <v>38</v>
      </c>
      <c r="C75">
        <v>36.11</v>
      </c>
      <c r="D75">
        <v>26.33</v>
      </c>
      <c r="F75" s="2"/>
      <c r="G75" s="2"/>
      <c r="H75" s="2"/>
      <c r="I75" s="3"/>
      <c r="J75" s="3"/>
      <c r="K75" s="3"/>
    </row>
    <row r="76" spans="1:13" x14ac:dyDescent="0.25">
      <c r="B76" s="4" t="s">
        <v>39</v>
      </c>
      <c r="C76">
        <v>27.33</v>
      </c>
      <c r="D76" s="64">
        <v>23.6</v>
      </c>
      <c r="F76" s="39" t="s">
        <v>84</v>
      </c>
      <c r="G76" s="21"/>
      <c r="H76" s="21"/>
      <c r="I76" s="3"/>
      <c r="J76" s="3" t="s">
        <v>23</v>
      </c>
      <c r="K76" s="3" t="s">
        <v>24</v>
      </c>
    </row>
    <row r="77" spans="1:13" x14ac:dyDescent="0.25">
      <c r="B77" s="4" t="s">
        <v>40</v>
      </c>
      <c r="C77" s="64">
        <v>18.600000000000001</v>
      </c>
      <c r="D77">
        <v>18.420000000000002</v>
      </c>
      <c r="F77" s="2" t="s">
        <v>85</v>
      </c>
      <c r="G77" s="2"/>
      <c r="H77" s="2"/>
      <c r="I77" s="22">
        <v>0.25219999999999998</v>
      </c>
      <c r="J77" s="3">
        <v>0.19</v>
      </c>
      <c r="K77" s="22">
        <v>6.2199999999999998E-2</v>
      </c>
    </row>
    <row r="78" spans="1:13" x14ac:dyDescent="0.25">
      <c r="B78" s="4" t="s">
        <v>86</v>
      </c>
      <c r="C78" s="64">
        <v>14</v>
      </c>
      <c r="D78" s="64">
        <v>14</v>
      </c>
      <c r="F78" s="2" t="s">
        <v>27</v>
      </c>
      <c r="G78" s="2"/>
      <c r="H78" s="2"/>
      <c r="I78" s="3">
        <v>9</v>
      </c>
      <c r="J78" s="3">
        <v>0</v>
      </c>
      <c r="K78" s="3">
        <v>9</v>
      </c>
    </row>
    <row r="79" spans="1:13" x14ac:dyDescent="0.25">
      <c r="F79" s="2" t="s">
        <v>87</v>
      </c>
      <c r="G79" s="2"/>
      <c r="H79" s="2"/>
      <c r="I79" s="3">
        <v>180.10824999999997</v>
      </c>
      <c r="J79" s="3"/>
      <c r="K79" s="3"/>
    </row>
    <row r="80" spans="1:13" x14ac:dyDescent="0.25">
      <c r="I80" s="1"/>
      <c r="J80" s="1"/>
      <c r="K80" s="1"/>
    </row>
    <row r="81" spans="2:11" x14ac:dyDescent="0.25">
      <c r="B81" s="4" t="s">
        <v>88</v>
      </c>
      <c r="C81" t="s">
        <v>89</v>
      </c>
      <c r="I81" s="1"/>
      <c r="J81" s="1"/>
      <c r="K81" s="1"/>
    </row>
    <row r="82" spans="2:11" x14ac:dyDescent="0.25">
      <c r="I82" s="1"/>
      <c r="J82" s="1"/>
      <c r="K82" s="1"/>
    </row>
  </sheetData>
  <mergeCells count="2">
    <mergeCell ref="A2:G2"/>
    <mergeCell ref="C71:D71"/>
  </mergeCells>
  <pageMargins left="0.70866141732283472" right="0.70866141732283472" top="2.2799999999999998" bottom="0.74803149606299213" header="1.2" footer="0.31496062992125984"/>
  <pageSetup paperSize="8" scale="72" orientation="portrait" r:id="rId1"/>
  <headerFooter>
    <oddHeader>&amp;L&amp;G</oddHeader>
    <oddFooter>&amp;R&amp;G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85"/>
  <sheetViews>
    <sheetView tabSelected="1" topLeftCell="A16" workbookViewId="0">
      <selection activeCell="C29" sqref="C29"/>
    </sheetView>
  </sheetViews>
  <sheetFormatPr baseColWidth="10" defaultRowHeight="15" x14ac:dyDescent="0.25"/>
  <cols>
    <col min="1" max="1" width="27.140625" customWidth="1"/>
    <col min="2" max="2" width="11.42578125" style="4"/>
    <col min="3" max="3" width="14.5703125" customWidth="1"/>
    <col min="4" max="4" width="14.140625" customWidth="1"/>
    <col min="5" max="5" width="20.7109375" customWidth="1"/>
    <col min="9" max="9" width="14.85546875" customWidth="1"/>
    <col min="10" max="10" width="19.85546875" customWidth="1"/>
    <col min="13" max="13" width="12.85546875" hidden="1" customWidth="1"/>
  </cols>
  <sheetData>
    <row r="1" spans="1:13" ht="23.25" x14ac:dyDescent="0.35">
      <c r="D1" s="100" t="s">
        <v>114</v>
      </c>
      <c r="E1" s="101"/>
      <c r="F1" s="101"/>
      <c r="G1" s="101"/>
      <c r="H1" s="101"/>
      <c r="I1" s="101"/>
      <c r="J1" s="101"/>
      <c r="K1" s="101"/>
      <c r="L1" s="102"/>
    </row>
    <row r="2" spans="1:13" ht="24" thickBot="1" x14ac:dyDescent="0.4">
      <c r="D2" s="103"/>
      <c r="E2" s="104" t="s">
        <v>115</v>
      </c>
      <c r="F2" s="105"/>
      <c r="G2" s="105"/>
      <c r="H2" s="105"/>
      <c r="I2" s="105"/>
      <c r="J2" s="105"/>
      <c r="K2" s="105"/>
      <c r="L2" s="106"/>
    </row>
    <row r="4" spans="1:13" ht="53.25" customHeight="1" x14ac:dyDescent="0.25">
      <c r="A4" s="132" t="s">
        <v>111</v>
      </c>
      <c r="B4" s="133"/>
      <c r="C4" s="133"/>
      <c r="D4" s="133"/>
      <c r="E4" s="133"/>
      <c r="F4" s="133"/>
      <c r="G4" s="134"/>
      <c r="H4" s="7" t="s">
        <v>109</v>
      </c>
      <c r="I4" s="5"/>
      <c r="J4" s="5"/>
      <c r="K4" s="6"/>
      <c r="L4" s="96" t="s">
        <v>110</v>
      </c>
    </row>
    <row r="5" spans="1:13" x14ac:dyDescent="0.25">
      <c r="A5" s="7"/>
      <c r="B5" s="8"/>
      <c r="C5" s="6"/>
      <c r="F5" s="27" t="s">
        <v>50</v>
      </c>
      <c r="G5" s="97">
        <v>1.0225</v>
      </c>
      <c r="L5" s="83"/>
      <c r="M5" s="26" t="s">
        <v>52</v>
      </c>
    </row>
    <row r="6" spans="1:13" x14ac:dyDescent="0.25">
      <c r="A6" s="7" t="s">
        <v>53</v>
      </c>
      <c r="B6" s="8"/>
      <c r="C6" s="29" t="s">
        <v>107</v>
      </c>
      <c r="D6" t="s">
        <v>112</v>
      </c>
      <c r="F6" s="28" t="s">
        <v>65</v>
      </c>
      <c r="L6" s="83"/>
    </row>
    <row r="7" spans="1:13" s="1" customFormat="1" x14ac:dyDescent="0.25">
      <c r="B7" s="4"/>
      <c r="C7" s="10">
        <v>5660.08</v>
      </c>
      <c r="D7" s="13">
        <f>C7*2.25%</f>
        <v>127.3518</v>
      </c>
      <c r="E7" s="15"/>
      <c r="F7" s="10">
        <f>C7+D7</f>
        <v>5787.4318000000003</v>
      </c>
      <c r="G7" s="10"/>
      <c r="H7" s="10">
        <f>F7</f>
        <v>5787.4318000000003</v>
      </c>
      <c r="I7" s="13"/>
      <c r="J7" s="14"/>
      <c r="K7" s="14"/>
      <c r="L7" s="91">
        <f>F7*14</f>
        <v>81024.045200000008</v>
      </c>
      <c r="M7" s="10">
        <v>77875.42</v>
      </c>
    </row>
    <row r="8" spans="1:13" x14ac:dyDescent="0.25">
      <c r="L8" s="83"/>
    </row>
    <row r="9" spans="1:13" x14ac:dyDescent="0.25">
      <c r="A9" s="30" t="s">
        <v>56</v>
      </c>
      <c r="L9" s="83"/>
    </row>
    <row r="10" spans="1:13" x14ac:dyDescent="0.25">
      <c r="A10" s="18"/>
      <c r="B10" s="40"/>
      <c r="C10" s="41" t="s">
        <v>57</v>
      </c>
      <c r="D10" s="27" t="s">
        <v>58</v>
      </c>
      <c r="E10" s="41" t="s">
        <v>59</v>
      </c>
      <c r="F10" s="27" t="s">
        <v>50</v>
      </c>
      <c r="G10" s="43"/>
      <c r="H10" s="27" t="s">
        <v>57</v>
      </c>
      <c r="I10" s="27" t="s">
        <v>58</v>
      </c>
      <c r="J10" s="42" t="s">
        <v>59</v>
      </c>
      <c r="K10" s="42" t="s">
        <v>50</v>
      </c>
      <c r="L10" s="92" t="s">
        <v>108</v>
      </c>
      <c r="M10" s="23"/>
    </row>
    <row r="11" spans="1:13" s="1" customFormat="1" x14ac:dyDescent="0.25">
      <c r="A11" s="31" t="s">
        <v>60</v>
      </c>
      <c r="B11" s="44" t="s">
        <v>61</v>
      </c>
      <c r="C11" s="45" t="s">
        <v>62</v>
      </c>
      <c r="D11" s="25" t="s">
        <v>63</v>
      </c>
      <c r="E11" s="45" t="s">
        <v>64</v>
      </c>
      <c r="F11" s="25" t="s">
        <v>65</v>
      </c>
      <c r="G11" s="47"/>
      <c r="H11" s="25" t="s">
        <v>62</v>
      </c>
      <c r="I11" s="25" t="s">
        <v>63</v>
      </c>
      <c r="J11" s="46" t="s">
        <v>64</v>
      </c>
      <c r="K11" s="46" t="s">
        <v>65</v>
      </c>
      <c r="L11" s="93" t="s">
        <v>103</v>
      </c>
      <c r="M11" s="25" t="s">
        <v>66</v>
      </c>
    </row>
    <row r="12" spans="1:13" s="1" customFormat="1" x14ac:dyDescent="0.25">
      <c r="B12" s="24">
        <v>28</v>
      </c>
      <c r="C12" s="10">
        <f>14124.96/12</f>
        <v>1177.08</v>
      </c>
      <c r="D12" s="10">
        <f>ROUND('2017_2018_LABORALS'!D10,2)*1.0025*1.0225</f>
        <v>224.02604343749999</v>
      </c>
      <c r="E12" s="10">
        <f>3691.62*$G$5</f>
        <v>3774.6814499999996</v>
      </c>
      <c r="F12" s="10">
        <f>ROUND(SUM(C12:E12),2)</f>
        <v>5175.79</v>
      </c>
      <c r="H12" s="10">
        <v>726.35</v>
      </c>
      <c r="I12" s="10">
        <f>D12</f>
        <v>224.02604343749999</v>
      </c>
      <c r="J12" s="10">
        <f>E12</f>
        <v>3774.6814499999996</v>
      </c>
      <c r="K12" s="10">
        <f>SUM(H12:J12)</f>
        <v>4725.0574934374999</v>
      </c>
      <c r="L12" s="34">
        <f>F12*12+K12+K12</f>
        <v>71559.594986875003</v>
      </c>
      <c r="M12" s="10">
        <v>69804.346292174989</v>
      </c>
    </row>
    <row r="13" spans="1:13" s="1" customFormat="1" x14ac:dyDescent="0.25">
      <c r="B13" s="24">
        <v>27</v>
      </c>
      <c r="C13" s="10">
        <f t="shared" ref="C13:C20" si="0">14124.96/12</f>
        <v>1177.08</v>
      </c>
      <c r="D13" s="10">
        <f>ROUND('2017_2018_LABORALS'!D11,2)*1.0025*1.0225</f>
        <v>224.02604343749999</v>
      </c>
      <c r="E13" s="10">
        <f>3100.52*$G$5</f>
        <v>3170.2817</v>
      </c>
      <c r="F13" s="10">
        <f t="shared" ref="F13:F20" si="1">SUM(C13:E13)</f>
        <v>4571.3877434374999</v>
      </c>
      <c r="H13" s="10">
        <v>726.35</v>
      </c>
      <c r="I13" s="10">
        <f t="shared" ref="I13:J20" si="2">D13</f>
        <v>224.02604343749999</v>
      </c>
      <c r="J13" s="10">
        <f t="shared" si="2"/>
        <v>3170.2817</v>
      </c>
      <c r="K13" s="10">
        <f t="shared" ref="K13:K20" si="3">SUM(H13:J13)</f>
        <v>4120.6577434375004</v>
      </c>
      <c r="L13" s="34">
        <f t="shared" ref="L13:L20" si="4">F13*12+K13+K13</f>
        <v>63097.968408125002</v>
      </c>
      <c r="M13" s="10">
        <v>61549.553992546993</v>
      </c>
    </row>
    <row r="14" spans="1:13" s="1" customFormat="1" x14ac:dyDescent="0.25">
      <c r="B14" s="24">
        <v>26</v>
      </c>
      <c r="C14" s="10">
        <f t="shared" si="0"/>
        <v>1177.08</v>
      </c>
      <c r="D14" s="10">
        <f>ROUND('2017_2018_LABORALS'!D12,2)*1.0025*1.0225</f>
        <v>224.02604343749999</v>
      </c>
      <c r="E14" s="10">
        <f>2698.01*$G$5</f>
        <v>2758.7152249999999</v>
      </c>
      <c r="F14" s="10">
        <f t="shared" si="1"/>
        <v>4159.8212684374994</v>
      </c>
      <c r="H14" s="10">
        <v>726.35</v>
      </c>
      <c r="I14" s="10">
        <f t="shared" si="2"/>
        <v>224.02604343749999</v>
      </c>
      <c r="J14" s="10">
        <f t="shared" si="2"/>
        <v>2758.7152249999999</v>
      </c>
      <c r="K14" s="10">
        <f t="shared" si="3"/>
        <v>3709.0912684374998</v>
      </c>
      <c r="L14" s="34">
        <f t="shared" si="4"/>
        <v>57336.037758124992</v>
      </c>
      <c r="M14" s="10">
        <v>55928.572541755995</v>
      </c>
    </row>
    <row r="15" spans="1:13" s="1" customFormat="1" x14ac:dyDescent="0.25">
      <c r="B15" s="24">
        <v>25</v>
      </c>
      <c r="C15" s="10">
        <f t="shared" si="0"/>
        <v>1177.08</v>
      </c>
      <c r="D15" s="10">
        <f>ROUND('2017_2018_LABORALS'!D13,2)*1.0025*1.0225</f>
        <v>224.02604343749999</v>
      </c>
      <c r="E15" s="10">
        <f>2612.21*$G$5</f>
        <v>2670.9847249999998</v>
      </c>
      <c r="F15" s="10">
        <f t="shared" si="1"/>
        <v>4072.0907684374997</v>
      </c>
      <c r="H15" s="10">
        <v>726.35</v>
      </c>
      <c r="I15" s="10">
        <f t="shared" si="2"/>
        <v>224.02604343749999</v>
      </c>
      <c r="J15" s="10">
        <f t="shared" si="2"/>
        <v>2670.9847249999998</v>
      </c>
      <c r="K15" s="10">
        <f t="shared" si="3"/>
        <v>3621.3607684374997</v>
      </c>
      <c r="L15" s="34">
        <f t="shared" si="4"/>
        <v>56107.810758125001</v>
      </c>
      <c r="M15" s="10">
        <v>54730.371757706489</v>
      </c>
    </row>
    <row r="16" spans="1:13" s="1" customFormat="1" x14ac:dyDescent="0.25">
      <c r="B16" s="24">
        <v>24</v>
      </c>
      <c r="C16" s="10">
        <f t="shared" si="0"/>
        <v>1177.08</v>
      </c>
      <c r="D16" s="10">
        <f>ROUND('2017_2018_LABORALS'!D14,2)*1.0025*1.0225</f>
        <v>224.02604343749999</v>
      </c>
      <c r="E16" s="10">
        <f>2521.58*$G$5</f>
        <v>2578.3155499999998</v>
      </c>
      <c r="F16" s="10">
        <f t="shared" si="1"/>
        <v>3979.4215934374997</v>
      </c>
      <c r="H16" s="10">
        <v>726.35</v>
      </c>
      <c r="I16" s="10">
        <f t="shared" si="2"/>
        <v>224.02604343749999</v>
      </c>
      <c r="J16" s="10">
        <f t="shared" si="2"/>
        <v>2578.3155499999998</v>
      </c>
      <c r="K16" s="10">
        <f t="shared" si="3"/>
        <v>3528.6915934374997</v>
      </c>
      <c r="L16" s="34">
        <f t="shared" si="4"/>
        <v>54810.442308124999</v>
      </c>
      <c r="M16" s="10">
        <v>53464.693857901992</v>
      </c>
    </row>
    <row r="17" spans="1:13" s="1" customFormat="1" x14ac:dyDescent="0.25">
      <c r="B17" s="24">
        <v>23</v>
      </c>
      <c r="C17" s="10">
        <f t="shared" si="0"/>
        <v>1177.08</v>
      </c>
      <c r="D17" s="10">
        <f>ROUND('2017_2018_LABORALS'!D15,2)*1.0025*1.0225</f>
        <v>224.02604343749999</v>
      </c>
      <c r="E17" s="10">
        <f>2445.75*$G$5</f>
        <v>2500.7793750000001</v>
      </c>
      <c r="F17" s="10">
        <f t="shared" si="1"/>
        <v>3901.8854184375</v>
      </c>
      <c r="H17" s="10">
        <v>726.35</v>
      </c>
      <c r="I17" s="10">
        <f t="shared" si="2"/>
        <v>224.02604343749999</v>
      </c>
      <c r="J17" s="10">
        <f t="shared" si="2"/>
        <v>2500.7793750000001</v>
      </c>
      <c r="K17" s="10">
        <f t="shared" si="3"/>
        <v>3451.1554184375</v>
      </c>
      <c r="L17" s="34">
        <f t="shared" si="4"/>
        <v>53724.935858124998</v>
      </c>
      <c r="M17" s="10">
        <v>52405.716265746982</v>
      </c>
    </row>
    <row r="18" spans="1:13" s="1" customFormat="1" x14ac:dyDescent="0.25">
      <c r="B18" s="24">
        <v>22</v>
      </c>
      <c r="C18" s="10">
        <f t="shared" si="0"/>
        <v>1177.08</v>
      </c>
      <c r="D18" s="10">
        <f>ROUND('2017_2018_LABORALS'!D16,2)*1.0025*1.0225</f>
        <v>224.02604343749999</v>
      </c>
      <c r="E18" s="10">
        <f>2372.96*$G$5</f>
        <v>2426.3516</v>
      </c>
      <c r="F18" s="10">
        <f t="shared" si="1"/>
        <v>3827.4576434374999</v>
      </c>
      <c r="H18" s="10">
        <v>726.35</v>
      </c>
      <c r="I18" s="10">
        <f t="shared" si="2"/>
        <v>224.02604343749999</v>
      </c>
      <c r="J18" s="10">
        <f t="shared" si="2"/>
        <v>2426.3516</v>
      </c>
      <c r="K18" s="10">
        <f t="shared" si="3"/>
        <v>3376.7276434374999</v>
      </c>
      <c r="L18" s="34">
        <f t="shared" si="4"/>
        <v>52682.947008125004</v>
      </c>
      <c r="M18" s="10">
        <v>51389.152860637994</v>
      </c>
    </row>
    <row r="19" spans="1:13" s="1" customFormat="1" x14ac:dyDescent="0.25">
      <c r="B19" s="24">
        <v>21</v>
      </c>
      <c r="C19" s="10">
        <f t="shared" si="0"/>
        <v>1177.08</v>
      </c>
      <c r="D19" s="10">
        <f>ROUND('2017_2018_LABORALS'!D17,2)*1.0025*1.0225</f>
        <v>224.02604343749999</v>
      </c>
      <c r="E19" s="10">
        <f>2182*$G$5</f>
        <v>2231.0949999999998</v>
      </c>
      <c r="F19" s="10">
        <f t="shared" si="1"/>
        <v>3632.2010434374997</v>
      </c>
      <c r="H19" s="10">
        <v>726.35</v>
      </c>
      <c r="I19" s="10">
        <f t="shared" si="2"/>
        <v>224.02604343749999</v>
      </c>
      <c r="J19" s="10">
        <f t="shared" si="2"/>
        <v>2231.0949999999998</v>
      </c>
      <c r="K19" s="10">
        <f t="shared" si="3"/>
        <v>3181.4710434374997</v>
      </c>
      <c r="L19" s="34">
        <f t="shared" si="4"/>
        <v>49949.354608124995</v>
      </c>
      <c r="M19" s="10">
        <v>48722.429704320508</v>
      </c>
    </row>
    <row r="20" spans="1:13" s="1" customFormat="1" x14ac:dyDescent="0.25">
      <c r="B20" s="24">
        <v>20</v>
      </c>
      <c r="C20" s="10">
        <f t="shared" si="0"/>
        <v>1177.08</v>
      </c>
      <c r="D20" s="10">
        <f>ROUND('2017_2018_LABORALS'!D18,2)*1.0025*1.0225</f>
        <v>224.02604343749999</v>
      </c>
      <c r="E20" s="10">
        <f>1996.14*$G$5</f>
        <v>2041.05315</v>
      </c>
      <c r="F20" s="10">
        <f t="shared" si="1"/>
        <v>3442.1591934375001</v>
      </c>
      <c r="H20" s="10">
        <v>726.35</v>
      </c>
      <c r="I20" s="10">
        <f t="shared" si="2"/>
        <v>224.02604343749999</v>
      </c>
      <c r="J20" s="10">
        <f t="shared" si="2"/>
        <v>2041.05315</v>
      </c>
      <c r="K20" s="10">
        <f t="shared" si="3"/>
        <v>2991.4291934375001</v>
      </c>
      <c r="L20" s="34">
        <f t="shared" si="4"/>
        <v>47288.768708125004</v>
      </c>
      <c r="M20" s="10">
        <v>46126.764082144997</v>
      </c>
    </row>
    <row r="21" spans="1:13" s="1" customFormat="1" x14ac:dyDescent="0.25">
      <c r="B21" s="4"/>
      <c r="L21" s="94"/>
    </row>
    <row r="22" spans="1:13" x14ac:dyDescent="0.25">
      <c r="A22" s="30" t="s">
        <v>67</v>
      </c>
      <c r="L22" s="83"/>
    </row>
    <row r="23" spans="1:13" x14ac:dyDescent="0.25">
      <c r="A23" s="18"/>
      <c r="B23" s="52"/>
      <c r="C23" s="27" t="s">
        <v>57</v>
      </c>
      <c r="D23" s="27" t="s">
        <v>58</v>
      </c>
      <c r="E23" s="27" t="s">
        <v>59</v>
      </c>
      <c r="F23" s="27" t="s">
        <v>50</v>
      </c>
      <c r="G23" s="48"/>
      <c r="H23" s="27" t="s">
        <v>57</v>
      </c>
      <c r="I23" s="27" t="s">
        <v>58</v>
      </c>
      <c r="J23" s="27" t="s">
        <v>59</v>
      </c>
      <c r="K23" s="27" t="s">
        <v>50</v>
      </c>
      <c r="L23" s="92" t="s">
        <v>108</v>
      </c>
      <c r="M23" s="11"/>
    </row>
    <row r="24" spans="1:13" x14ac:dyDescent="0.25">
      <c r="A24" s="32" t="s">
        <v>68</v>
      </c>
      <c r="B24" s="44" t="s">
        <v>61</v>
      </c>
      <c r="C24" s="28" t="s">
        <v>62</v>
      </c>
      <c r="D24" s="28" t="s">
        <v>63</v>
      </c>
      <c r="E24" s="28" t="s">
        <v>64</v>
      </c>
      <c r="F24" s="28" t="s">
        <v>65</v>
      </c>
      <c r="G24" s="48"/>
      <c r="H24" s="28" t="s">
        <v>62</v>
      </c>
      <c r="I24" s="28" t="s">
        <v>63</v>
      </c>
      <c r="J24" s="28" t="s">
        <v>64</v>
      </c>
      <c r="K24" s="28" t="s">
        <v>65</v>
      </c>
      <c r="L24" s="93" t="s">
        <v>103</v>
      </c>
      <c r="M24" s="28" t="s">
        <v>66</v>
      </c>
    </row>
    <row r="25" spans="1:13" s="1" customFormat="1" x14ac:dyDescent="0.25">
      <c r="B25" s="98">
        <v>27</v>
      </c>
      <c r="C25" s="65">
        <f>12213.48/12</f>
        <v>1017.79</v>
      </c>
      <c r="D25" s="65">
        <v>178.95</v>
      </c>
      <c r="E25" s="65">
        <f>3002.67*$G$5</f>
        <v>3070.2300749999999</v>
      </c>
      <c r="F25" s="65">
        <f t="shared" ref="F25:F36" si="5">SUM(C25:E25)</f>
        <v>4266.9700750000002</v>
      </c>
      <c r="G25" s="69"/>
      <c r="H25" s="65">
        <v>742.29</v>
      </c>
      <c r="I25" s="65">
        <f t="shared" ref="I25:J36" si="6">D25</f>
        <v>178.95</v>
      </c>
      <c r="J25" s="65">
        <f t="shared" si="6"/>
        <v>3070.2300749999999</v>
      </c>
      <c r="K25" s="65">
        <f t="shared" ref="K25:K36" si="7">SUM(H25:J25)</f>
        <v>3991.4700750000002</v>
      </c>
      <c r="L25" s="66">
        <f>F25*12+K25+K25</f>
        <v>59186.581049999993</v>
      </c>
      <c r="M25" s="10">
        <v>57734.97942799599</v>
      </c>
    </row>
    <row r="26" spans="1:13" s="1" customFormat="1" x14ac:dyDescent="0.25">
      <c r="B26" s="24">
        <v>26</v>
      </c>
      <c r="C26" s="10">
        <f t="shared" ref="C26:C36" si="8">12213.48/12</f>
        <v>1017.79</v>
      </c>
      <c r="D26" s="10">
        <v>178.95</v>
      </c>
      <c r="E26" s="10">
        <f>2904.22*$G$5</f>
        <v>2969.5649499999995</v>
      </c>
      <c r="F26" s="10">
        <f t="shared" si="5"/>
        <v>4166.3049499999997</v>
      </c>
      <c r="H26" s="10">
        <v>742.29</v>
      </c>
      <c r="I26" s="10">
        <f t="shared" si="6"/>
        <v>178.95</v>
      </c>
      <c r="J26" s="10">
        <f t="shared" si="6"/>
        <v>2969.5649499999995</v>
      </c>
      <c r="K26" s="10">
        <f t="shared" si="7"/>
        <v>3890.8049499999997</v>
      </c>
      <c r="L26" s="34">
        <f t="shared" ref="L26:L36" si="9">F26*12+K26+K26</f>
        <v>57777.269299999993</v>
      </c>
      <c r="M26" s="10">
        <v>56360.098767387994</v>
      </c>
    </row>
    <row r="27" spans="1:13" s="1" customFormat="1" x14ac:dyDescent="0.25">
      <c r="B27" s="24">
        <v>25</v>
      </c>
      <c r="C27" s="10">
        <f t="shared" si="8"/>
        <v>1017.79</v>
      </c>
      <c r="D27" s="10">
        <v>178.95</v>
      </c>
      <c r="E27" s="10">
        <f>2448.82*$G$5</f>
        <v>2503.9184500000001</v>
      </c>
      <c r="F27" s="10">
        <f t="shared" si="5"/>
        <v>3700.6584499999999</v>
      </c>
      <c r="H27" s="10">
        <v>742.29</v>
      </c>
      <c r="I27" s="10">
        <f t="shared" si="6"/>
        <v>178.95</v>
      </c>
      <c r="J27" s="10">
        <f t="shared" si="6"/>
        <v>2503.9184500000001</v>
      </c>
      <c r="K27" s="10">
        <f t="shared" si="7"/>
        <v>3425.1584499999999</v>
      </c>
      <c r="L27" s="34">
        <f t="shared" si="9"/>
        <v>51258.218300000008</v>
      </c>
      <c r="M27" s="10">
        <v>50000.311753279508</v>
      </c>
    </row>
    <row r="28" spans="1:13" s="1" customFormat="1" x14ac:dyDescent="0.25">
      <c r="B28" s="24">
        <v>24</v>
      </c>
      <c r="C28" s="10">
        <f t="shared" si="8"/>
        <v>1017.79</v>
      </c>
      <c r="D28" s="10">
        <v>178.95</v>
      </c>
      <c r="E28" s="10">
        <f>2262.52*$G$5</f>
        <v>2313.4267</v>
      </c>
      <c r="F28" s="10">
        <f t="shared" si="5"/>
        <v>3510.1666999999998</v>
      </c>
      <c r="H28" s="10">
        <v>742.29</v>
      </c>
      <c r="I28" s="10">
        <f t="shared" si="6"/>
        <v>178.95</v>
      </c>
      <c r="J28" s="10">
        <f t="shared" si="6"/>
        <v>2313.4267</v>
      </c>
      <c r="K28" s="10">
        <f t="shared" si="7"/>
        <v>3234.6666999999998</v>
      </c>
      <c r="L28" s="34">
        <f t="shared" si="9"/>
        <v>48591.3338</v>
      </c>
      <c r="M28" s="10">
        <v>47398.72466992549</v>
      </c>
    </row>
    <row r="29" spans="1:13" s="1" customFormat="1" x14ac:dyDescent="0.25">
      <c r="B29" s="24">
        <v>23</v>
      </c>
      <c r="C29" s="10">
        <f t="shared" si="8"/>
        <v>1017.79</v>
      </c>
      <c r="D29" s="10">
        <v>178.95</v>
      </c>
      <c r="E29" s="10">
        <f>2147*$G$5</f>
        <v>2195.3074999999999</v>
      </c>
      <c r="F29" s="10">
        <f t="shared" si="5"/>
        <v>3392.0474999999997</v>
      </c>
      <c r="H29" s="10">
        <v>742.29</v>
      </c>
      <c r="I29" s="10">
        <f t="shared" si="6"/>
        <v>178.95</v>
      </c>
      <c r="J29" s="10">
        <f t="shared" si="6"/>
        <v>2195.3074999999999</v>
      </c>
      <c r="K29" s="10">
        <f t="shared" si="7"/>
        <v>3116.5474999999997</v>
      </c>
      <c r="L29" s="34">
        <f t="shared" si="9"/>
        <v>46937.664999999994</v>
      </c>
      <c r="M29" s="10">
        <v>45785.470769783002</v>
      </c>
    </row>
    <row r="30" spans="1:13" s="1" customFormat="1" x14ac:dyDescent="0.25">
      <c r="B30" s="24">
        <v>22</v>
      </c>
      <c r="C30" s="10">
        <f t="shared" si="8"/>
        <v>1017.79</v>
      </c>
      <c r="D30" s="10">
        <v>178.95</v>
      </c>
      <c r="E30" s="10">
        <f>2078.83*$G$5</f>
        <v>2125.6036749999998</v>
      </c>
      <c r="F30" s="10">
        <f t="shared" si="5"/>
        <v>3322.3436750000001</v>
      </c>
      <c r="H30" s="10">
        <v>742.29</v>
      </c>
      <c r="I30" s="10">
        <f t="shared" si="6"/>
        <v>178.95</v>
      </c>
      <c r="J30" s="10">
        <f t="shared" si="6"/>
        <v>2125.6036749999998</v>
      </c>
      <c r="K30" s="10">
        <f t="shared" si="7"/>
        <v>3046.8436750000001</v>
      </c>
      <c r="L30" s="34">
        <f t="shared" si="9"/>
        <v>45961.811449999994</v>
      </c>
      <c r="M30" s="10">
        <v>44833.354895639997</v>
      </c>
    </row>
    <row r="31" spans="1:13" s="1" customFormat="1" x14ac:dyDescent="0.25">
      <c r="B31" s="24">
        <v>21</v>
      </c>
      <c r="C31" s="10">
        <f t="shared" si="8"/>
        <v>1017.79</v>
      </c>
      <c r="D31" s="10">
        <v>178.95</v>
      </c>
      <c r="E31" s="10">
        <f>2005.31*$G$5</f>
        <v>2050.4294749999999</v>
      </c>
      <c r="F31" s="10">
        <f t="shared" si="5"/>
        <v>3247.1694749999997</v>
      </c>
      <c r="H31" s="10">
        <v>742.29</v>
      </c>
      <c r="I31" s="10">
        <f t="shared" si="6"/>
        <v>178.95</v>
      </c>
      <c r="J31" s="10">
        <f t="shared" si="6"/>
        <v>2050.4294749999999</v>
      </c>
      <c r="K31" s="10">
        <f t="shared" si="7"/>
        <v>2971.6694749999997</v>
      </c>
      <c r="L31" s="34">
        <f t="shared" si="9"/>
        <v>44909.372650000005</v>
      </c>
      <c r="M31" s="10">
        <v>43806.7387773675</v>
      </c>
    </row>
    <row r="32" spans="1:13" s="1" customFormat="1" x14ac:dyDescent="0.25">
      <c r="B32" s="24">
        <v>20</v>
      </c>
      <c r="C32" s="10">
        <f t="shared" si="8"/>
        <v>1017.79</v>
      </c>
      <c r="D32" s="10">
        <v>178.95</v>
      </c>
      <c r="E32" s="10">
        <f>1933.99*$G$5</f>
        <v>1977.5047749999999</v>
      </c>
      <c r="F32" s="10">
        <f t="shared" si="5"/>
        <v>3174.2447750000001</v>
      </c>
      <c r="H32" s="10">
        <v>742.29</v>
      </c>
      <c r="I32" s="10">
        <f t="shared" si="6"/>
        <v>178.95</v>
      </c>
      <c r="J32" s="10">
        <f t="shared" si="6"/>
        <v>1977.5047749999999</v>
      </c>
      <c r="K32" s="10">
        <f t="shared" si="7"/>
        <v>2898.7447750000001</v>
      </c>
      <c r="L32" s="34">
        <f t="shared" si="9"/>
        <v>43888.426850000003</v>
      </c>
      <c r="M32" s="10">
        <v>42810.693923783998</v>
      </c>
    </row>
    <row r="33" spans="1:13" s="1" customFormat="1" x14ac:dyDescent="0.25">
      <c r="B33" s="24">
        <v>19</v>
      </c>
      <c r="C33" s="10">
        <f t="shared" si="8"/>
        <v>1017.79</v>
      </c>
      <c r="D33" s="10">
        <v>178.95</v>
      </c>
      <c r="E33" s="10">
        <f>1887.43*$G$5</f>
        <v>1929.8971750000001</v>
      </c>
      <c r="F33" s="10">
        <f t="shared" si="5"/>
        <v>3126.6371749999998</v>
      </c>
      <c r="H33" s="10">
        <v>742.29</v>
      </c>
      <c r="I33" s="10">
        <f t="shared" si="6"/>
        <v>178.95</v>
      </c>
      <c r="J33" s="10">
        <f t="shared" si="6"/>
        <v>1929.8971750000001</v>
      </c>
      <c r="K33" s="10">
        <f t="shared" si="7"/>
        <v>2851.1371749999998</v>
      </c>
      <c r="L33" s="34">
        <f t="shared" si="9"/>
        <v>43221.920449999991</v>
      </c>
      <c r="M33" s="10">
        <v>42160.434861344991</v>
      </c>
    </row>
    <row r="34" spans="1:13" s="1" customFormat="1" x14ac:dyDescent="0.25">
      <c r="B34" s="98">
        <v>18</v>
      </c>
      <c r="C34" s="65">
        <f t="shared" si="8"/>
        <v>1017.79</v>
      </c>
      <c r="D34" s="65">
        <v>178.95</v>
      </c>
      <c r="E34" s="65">
        <f>1744.09*$G$5</f>
        <v>1783.3320249999999</v>
      </c>
      <c r="F34" s="65">
        <f t="shared" si="5"/>
        <v>2980.0720249999999</v>
      </c>
      <c r="G34" s="69"/>
      <c r="H34" s="65">
        <v>742.29</v>
      </c>
      <c r="I34" s="65">
        <f t="shared" si="6"/>
        <v>178.95</v>
      </c>
      <c r="J34" s="65">
        <f t="shared" si="6"/>
        <v>1783.3320249999999</v>
      </c>
      <c r="K34" s="65">
        <f t="shared" si="7"/>
        <v>2704.5720249999999</v>
      </c>
      <c r="L34" s="66">
        <f t="shared" si="9"/>
        <v>41170.008350000004</v>
      </c>
      <c r="M34" s="10">
        <v>40158.705566212993</v>
      </c>
    </row>
    <row r="35" spans="1:13" s="1" customFormat="1" x14ac:dyDescent="0.25">
      <c r="B35" s="24">
        <v>17</v>
      </c>
      <c r="C35" s="10">
        <f t="shared" si="8"/>
        <v>1017.79</v>
      </c>
      <c r="D35" s="10">
        <v>178.95</v>
      </c>
      <c r="E35" s="10">
        <f>1654.52*$G$5</f>
        <v>1691.7466999999999</v>
      </c>
      <c r="F35" s="10">
        <f t="shared" si="5"/>
        <v>2888.4866999999999</v>
      </c>
      <c r="H35" s="10">
        <v>742.29</v>
      </c>
      <c r="I35" s="10">
        <f t="shared" si="6"/>
        <v>178.95</v>
      </c>
      <c r="J35" s="10">
        <f t="shared" si="6"/>
        <v>1691.7466999999999</v>
      </c>
      <c r="K35" s="10">
        <f t="shared" si="7"/>
        <v>2612.9866999999999</v>
      </c>
      <c r="L35" s="34">
        <f t="shared" si="9"/>
        <v>39887.813800000004</v>
      </c>
      <c r="M35" s="10">
        <v>38907.762465154992</v>
      </c>
    </row>
    <row r="36" spans="1:13" s="1" customFormat="1" x14ac:dyDescent="0.25">
      <c r="B36" s="24">
        <v>16</v>
      </c>
      <c r="C36" s="10">
        <f t="shared" si="8"/>
        <v>1017.79</v>
      </c>
      <c r="D36" s="10">
        <v>178.95</v>
      </c>
      <c r="E36" s="10">
        <f>1557.99*$G$5</f>
        <v>1593.0447749999998</v>
      </c>
      <c r="F36" s="10">
        <f t="shared" si="5"/>
        <v>2789.7847750000001</v>
      </c>
      <c r="H36" s="10">
        <v>742.29</v>
      </c>
      <c r="I36" s="10">
        <f t="shared" si="6"/>
        <v>178.95</v>
      </c>
      <c r="J36" s="10">
        <f t="shared" si="6"/>
        <v>1593.0447749999998</v>
      </c>
      <c r="K36" s="10">
        <f t="shared" si="7"/>
        <v>2514.2847750000001</v>
      </c>
      <c r="L36" s="34">
        <f t="shared" si="9"/>
        <v>38505.986850000001</v>
      </c>
      <c r="M36" s="10">
        <v>37559.73494244949</v>
      </c>
    </row>
    <row r="37" spans="1:13" x14ac:dyDescent="0.25">
      <c r="L37" s="83"/>
    </row>
    <row r="38" spans="1:13" x14ac:dyDescent="0.25">
      <c r="A38" s="30" t="s">
        <v>69</v>
      </c>
      <c r="L38" s="83"/>
    </row>
    <row r="39" spans="1:13" x14ac:dyDescent="0.25">
      <c r="A39" s="18"/>
      <c r="B39" s="52"/>
      <c r="C39" s="27" t="s">
        <v>57</v>
      </c>
      <c r="D39" s="27" t="s">
        <v>58</v>
      </c>
      <c r="E39" s="27" t="s">
        <v>59</v>
      </c>
      <c r="F39" s="27" t="s">
        <v>50</v>
      </c>
      <c r="G39" s="48"/>
      <c r="H39" s="27" t="s">
        <v>57</v>
      </c>
      <c r="I39" s="27" t="s">
        <v>58</v>
      </c>
      <c r="J39" s="27" t="s">
        <v>59</v>
      </c>
      <c r="K39" s="27" t="s">
        <v>50</v>
      </c>
      <c r="L39" s="92" t="s">
        <v>108</v>
      </c>
      <c r="M39" s="27"/>
    </row>
    <row r="40" spans="1:13" x14ac:dyDescent="0.25">
      <c r="A40" s="32" t="s">
        <v>70</v>
      </c>
      <c r="B40" s="44" t="s">
        <v>61</v>
      </c>
      <c r="C40" s="28" t="s">
        <v>62</v>
      </c>
      <c r="D40" s="28" t="s">
        <v>63</v>
      </c>
      <c r="E40" s="28" t="s">
        <v>64</v>
      </c>
      <c r="F40" s="28" t="s">
        <v>65</v>
      </c>
      <c r="G40" s="48"/>
      <c r="H40" s="28" t="s">
        <v>62</v>
      </c>
      <c r="I40" s="28" t="s">
        <v>63</v>
      </c>
      <c r="J40" s="28" t="s">
        <v>64</v>
      </c>
      <c r="K40" s="28" t="s">
        <v>65</v>
      </c>
      <c r="L40" s="93" t="s">
        <v>103</v>
      </c>
      <c r="M40" s="28" t="s">
        <v>66</v>
      </c>
    </row>
    <row r="41" spans="1:13" s="1" customFormat="1" x14ac:dyDescent="0.25">
      <c r="B41" s="24">
        <v>21</v>
      </c>
      <c r="C41" s="10">
        <f>9170.28/12</f>
        <v>764.19</v>
      </c>
      <c r="D41" s="10">
        <f>ROUND('2017_2018_LABORALS'!D39,2)*1.0025*1.0225</f>
        <v>143.64113231249999</v>
      </c>
      <c r="E41" s="10">
        <f>2433.3*$G$5</f>
        <v>2488.04925</v>
      </c>
      <c r="F41" s="10">
        <f t="shared" ref="F41:F49" si="10">SUM(C41:E41)</f>
        <v>3395.8803823124999</v>
      </c>
      <c r="H41" s="10">
        <v>660.48</v>
      </c>
      <c r="I41" s="10">
        <f t="shared" ref="I41:J49" si="11">D41</f>
        <v>143.64113231249999</v>
      </c>
      <c r="J41" s="10">
        <f t="shared" si="11"/>
        <v>2488.04925</v>
      </c>
      <c r="K41" s="10">
        <f t="shared" ref="K41:K49" si="12">SUM(H41:J41)</f>
        <v>3292.1703823124999</v>
      </c>
      <c r="L41" s="34">
        <f>F41*12+K41+K41</f>
        <v>47334.905352374997</v>
      </c>
      <c r="M41" s="10">
        <v>46173.919466295498</v>
      </c>
    </row>
    <row r="42" spans="1:13" s="1" customFormat="1" x14ac:dyDescent="0.25">
      <c r="B42" s="24">
        <v>20</v>
      </c>
      <c r="C42" s="10">
        <f t="shared" ref="C42:C49" si="13">9170.28/12</f>
        <v>764.19</v>
      </c>
      <c r="D42" s="10">
        <f>ROUND('2017_2018_LABORALS'!D40,2)*1.0025*1.0225</f>
        <v>143.64113231249999</v>
      </c>
      <c r="E42" s="10">
        <f>2358.17*$G$5</f>
        <v>2411.2288250000001</v>
      </c>
      <c r="F42" s="10">
        <f t="shared" si="10"/>
        <v>3319.0599573125</v>
      </c>
      <c r="H42" s="10">
        <v>660.48</v>
      </c>
      <c r="I42" s="10">
        <f t="shared" si="11"/>
        <v>143.64113231249999</v>
      </c>
      <c r="J42" s="10">
        <f t="shared" si="11"/>
        <v>2411.2288250000001</v>
      </c>
      <c r="K42" s="10">
        <f t="shared" si="12"/>
        <v>3215.3499573125</v>
      </c>
      <c r="L42" s="34">
        <f t="shared" ref="L42:L49" si="14">F42*12+K42+K42</f>
        <v>46259.419402375002</v>
      </c>
      <c r="M42" s="10">
        <v>45124.856878904488</v>
      </c>
    </row>
    <row r="43" spans="1:13" s="1" customFormat="1" x14ac:dyDescent="0.25">
      <c r="B43" s="24">
        <v>19</v>
      </c>
      <c r="C43" s="10">
        <f t="shared" si="13"/>
        <v>764.19</v>
      </c>
      <c r="D43" s="10">
        <f>ROUND('2017_2018_LABORALS'!D41,2)*1.0025*1.0225</f>
        <v>143.64113231249999</v>
      </c>
      <c r="E43" s="10">
        <f>2209.63*$G$5</f>
        <v>2259.3466750000002</v>
      </c>
      <c r="F43" s="10">
        <f t="shared" si="10"/>
        <v>3167.1778073125001</v>
      </c>
      <c r="H43" s="10">
        <v>660.48</v>
      </c>
      <c r="I43" s="10">
        <f t="shared" si="11"/>
        <v>143.64113231249999</v>
      </c>
      <c r="J43" s="10">
        <f t="shared" si="11"/>
        <v>2259.3466750000002</v>
      </c>
      <c r="K43" s="10">
        <f t="shared" si="12"/>
        <v>3063.4678073125001</v>
      </c>
      <c r="L43" s="34">
        <f t="shared" si="14"/>
        <v>44133.069302375006</v>
      </c>
      <c r="M43" s="10">
        <v>43050.417548836493</v>
      </c>
    </row>
    <row r="44" spans="1:13" s="1" customFormat="1" x14ac:dyDescent="0.25">
      <c r="B44" s="98">
        <v>18</v>
      </c>
      <c r="C44" s="65">
        <f t="shared" si="13"/>
        <v>764.19</v>
      </c>
      <c r="D44" s="65">
        <f>ROUND('2017_2018_LABORALS'!D42,2)*1.0025*1.0225</f>
        <v>143.64113231249999</v>
      </c>
      <c r="E44" s="65">
        <f>1981.66*$G$5</f>
        <v>2026.2473500000001</v>
      </c>
      <c r="F44" s="65">
        <f t="shared" si="10"/>
        <v>2934.0784823125</v>
      </c>
      <c r="G44" s="69"/>
      <c r="H44" s="65">
        <v>660.48</v>
      </c>
      <c r="I44" s="65">
        <f t="shared" si="11"/>
        <v>143.64113231249999</v>
      </c>
      <c r="J44" s="65">
        <f t="shared" si="11"/>
        <v>2026.2473500000001</v>
      </c>
      <c r="K44" s="65">
        <f t="shared" si="12"/>
        <v>2830.3684823125</v>
      </c>
      <c r="L44" s="66">
        <f t="shared" si="14"/>
        <v>40869.678752375003</v>
      </c>
      <c r="M44" s="10">
        <v>39866.874769195492</v>
      </c>
    </row>
    <row r="45" spans="1:13" s="1" customFormat="1" x14ac:dyDescent="0.25">
      <c r="B45" s="24">
        <v>17</v>
      </c>
      <c r="C45" s="10">
        <f t="shared" si="13"/>
        <v>764.19</v>
      </c>
      <c r="D45" s="10">
        <f>ROUND('2017_2018_LABORALS'!D43,2)*1.0025*1.0225</f>
        <v>143.64113231249999</v>
      </c>
      <c r="E45" s="10">
        <f>1838.1*$G$5</f>
        <v>1879.4572499999999</v>
      </c>
      <c r="F45" s="10">
        <f t="shared" si="10"/>
        <v>2787.2883823124998</v>
      </c>
      <c r="H45" s="10">
        <v>660.48</v>
      </c>
      <c r="I45" s="10">
        <f t="shared" si="11"/>
        <v>143.64113231249999</v>
      </c>
      <c r="J45" s="10">
        <f t="shared" si="11"/>
        <v>1879.4572499999999</v>
      </c>
      <c r="K45" s="10">
        <f t="shared" si="12"/>
        <v>2683.5783823124998</v>
      </c>
      <c r="L45" s="34">
        <f t="shared" si="14"/>
        <v>38814.617352375004</v>
      </c>
      <c r="M45" s="10">
        <v>37861.978180874998</v>
      </c>
    </row>
    <row r="46" spans="1:13" s="1" customFormat="1" x14ac:dyDescent="0.25">
      <c r="B46" s="24">
        <v>16</v>
      </c>
      <c r="C46" s="10">
        <f t="shared" si="13"/>
        <v>764.19</v>
      </c>
      <c r="D46" s="10">
        <f>ROUND('2017_2018_LABORALS'!D44,2)*1.0025*1.0225</f>
        <v>143.64113231249999</v>
      </c>
      <c r="E46" s="10">
        <f>1650.82*$G$5</f>
        <v>1687.96345</v>
      </c>
      <c r="F46" s="10">
        <f t="shared" si="10"/>
        <v>2595.7945823125001</v>
      </c>
      <c r="H46" s="10">
        <v>660.48</v>
      </c>
      <c r="I46" s="10">
        <f t="shared" si="11"/>
        <v>143.64113231249999</v>
      </c>
      <c r="J46" s="10">
        <f t="shared" si="11"/>
        <v>1687.96345</v>
      </c>
      <c r="K46" s="10">
        <f t="shared" si="12"/>
        <v>2492.0845823125001</v>
      </c>
      <c r="L46" s="34">
        <f t="shared" si="14"/>
        <v>36133.704152375001</v>
      </c>
      <c r="M46" s="10">
        <v>35246.482549171495</v>
      </c>
    </row>
    <row r="47" spans="1:13" s="1" customFormat="1" x14ac:dyDescent="0.25">
      <c r="B47" s="98">
        <v>15</v>
      </c>
      <c r="C47" s="65">
        <f t="shared" si="13"/>
        <v>764.19</v>
      </c>
      <c r="D47" s="65">
        <f>ROUND('2017_2018_LABORALS'!D45,2)*1.0025*1.0225</f>
        <v>143.64113231249999</v>
      </c>
      <c r="E47" s="65">
        <f>1510.91*$G$5</f>
        <v>1544.905475</v>
      </c>
      <c r="F47" s="65">
        <f t="shared" si="10"/>
        <v>2452.7366073124999</v>
      </c>
      <c r="G47" s="69"/>
      <c r="H47" s="65">
        <v>660.48</v>
      </c>
      <c r="I47" s="65">
        <f t="shared" si="11"/>
        <v>143.64113231249999</v>
      </c>
      <c r="J47" s="65">
        <f t="shared" si="11"/>
        <v>1544.905475</v>
      </c>
      <c r="K47" s="65">
        <f t="shared" si="12"/>
        <v>2349.0266073124999</v>
      </c>
      <c r="L47" s="66">
        <f t="shared" si="14"/>
        <v>34130.892502374998</v>
      </c>
      <c r="M47" s="10">
        <v>33292.675777065495</v>
      </c>
    </row>
    <row r="48" spans="1:13" s="1" customFormat="1" x14ac:dyDescent="0.25">
      <c r="B48" s="24">
        <v>14</v>
      </c>
      <c r="C48" s="10">
        <f t="shared" si="13"/>
        <v>764.19</v>
      </c>
      <c r="D48" s="10">
        <f>ROUND('2017_2018_LABORALS'!D46,2)*1.0025*1.0225</f>
        <v>143.64113231249999</v>
      </c>
      <c r="E48" s="10">
        <f>1420.55*$G$5</f>
        <v>1452.5123749999998</v>
      </c>
      <c r="F48" s="10">
        <f t="shared" si="10"/>
        <v>2360.3435073124997</v>
      </c>
      <c r="H48" s="10">
        <v>660.48</v>
      </c>
      <c r="I48" s="10">
        <f t="shared" si="11"/>
        <v>143.64113231249999</v>
      </c>
      <c r="J48" s="10">
        <f t="shared" si="11"/>
        <v>1452.5123749999998</v>
      </c>
      <c r="K48" s="10">
        <f t="shared" si="12"/>
        <v>2256.6335073124997</v>
      </c>
      <c r="L48" s="34">
        <f t="shared" si="14"/>
        <v>32837.389102374997</v>
      </c>
      <c r="M48" s="10">
        <v>32030.853712446995</v>
      </c>
    </row>
    <row r="49" spans="1:13" s="1" customFormat="1" x14ac:dyDescent="0.25">
      <c r="B49" s="24">
        <v>13</v>
      </c>
      <c r="C49" s="10">
        <f t="shared" si="13"/>
        <v>764.19</v>
      </c>
      <c r="D49" s="10">
        <f>ROUND('2017_2018_LABORALS'!D47,2)*1.0025*1.0225</f>
        <v>143.64113231249999</v>
      </c>
      <c r="E49" s="10">
        <f>1324.8*$G$5</f>
        <v>1354.6079999999999</v>
      </c>
      <c r="F49" s="10">
        <f t="shared" si="10"/>
        <v>2262.4391323125001</v>
      </c>
      <c r="H49" s="10">
        <v>660.48</v>
      </c>
      <c r="I49" s="10">
        <f t="shared" si="11"/>
        <v>143.64113231249999</v>
      </c>
      <c r="J49" s="10">
        <f t="shared" si="11"/>
        <v>1354.6079999999999</v>
      </c>
      <c r="K49" s="10">
        <f t="shared" si="12"/>
        <v>2158.7291323125</v>
      </c>
      <c r="L49" s="34">
        <f t="shared" si="14"/>
        <v>31466.727852374999</v>
      </c>
      <c r="M49" s="10">
        <v>30693.705153301995</v>
      </c>
    </row>
    <row r="50" spans="1:13" s="1" customFormat="1" x14ac:dyDescent="0.25">
      <c r="B50" s="4"/>
      <c r="L50" s="95"/>
    </row>
    <row r="51" spans="1:13" x14ac:dyDescent="0.25">
      <c r="A51" s="30" t="s">
        <v>71</v>
      </c>
      <c r="L51" s="95"/>
    </row>
    <row r="52" spans="1:13" x14ac:dyDescent="0.25">
      <c r="A52" s="30" t="s">
        <v>72</v>
      </c>
      <c r="L52" s="95"/>
    </row>
    <row r="53" spans="1:13" x14ac:dyDescent="0.25">
      <c r="A53" s="30" t="s">
        <v>73</v>
      </c>
      <c r="B53" s="52"/>
      <c r="C53" s="27" t="s">
        <v>57</v>
      </c>
      <c r="D53" s="27" t="s">
        <v>58</v>
      </c>
      <c r="E53" s="27" t="s">
        <v>59</v>
      </c>
      <c r="F53" s="27" t="s">
        <v>50</v>
      </c>
      <c r="G53" s="48"/>
      <c r="H53" s="27" t="s">
        <v>57</v>
      </c>
      <c r="I53" s="27" t="s">
        <v>58</v>
      </c>
      <c r="J53" s="27" t="s">
        <v>59</v>
      </c>
      <c r="K53" s="27" t="s">
        <v>50</v>
      </c>
      <c r="L53" s="92" t="s">
        <v>108</v>
      </c>
      <c r="M53" s="48"/>
    </row>
    <row r="54" spans="1:13" x14ac:dyDescent="0.25">
      <c r="A54" s="33" t="s">
        <v>94</v>
      </c>
      <c r="B54" s="44" t="s">
        <v>61</v>
      </c>
      <c r="C54" s="28" t="s">
        <v>62</v>
      </c>
      <c r="D54" s="28" t="s">
        <v>63</v>
      </c>
      <c r="E54" s="28" t="s">
        <v>64</v>
      </c>
      <c r="F54" s="28" t="s">
        <v>65</v>
      </c>
      <c r="G54" s="48"/>
      <c r="H54" s="28" t="s">
        <v>62</v>
      </c>
      <c r="I54" s="28" t="s">
        <v>63</v>
      </c>
      <c r="J54" s="28" t="s">
        <v>64</v>
      </c>
      <c r="K54" s="28" t="s">
        <v>65</v>
      </c>
      <c r="L54" s="93" t="s">
        <v>103</v>
      </c>
      <c r="M54" s="48" t="s">
        <v>66</v>
      </c>
    </row>
    <row r="55" spans="1:13" s="1" customFormat="1" x14ac:dyDescent="0.25">
      <c r="A55" s="49" t="s">
        <v>93</v>
      </c>
      <c r="B55" s="24">
        <v>18</v>
      </c>
      <c r="C55" s="10">
        <f>7632.12/12</f>
        <v>636.01</v>
      </c>
      <c r="D55" s="10">
        <f>ROUND('2017_2018_LABORALS'!D53,2)*1.0025*1.0225</f>
        <v>127.70150762499999</v>
      </c>
      <c r="E55" s="10">
        <f>1800.33*$G$5</f>
        <v>1840.8374249999999</v>
      </c>
      <c r="F55" s="15">
        <f>C55+D55+E55</f>
        <v>2604.5489326249999</v>
      </c>
      <c r="H55" s="10">
        <v>630.21</v>
      </c>
      <c r="I55" s="10">
        <f t="shared" ref="I55:J62" si="15">D55</f>
        <v>127.70150762499999</v>
      </c>
      <c r="J55" s="10">
        <f t="shared" si="15"/>
        <v>1840.8374249999999</v>
      </c>
      <c r="K55" s="10">
        <f t="shared" ref="K55:K62" si="16">SUM(H55:J55)</f>
        <v>2598.7489326249997</v>
      </c>
      <c r="L55" s="34">
        <f>F55*12+K55+K55</f>
        <v>36452.085056749995</v>
      </c>
      <c r="M55" s="10">
        <v>35487.819514392497</v>
      </c>
    </row>
    <row r="56" spans="1:13" s="1" customFormat="1" x14ac:dyDescent="0.25">
      <c r="A56" s="50" t="s">
        <v>96</v>
      </c>
      <c r="B56" s="98">
        <v>17</v>
      </c>
      <c r="C56" s="65">
        <f t="shared" ref="C56:C63" si="17">7632.12/12</f>
        <v>636.01</v>
      </c>
      <c r="D56" s="65">
        <f>ROUND('2017_2018_LABORALS'!D54,2)*1.0025*1.0225</f>
        <v>127.70150762499999</v>
      </c>
      <c r="E56" s="65">
        <f>1658.85*$G$5</f>
        <v>1696.1741249999998</v>
      </c>
      <c r="F56" s="99">
        <f t="shared" ref="F56:F63" si="18">C56+D56+E56</f>
        <v>2459.8856326249997</v>
      </c>
      <c r="G56" s="69"/>
      <c r="H56" s="65">
        <v>630.21</v>
      </c>
      <c r="I56" s="65">
        <f t="shared" si="15"/>
        <v>127.70150762499999</v>
      </c>
      <c r="J56" s="65">
        <f t="shared" si="15"/>
        <v>1696.1741249999998</v>
      </c>
      <c r="K56" s="65">
        <f t="shared" si="16"/>
        <v>2454.0856326249996</v>
      </c>
      <c r="L56" s="66">
        <f t="shared" ref="L56:L63" si="19">F56*12+K56+K56</f>
        <v>34426.79885675</v>
      </c>
      <c r="M56" s="10">
        <v>33581.797556912999</v>
      </c>
    </row>
    <row r="57" spans="1:13" s="1" customFormat="1" x14ac:dyDescent="0.25">
      <c r="A57" s="49" t="s">
        <v>95</v>
      </c>
      <c r="B57" s="24">
        <v>16</v>
      </c>
      <c r="C57" s="10">
        <f t="shared" si="17"/>
        <v>636.01</v>
      </c>
      <c r="D57" s="10">
        <f>ROUND('2017_2018_LABORALS'!D55,2)*1.0025*1.0225</f>
        <v>127.70150762499999</v>
      </c>
      <c r="E57" s="10">
        <f>1607.67*$G$5</f>
        <v>1643.8425750000001</v>
      </c>
      <c r="F57" s="15">
        <f t="shared" si="18"/>
        <v>2407.5540826249999</v>
      </c>
      <c r="H57" s="10">
        <v>630.21</v>
      </c>
      <c r="I57" s="10">
        <f t="shared" si="15"/>
        <v>127.70150762499999</v>
      </c>
      <c r="J57" s="10">
        <f t="shared" si="15"/>
        <v>1643.8425750000001</v>
      </c>
      <c r="K57" s="10">
        <f t="shared" si="16"/>
        <v>2401.7540826250001</v>
      </c>
      <c r="L57" s="34">
        <f t="shared" si="19"/>
        <v>33694.15715675</v>
      </c>
      <c r="M57" s="10">
        <v>32801.954890544497</v>
      </c>
    </row>
    <row r="58" spans="1:13" s="1" customFormat="1" x14ac:dyDescent="0.25">
      <c r="A58" s="51" t="s">
        <v>77</v>
      </c>
      <c r="B58" s="24">
        <v>15</v>
      </c>
      <c r="C58" s="10">
        <f t="shared" si="17"/>
        <v>636.01</v>
      </c>
      <c r="D58" s="10">
        <f>ROUND('2017_2018_LABORALS'!D56,2)*1.0025*1.0225</f>
        <v>127.70150762499999</v>
      </c>
      <c r="E58" s="10">
        <f>1511.34*$G$5</f>
        <v>1545.3451499999999</v>
      </c>
      <c r="F58" s="15">
        <f t="shared" si="18"/>
        <v>2309.0566576249998</v>
      </c>
      <c r="H58" s="10">
        <v>630.21</v>
      </c>
      <c r="I58" s="10">
        <f t="shared" si="15"/>
        <v>127.70150762499999</v>
      </c>
      <c r="J58" s="10">
        <f t="shared" si="15"/>
        <v>1545.3451499999999</v>
      </c>
      <c r="K58" s="10">
        <f t="shared" si="16"/>
        <v>2303.2566576250001</v>
      </c>
      <c r="L58" s="34">
        <f t="shared" si="19"/>
        <v>32315.193206749995</v>
      </c>
      <c r="M58" s="10">
        <v>32296.289647580496</v>
      </c>
    </row>
    <row r="59" spans="1:13" s="1" customFormat="1" x14ac:dyDescent="0.25">
      <c r="B59" s="98">
        <v>14</v>
      </c>
      <c r="C59" s="65">
        <f t="shared" si="17"/>
        <v>636.01</v>
      </c>
      <c r="D59" s="65">
        <f>ROUND('2017_2018_LABORALS'!D57,2)*1.0025*1.0225</f>
        <v>127.70150762499999</v>
      </c>
      <c r="E59" s="65">
        <f>1415.01*$G$5</f>
        <v>1446.8477249999999</v>
      </c>
      <c r="F59" s="99">
        <f t="shared" si="18"/>
        <v>2210.5592326249998</v>
      </c>
      <c r="G59" s="69"/>
      <c r="H59" s="65">
        <v>630.21</v>
      </c>
      <c r="I59" s="65">
        <f t="shared" si="15"/>
        <v>127.70150762499999</v>
      </c>
      <c r="J59" s="65">
        <f t="shared" si="15"/>
        <v>1446.8477249999999</v>
      </c>
      <c r="K59" s="65">
        <f t="shared" si="16"/>
        <v>2204.7592326249996</v>
      </c>
      <c r="L59" s="66">
        <f t="shared" si="19"/>
        <v>30936.229256749997</v>
      </c>
      <c r="M59" s="10">
        <v>30979.108806362994</v>
      </c>
    </row>
    <row r="60" spans="1:13" s="1" customFormat="1" x14ac:dyDescent="0.25">
      <c r="B60" s="24">
        <v>13</v>
      </c>
      <c r="C60" s="10">
        <f t="shared" si="17"/>
        <v>636.01</v>
      </c>
      <c r="D60" s="10">
        <f>ROUND('2017_2018_LABORALS'!D58,2)*1.0025*1.0225</f>
        <v>127.70150762499999</v>
      </c>
      <c r="E60" s="10">
        <f>1318.68*$G$5</f>
        <v>1348.3503000000001</v>
      </c>
      <c r="F60" s="15">
        <f t="shared" si="18"/>
        <v>2112.0618076250003</v>
      </c>
      <c r="H60" s="10">
        <v>630.21</v>
      </c>
      <c r="I60" s="10">
        <f t="shared" si="15"/>
        <v>127.70150762499999</v>
      </c>
      <c r="J60" s="10">
        <f t="shared" si="15"/>
        <v>1348.3503000000001</v>
      </c>
      <c r="K60" s="10">
        <f t="shared" si="16"/>
        <v>2106.2618076250001</v>
      </c>
      <c r="L60" s="34">
        <f t="shared" si="19"/>
        <v>29557.265306750003</v>
      </c>
      <c r="M60" s="10">
        <v>30358.319341416998</v>
      </c>
    </row>
    <row r="61" spans="1:13" s="1" customFormat="1" x14ac:dyDescent="0.25">
      <c r="B61" s="24">
        <v>12</v>
      </c>
      <c r="C61" s="10">
        <f t="shared" si="17"/>
        <v>636.01</v>
      </c>
      <c r="D61" s="10">
        <f>ROUND('2017_2018_LABORALS'!D59,2)*1.0025*1.0225</f>
        <v>127.70150762499999</v>
      </c>
      <c r="E61" s="10">
        <f>1239.15*$G$5</f>
        <v>1267.0308750000002</v>
      </c>
      <c r="F61" s="15">
        <f t="shared" si="18"/>
        <v>2030.7423826250001</v>
      </c>
      <c r="H61" s="10">
        <v>630.21</v>
      </c>
      <c r="I61" s="10">
        <f t="shared" si="15"/>
        <v>127.70150762499999</v>
      </c>
      <c r="J61" s="10">
        <f t="shared" si="15"/>
        <v>1267.0308750000002</v>
      </c>
      <c r="K61" s="10">
        <f t="shared" si="16"/>
        <v>2024.9423826250002</v>
      </c>
      <c r="L61" s="34">
        <f t="shared" si="19"/>
        <v>28418.79335675</v>
      </c>
      <c r="M61" s="10">
        <v>27720.652657393995</v>
      </c>
    </row>
    <row r="62" spans="1:13" s="1" customFormat="1" x14ac:dyDescent="0.25">
      <c r="B62" s="98">
        <v>11</v>
      </c>
      <c r="C62" s="65">
        <f t="shared" si="17"/>
        <v>636.01</v>
      </c>
      <c r="D62" s="65">
        <f>ROUND('2017_2018_LABORALS'!D60,2)*1.0025*1.0225</f>
        <v>127.70150762499999</v>
      </c>
      <c r="E62" s="65">
        <f>1233.7*$G$5</f>
        <v>1261.4582499999999</v>
      </c>
      <c r="F62" s="99">
        <f t="shared" si="18"/>
        <v>2025.1697576249999</v>
      </c>
      <c r="G62" s="69"/>
      <c r="H62" s="65">
        <v>630.21</v>
      </c>
      <c r="I62" s="65">
        <f t="shared" si="15"/>
        <v>127.70150762499999</v>
      </c>
      <c r="J62" s="65">
        <f t="shared" si="15"/>
        <v>1261.4582499999999</v>
      </c>
      <c r="K62" s="65">
        <f t="shared" si="16"/>
        <v>2019.3697576249999</v>
      </c>
      <c r="L62" s="66">
        <f t="shared" si="19"/>
        <v>28340.776606750002</v>
      </c>
      <c r="M62" s="10">
        <v>27644.362204071</v>
      </c>
    </row>
    <row r="63" spans="1:13" s="1" customFormat="1" x14ac:dyDescent="0.25">
      <c r="B63" s="82">
        <v>10</v>
      </c>
      <c r="C63" s="10">
        <f t="shared" si="17"/>
        <v>636.01</v>
      </c>
      <c r="D63" s="10">
        <v>127.7</v>
      </c>
      <c r="E63" s="10">
        <f>1029.69*$G$5</f>
        <v>1052.858025</v>
      </c>
      <c r="F63" s="15">
        <f t="shared" si="18"/>
        <v>1816.568025</v>
      </c>
      <c r="H63" s="10">
        <v>630.21</v>
      </c>
      <c r="I63" s="10">
        <f t="shared" ref="I63" si="20">D63</f>
        <v>127.7</v>
      </c>
      <c r="J63" s="10">
        <f t="shared" ref="J63" si="21">E63</f>
        <v>1052.858025</v>
      </c>
      <c r="K63" s="10">
        <f t="shared" ref="K63" si="22">SUM(H63:J63)</f>
        <v>1810.7680250000001</v>
      </c>
      <c r="L63" s="34">
        <f t="shared" si="19"/>
        <v>25420.352350000001</v>
      </c>
      <c r="M63" s="81"/>
    </row>
    <row r="64" spans="1:13" s="1" customFormat="1" x14ac:dyDescent="0.25">
      <c r="B64" s="4"/>
      <c r="L64" s="94"/>
    </row>
    <row r="65" spans="1:13" x14ac:dyDescent="0.25">
      <c r="A65" s="30" t="s">
        <v>78</v>
      </c>
      <c r="L65" s="83"/>
    </row>
    <row r="66" spans="1:13" x14ac:dyDescent="0.25">
      <c r="A66" s="33" t="s">
        <v>96</v>
      </c>
      <c r="B66" s="52"/>
      <c r="C66" s="27" t="s">
        <v>57</v>
      </c>
      <c r="D66" s="27" t="s">
        <v>58</v>
      </c>
      <c r="E66" s="27" t="s">
        <v>59</v>
      </c>
      <c r="F66" s="27" t="s">
        <v>50</v>
      </c>
      <c r="G66" s="48"/>
      <c r="H66" s="27" t="s">
        <v>57</v>
      </c>
      <c r="I66" s="27" t="s">
        <v>58</v>
      </c>
      <c r="J66" s="27" t="s">
        <v>59</v>
      </c>
      <c r="K66" s="27" t="s">
        <v>50</v>
      </c>
      <c r="L66" s="92" t="s">
        <v>108</v>
      </c>
      <c r="M66" s="11"/>
    </row>
    <row r="67" spans="1:13" x14ac:dyDescent="0.25">
      <c r="A67" s="32" t="s">
        <v>95</v>
      </c>
      <c r="B67" s="44" t="s">
        <v>61</v>
      </c>
      <c r="C67" s="28" t="s">
        <v>62</v>
      </c>
      <c r="D67" s="28" t="s">
        <v>63</v>
      </c>
      <c r="E67" s="28" t="s">
        <v>64</v>
      </c>
      <c r="F67" s="28" t="s">
        <v>65</v>
      </c>
      <c r="G67" s="48"/>
      <c r="H67" s="28" t="s">
        <v>62</v>
      </c>
      <c r="I67" s="28" t="s">
        <v>63</v>
      </c>
      <c r="J67" s="28" t="s">
        <v>64</v>
      </c>
      <c r="K67" s="28" t="s">
        <v>65</v>
      </c>
      <c r="L67" s="93" t="s">
        <v>103</v>
      </c>
      <c r="M67" s="12" t="s">
        <v>66</v>
      </c>
    </row>
    <row r="68" spans="1:13" s="1" customFormat="1" x14ac:dyDescent="0.25">
      <c r="A68" s="51" t="s">
        <v>77</v>
      </c>
      <c r="B68" s="24">
        <v>14</v>
      </c>
      <c r="C68" s="10">
        <f>6985.32/12</f>
        <v>582.11</v>
      </c>
      <c r="D68" s="10">
        <f>ROUND('2017_2018_LABORALS'!D66,2)*1.0025*1.0225</f>
        <v>110.39855812499999</v>
      </c>
      <c r="E68" s="10">
        <f>1730.53*$G$5</f>
        <v>1769.4669249999999</v>
      </c>
      <c r="F68" s="10">
        <f t="shared" ref="F68:F72" si="23">SUM(C68:E68)</f>
        <v>2461.9754831250002</v>
      </c>
      <c r="H68" s="10">
        <v>582.11</v>
      </c>
      <c r="I68" s="10">
        <f t="shared" ref="I68:J72" si="24">D68</f>
        <v>110.39855812499999</v>
      </c>
      <c r="J68" s="10">
        <f t="shared" si="24"/>
        <v>1769.4669249999999</v>
      </c>
      <c r="K68" s="10">
        <f t="shared" ref="K68:K72" si="25">SUM(H68:J68)</f>
        <v>2461.9754831250002</v>
      </c>
      <c r="L68" s="34">
        <f>F68*12+K68+K68</f>
        <v>34467.656763750005</v>
      </c>
      <c r="M68" s="10">
        <v>33588.008721111997</v>
      </c>
    </row>
    <row r="69" spans="1:13" s="1" customFormat="1" x14ac:dyDescent="0.25">
      <c r="B69" s="24">
        <v>13</v>
      </c>
      <c r="C69" s="10">
        <f t="shared" ref="C69:C72" si="26">6985.32/12</f>
        <v>582.11</v>
      </c>
      <c r="D69" s="10">
        <f>ROUND('2017_2018_LABORALS'!D67,2)*1.0025*1.0225</f>
        <v>110.39855812499999</v>
      </c>
      <c r="E69" s="10">
        <f>1502.06*$G$5</f>
        <v>1535.8563499999998</v>
      </c>
      <c r="F69" s="10">
        <f t="shared" si="23"/>
        <v>2228.3649081249996</v>
      </c>
      <c r="H69" s="10">
        <v>582.11</v>
      </c>
      <c r="I69" s="10">
        <f t="shared" si="24"/>
        <v>110.39855812499999</v>
      </c>
      <c r="J69" s="10">
        <f t="shared" si="24"/>
        <v>1535.8563499999998</v>
      </c>
      <c r="K69" s="10">
        <f t="shared" si="25"/>
        <v>2228.3649081249996</v>
      </c>
      <c r="L69" s="34">
        <f t="shared" ref="L69:L72" si="27">F69*12+K69+K69</f>
        <v>31197.108713749996</v>
      </c>
      <c r="M69" s="10">
        <v>30401.955636163002</v>
      </c>
    </row>
    <row r="70" spans="1:13" s="1" customFormat="1" x14ac:dyDescent="0.25">
      <c r="B70" s="24">
        <v>12</v>
      </c>
      <c r="C70" s="10">
        <f t="shared" si="26"/>
        <v>582.11</v>
      </c>
      <c r="D70" s="10">
        <f>ROUND('2017_2018_LABORALS'!D68,2)*1.0025*1.0225</f>
        <v>110.39855812499999</v>
      </c>
      <c r="E70" s="10">
        <f>1307.46*$G$5</f>
        <v>1336.8778500000001</v>
      </c>
      <c r="F70" s="10">
        <f t="shared" si="23"/>
        <v>2029.3864081250001</v>
      </c>
      <c r="H70" s="10">
        <v>582.11</v>
      </c>
      <c r="I70" s="10">
        <f t="shared" si="24"/>
        <v>110.39855812499999</v>
      </c>
      <c r="J70" s="10">
        <f t="shared" si="24"/>
        <v>1336.8778500000001</v>
      </c>
      <c r="K70" s="10">
        <f t="shared" si="25"/>
        <v>2029.3864081250001</v>
      </c>
      <c r="L70" s="34">
        <f t="shared" si="27"/>
        <v>28411.409713749999</v>
      </c>
      <c r="M70" s="10">
        <v>27688.261839349001</v>
      </c>
    </row>
    <row r="71" spans="1:13" s="1" customFormat="1" x14ac:dyDescent="0.25">
      <c r="B71" s="98">
        <v>11</v>
      </c>
      <c r="C71" s="65">
        <f t="shared" si="26"/>
        <v>582.11</v>
      </c>
      <c r="D71" s="65">
        <f>ROUND('2017_2018_LABORALS'!D69,2)*1.0025*1.0225</f>
        <v>110.39855812499999</v>
      </c>
      <c r="E71" s="65">
        <f>1302.17*$G$5</f>
        <v>1331.4688249999999</v>
      </c>
      <c r="F71" s="65">
        <f t="shared" si="23"/>
        <v>2023.977383125</v>
      </c>
      <c r="G71" s="69"/>
      <c r="H71" s="65">
        <v>582.11</v>
      </c>
      <c r="I71" s="65">
        <f t="shared" si="24"/>
        <v>110.39855812499999</v>
      </c>
      <c r="J71" s="65">
        <f t="shared" si="24"/>
        <v>1331.4688249999999</v>
      </c>
      <c r="K71" s="65">
        <f t="shared" si="25"/>
        <v>2023.977383125</v>
      </c>
      <c r="L71" s="66">
        <f t="shared" si="27"/>
        <v>28335.683363749995</v>
      </c>
      <c r="M71" s="10">
        <v>27614.279511250999</v>
      </c>
    </row>
    <row r="72" spans="1:13" s="1" customFormat="1" x14ac:dyDescent="0.25">
      <c r="B72" s="24">
        <v>10</v>
      </c>
      <c r="C72" s="10">
        <f t="shared" si="26"/>
        <v>582.11</v>
      </c>
      <c r="D72" s="10">
        <v>110.4</v>
      </c>
      <c r="E72" s="10">
        <f>1057.47*$G$5</f>
        <v>1081.2630750000001</v>
      </c>
      <c r="F72" s="10">
        <f t="shared" si="23"/>
        <v>1773.7730750000001</v>
      </c>
      <c r="H72" s="10">
        <v>582.11</v>
      </c>
      <c r="I72" s="10">
        <f t="shared" si="24"/>
        <v>110.4</v>
      </c>
      <c r="J72" s="10">
        <f t="shared" si="24"/>
        <v>1081.2630750000001</v>
      </c>
      <c r="K72" s="10">
        <f t="shared" si="25"/>
        <v>1773.7730750000001</v>
      </c>
      <c r="L72" s="34">
        <f t="shared" si="27"/>
        <v>24832.823050000003</v>
      </c>
      <c r="M72" s="10">
        <v>24201.879006135994</v>
      </c>
    </row>
    <row r="73" spans="1:13" s="1" customFormat="1" x14ac:dyDescent="0.25">
      <c r="B73" s="4"/>
    </row>
    <row r="74" spans="1:13" x14ac:dyDescent="0.25">
      <c r="C74" s="135" t="s">
        <v>79</v>
      </c>
      <c r="D74" s="135"/>
      <c r="F74" s="35" t="s">
        <v>19</v>
      </c>
      <c r="G74" s="20"/>
      <c r="H74" s="20"/>
    </row>
    <row r="75" spans="1:13" x14ac:dyDescent="0.25">
      <c r="C75" s="38" t="s">
        <v>80</v>
      </c>
      <c r="D75" s="38" t="s">
        <v>81</v>
      </c>
    </row>
    <row r="76" spans="1:13" x14ac:dyDescent="0.25">
      <c r="B76" s="37" t="s">
        <v>35</v>
      </c>
      <c r="C76" s="38" t="s">
        <v>82</v>
      </c>
      <c r="D76" s="38" t="s">
        <v>83</v>
      </c>
      <c r="F76" s="88" t="s">
        <v>20</v>
      </c>
      <c r="G76" s="88"/>
      <c r="H76" s="88"/>
      <c r="I76" s="89"/>
      <c r="J76" s="89">
        <v>522.03</v>
      </c>
      <c r="K76" s="89"/>
    </row>
    <row r="77" spans="1:13" x14ac:dyDescent="0.25">
      <c r="B77" s="4" t="s">
        <v>37</v>
      </c>
      <c r="C77">
        <f>543.48/12</f>
        <v>45.29</v>
      </c>
      <c r="D77">
        <v>27.95</v>
      </c>
      <c r="F77" s="88" t="s">
        <v>21</v>
      </c>
      <c r="G77" s="88"/>
      <c r="H77" s="88"/>
      <c r="I77" s="89"/>
      <c r="J77" s="89">
        <v>1635.55</v>
      </c>
      <c r="K77" s="89"/>
    </row>
    <row r="78" spans="1:13" x14ac:dyDescent="0.25">
      <c r="B78" s="4" t="s">
        <v>38</v>
      </c>
      <c r="C78">
        <f>443.16/12</f>
        <v>36.93</v>
      </c>
      <c r="D78">
        <v>26.93</v>
      </c>
      <c r="F78" s="84"/>
      <c r="G78" s="84"/>
      <c r="H78" s="84"/>
      <c r="I78" s="85"/>
      <c r="J78" s="85"/>
      <c r="K78" s="85"/>
    </row>
    <row r="79" spans="1:13" x14ac:dyDescent="0.25">
      <c r="B79" s="4" t="s">
        <v>39</v>
      </c>
      <c r="C79">
        <f>335.4/12</f>
        <v>27.95</v>
      </c>
      <c r="D79" s="64">
        <v>24.14</v>
      </c>
      <c r="F79" s="86" t="s">
        <v>84</v>
      </c>
      <c r="G79" s="87"/>
      <c r="H79" s="87"/>
      <c r="I79" s="85"/>
      <c r="J79" s="85" t="s">
        <v>23</v>
      </c>
      <c r="K79" s="85" t="s">
        <v>24</v>
      </c>
    </row>
    <row r="80" spans="1:13" x14ac:dyDescent="0.25">
      <c r="B80" s="4" t="s">
        <v>40</v>
      </c>
      <c r="C80" s="64">
        <f>228.24/12</f>
        <v>19.02</v>
      </c>
      <c r="D80">
        <v>18.84</v>
      </c>
      <c r="F80" s="88" t="s">
        <v>85</v>
      </c>
      <c r="G80" s="88"/>
      <c r="H80" s="88"/>
      <c r="I80" s="90">
        <v>0.25219999999999998</v>
      </c>
      <c r="J80" s="89">
        <v>0.19</v>
      </c>
      <c r="K80" s="90">
        <v>6.2199999999999998E-2</v>
      </c>
    </row>
    <row r="81" spans="2:11" x14ac:dyDescent="0.25">
      <c r="B81" s="4" t="s">
        <v>86</v>
      </c>
      <c r="C81" s="64">
        <f>171.84/12</f>
        <v>14.32</v>
      </c>
      <c r="D81" s="64">
        <v>14.32</v>
      </c>
      <c r="F81" s="88" t="s">
        <v>27</v>
      </c>
      <c r="G81" s="88"/>
      <c r="H81" s="88"/>
      <c r="I81" s="89">
        <v>9</v>
      </c>
      <c r="J81" s="89">
        <v>0</v>
      </c>
      <c r="K81" s="89">
        <v>9</v>
      </c>
    </row>
    <row r="82" spans="2:11" x14ac:dyDescent="0.25">
      <c r="F82" s="88" t="s">
        <v>87</v>
      </c>
      <c r="G82" s="88"/>
      <c r="H82" s="88"/>
      <c r="I82" s="89">
        <v>180.10824999999997</v>
      </c>
      <c r="J82" s="89"/>
      <c r="K82" s="89"/>
    </row>
    <row r="83" spans="2:11" x14ac:dyDescent="0.25">
      <c r="I83" s="1"/>
      <c r="J83" s="1"/>
      <c r="K83" s="1"/>
    </row>
    <row r="84" spans="2:11" x14ac:dyDescent="0.25">
      <c r="I84" s="1"/>
      <c r="J84" s="1"/>
      <c r="K84" s="1"/>
    </row>
    <row r="85" spans="2:11" x14ac:dyDescent="0.25">
      <c r="I85" s="1"/>
      <c r="J85" s="1"/>
      <c r="K85" s="1"/>
    </row>
  </sheetData>
  <mergeCells count="2">
    <mergeCell ref="A4:G4"/>
    <mergeCell ref="C74:D74"/>
  </mergeCells>
  <pageMargins left="0.70866141732283472" right="0.70866141732283472" top="2.2834645669291338" bottom="0.74803149606299213" header="1.1811023622047245" footer="0.31496062992125984"/>
  <pageSetup paperSize="8" scale="72" orientation="portrait" r:id="rId1"/>
  <headerFooter>
    <oddHeader>&amp;L&amp;G</oddHeader>
    <oddFooter>&amp;R&amp;G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O82"/>
  <sheetViews>
    <sheetView topLeftCell="A13" workbookViewId="0">
      <selection activeCell="E51" sqref="E51"/>
    </sheetView>
  </sheetViews>
  <sheetFormatPr baseColWidth="10" defaultRowHeight="15" x14ac:dyDescent="0.25"/>
  <cols>
    <col min="1" max="1" width="27.140625" customWidth="1"/>
    <col min="2" max="2" width="11.42578125" style="4"/>
    <col min="3" max="3" width="14.5703125" customWidth="1"/>
    <col min="4" max="4" width="14.140625" customWidth="1"/>
    <col min="5" max="5" width="20.7109375" customWidth="1"/>
    <col min="9" max="9" width="14.85546875" customWidth="1"/>
    <col min="10" max="10" width="19.85546875" customWidth="1"/>
    <col min="13" max="13" width="12.85546875" hidden="1" customWidth="1"/>
  </cols>
  <sheetData>
    <row r="2" spans="1:13" ht="53.25" customHeight="1" x14ac:dyDescent="0.25">
      <c r="A2" s="132" t="s">
        <v>101</v>
      </c>
      <c r="B2" s="133"/>
      <c r="C2" s="133"/>
      <c r="D2" s="133"/>
      <c r="E2" s="133"/>
      <c r="F2" s="133"/>
      <c r="G2" s="134"/>
      <c r="H2" s="7" t="s">
        <v>100</v>
      </c>
      <c r="I2" s="5"/>
      <c r="J2" s="5"/>
      <c r="K2" s="6"/>
    </row>
    <row r="3" spans="1:13" x14ac:dyDescent="0.25">
      <c r="A3" s="7" t="s">
        <v>102</v>
      </c>
      <c r="B3" s="8"/>
      <c r="C3" s="6"/>
      <c r="F3" s="27" t="s">
        <v>50</v>
      </c>
      <c r="M3" s="26" t="s">
        <v>52</v>
      </c>
    </row>
    <row r="4" spans="1:13" x14ac:dyDescent="0.25">
      <c r="A4" s="7" t="s">
        <v>53</v>
      </c>
      <c r="B4" s="8"/>
      <c r="C4" s="29" t="s">
        <v>54</v>
      </c>
      <c r="F4" s="28" t="s">
        <v>55</v>
      </c>
    </row>
    <row r="5" spans="1:13" s="1" customFormat="1" x14ac:dyDescent="0.25">
      <c r="B5" s="4"/>
      <c r="C5" s="10">
        <v>5562.53</v>
      </c>
      <c r="D5" s="13"/>
      <c r="E5" s="15"/>
      <c r="F5" s="10">
        <v>5562.53</v>
      </c>
      <c r="G5" s="10"/>
      <c r="H5" s="10">
        <v>5562.53</v>
      </c>
      <c r="I5" s="13"/>
      <c r="J5" s="14"/>
      <c r="K5" s="14"/>
      <c r="L5" s="15"/>
      <c r="M5" s="10">
        <v>77875.42</v>
      </c>
    </row>
    <row r="7" spans="1:13" x14ac:dyDescent="0.25">
      <c r="A7" s="30" t="s">
        <v>56</v>
      </c>
    </row>
    <row r="8" spans="1:13" x14ac:dyDescent="0.25">
      <c r="A8" s="18"/>
      <c r="B8" s="40"/>
      <c r="C8" s="41" t="s">
        <v>57</v>
      </c>
      <c r="D8" s="27" t="s">
        <v>58</v>
      </c>
      <c r="E8" s="41" t="s">
        <v>59</v>
      </c>
      <c r="F8" s="27" t="s">
        <v>50</v>
      </c>
      <c r="G8" s="43"/>
      <c r="H8" s="27" t="s">
        <v>57</v>
      </c>
      <c r="I8" s="27" t="s">
        <v>58</v>
      </c>
      <c r="J8" s="42" t="s">
        <v>59</v>
      </c>
      <c r="K8" s="42" t="s">
        <v>50</v>
      </c>
      <c r="L8" s="16"/>
      <c r="M8" s="23"/>
    </row>
    <row r="9" spans="1:13" s="1" customFormat="1" x14ac:dyDescent="0.25">
      <c r="A9" s="31" t="s">
        <v>60</v>
      </c>
      <c r="B9" s="44" t="s">
        <v>61</v>
      </c>
      <c r="C9" s="45" t="s">
        <v>62</v>
      </c>
      <c r="D9" s="25" t="s">
        <v>63</v>
      </c>
      <c r="E9" s="45" t="s">
        <v>64</v>
      </c>
      <c r="F9" s="25" t="s">
        <v>65</v>
      </c>
      <c r="G9" s="47"/>
      <c r="H9" s="25" t="s">
        <v>62</v>
      </c>
      <c r="I9" s="25" t="s">
        <v>63</v>
      </c>
      <c r="J9" s="46" t="s">
        <v>64</v>
      </c>
      <c r="K9" s="46" t="s">
        <v>65</v>
      </c>
      <c r="L9" s="17"/>
      <c r="M9" s="25" t="s">
        <v>66</v>
      </c>
    </row>
    <row r="10" spans="1:13" s="1" customFormat="1" x14ac:dyDescent="0.25">
      <c r="B10" s="24">
        <v>28</v>
      </c>
      <c r="C10" s="10">
        <v>1151.17</v>
      </c>
      <c r="D10" s="10">
        <f>ROUND('2017_2018_LABORALS'!D10,2)*1.0025</f>
        <v>219.09637499999999</v>
      </c>
      <c r="E10" s="10">
        <f>ROUND('2017_2018_LABORALS'!E10,2)*1.0025</f>
        <v>3691.6160249999998</v>
      </c>
      <c r="F10" s="10">
        <f>SUM(C10:E10)</f>
        <v>5061.8824000000004</v>
      </c>
      <c r="H10" s="10">
        <v>710.36</v>
      </c>
      <c r="I10" s="10">
        <f>D10</f>
        <v>219.09637499999999</v>
      </c>
      <c r="J10" s="10">
        <f>E10</f>
        <v>3691.6160249999998</v>
      </c>
      <c r="K10" s="10">
        <f>SUM(H10:J10)</f>
        <v>4621.0724</v>
      </c>
      <c r="M10" s="10">
        <v>69804.346292174989</v>
      </c>
    </row>
    <row r="11" spans="1:13" s="1" customFormat="1" x14ac:dyDescent="0.25">
      <c r="B11" s="24">
        <v>27</v>
      </c>
      <c r="C11" s="10">
        <v>1151.17</v>
      </c>
      <c r="D11" s="10">
        <f>ROUND('2017_2018_LABORALS'!D11,2)*1.0025</f>
        <v>219.09637499999999</v>
      </c>
      <c r="E11" s="10">
        <f>ROUND('2017_2018_LABORALS'!E11,2)*1.0025</f>
        <v>3100.5219749999997</v>
      </c>
      <c r="F11" s="10">
        <f t="shared" ref="F11:F18" si="0">SUM(C11:E11)</f>
        <v>4470.7883499999998</v>
      </c>
      <c r="H11" s="10">
        <v>710.36</v>
      </c>
      <c r="I11" s="10">
        <f t="shared" ref="I11:I18" si="1">D11</f>
        <v>219.09637499999999</v>
      </c>
      <c r="J11" s="10">
        <f t="shared" ref="J11:J18" si="2">E11</f>
        <v>3100.5219749999997</v>
      </c>
      <c r="K11" s="10">
        <f t="shared" ref="K11:K18" si="3">SUM(H11:J11)</f>
        <v>4029.9783499999994</v>
      </c>
      <c r="M11" s="10">
        <v>61549.553992546993</v>
      </c>
    </row>
    <row r="12" spans="1:13" s="1" customFormat="1" x14ac:dyDescent="0.25">
      <c r="B12" s="24">
        <v>26</v>
      </c>
      <c r="C12" s="10">
        <v>1151.17</v>
      </c>
      <c r="D12" s="10">
        <f>ROUND('2017_2018_LABORALS'!D12,2)*1.0025</f>
        <v>219.09637499999999</v>
      </c>
      <c r="E12" s="10">
        <f>ROUND('2017_2018_LABORALS'!E12,2)*1.0025</f>
        <v>2698.0082000000002</v>
      </c>
      <c r="F12" s="10">
        <f t="shared" si="0"/>
        <v>4068.2745750000004</v>
      </c>
      <c r="H12" s="10">
        <v>710.36</v>
      </c>
      <c r="I12" s="10">
        <f t="shared" si="1"/>
        <v>219.09637499999999</v>
      </c>
      <c r="J12" s="10">
        <f t="shared" si="2"/>
        <v>2698.0082000000002</v>
      </c>
      <c r="K12" s="10">
        <f t="shared" si="3"/>
        <v>3627.464575</v>
      </c>
      <c r="M12" s="10">
        <v>55928.572541755995</v>
      </c>
    </row>
    <row r="13" spans="1:13" s="1" customFormat="1" x14ac:dyDescent="0.25">
      <c r="B13" s="24">
        <v>25</v>
      </c>
      <c r="C13" s="10">
        <v>1151.17</v>
      </c>
      <c r="D13" s="10">
        <f>ROUND('2017_2018_LABORALS'!D13,2)*1.0025</f>
        <v>219.09637499999999</v>
      </c>
      <c r="E13" s="10">
        <f>ROUND('2017_2018_LABORALS'!E13,2)*1.0025</f>
        <v>2612.2142499999995</v>
      </c>
      <c r="F13" s="10">
        <f t="shared" si="0"/>
        <v>3982.4806249999997</v>
      </c>
      <c r="H13" s="10">
        <v>710.36</v>
      </c>
      <c r="I13" s="10">
        <f t="shared" si="1"/>
        <v>219.09637499999999</v>
      </c>
      <c r="J13" s="10">
        <f t="shared" si="2"/>
        <v>2612.2142499999995</v>
      </c>
      <c r="K13" s="10">
        <f t="shared" si="3"/>
        <v>3541.6706249999997</v>
      </c>
      <c r="M13" s="10">
        <v>54730.371757706489</v>
      </c>
    </row>
    <row r="14" spans="1:13" s="1" customFormat="1" x14ac:dyDescent="0.25">
      <c r="B14" s="24">
        <v>24</v>
      </c>
      <c r="C14" s="10">
        <v>1151.17</v>
      </c>
      <c r="D14" s="10">
        <f>ROUND('2017_2018_LABORALS'!D14,2)*1.0025</f>
        <v>219.09637499999999</v>
      </c>
      <c r="E14" s="10">
        <f>ROUND('2017_2018_LABORALS'!E14,2)*1.0025</f>
        <v>2521.5782249999997</v>
      </c>
      <c r="F14" s="10">
        <f t="shared" si="0"/>
        <v>3891.8445999999999</v>
      </c>
      <c r="H14" s="10">
        <v>710.36</v>
      </c>
      <c r="I14" s="10">
        <f t="shared" si="1"/>
        <v>219.09637499999999</v>
      </c>
      <c r="J14" s="10">
        <f t="shared" si="2"/>
        <v>2521.5782249999997</v>
      </c>
      <c r="K14" s="10">
        <f t="shared" si="3"/>
        <v>3451.0346</v>
      </c>
      <c r="M14" s="10">
        <v>53464.693857901992</v>
      </c>
    </row>
    <row r="15" spans="1:13" s="1" customFormat="1" x14ac:dyDescent="0.25">
      <c r="B15" s="24">
        <v>23</v>
      </c>
      <c r="C15" s="10">
        <v>1151.17</v>
      </c>
      <c r="D15" s="10">
        <f>ROUND('2017_2018_LABORALS'!D15,2)*1.0025</f>
        <v>219.09637499999999</v>
      </c>
      <c r="E15" s="10">
        <f>ROUND('2017_2018_LABORALS'!E15,2)*1.0025</f>
        <v>2445.7491249999998</v>
      </c>
      <c r="F15" s="10">
        <f t="shared" si="0"/>
        <v>3816.0155</v>
      </c>
      <c r="H15" s="10">
        <v>710.36</v>
      </c>
      <c r="I15" s="10">
        <f t="shared" si="1"/>
        <v>219.09637499999999</v>
      </c>
      <c r="J15" s="10">
        <f t="shared" si="2"/>
        <v>2445.7491249999998</v>
      </c>
      <c r="K15" s="10">
        <f t="shared" si="3"/>
        <v>3375.2055</v>
      </c>
      <c r="M15" s="10">
        <v>52405.716265746982</v>
      </c>
    </row>
    <row r="16" spans="1:13" s="1" customFormat="1" x14ac:dyDescent="0.25">
      <c r="B16" s="24">
        <v>22</v>
      </c>
      <c r="C16" s="10">
        <v>1151.17</v>
      </c>
      <c r="D16" s="10">
        <f>ROUND('2017_2018_LABORALS'!D16,2)*1.0025</f>
        <v>219.09637499999999</v>
      </c>
      <c r="E16" s="10">
        <f>ROUND('2017_2018_LABORALS'!E16,2)*1.0025</f>
        <v>2372.9575999999997</v>
      </c>
      <c r="F16" s="10">
        <f t="shared" si="0"/>
        <v>3743.2239749999999</v>
      </c>
      <c r="H16" s="10">
        <v>710.36</v>
      </c>
      <c r="I16" s="10">
        <f t="shared" si="1"/>
        <v>219.09637499999999</v>
      </c>
      <c r="J16" s="10">
        <f t="shared" si="2"/>
        <v>2372.9575999999997</v>
      </c>
      <c r="K16" s="10">
        <f t="shared" si="3"/>
        <v>3302.4139749999995</v>
      </c>
      <c r="M16" s="10">
        <v>51389.152860637994</v>
      </c>
    </row>
    <row r="17" spans="1:13" s="1" customFormat="1" x14ac:dyDescent="0.25">
      <c r="B17" s="24">
        <v>21</v>
      </c>
      <c r="C17" s="10">
        <v>1151.17</v>
      </c>
      <c r="D17" s="10">
        <f>ROUND('2017_2018_LABORALS'!D17,2)*1.0025</f>
        <v>219.09637499999999</v>
      </c>
      <c r="E17" s="10">
        <f>ROUND('2017_2018_LABORALS'!E17,2)*1.0025</f>
        <v>2182.0013999999996</v>
      </c>
      <c r="F17" s="10">
        <f t="shared" si="0"/>
        <v>3552.2677749999998</v>
      </c>
      <c r="H17" s="10">
        <v>710.36</v>
      </c>
      <c r="I17" s="10">
        <f t="shared" si="1"/>
        <v>219.09637499999999</v>
      </c>
      <c r="J17" s="10">
        <f t="shared" si="2"/>
        <v>2182.0013999999996</v>
      </c>
      <c r="K17" s="10">
        <f t="shared" si="3"/>
        <v>3111.4577749999999</v>
      </c>
      <c r="M17" s="10">
        <v>48722.429704320508</v>
      </c>
    </row>
    <row r="18" spans="1:13" s="1" customFormat="1" x14ac:dyDescent="0.25">
      <c r="B18" s="24">
        <v>20</v>
      </c>
      <c r="C18" s="10">
        <v>1151.17</v>
      </c>
      <c r="D18" s="10">
        <f>ROUND('2017_2018_LABORALS'!D18,2)*1.0025</f>
        <v>219.09637499999999</v>
      </c>
      <c r="E18" s="10">
        <f>ROUND('2017_2018_LABORALS'!E18,2)*1.0025</f>
        <v>1996.1378999999999</v>
      </c>
      <c r="F18" s="10">
        <f t="shared" si="0"/>
        <v>3366.4042749999999</v>
      </c>
      <c r="H18" s="10">
        <v>710.36</v>
      </c>
      <c r="I18" s="10">
        <f t="shared" si="1"/>
        <v>219.09637499999999</v>
      </c>
      <c r="J18" s="10">
        <f t="shared" si="2"/>
        <v>1996.1378999999999</v>
      </c>
      <c r="K18" s="10">
        <f t="shared" si="3"/>
        <v>2925.5942749999999</v>
      </c>
      <c r="M18" s="10">
        <v>46126.764082144997</v>
      </c>
    </row>
    <row r="19" spans="1:13" s="1" customFormat="1" x14ac:dyDescent="0.25">
      <c r="B19" s="4"/>
    </row>
    <row r="20" spans="1:13" x14ac:dyDescent="0.25">
      <c r="A20" s="30" t="s">
        <v>67</v>
      </c>
    </row>
    <row r="21" spans="1:13" x14ac:dyDescent="0.25">
      <c r="A21" s="18"/>
      <c r="B21" s="52"/>
      <c r="C21" s="27" t="s">
        <v>57</v>
      </c>
      <c r="D21" s="27" t="s">
        <v>58</v>
      </c>
      <c r="E21" s="27" t="s">
        <v>59</v>
      </c>
      <c r="F21" s="27" t="s">
        <v>50</v>
      </c>
      <c r="G21" s="48"/>
      <c r="H21" s="27" t="s">
        <v>57</v>
      </c>
      <c r="I21" s="27" t="s">
        <v>58</v>
      </c>
      <c r="J21" s="27" t="s">
        <v>59</v>
      </c>
      <c r="K21" s="27" t="s">
        <v>50</v>
      </c>
      <c r="M21" s="11"/>
    </row>
    <row r="22" spans="1:13" x14ac:dyDescent="0.25">
      <c r="A22" s="32" t="s">
        <v>68</v>
      </c>
      <c r="B22" s="44" t="s">
        <v>61</v>
      </c>
      <c r="C22" s="28" t="s">
        <v>62</v>
      </c>
      <c r="D22" s="28" t="s">
        <v>63</v>
      </c>
      <c r="E22" s="28" t="s">
        <v>64</v>
      </c>
      <c r="F22" s="28" t="s">
        <v>65</v>
      </c>
      <c r="G22" s="48"/>
      <c r="H22" s="28" t="s">
        <v>62</v>
      </c>
      <c r="I22" s="28" t="s">
        <v>63</v>
      </c>
      <c r="J22" s="28" t="s">
        <v>64</v>
      </c>
      <c r="K22" s="28" t="s">
        <v>65</v>
      </c>
      <c r="M22" s="28" t="s">
        <v>66</v>
      </c>
    </row>
    <row r="23" spans="1:13" s="1" customFormat="1" x14ac:dyDescent="0.25">
      <c r="B23" s="24">
        <v>27</v>
      </c>
      <c r="C23" s="10">
        <v>995.39</v>
      </c>
      <c r="D23" s="10">
        <f>'2017_2018_LABORALS'!D23*1.0025</f>
        <v>175.00642499999998</v>
      </c>
      <c r="E23" s="10">
        <f>'2017_2018_LABORALS'!E23*1.0025</f>
        <v>3002.6679499999996</v>
      </c>
      <c r="F23" s="10">
        <f t="shared" ref="F23:F34" si="4">SUM(C23:E23)</f>
        <v>4173.0643749999999</v>
      </c>
      <c r="H23" s="10">
        <v>725.95</v>
      </c>
      <c r="I23" s="10">
        <f t="shared" ref="I23:J23" si="5">D23</f>
        <v>175.00642499999998</v>
      </c>
      <c r="J23" s="10">
        <f t="shared" si="5"/>
        <v>3002.6679499999996</v>
      </c>
      <c r="K23" s="10">
        <f t="shared" ref="K23:K34" si="6">SUM(H23:J23)</f>
        <v>3903.6243749999994</v>
      </c>
      <c r="M23" s="10">
        <v>57734.97942799599</v>
      </c>
    </row>
    <row r="24" spans="1:13" s="1" customFormat="1" x14ac:dyDescent="0.25">
      <c r="B24" s="24">
        <v>26</v>
      </c>
      <c r="C24" s="10">
        <v>995.39</v>
      </c>
      <c r="D24" s="10">
        <f>'2017_2018_LABORALS'!D24*1.0025</f>
        <v>175.00642499999998</v>
      </c>
      <c r="E24" s="10">
        <f>'2017_2018_LABORALS'!E24*1.0025</f>
        <v>2904.2244091822413</v>
      </c>
      <c r="F24" s="10">
        <f t="shared" si="4"/>
        <v>4074.6208341822412</v>
      </c>
      <c r="H24" s="10">
        <v>725.95</v>
      </c>
      <c r="I24" s="10">
        <f t="shared" ref="I24:J34" si="7">D24</f>
        <v>175.00642499999998</v>
      </c>
      <c r="J24" s="10">
        <f t="shared" si="7"/>
        <v>2904.2244091822413</v>
      </c>
      <c r="K24" s="10">
        <f t="shared" si="6"/>
        <v>3805.1808341822416</v>
      </c>
      <c r="M24" s="10">
        <v>56360.098767387994</v>
      </c>
    </row>
    <row r="25" spans="1:13" s="1" customFormat="1" x14ac:dyDescent="0.25">
      <c r="B25" s="24">
        <v>25</v>
      </c>
      <c r="C25" s="10">
        <v>995.39</v>
      </c>
      <c r="D25" s="10">
        <f>'2017_2018_LABORALS'!D25*1.0025</f>
        <v>175.00642499999998</v>
      </c>
      <c r="E25" s="10">
        <f>'2017_2018_LABORALS'!E25*1.0025</f>
        <v>2448.8182319219718</v>
      </c>
      <c r="F25" s="10">
        <f t="shared" si="4"/>
        <v>3619.2146569219717</v>
      </c>
      <c r="H25" s="10">
        <v>725.95</v>
      </c>
      <c r="I25" s="10">
        <f t="shared" si="7"/>
        <v>175.00642499999998</v>
      </c>
      <c r="J25" s="10">
        <f t="shared" si="7"/>
        <v>2448.8182319219718</v>
      </c>
      <c r="K25" s="10">
        <f t="shared" si="6"/>
        <v>3349.7746569219717</v>
      </c>
      <c r="M25" s="10">
        <v>50000.311753279508</v>
      </c>
    </row>
    <row r="26" spans="1:13" s="1" customFormat="1" x14ac:dyDescent="0.25">
      <c r="B26" s="24">
        <v>24</v>
      </c>
      <c r="C26" s="10">
        <v>995.39</v>
      </c>
      <c r="D26" s="10">
        <f>'2017_2018_LABORALS'!D26*1.0025</f>
        <v>175.00642499999998</v>
      </c>
      <c r="E26" s="10">
        <f>'2017_2018_LABORALS'!E26*1.002499</f>
        <v>2262.5237571051398</v>
      </c>
      <c r="F26" s="10">
        <f t="shared" si="4"/>
        <v>3432.9201821051397</v>
      </c>
      <c r="H26" s="10">
        <v>725.95</v>
      </c>
      <c r="I26" s="10">
        <f t="shared" si="7"/>
        <v>175.00642499999998</v>
      </c>
      <c r="J26" s="10">
        <f t="shared" si="7"/>
        <v>2262.5237571051398</v>
      </c>
      <c r="K26" s="10">
        <f t="shared" si="6"/>
        <v>3163.4801821051396</v>
      </c>
      <c r="M26" s="10">
        <v>47398.72466992549</v>
      </c>
    </row>
    <row r="27" spans="1:13" s="1" customFormat="1" x14ac:dyDescent="0.25">
      <c r="B27" s="24">
        <v>23</v>
      </c>
      <c r="C27" s="10">
        <v>995.39</v>
      </c>
      <c r="D27" s="10">
        <f>'2017_2018_LABORALS'!D27*1.0025</f>
        <v>175.00642499999998</v>
      </c>
      <c r="E27" s="10">
        <f>'2017_2018_LABORALS'!E27*1.002499</f>
        <v>2147.0033698452139</v>
      </c>
      <c r="F27" s="10">
        <f t="shared" si="4"/>
        <v>3317.3997948452138</v>
      </c>
      <c r="H27" s="10">
        <v>725.95</v>
      </c>
      <c r="I27" s="10">
        <f t="shared" si="7"/>
        <v>175.00642499999998</v>
      </c>
      <c r="J27" s="10">
        <f t="shared" si="7"/>
        <v>2147.0033698452139</v>
      </c>
      <c r="K27" s="10">
        <f t="shared" si="6"/>
        <v>3047.9597948452138</v>
      </c>
      <c r="M27" s="10">
        <v>45785.470769783002</v>
      </c>
    </row>
    <row r="28" spans="1:13" s="1" customFormat="1" x14ac:dyDescent="0.25">
      <c r="B28" s="24">
        <v>22</v>
      </c>
      <c r="C28" s="10">
        <v>995.39</v>
      </c>
      <c r="D28" s="10">
        <f>'2017_2018_LABORALS'!D28*1.0025</f>
        <v>175.00642499999998</v>
      </c>
      <c r="E28" s="10">
        <f>'2017_2018_LABORALS'!E28*1.0025</f>
        <v>2078.8341249999999</v>
      </c>
      <c r="F28" s="10">
        <f t="shared" si="4"/>
        <v>3249.2305499999998</v>
      </c>
      <c r="H28" s="10">
        <v>725.95</v>
      </c>
      <c r="I28" s="10">
        <f t="shared" si="7"/>
        <v>175.00642499999998</v>
      </c>
      <c r="J28" s="10">
        <f t="shared" si="7"/>
        <v>2078.8341249999999</v>
      </c>
      <c r="K28" s="10">
        <f t="shared" si="6"/>
        <v>2979.7905499999997</v>
      </c>
      <c r="M28" s="10">
        <v>44833.354895639997</v>
      </c>
    </row>
    <row r="29" spans="1:13" s="1" customFormat="1" x14ac:dyDescent="0.25">
      <c r="B29" s="24">
        <v>21</v>
      </c>
      <c r="C29" s="10">
        <v>995.39</v>
      </c>
      <c r="D29" s="10">
        <f>'2017_2018_LABORALS'!D29*1.0025</f>
        <v>175.00642499999998</v>
      </c>
      <c r="E29" s="10">
        <f>'2017_2018_LABORALS'!E29*1.0025</f>
        <v>2005.3141670397015</v>
      </c>
      <c r="F29" s="10">
        <f t="shared" si="4"/>
        <v>3175.7105920397016</v>
      </c>
      <c r="H29" s="10">
        <v>725.95</v>
      </c>
      <c r="I29" s="10">
        <f t="shared" si="7"/>
        <v>175.00642499999998</v>
      </c>
      <c r="J29" s="10">
        <f t="shared" si="7"/>
        <v>2005.3141670397015</v>
      </c>
      <c r="K29" s="10">
        <f t="shared" si="6"/>
        <v>2906.2705920397016</v>
      </c>
      <c r="M29" s="10">
        <v>43806.7387773675</v>
      </c>
    </row>
    <row r="30" spans="1:13" s="1" customFormat="1" x14ac:dyDescent="0.25">
      <c r="B30" s="24">
        <v>20</v>
      </c>
      <c r="C30" s="10">
        <v>995.39</v>
      </c>
      <c r="D30" s="10">
        <f>'2017_2018_LABORALS'!D30*1.0025</f>
        <v>175.00642499999998</v>
      </c>
      <c r="E30" s="10">
        <f>'2017_2018_LABORALS'!E30*1.0025</f>
        <v>1933.9902409170263</v>
      </c>
      <c r="F30" s="10">
        <f t="shared" si="4"/>
        <v>3104.3866659170262</v>
      </c>
      <c r="H30" s="10">
        <v>725.95</v>
      </c>
      <c r="I30" s="10">
        <f t="shared" si="7"/>
        <v>175.00642499999998</v>
      </c>
      <c r="J30" s="10">
        <f t="shared" si="7"/>
        <v>1933.9902409170263</v>
      </c>
      <c r="K30" s="10">
        <f t="shared" si="6"/>
        <v>2834.9466659170266</v>
      </c>
      <c r="M30" s="10">
        <v>42810.693923783998</v>
      </c>
    </row>
    <row r="31" spans="1:13" s="1" customFormat="1" x14ac:dyDescent="0.25">
      <c r="B31" s="24">
        <v>19</v>
      </c>
      <c r="C31" s="10">
        <v>995.39</v>
      </c>
      <c r="D31" s="10">
        <f>'2017_2018_LABORALS'!D31*1.0025</f>
        <v>175.00642499999998</v>
      </c>
      <c r="E31" s="10">
        <f>'2017_2018_LABORALS'!E31*1.0025</f>
        <v>1887.4270473388046</v>
      </c>
      <c r="F31" s="10">
        <f t="shared" si="4"/>
        <v>3057.8234723388045</v>
      </c>
      <c r="H31" s="10">
        <v>725.95</v>
      </c>
      <c r="I31" s="10">
        <f t="shared" si="7"/>
        <v>175.00642499999998</v>
      </c>
      <c r="J31" s="10">
        <f t="shared" si="7"/>
        <v>1887.4270473388046</v>
      </c>
      <c r="K31" s="10">
        <f t="shared" si="6"/>
        <v>2788.3834723388045</v>
      </c>
      <c r="M31" s="10">
        <v>42160.434861344991</v>
      </c>
    </row>
    <row r="32" spans="1:13" s="1" customFormat="1" x14ac:dyDescent="0.25">
      <c r="B32" s="24">
        <v>18</v>
      </c>
      <c r="C32" s="10">
        <v>995.39</v>
      </c>
      <c r="D32" s="10">
        <f>'2017_2018_LABORALS'!D32*1.0025</f>
        <v>175.00642499999998</v>
      </c>
      <c r="E32" s="10">
        <f>'2017_2018_LABORALS'!E32*1.0025</f>
        <v>1744.0889317409597</v>
      </c>
      <c r="F32" s="10">
        <f t="shared" si="4"/>
        <v>2914.4853567409596</v>
      </c>
      <c r="H32" s="10">
        <v>725.95</v>
      </c>
      <c r="I32" s="10">
        <f t="shared" si="7"/>
        <v>175.00642499999998</v>
      </c>
      <c r="J32" s="10">
        <f t="shared" si="7"/>
        <v>1744.0889317409597</v>
      </c>
      <c r="K32" s="10">
        <f t="shared" si="6"/>
        <v>2645.0453567409595</v>
      </c>
      <c r="M32" s="10">
        <v>40158.705566212993</v>
      </c>
    </row>
    <row r="33" spans="1:13" s="1" customFormat="1" x14ac:dyDescent="0.25">
      <c r="B33" s="24">
        <v>17</v>
      </c>
      <c r="C33" s="10">
        <v>995.39</v>
      </c>
      <c r="D33" s="10">
        <f>'2017_2018_LABORALS'!D33*1.0025</f>
        <v>175.00642499999998</v>
      </c>
      <c r="E33" s="10">
        <f>'2017_2018_LABORALS'!E33*1.0025019</f>
        <v>1654.5156061317</v>
      </c>
      <c r="F33" s="10">
        <f t="shared" si="4"/>
        <v>2824.9120311317001</v>
      </c>
      <c r="H33" s="10">
        <v>725.95</v>
      </c>
      <c r="I33" s="10">
        <f t="shared" si="7"/>
        <v>175.00642499999998</v>
      </c>
      <c r="J33" s="10">
        <f t="shared" si="7"/>
        <v>1654.5156061317</v>
      </c>
      <c r="K33" s="10">
        <f t="shared" si="6"/>
        <v>2555.4720311317001</v>
      </c>
      <c r="M33" s="10">
        <v>38907.762465154992</v>
      </c>
    </row>
    <row r="34" spans="1:13" s="1" customFormat="1" x14ac:dyDescent="0.25">
      <c r="B34" s="24">
        <v>16</v>
      </c>
      <c r="C34" s="10">
        <v>995.39</v>
      </c>
      <c r="D34" s="10">
        <f>'2017_2018_LABORALS'!D34*1.0025</f>
        <v>175.00642499999998</v>
      </c>
      <c r="E34" s="10">
        <f>'2017_2018_LABORALS'!E34*1.0025019</f>
        <v>1557.9870237913744</v>
      </c>
      <c r="F34" s="10">
        <f t="shared" si="4"/>
        <v>2728.3834487913746</v>
      </c>
      <c r="H34" s="10">
        <v>725.95</v>
      </c>
      <c r="I34" s="10">
        <f t="shared" si="7"/>
        <v>175.00642499999998</v>
      </c>
      <c r="J34" s="10">
        <f t="shared" si="7"/>
        <v>1557.9870237913744</v>
      </c>
      <c r="K34" s="10">
        <f t="shared" si="6"/>
        <v>2458.9434487913745</v>
      </c>
      <c r="M34" s="10">
        <v>37559.73494244949</v>
      </c>
    </row>
    <row r="36" spans="1:13" x14ac:dyDescent="0.25">
      <c r="A36" s="30" t="s">
        <v>69</v>
      </c>
    </row>
    <row r="37" spans="1:13" x14ac:dyDescent="0.25">
      <c r="A37" s="18"/>
      <c r="B37" s="52"/>
      <c r="C37" s="27" t="s">
        <v>57</v>
      </c>
      <c r="D37" s="27" t="s">
        <v>58</v>
      </c>
      <c r="E37" s="27" t="s">
        <v>59</v>
      </c>
      <c r="F37" s="27" t="s">
        <v>50</v>
      </c>
      <c r="G37" s="48"/>
      <c r="H37" s="27" t="s">
        <v>57</v>
      </c>
      <c r="I37" s="27" t="s">
        <v>58</v>
      </c>
      <c r="J37" s="27" t="s">
        <v>59</v>
      </c>
      <c r="K37" s="27" t="s">
        <v>50</v>
      </c>
      <c r="L37" s="48"/>
      <c r="M37" s="27"/>
    </row>
    <row r="38" spans="1:13" x14ac:dyDescent="0.25">
      <c r="A38" s="32" t="s">
        <v>70</v>
      </c>
      <c r="B38" s="44" t="s">
        <v>61</v>
      </c>
      <c r="C38" s="28" t="s">
        <v>62</v>
      </c>
      <c r="D38" s="28" t="s">
        <v>63</v>
      </c>
      <c r="E38" s="28" t="s">
        <v>64</v>
      </c>
      <c r="F38" s="28" t="s">
        <v>65</v>
      </c>
      <c r="G38" s="48"/>
      <c r="H38" s="28" t="s">
        <v>62</v>
      </c>
      <c r="I38" s="28" t="s">
        <v>63</v>
      </c>
      <c r="J38" s="28" t="s">
        <v>64</v>
      </c>
      <c r="K38" s="28" t="s">
        <v>65</v>
      </c>
      <c r="L38" s="48"/>
      <c r="M38" s="28" t="s">
        <v>66</v>
      </c>
    </row>
    <row r="39" spans="1:13" s="1" customFormat="1" x14ac:dyDescent="0.25">
      <c r="B39" s="24">
        <v>21</v>
      </c>
      <c r="C39" s="10">
        <v>747.37</v>
      </c>
      <c r="D39" s="10">
        <f>'2017_2018_LABORALS'!D39*1.0025</f>
        <v>140.48032499999999</v>
      </c>
      <c r="E39" s="10">
        <f>'2017_2018_LABORALS'!E39*1.0025</f>
        <v>2433.2971673958978</v>
      </c>
      <c r="F39" s="10">
        <f t="shared" ref="F39:F47" si="8">SUM(C39:E39)</f>
        <v>3321.1474923958976</v>
      </c>
      <c r="H39" s="10">
        <v>645.94000000000005</v>
      </c>
      <c r="I39" s="10">
        <f t="shared" ref="I39:J39" si="9">D39</f>
        <v>140.48032499999999</v>
      </c>
      <c r="J39" s="10">
        <f t="shared" si="9"/>
        <v>2433.2971673958978</v>
      </c>
      <c r="K39" s="10">
        <f t="shared" ref="K39:K47" si="10">SUM(H39:J39)</f>
        <v>3219.7174923958978</v>
      </c>
      <c r="M39" s="10">
        <v>46173.919466295498</v>
      </c>
    </row>
    <row r="40" spans="1:13" s="1" customFormat="1" x14ac:dyDescent="0.25">
      <c r="B40" s="24">
        <v>20</v>
      </c>
      <c r="C40" s="10">
        <v>747.37</v>
      </c>
      <c r="D40" s="10">
        <f>'2017_2018_LABORALS'!D40*1.0025</f>
        <v>140.48032499999999</v>
      </c>
      <c r="E40" s="10">
        <f>'2017_2018_LABORALS'!E40*1.0025</f>
        <v>2358.1707249999999</v>
      </c>
      <c r="F40" s="10">
        <f t="shared" si="8"/>
        <v>3246.0210499999998</v>
      </c>
      <c r="H40" s="10">
        <v>645.94000000000005</v>
      </c>
      <c r="I40" s="10">
        <f t="shared" ref="I40:I47" si="11">D40</f>
        <v>140.48032499999999</v>
      </c>
      <c r="J40" s="10">
        <f t="shared" ref="J40:J47" si="12">E40</f>
        <v>2358.1707249999999</v>
      </c>
      <c r="K40" s="10">
        <f t="shared" si="10"/>
        <v>3144.59105</v>
      </c>
      <c r="M40" s="10">
        <v>45124.856878904488</v>
      </c>
    </row>
    <row r="41" spans="1:13" s="1" customFormat="1" x14ac:dyDescent="0.25">
      <c r="B41" s="24">
        <v>19</v>
      </c>
      <c r="C41" s="10">
        <v>747.37</v>
      </c>
      <c r="D41" s="10">
        <f>'2017_2018_LABORALS'!D41*1.0025</f>
        <v>140.48032499999999</v>
      </c>
      <c r="E41" s="10">
        <f>'2017_2018_LABORALS'!E41*1.0025</f>
        <v>2209.6321193778513</v>
      </c>
      <c r="F41" s="10">
        <f t="shared" si="8"/>
        <v>3097.4824443778512</v>
      </c>
      <c r="H41" s="10">
        <v>645.94000000000005</v>
      </c>
      <c r="I41" s="10">
        <f t="shared" si="11"/>
        <v>140.48032499999999</v>
      </c>
      <c r="J41" s="10">
        <f t="shared" si="12"/>
        <v>2209.6321193778513</v>
      </c>
      <c r="K41" s="10">
        <f t="shared" si="10"/>
        <v>2996.0524443778513</v>
      </c>
      <c r="M41" s="10">
        <v>43050.417548836493</v>
      </c>
    </row>
    <row r="42" spans="1:13" s="1" customFormat="1" x14ac:dyDescent="0.25">
      <c r="B42" s="24">
        <v>18</v>
      </c>
      <c r="C42" s="10">
        <v>747.37</v>
      </c>
      <c r="D42" s="10">
        <f>'2017_2018_LABORALS'!D42*1.0025</f>
        <v>140.48032499999999</v>
      </c>
      <c r="E42" s="10">
        <f>'2017_2018_LABORALS'!E42*1.0025</f>
        <v>1981.6617999999999</v>
      </c>
      <c r="F42" s="10">
        <f t="shared" si="8"/>
        <v>2869.5121249999997</v>
      </c>
      <c r="H42" s="10">
        <v>645.94000000000005</v>
      </c>
      <c r="I42" s="10">
        <f t="shared" si="11"/>
        <v>140.48032499999999</v>
      </c>
      <c r="J42" s="10">
        <f t="shared" si="12"/>
        <v>1981.6617999999999</v>
      </c>
      <c r="K42" s="10">
        <f t="shared" si="10"/>
        <v>2768.0821249999999</v>
      </c>
      <c r="M42" s="10">
        <v>39866.874769195492</v>
      </c>
    </row>
    <row r="43" spans="1:13" s="1" customFormat="1" x14ac:dyDescent="0.25">
      <c r="B43" s="24">
        <v>17</v>
      </c>
      <c r="C43" s="10">
        <v>747.37</v>
      </c>
      <c r="D43" s="10">
        <f>'2017_2018_LABORALS'!D43*1.0025</f>
        <v>140.48032499999999</v>
      </c>
      <c r="E43" s="10">
        <f>'2017_2018_LABORALS'!E43*1.0025</f>
        <v>1838.1028003506083</v>
      </c>
      <c r="F43" s="10">
        <f t="shared" si="8"/>
        <v>2725.9531253506084</v>
      </c>
      <c r="H43" s="10">
        <v>645.94000000000005</v>
      </c>
      <c r="I43" s="10">
        <f t="shared" si="11"/>
        <v>140.48032499999999</v>
      </c>
      <c r="J43" s="10">
        <f t="shared" si="12"/>
        <v>1838.1028003506083</v>
      </c>
      <c r="K43" s="10">
        <f t="shared" si="10"/>
        <v>2624.5231253506081</v>
      </c>
      <c r="M43" s="10">
        <v>37861.978180874998</v>
      </c>
    </row>
    <row r="44" spans="1:13" s="1" customFormat="1" x14ac:dyDescent="0.25">
      <c r="B44" s="24">
        <v>16</v>
      </c>
      <c r="C44" s="10">
        <v>747.37</v>
      </c>
      <c r="D44" s="10">
        <f>'2017_2018_LABORALS'!D44*1.0025</f>
        <v>140.48032499999999</v>
      </c>
      <c r="E44" s="10">
        <f>'2017_2018_LABORALS'!E44*1.00250199</f>
        <v>1650.8179079377767</v>
      </c>
      <c r="F44" s="10">
        <f t="shared" si="8"/>
        <v>2538.6682329377768</v>
      </c>
      <c r="H44" s="10">
        <v>645.94000000000005</v>
      </c>
      <c r="I44" s="10">
        <f t="shared" si="11"/>
        <v>140.48032499999999</v>
      </c>
      <c r="J44" s="10">
        <f t="shared" si="12"/>
        <v>1650.8179079377767</v>
      </c>
      <c r="K44" s="10">
        <f t="shared" si="10"/>
        <v>2437.238232937777</v>
      </c>
      <c r="M44" s="10">
        <v>35246.482549171495</v>
      </c>
    </row>
    <row r="45" spans="1:13" s="1" customFormat="1" x14ac:dyDescent="0.25">
      <c r="B45" s="24">
        <v>15</v>
      </c>
      <c r="C45" s="10">
        <v>747.37</v>
      </c>
      <c r="D45" s="10">
        <f>'2017_2018_LABORALS'!D45*1.0025</f>
        <v>140.48032499999999</v>
      </c>
      <c r="E45" s="10">
        <f>'2017_2018_LABORALS'!E45*1.0025</f>
        <v>1510.9081103635351</v>
      </c>
      <c r="F45" s="10">
        <f t="shared" si="8"/>
        <v>2398.7584353635352</v>
      </c>
      <c r="H45" s="10">
        <v>645.94000000000005</v>
      </c>
      <c r="I45" s="10">
        <f t="shared" si="11"/>
        <v>140.48032499999999</v>
      </c>
      <c r="J45" s="10">
        <f t="shared" si="12"/>
        <v>1510.9081103635351</v>
      </c>
      <c r="K45" s="10">
        <f t="shared" si="10"/>
        <v>2297.3284353635354</v>
      </c>
      <c r="M45" s="10">
        <v>33292.675777065495</v>
      </c>
    </row>
    <row r="46" spans="1:13" s="1" customFormat="1" x14ac:dyDescent="0.25">
      <c r="B46" s="24">
        <v>14</v>
      </c>
      <c r="C46" s="10">
        <v>747.37</v>
      </c>
      <c r="D46" s="10">
        <f>'2017_2018_LABORALS'!D46*1.0025</f>
        <v>140.48032499999999</v>
      </c>
      <c r="E46" s="10">
        <f>'2017_2018_LABORALS'!E46*1.0025</f>
        <v>1420.5526375221034</v>
      </c>
      <c r="F46" s="10">
        <f t="shared" si="8"/>
        <v>2308.4029625221033</v>
      </c>
      <c r="H46" s="10">
        <v>645.94000000000005</v>
      </c>
      <c r="I46" s="10">
        <f t="shared" si="11"/>
        <v>140.48032499999999</v>
      </c>
      <c r="J46" s="10">
        <f t="shared" si="12"/>
        <v>1420.5526375221034</v>
      </c>
      <c r="K46" s="10">
        <f t="shared" si="10"/>
        <v>2206.9729625221034</v>
      </c>
      <c r="M46" s="10">
        <v>32030.853712446995</v>
      </c>
    </row>
    <row r="47" spans="1:13" s="1" customFormat="1" x14ac:dyDescent="0.25">
      <c r="B47" s="24">
        <v>13</v>
      </c>
      <c r="C47" s="10">
        <v>747.37</v>
      </c>
      <c r="D47" s="10">
        <f>'2017_2018_LABORALS'!D47*1.0025</f>
        <v>140.48032499999999</v>
      </c>
      <c r="E47" s="10">
        <f>'2017_2018_LABORALS'!E47*1.0025</f>
        <v>1324.8032496261849</v>
      </c>
      <c r="F47" s="10">
        <f t="shared" si="8"/>
        <v>2212.6535746261848</v>
      </c>
      <c r="H47" s="10">
        <v>645.94000000000005</v>
      </c>
      <c r="I47" s="10">
        <f t="shared" si="11"/>
        <v>140.48032499999999</v>
      </c>
      <c r="J47" s="10">
        <f t="shared" si="12"/>
        <v>1324.8032496261849</v>
      </c>
      <c r="K47" s="10">
        <f t="shared" si="10"/>
        <v>2111.2235746261849</v>
      </c>
      <c r="M47" s="10">
        <v>30693.705153301995</v>
      </c>
    </row>
    <row r="48" spans="1:13" s="1" customFormat="1" x14ac:dyDescent="0.25">
      <c r="B48" s="4"/>
    </row>
    <row r="49" spans="1:15" x14ac:dyDescent="0.25">
      <c r="A49" s="30" t="s">
        <v>71</v>
      </c>
    </row>
    <row r="50" spans="1:15" x14ac:dyDescent="0.25">
      <c r="A50" s="30" t="s">
        <v>72</v>
      </c>
    </row>
    <row r="51" spans="1:15" x14ac:dyDescent="0.25">
      <c r="A51" s="30" t="s">
        <v>73</v>
      </c>
      <c r="B51" s="52"/>
      <c r="C51" s="27" t="s">
        <v>57</v>
      </c>
      <c r="D51" s="27" t="s">
        <v>58</v>
      </c>
      <c r="E51" s="27" t="s">
        <v>59</v>
      </c>
      <c r="F51" s="27" t="s">
        <v>50</v>
      </c>
      <c r="G51" s="48"/>
      <c r="H51" s="27" t="s">
        <v>57</v>
      </c>
      <c r="I51" s="27" t="s">
        <v>58</v>
      </c>
      <c r="J51" s="27" t="s">
        <v>59</v>
      </c>
      <c r="K51" s="27" t="s">
        <v>50</v>
      </c>
      <c r="L51" s="29" t="s">
        <v>103</v>
      </c>
      <c r="M51" s="48"/>
      <c r="N51" s="72" t="s">
        <v>103</v>
      </c>
    </row>
    <row r="52" spans="1:15" x14ac:dyDescent="0.25">
      <c r="A52" s="33" t="s">
        <v>94</v>
      </c>
      <c r="B52" s="44" t="s">
        <v>61</v>
      </c>
      <c r="C52" s="28" t="s">
        <v>62</v>
      </c>
      <c r="D52" s="28" t="s">
        <v>63</v>
      </c>
      <c r="E52" s="28" t="s">
        <v>64</v>
      </c>
      <c r="F52" s="28" t="s">
        <v>65</v>
      </c>
      <c r="G52" s="48"/>
      <c r="H52" s="28" t="s">
        <v>62</v>
      </c>
      <c r="I52" s="28" t="s">
        <v>63</v>
      </c>
      <c r="J52" s="28" t="s">
        <v>64</v>
      </c>
      <c r="K52" s="28" t="s">
        <v>65</v>
      </c>
      <c r="L52" s="29">
        <v>2018</v>
      </c>
      <c r="M52" s="48" t="s">
        <v>66</v>
      </c>
      <c r="N52" s="9">
        <v>2019</v>
      </c>
      <c r="O52" s="9" t="s">
        <v>104</v>
      </c>
    </row>
    <row r="53" spans="1:15" s="1" customFormat="1" x14ac:dyDescent="0.25">
      <c r="A53" s="49" t="s">
        <v>93</v>
      </c>
      <c r="B53" s="24">
        <v>18</v>
      </c>
      <c r="C53" s="10">
        <v>622.01</v>
      </c>
      <c r="D53" s="10">
        <f>'2017_2018_LABORALS'!D53*1.0025</f>
        <v>124.89144999999999</v>
      </c>
      <c r="E53" s="10">
        <f>'2017_2018_LABORALS'!E53*1.0025</f>
        <v>1795.3360552111026</v>
      </c>
      <c r="F53" s="10">
        <f t="shared" ref="F53:F60" si="13">SUM(C53:E53)</f>
        <v>2542.2375052111024</v>
      </c>
      <c r="H53" s="10">
        <v>616.34</v>
      </c>
      <c r="I53" s="10">
        <f t="shared" ref="I53:J53" si="14">D53</f>
        <v>124.89144999999999</v>
      </c>
      <c r="J53" s="10">
        <f t="shared" si="14"/>
        <v>1795.3360552111026</v>
      </c>
      <c r="K53" s="10">
        <f t="shared" ref="K53:K60" si="15">SUM(H53:J53)</f>
        <v>2536.5675052111028</v>
      </c>
      <c r="L53" s="10">
        <f>K53*2+F53*12</f>
        <v>35579.985072955438</v>
      </c>
      <c r="M53" s="14">
        <v>35487.819514392497</v>
      </c>
      <c r="N53" s="10">
        <v>35487.819514392497</v>
      </c>
      <c r="O53" s="10">
        <f>N53-L53</f>
        <v>-92.165558562941442</v>
      </c>
    </row>
    <row r="54" spans="1:15" s="1" customFormat="1" x14ac:dyDescent="0.25">
      <c r="A54" s="50" t="s">
        <v>96</v>
      </c>
      <c r="B54" s="24">
        <v>17</v>
      </c>
      <c r="C54" s="10">
        <v>622.01</v>
      </c>
      <c r="D54" s="10">
        <f>'2017_2018_LABORALS'!D54*1.0025</f>
        <v>124.89144999999999</v>
      </c>
      <c r="E54" s="10">
        <f>'2017_2018_LABORALS'!E54*1.0025</f>
        <v>1658.8512686130175</v>
      </c>
      <c r="F54" s="10">
        <f t="shared" si="13"/>
        <v>2405.7527186130174</v>
      </c>
      <c r="H54" s="10">
        <v>616.34</v>
      </c>
      <c r="I54" s="10">
        <f t="shared" ref="I54:I60" si="16">D54</f>
        <v>124.89144999999999</v>
      </c>
      <c r="J54" s="10">
        <f t="shared" ref="J54:J60" si="17">E54</f>
        <v>1658.8512686130175</v>
      </c>
      <c r="K54" s="10">
        <f t="shared" si="15"/>
        <v>2400.0827186130173</v>
      </c>
      <c r="L54" s="10">
        <f t="shared" ref="L54:L60" si="18">K54*2+F54*12</f>
        <v>33669.198060582246</v>
      </c>
      <c r="M54" s="14">
        <v>33581.797556912999</v>
      </c>
      <c r="N54" s="10">
        <v>33581.797556912999</v>
      </c>
      <c r="O54" s="10">
        <f t="shared" ref="O54:O60" si="19">N54-L54</f>
        <v>-87.400503669246973</v>
      </c>
    </row>
    <row r="55" spans="1:15" s="1" customFormat="1" x14ac:dyDescent="0.25">
      <c r="A55" s="49" t="s">
        <v>95</v>
      </c>
      <c r="B55" s="24">
        <v>16</v>
      </c>
      <c r="C55" s="10">
        <v>622.01</v>
      </c>
      <c r="D55" s="10">
        <f>'2017_2018_LABORALS'!D55*1.0025</f>
        <v>124.89144999999999</v>
      </c>
      <c r="E55" s="10">
        <f>'2017_2018_LABORALS'!E55*1.0025</f>
        <v>1603.008963396273</v>
      </c>
      <c r="F55" s="10">
        <f t="shared" si="13"/>
        <v>2349.9104133962728</v>
      </c>
      <c r="H55" s="10">
        <v>616.34</v>
      </c>
      <c r="I55" s="10">
        <f t="shared" si="16"/>
        <v>124.89144999999999</v>
      </c>
      <c r="J55" s="10">
        <f t="shared" si="17"/>
        <v>1603.008963396273</v>
      </c>
      <c r="K55" s="10">
        <f t="shared" si="15"/>
        <v>2344.2404133962727</v>
      </c>
      <c r="L55" s="10">
        <f t="shared" si="18"/>
        <v>32887.405787547817</v>
      </c>
      <c r="M55" s="14">
        <v>32801.954890544497</v>
      </c>
      <c r="N55" s="10">
        <v>32801.954890544497</v>
      </c>
      <c r="O55" s="10">
        <f t="shared" si="19"/>
        <v>-85.450897003320279</v>
      </c>
    </row>
    <row r="56" spans="1:15" s="1" customFormat="1" x14ac:dyDescent="0.25">
      <c r="A56" s="51" t="s">
        <v>77</v>
      </c>
      <c r="B56" s="24">
        <v>15</v>
      </c>
      <c r="C56" s="10">
        <v>622.01</v>
      </c>
      <c r="D56" s="10">
        <f>'2017_2018_LABORALS'!D56*1.0025</f>
        <v>124.89144999999999</v>
      </c>
      <c r="E56" s="10">
        <f>'2017_2018_LABORALS'!E56*1.0025</f>
        <v>1566.8072500000001</v>
      </c>
      <c r="F56" s="10">
        <f t="shared" si="13"/>
        <v>2313.7087000000001</v>
      </c>
      <c r="H56" s="10">
        <v>616.34</v>
      </c>
      <c r="I56" s="10">
        <f t="shared" si="16"/>
        <v>124.89144999999999</v>
      </c>
      <c r="J56" s="10">
        <f t="shared" si="17"/>
        <v>1566.8072500000001</v>
      </c>
      <c r="K56" s="10">
        <f t="shared" si="15"/>
        <v>2308.0387000000001</v>
      </c>
      <c r="L56" s="10">
        <f t="shared" si="18"/>
        <v>32380.5818</v>
      </c>
      <c r="M56" s="14">
        <v>32296.289647580496</v>
      </c>
      <c r="N56" s="10">
        <v>32296.289647580496</v>
      </c>
      <c r="O56" s="10">
        <f t="shared" si="19"/>
        <v>-84.292152419504419</v>
      </c>
    </row>
    <row r="57" spans="1:15" s="1" customFormat="1" x14ac:dyDescent="0.25">
      <c r="B57" s="24">
        <v>14</v>
      </c>
      <c r="C57" s="10">
        <v>622.01</v>
      </c>
      <c r="D57" s="10">
        <f>'2017_2018_LABORALS'!D57*1.0025</f>
        <v>124.89144999999999</v>
      </c>
      <c r="E57" s="10">
        <f>'2017_2018_LABORALS'!E57*1.0025</f>
        <v>1472.4801634397047</v>
      </c>
      <c r="F57" s="10">
        <f t="shared" si="13"/>
        <v>2219.3816134397048</v>
      </c>
      <c r="H57" s="10">
        <v>616.34</v>
      </c>
      <c r="I57" s="10">
        <f t="shared" si="16"/>
        <v>124.89144999999999</v>
      </c>
      <c r="J57" s="10">
        <f t="shared" si="17"/>
        <v>1472.4801634397047</v>
      </c>
      <c r="K57" s="10">
        <f t="shared" si="15"/>
        <v>2213.7116134397047</v>
      </c>
      <c r="L57" s="10">
        <f t="shared" si="18"/>
        <v>31060.002588155869</v>
      </c>
      <c r="M57" s="14">
        <v>30979.108806362994</v>
      </c>
      <c r="N57" s="10">
        <v>30979.108806362994</v>
      </c>
      <c r="O57" s="10">
        <f t="shared" si="19"/>
        <v>-80.893781792874506</v>
      </c>
    </row>
    <row r="58" spans="1:15" s="1" customFormat="1" x14ac:dyDescent="0.25">
      <c r="B58" s="24">
        <v>13</v>
      </c>
      <c r="C58" s="10">
        <v>622.01</v>
      </c>
      <c r="D58" s="10">
        <f>'2017_2018_LABORALS'!D58*1.0025</f>
        <v>124.89144999999999</v>
      </c>
      <c r="E58" s="10">
        <f>'2017_2018_LABORALS'!E58*1.0025</f>
        <v>1428.02115</v>
      </c>
      <c r="F58" s="10">
        <f t="shared" si="13"/>
        <v>2174.9225999999999</v>
      </c>
      <c r="H58" s="10">
        <v>616.34</v>
      </c>
      <c r="I58" s="10">
        <f t="shared" si="16"/>
        <v>124.89144999999999</v>
      </c>
      <c r="J58" s="10">
        <f t="shared" si="17"/>
        <v>1428.02115</v>
      </c>
      <c r="K58" s="10">
        <f t="shared" si="15"/>
        <v>2169.2525999999998</v>
      </c>
      <c r="L58" s="10">
        <f t="shared" si="18"/>
        <v>30437.576399999998</v>
      </c>
      <c r="M58" s="14">
        <v>30358.319341416998</v>
      </c>
      <c r="N58" s="10">
        <v>30358.319341416998</v>
      </c>
      <c r="O58" s="10">
        <f t="shared" si="19"/>
        <v>-79.257058582999889</v>
      </c>
    </row>
    <row r="59" spans="1:15" s="1" customFormat="1" x14ac:dyDescent="0.25">
      <c r="B59" s="24">
        <v>12</v>
      </c>
      <c r="C59" s="10">
        <v>622.01</v>
      </c>
      <c r="D59" s="10">
        <f>'2017_2018_LABORALS'!D59*1.0025</f>
        <v>124.89144999999999</v>
      </c>
      <c r="E59" s="10">
        <f>'2017_2018_LABORALS'!E59*1.0025</f>
        <v>1239.1514284867458</v>
      </c>
      <c r="F59" s="10">
        <f t="shared" si="13"/>
        <v>1986.0528784867456</v>
      </c>
      <c r="H59" s="10">
        <v>616.34</v>
      </c>
      <c r="I59" s="10">
        <f t="shared" si="16"/>
        <v>124.89144999999999</v>
      </c>
      <c r="J59" s="10">
        <f t="shared" si="17"/>
        <v>1239.1514284867458</v>
      </c>
      <c r="K59" s="10">
        <f t="shared" si="15"/>
        <v>1980.3828784867458</v>
      </c>
      <c r="L59" s="10">
        <f t="shared" si="18"/>
        <v>27793.400298814438</v>
      </c>
      <c r="M59" s="14">
        <v>27720.652657393995</v>
      </c>
      <c r="N59" s="10">
        <v>27720.652657393995</v>
      </c>
      <c r="O59" s="10">
        <f t="shared" si="19"/>
        <v>-72.74764142044296</v>
      </c>
    </row>
    <row r="60" spans="1:15" s="1" customFormat="1" x14ac:dyDescent="0.25">
      <c r="B60" s="24">
        <v>11</v>
      </c>
      <c r="C60" s="10">
        <v>622.01</v>
      </c>
      <c r="D60" s="10">
        <f>'2017_2018_LABORALS'!D60*1.0025</f>
        <v>124.89144999999999</v>
      </c>
      <c r="E60" s="10">
        <f>'2017_2018_LABORALS'!E60*1.0025</f>
        <v>1233.6965499999999</v>
      </c>
      <c r="F60" s="10">
        <f t="shared" si="13"/>
        <v>1980.598</v>
      </c>
      <c r="H60" s="10">
        <v>616.34</v>
      </c>
      <c r="I60" s="10">
        <f t="shared" si="16"/>
        <v>124.89144999999999</v>
      </c>
      <c r="J60" s="10">
        <f t="shared" si="17"/>
        <v>1233.6965499999999</v>
      </c>
      <c r="K60" s="10">
        <f t="shared" si="15"/>
        <v>1974.9279999999999</v>
      </c>
      <c r="L60" s="10">
        <f t="shared" si="18"/>
        <v>27717.031999999999</v>
      </c>
      <c r="M60" s="14">
        <v>27644.362204071</v>
      </c>
      <c r="N60" s="10">
        <v>27644.362204071</v>
      </c>
      <c r="O60" s="10">
        <f t="shared" si="19"/>
        <v>-72.66979592899952</v>
      </c>
    </row>
    <row r="61" spans="1:15" s="1" customFormat="1" x14ac:dyDescent="0.25">
      <c r="B61" s="4"/>
      <c r="N61" s="10">
        <v>0</v>
      </c>
    </row>
    <row r="62" spans="1:15" x14ac:dyDescent="0.25">
      <c r="A62" s="30" t="s">
        <v>78</v>
      </c>
    </row>
    <row r="63" spans="1:15" x14ac:dyDescent="0.25">
      <c r="A63" s="33" t="s">
        <v>96</v>
      </c>
      <c r="B63" s="52"/>
      <c r="C63" s="27" t="s">
        <v>57</v>
      </c>
      <c r="D63" s="27" t="s">
        <v>58</v>
      </c>
      <c r="E63" s="27" t="s">
        <v>59</v>
      </c>
      <c r="F63" s="27" t="s">
        <v>50</v>
      </c>
      <c r="G63" s="48"/>
      <c r="H63" s="27" t="s">
        <v>57</v>
      </c>
      <c r="I63" s="27" t="s">
        <v>58</v>
      </c>
      <c r="J63" s="27" t="s">
        <v>59</v>
      </c>
      <c r="K63" s="27" t="s">
        <v>50</v>
      </c>
      <c r="M63" s="11"/>
    </row>
    <row r="64" spans="1:15" x14ac:dyDescent="0.25">
      <c r="A64" s="32" t="s">
        <v>95</v>
      </c>
      <c r="B64" s="44" t="s">
        <v>61</v>
      </c>
      <c r="C64" s="28" t="s">
        <v>62</v>
      </c>
      <c r="D64" s="28" t="s">
        <v>63</v>
      </c>
      <c r="E64" s="28" t="s">
        <v>64</v>
      </c>
      <c r="F64" s="28" t="s">
        <v>65</v>
      </c>
      <c r="G64" s="48"/>
      <c r="H64" s="28" t="s">
        <v>62</v>
      </c>
      <c r="I64" s="28" t="s">
        <v>63</v>
      </c>
      <c r="J64" s="28" t="s">
        <v>64</v>
      </c>
      <c r="K64" s="28" t="s">
        <v>65</v>
      </c>
      <c r="M64" s="12" t="s">
        <v>66</v>
      </c>
    </row>
    <row r="65" spans="1:13" s="1" customFormat="1" x14ac:dyDescent="0.25">
      <c r="A65" s="51" t="s">
        <v>77</v>
      </c>
      <c r="B65" s="24">
        <v>14</v>
      </c>
      <c r="C65" s="10">
        <v>569.29999999999995</v>
      </c>
      <c r="D65" s="10">
        <f>'2017_2018_LABORALS'!D65*1.0025</f>
        <v>107.96925</v>
      </c>
      <c r="E65" s="10">
        <f>'2017_2018_LABORALS'!E65*1.0025</f>
        <v>1730.5301873169753</v>
      </c>
      <c r="F65" s="10">
        <f t="shared" ref="F65:F69" si="20">SUM(C65:E65)</f>
        <v>2407.7994373169754</v>
      </c>
      <c r="H65" s="10">
        <v>569.29999999999995</v>
      </c>
      <c r="I65" s="10">
        <f t="shared" ref="I65:J65" si="21">D65</f>
        <v>107.96925</v>
      </c>
      <c r="J65" s="10">
        <f t="shared" si="21"/>
        <v>1730.5301873169753</v>
      </c>
      <c r="K65" s="10">
        <f t="shared" ref="K65:K69" si="22">SUM(H65:J65)</f>
        <v>2407.7994373169754</v>
      </c>
      <c r="M65" s="10">
        <v>33588.008721111997</v>
      </c>
    </row>
    <row r="66" spans="1:13" s="1" customFormat="1" x14ac:dyDescent="0.25">
      <c r="B66" s="24">
        <v>13</v>
      </c>
      <c r="C66" s="10">
        <v>569.29999999999995</v>
      </c>
      <c r="D66" s="10">
        <f>'2017_2018_LABORALS'!D66*1.0025</f>
        <v>107.96925</v>
      </c>
      <c r="E66" s="10">
        <f>'2017_2018_LABORALS'!E66*1.0025</f>
        <v>1502.0557749999998</v>
      </c>
      <c r="F66" s="10">
        <f t="shared" si="20"/>
        <v>2179.3250249999996</v>
      </c>
      <c r="H66" s="10">
        <v>569.29999999999995</v>
      </c>
      <c r="I66" s="10">
        <f t="shared" ref="I66:J69" si="23">D66</f>
        <v>107.96925</v>
      </c>
      <c r="J66" s="10">
        <f t="shared" si="23"/>
        <v>1502.0557749999998</v>
      </c>
      <c r="K66" s="10">
        <f t="shared" si="22"/>
        <v>2179.3250249999996</v>
      </c>
      <c r="M66" s="10">
        <v>30401.955636163002</v>
      </c>
    </row>
    <row r="67" spans="1:13" s="1" customFormat="1" x14ac:dyDescent="0.25">
      <c r="B67" s="24">
        <v>12</v>
      </c>
      <c r="C67" s="10">
        <v>569.29999999999995</v>
      </c>
      <c r="D67" s="10">
        <f>'2017_2018_LABORALS'!D67*1.0025</f>
        <v>107.96925</v>
      </c>
      <c r="E67" s="10">
        <f>'2017_2018_LABORALS'!E67*1.0025</f>
        <v>1307.4604999999999</v>
      </c>
      <c r="F67" s="10">
        <f t="shared" si="20"/>
        <v>1984.72975</v>
      </c>
      <c r="H67" s="10">
        <v>569.29999999999995</v>
      </c>
      <c r="I67" s="10">
        <f t="shared" si="23"/>
        <v>107.96925</v>
      </c>
      <c r="J67" s="10">
        <f t="shared" si="23"/>
        <v>1307.4604999999999</v>
      </c>
      <c r="K67" s="10">
        <f t="shared" si="22"/>
        <v>1984.72975</v>
      </c>
      <c r="M67" s="10">
        <v>27688.261839349001</v>
      </c>
    </row>
    <row r="68" spans="1:13" s="1" customFormat="1" x14ac:dyDescent="0.25">
      <c r="B68" s="24">
        <v>11</v>
      </c>
      <c r="C68" s="10">
        <v>569.29999999999995</v>
      </c>
      <c r="D68" s="10">
        <f>'2017_2018_LABORALS'!D68*1.0025</f>
        <v>107.96925</v>
      </c>
      <c r="E68" s="10">
        <f>'2017_2018_LABORALS'!E68*1.00250199</f>
        <v>1302.1651965058836</v>
      </c>
      <c r="F68" s="10">
        <f t="shared" si="20"/>
        <v>1979.4344465058834</v>
      </c>
      <c r="H68" s="10">
        <v>569.29999999999995</v>
      </c>
      <c r="I68" s="10">
        <f t="shared" si="23"/>
        <v>107.96925</v>
      </c>
      <c r="J68" s="10">
        <f t="shared" si="23"/>
        <v>1302.1651965058836</v>
      </c>
      <c r="K68" s="10">
        <f t="shared" si="22"/>
        <v>1979.4344465058834</v>
      </c>
      <c r="M68" s="10">
        <v>27614.279511250999</v>
      </c>
    </row>
    <row r="69" spans="1:13" s="1" customFormat="1" x14ac:dyDescent="0.25">
      <c r="B69" s="24">
        <v>10</v>
      </c>
      <c r="C69" s="10">
        <v>569.29999999999995</v>
      </c>
      <c r="D69" s="10">
        <f>'2017_2018_LABORALS'!D69*1.0025</f>
        <v>107.96925</v>
      </c>
      <c r="E69" s="10">
        <f>'2017_2018_LABORALS'!E69*1.00250199</f>
        <v>1057.4663523114541</v>
      </c>
      <c r="F69" s="10">
        <f t="shared" si="20"/>
        <v>1734.7356023114539</v>
      </c>
      <c r="H69" s="10">
        <v>569.29999999999995</v>
      </c>
      <c r="I69" s="10">
        <f t="shared" si="23"/>
        <v>107.96925</v>
      </c>
      <c r="J69" s="10">
        <f t="shared" si="23"/>
        <v>1057.4663523114541</v>
      </c>
      <c r="K69" s="10">
        <f t="shared" si="22"/>
        <v>1734.7356023114539</v>
      </c>
      <c r="M69" s="10">
        <v>24201.879006135994</v>
      </c>
    </row>
    <row r="70" spans="1:13" s="1" customFormat="1" x14ac:dyDescent="0.25">
      <c r="B70" s="4"/>
    </row>
    <row r="71" spans="1:13" x14ac:dyDescent="0.25">
      <c r="C71" s="135" t="s">
        <v>79</v>
      </c>
      <c r="D71" s="135"/>
      <c r="F71" s="35" t="s">
        <v>19</v>
      </c>
      <c r="G71" s="20"/>
      <c r="H71" s="20"/>
    </row>
    <row r="72" spans="1:13" x14ac:dyDescent="0.25">
      <c r="C72" s="38" t="s">
        <v>80</v>
      </c>
      <c r="D72" s="38" t="s">
        <v>81</v>
      </c>
    </row>
    <row r="73" spans="1:13" x14ac:dyDescent="0.25">
      <c r="B73" s="37" t="s">
        <v>35</v>
      </c>
      <c r="C73" s="38" t="s">
        <v>82</v>
      </c>
      <c r="D73" s="38" t="s">
        <v>83</v>
      </c>
      <c r="F73" s="2" t="s">
        <v>20</v>
      </c>
      <c r="G73" s="2"/>
      <c r="H73" s="2"/>
      <c r="I73" s="3"/>
      <c r="J73" s="3">
        <v>522.03</v>
      </c>
      <c r="K73" s="3"/>
    </row>
    <row r="74" spans="1:13" x14ac:dyDescent="0.25">
      <c r="B74" s="4" t="s">
        <v>37</v>
      </c>
      <c r="C74">
        <v>44.29</v>
      </c>
      <c r="D74">
        <v>27.33</v>
      </c>
      <c r="F74" s="2" t="s">
        <v>21</v>
      </c>
      <c r="G74" s="2"/>
      <c r="H74" s="2"/>
      <c r="I74" s="3"/>
      <c r="J74" s="3">
        <v>1635.55</v>
      </c>
      <c r="K74" s="3"/>
    </row>
    <row r="75" spans="1:13" x14ac:dyDescent="0.25">
      <c r="B75" s="4" t="s">
        <v>38</v>
      </c>
      <c r="C75">
        <v>36.11</v>
      </c>
      <c r="D75">
        <v>26.33</v>
      </c>
      <c r="F75" s="2"/>
      <c r="G75" s="2"/>
      <c r="H75" s="2"/>
      <c r="I75" s="3"/>
      <c r="J75" s="3"/>
      <c r="K75" s="3"/>
    </row>
    <row r="76" spans="1:13" x14ac:dyDescent="0.25">
      <c r="B76" s="4" t="s">
        <v>39</v>
      </c>
      <c r="C76">
        <v>27.33</v>
      </c>
      <c r="D76" s="64">
        <v>23.6</v>
      </c>
      <c r="F76" s="39" t="s">
        <v>84</v>
      </c>
      <c r="G76" s="21"/>
      <c r="H76" s="21"/>
      <c r="I76" s="3"/>
      <c r="J76" s="3" t="s">
        <v>23</v>
      </c>
      <c r="K76" s="3" t="s">
        <v>24</v>
      </c>
    </row>
    <row r="77" spans="1:13" x14ac:dyDescent="0.25">
      <c r="B77" s="4" t="s">
        <v>40</v>
      </c>
      <c r="C77" s="64">
        <v>18.600000000000001</v>
      </c>
      <c r="D77">
        <v>18.420000000000002</v>
      </c>
      <c r="F77" s="2" t="s">
        <v>85</v>
      </c>
      <c r="G77" s="2"/>
      <c r="H77" s="2"/>
      <c r="I77" s="22">
        <v>0.25219999999999998</v>
      </c>
      <c r="J77" s="3">
        <v>0.19</v>
      </c>
      <c r="K77" s="22">
        <v>6.2199999999999998E-2</v>
      </c>
    </row>
    <row r="78" spans="1:13" x14ac:dyDescent="0.25">
      <c r="B78" s="4" t="s">
        <v>86</v>
      </c>
      <c r="C78" s="64">
        <v>14</v>
      </c>
      <c r="D78" s="64">
        <v>14</v>
      </c>
      <c r="F78" s="2" t="s">
        <v>27</v>
      </c>
      <c r="G78" s="2"/>
      <c r="H78" s="2"/>
      <c r="I78" s="3">
        <v>9</v>
      </c>
      <c r="J78" s="3">
        <v>0</v>
      </c>
      <c r="K78" s="3">
        <v>9</v>
      </c>
    </row>
    <row r="79" spans="1:13" x14ac:dyDescent="0.25">
      <c r="F79" s="2" t="s">
        <v>87</v>
      </c>
      <c r="G79" s="2"/>
      <c r="H79" s="2"/>
      <c r="I79" s="3">
        <v>180.10824999999997</v>
      </c>
      <c r="J79" s="3"/>
      <c r="K79" s="3"/>
    </row>
    <row r="80" spans="1:13" x14ac:dyDescent="0.25">
      <c r="I80" s="1"/>
      <c r="J80" s="1"/>
      <c r="K80" s="1"/>
    </row>
    <row r="81" spans="2:11" x14ac:dyDescent="0.25">
      <c r="B81" s="4" t="s">
        <v>88</v>
      </c>
      <c r="C81" t="s">
        <v>89</v>
      </c>
      <c r="I81" s="1"/>
      <c r="J81" s="1"/>
      <c r="K81" s="1"/>
    </row>
    <row r="82" spans="2:11" x14ac:dyDescent="0.25">
      <c r="I82" s="1"/>
      <c r="J82" s="1"/>
      <c r="K82" s="1"/>
    </row>
  </sheetData>
  <mergeCells count="2">
    <mergeCell ref="A2:G2"/>
    <mergeCell ref="C71:D71"/>
  </mergeCells>
  <pageMargins left="0.70866141732283472" right="0.70866141732283472" top="2.2799999999999998" bottom="0.74803149606299213" header="1.2" footer="0.31496062992125984"/>
  <pageSetup paperSize="9" scale="64" orientation="landscape" r:id="rId1"/>
  <headerFooter>
    <oddHeader>&amp;L&amp;G</oddHeader>
    <oddFooter>&amp;R&amp;G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5</vt:i4>
      </vt:variant>
    </vt:vector>
  </HeadingPairs>
  <TitlesOfParts>
    <vt:vector size="17" baseType="lpstr">
      <vt:lpstr>CALCULS_2n2018_FUNC</vt:lpstr>
      <vt:lpstr>2019_FUN_mensual_AMB_225</vt:lpstr>
      <vt:lpstr>2019_FUN_ANUAL_AMB_PGE_225</vt:lpstr>
      <vt:lpstr>2017_ANY_FUN</vt:lpstr>
      <vt:lpstr>2017_ANY_mensual</vt:lpstr>
      <vt:lpstr>2018_ANY_FUN </vt:lpstr>
      <vt:lpstr>2017_2018_LABORALS</vt:lpstr>
      <vt:lpstr>2019_LABORALS</vt:lpstr>
      <vt:lpstr>2018_2nSEMESTRE_LABORALS</vt:lpstr>
      <vt:lpstr>2017_LABORALS</vt:lpstr>
      <vt:lpstr>Hoja1</vt:lpstr>
      <vt:lpstr>Hoja2</vt:lpstr>
      <vt:lpstr>'2018_2nSEMESTRE_LABORALS'!Área_de_impresión</vt:lpstr>
      <vt:lpstr>'2019_FUN_ANUAL_AMB_PGE_225'!Área_de_impresión</vt:lpstr>
      <vt:lpstr>'2019_FUN_mensual_AMB_225'!Área_de_impresión</vt:lpstr>
      <vt:lpstr>CALCULS_2n2018_FUNC!Área_de_impresión</vt:lpstr>
      <vt:lpstr>Hoja1!Área_de_impresión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Jose Montero</dc:creator>
  <cp:lastModifiedBy>Pilar Vicente</cp:lastModifiedBy>
  <cp:lastPrinted>2019-04-01T14:37:06Z</cp:lastPrinted>
  <dcterms:created xsi:type="dcterms:W3CDTF">2018-07-06T11:19:17Z</dcterms:created>
  <dcterms:modified xsi:type="dcterms:W3CDTF">2020-06-12T06:18:11Z</dcterms:modified>
</cp:coreProperties>
</file>