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8675" windowHeight="11550" tabRatio="802" firstSheet="11" activeTab="18"/>
  </bookViews>
  <sheets>
    <sheet name="0,3+2% ESBOR" sheetId="17" r:id="rId1"/>
    <sheet name="0,3+2% ESBORR ANY" sheetId="18" r:id="rId2"/>
    <sheet name="abril anual funcionaris" sheetId="1" r:id="rId3"/>
    <sheet name="abril mensual funcionaris" sheetId="2" state="hidden" r:id="rId4"/>
    <sheet name="abril laborals" sheetId="3" state="hidden" r:id="rId5"/>
    <sheet name="jul mensual func" sheetId="4" state="hidden" r:id="rId6"/>
    <sheet name="jul anual fun" sheetId="6" state="hidden" r:id="rId7"/>
    <sheet name="jul lab" sheetId="5" state="hidden" r:id="rId8"/>
    <sheet name="Oct mes fun" sheetId="7" state="hidden" r:id="rId9"/>
    <sheet name="Octubre anual fun" sheetId="9" state="hidden" r:id="rId10"/>
    <sheet name="octubre lab" sheetId="10" state="hidden" r:id="rId11"/>
    <sheet name="2020" sheetId="11" r:id="rId12"/>
    <sheet name="CE mes" sheetId="12" r:id="rId13"/>
    <sheet name="CE any" sheetId="13" r:id="rId14"/>
    <sheet name="0,3 Fun mes" sheetId="15" r:id="rId15"/>
    <sheet name="Fun Fun any" sheetId="16" r:id="rId16"/>
    <sheet name="RDL 2-2020 2%" sheetId="19" r:id="rId17"/>
    <sheet name="0,3+2% ANY FUN" sheetId="23" r:id="rId18"/>
    <sheet name="0,3+2% MES FUN" sheetId="22" r:id="rId19"/>
    <sheet name="0,3+2% LAB" sheetId="14" r:id="rId20"/>
    <sheet name="ENDERRERIMENTS FEBRER" sheetId="25" r:id="rId21"/>
  </sheets>
  <calcPr calcId="145621"/>
</workbook>
</file>

<file path=xl/calcChain.xml><?xml version="1.0" encoding="utf-8"?>
<calcChain xmlns="http://schemas.openxmlformats.org/spreadsheetml/2006/main">
  <c r="F27" i="14" l="1"/>
  <c r="F26" i="14"/>
  <c r="F25" i="14"/>
  <c r="D35" i="14"/>
  <c r="D34" i="14"/>
  <c r="D33" i="14"/>
  <c r="D32" i="14"/>
  <c r="D31" i="14"/>
  <c r="D30" i="14"/>
  <c r="D29" i="14"/>
  <c r="D28" i="14"/>
  <c r="D27" i="14"/>
  <c r="D26" i="14"/>
  <c r="D25" i="14"/>
  <c r="D36" i="14"/>
  <c r="F19" i="14"/>
  <c r="F18" i="14"/>
  <c r="F17" i="14"/>
  <c r="F16" i="14"/>
  <c r="F15" i="14"/>
  <c r="F14" i="14"/>
  <c r="F13" i="14"/>
  <c r="F12" i="14"/>
  <c r="F11" i="14"/>
  <c r="E19" i="14"/>
  <c r="E18" i="14"/>
  <c r="E17" i="14"/>
  <c r="E16" i="14"/>
  <c r="E15" i="14"/>
  <c r="E14" i="14"/>
  <c r="E13" i="14"/>
  <c r="E12" i="14"/>
  <c r="E11" i="14"/>
  <c r="D11" i="14"/>
  <c r="D19" i="14"/>
  <c r="D18" i="14"/>
  <c r="D17" i="14"/>
  <c r="D16" i="14"/>
  <c r="D15" i="14"/>
  <c r="D14" i="14"/>
  <c r="D13" i="14"/>
  <c r="D12" i="14"/>
  <c r="G26" i="14" l="1"/>
  <c r="K26" i="14" s="1"/>
  <c r="L26" i="14" s="1"/>
  <c r="M26" i="14" s="1"/>
  <c r="K70" i="14" l="1"/>
  <c r="K71" i="14"/>
  <c r="K72" i="14"/>
  <c r="K73" i="14"/>
  <c r="K69" i="14"/>
  <c r="G64" i="14"/>
  <c r="K64" i="14"/>
  <c r="G63" i="14"/>
  <c r="K63" i="14" s="1"/>
  <c r="G62" i="14"/>
  <c r="K62" i="14" s="1"/>
  <c r="G61" i="14"/>
  <c r="K61" i="14" s="1"/>
  <c r="G60" i="14"/>
  <c r="K60" i="14" s="1"/>
  <c r="G59" i="14"/>
  <c r="K59" i="14" s="1"/>
  <c r="G58" i="14"/>
  <c r="K58" i="14" s="1"/>
  <c r="G57" i="14"/>
  <c r="K57" i="14" s="1"/>
  <c r="G56" i="14"/>
  <c r="K56" i="14" s="1"/>
  <c r="G50" i="14"/>
  <c r="K50" i="14" s="1"/>
  <c r="G49" i="14"/>
  <c r="K49" i="14" s="1"/>
  <c r="G48" i="14"/>
  <c r="K48" i="14" s="1"/>
  <c r="G47" i="14"/>
  <c r="G46" i="14"/>
  <c r="K46" i="14" s="1"/>
  <c r="G45" i="14"/>
  <c r="K45" i="14" s="1"/>
  <c r="G44" i="14"/>
  <c r="G43" i="14"/>
  <c r="K43" i="14" s="1"/>
  <c r="G42" i="14"/>
  <c r="K42" i="14" s="1"/>
  <c r="L42" i="14" s="1"/>
  <c r="K44" i="14"/>
  <c r="K47" i="14"/>
  <c r="G36" i="14"/>
  <c r="K36" i="14" s="1"/>
  <c r="G35" i="14"/>
  <c r="K35" i="14"/>
  <c r="G34" i="14"/>
  <c r="K34" i="14" s="1"/>
  <c r="G33" i="14"/>
  <c r="G32" i="14"/>
  <c r="K32" i="14" s="1"/>
  <c r="G31" i="14"/>
  <c r="K31" i="14" s="1"/>
  <c r="G30" i="14"/>
  <c r="G29" i="14"/>
  <c r="K29" i="14" s="1"/>
  <c r="G28" i="14"/>
  <c r="K28" i="14" s="1"/>
  <c r="G27" i="14"/>
  <c r="K27" i="14" s="1"/>
  <c r="K30" i="14"/>
  <c r="K33" i="14"/>
  <c r="G19" i="14"/>
  <c r="G18" i="14"/>
  <c r="G17" i="14"/>
  <c r="G16" i="14"/>
  <c r="G15" i="14"/>
  <c r="L15" i="14"/>
  <c r="G14" i="14"/>
  <c r="G13" i="14"/>
  <c r="L12" i="14"/>
  <c r="L14" i="14"/>
  <c r="L13" i="14"/>
  <c r="L16" i="14"/>
  <c r="L17" i="14"/>
  <c r="L18" i="14"/>
  <c r="L19" i="14"/>
  <c r="L11" i="14"/>
  <c r="H11" i="14"/>
  <c r="E9" i="22"/>
  <c r="H42" i="14" l="1"/>
  <c r="M11" i="14"/>
  <c r="M41" i="25" l="1"/>
  <c r="N41" i="25"/>
  <c r="O41" i="25"/>
  <c r="P41" i="25"/>
  <c r="Q41" i="25"/>
  <c r="R41" i="25"/>
  <c r="S41" i="25"/>
  <c r="T41" i="25"/>
  <c r="U41" i="25"/>
  <c r="L41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F27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C15" i="25"/>
  <c r="X40" i="25"/>
  <c r="W40" i="25"/>
  <c r="V40" i="25"/>
  <c r="X39" i="25"/>
  <c r="W39" i="25"/>
  <c r="V39" i="25"/>
  <c r="X38" i="25"/>
  <c r="W38" i="25"/>
  <c r="V38" i="25"/>
  <c r="C15" i="22"/>
  <c r="C8" i="22"/>
  <c r="R41" i="22" l="1"/>
  <c r="O41" i="23" l="1"/>
  <c r="S41" i="23"/>
  <c r="X51" i="23"/>
  <c r="X55" i="23" s="1"/>
  <c r="W51" i="23"/>
  <c r="W55" i="23" s="1"/>
  <c r="V51" i="23"/>
  <c r="U51" i="23"/>
  <c r="T51" i="23"/>
  <c r="T55" i="23" s="1"/>
  <c r="S51" i="23"/>
  <c r="S55" i="23" s="1"/>
  <c r="R51" i="23"/>
  <c r="Q51" i="23"/>
  <c r="P51" i="23"/>
  <c r="P55" i="23" s="1"/>
  <c r="O51" i="23"/>
  <c r="F56" i="14" s="1"/>
  <c r="U37" i="23"/>
  <c r="U41" i="23" s="1"/>
  <c r="T37" i="23"/>
  <c r="T41" i="23" s="1"/>
  <c r="S37" i="23"/>
  <c r="R37" i="23"/>
  <c r="R41" i="23" s="1"/>
  <c r="Q37" i="23"/>
  <c r="Q41" i="23" s="1"/>
  <c r="P37" i="23"/>
  <c r="P41" i="23" s="1"/>
  <c r="O37" i="23"/>
  <c r="N37" i="23"/>
  <c r="N41" i="23" s="1"/>
  <c r="M37" i="23"/>
  <c r="M41" i="23" s="1"/>
  <c r="L37" i="23"/>
  <c r="R23" i="23"/>
  <c r="R27" i="23" s="1"/>
  <c r="Q23" i="23"/>
  <c r="Q27" i="23" s="1"/>
  <c r="P23" i="23"/>
  <c r="P27" i="23" s="1"/>
  <c r="N23" i="23"/>
  <c r="N27" i="23" s="1"/>
  <c r="M23" i="23"/>
  <c r="M27" i="23" s="1"/>
  <c r="L23" i="23"/>
  <c r="L27" i="23" s="1"/>
  <c r="K23" i="23"/>
  <c r="J23" i="23"/>
  <c r="J27" i="23" s="1"/>
  <c r="I23" i="23"/>
  <c r="I27" i="23" s="1"/>
  <c r="H23" i="23"/>
  <c r="H27" i="23" s="1"/>
  <c r="G23" i="23"/>
  <c r="F23" i="23"/>
  <c r="D11" i="23"/>
  <c r="D15" i="23" s="1"/>
  <c r="E11" i="23"/>
  <c r="E15" i="23" s="1"/>
  <c r="F11" i="23"/>
  <c r="G11" i="23"/>
  <c r="H11" i="23"/>
  <c r="H15" i="23" s="1"/>
  <c r="I11" i="23"/>
  <c r="I15" i="23" s="1"/>
  <c r="J11" i="23"/>
  <c r="K11" i="23"/>
  <c r="L11" i="23"/>
  <c r="L15" i="23" s="1"/>
  <c r="M11" i="23"/>
  <c r="M15" i="23" s="1"/>
  <c r="N11" i="23"/>
  <c r="O11" i="23"/>
  <c r="P11" i="23"/>
  <c r="P15" i="23" s="1"/>
  <c r="C11" i="23"/>
  <c r="C15" i="23" s="1"/>
  <c r="X50" i="23"/>
  <c r="W50" i="23"/>
  <c r="V50" i="23"/>
  <c r="U50" i="23"/>
  <c r="T50" i="23"/>
  <c r="S50" i="23"/>
  <c r="R50" i="23"/>
  <c r="Q50" i="23"/>
  <c r="P50" i="23"/>
  <c r="O50" i="23"/>
  <c r="U36" i="23"/>
  <c r="T36" i="23"/>
  <c r="S36" i="23"/>
  <c r="R36" i="23"/>
  <c r="Q36" i="23"/>
  <c r="P36" i="23"/>
  <c r="O36" i="23"/>
  <c r="N36" i="23"/>
  <c r="M36" i="23"/>
  <c r="L36" i="23"/>
  <c r="L41" i="23" s="1"/>
  <c r="R22" i="23"/>
  <c r="Q22" i="23"/>
  <c r="P22" i="23"/>
  <c r="O22" i="23"/>
  <c r="O27" i="23" s="1"/>
  <c r="N22" i="23"/>
  <c r="M22" i="23"/>
  <c r="L22" i="23"/>
  <c r="K22" i="23"/>
  <c r="K27" i="23" s="1"/>
  <c r="J22" i="23"/>
  <c r="I22" i="23"/>
  <c r="H22" i="23"/>
  <c r="G22" i="23"/>
  <c r="G27" i="23" s="1"/>
  <c r="F22" i="23"/>
  <c r="D10" i="23"/>
  <c r="E10" i="23"/>
  <c r="F10" i="23"/>
  <c r="F15" i="23" s="1"/>
  <c r="G10" i="23"/>
  <c r="H10" i="23"/>
  <c r="I10" i="23"/>
  <c r="J10" i="23"/>
  <c r="J15" i="23" s="1"/>
  <c r="K10" i="23"/>
  <c r="L10" i="23"/>
  <c r="M10" i="23"/>
  <c r="N10" i="23"/>
  <c r="N15" i="23" s="1"/>
  <c r="O10" i="23"/>
  <c r="P10" i="23"/>
  <c r="C10" i="23"/>
  <c r="X49" i="23"/>
  <c r="W49" i="23"/>
  <c r="V49" i="23"/>
  <c r="U49" i="23"/>
  <c r="T49" i="23"/>
  <c r="S49" i="23"/>
  <c r="R49" i="23"/>
  <c r="Q49" i="23"/>
  <c r="P49" i="23"/>
  <c r="O49" i="23"/>
  <c r="X48" i="23"/>
  <c r="W48" i="23"/>
  <c r="V48" i="23"/>
  <c r="U48" i="23"/>
  <c r="T48" i="23"/>
  <c r="S48" i="23"/>
  <c r="R48" i="23"/>
  <c r="Q48" i="23"/>
  <c r="P48" i="23"/>
  <c r="O48" i="23"/>
  <c r="U35" i="23"/>
  <c r="T35" i="23"/>
  <c r="S35" i="23"/>
  <c r="R35" i="23"/>
  <c r="Q35" i="23"/>
  <c r="P35" i="23"/>
  <c r="O35" i="23"/>
  <c r="N35" i="23"/>
  <c r="M35" i="23"/>
  <c r="L35" i="23"/>
  <c r="U34" i="23"/>
  <c r="T34" i="23"/>
  <c r="S34" i="23"/>
  <c r="R34" i="23"/>
  <c r="Q34" i="23"/>
  <c r="P34" i="23"/>
  <c r="O34" i="23"/>
  <c r="N34" i="23"/>
  <c r="M34" i="23"/>
  <c r="L34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F27" i="23" s="1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P9" i="23"/>
  <c r="O9" i="23"/>
  <c r="O15" i="23" s="1"/>
  <c r="N9" i="23"/>
  <c r="M9" i="23"/>
  <c r="L9" i="23"/>
  <c r="K9" i="23"/>
  <c r="K15" i="23" s="1"/>
  <c r="J9" i="23"/>
  <c r="I9" i="23"/>
  <c r="H9" i="23"/>
  <c r="G9" i="23"/>
  <c r="G15" i="23" s="1"/>
  <c r="F9" i="23"/>
  <c r="E9" i="23"/>
  <c r="D9" i="23"/>
  <c r="C9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X54" i="23"/>
  <c r="W54" i="23"/>
  <c r="V54" i="23"/>
  <c r="U54" i="23"/>
  <c r="T54" i="23"/>
  <c r="S54" i="23"/>
  <c r="R54" i="23"/>
  <c r="Q54" i="23"/>
  <c r="P54" i="23"/>
  <c r="O54" i="23"/>
  <c r="X53" i="23"/>
  <c r="W53" i="23"/>
  <c r="V53" i="23"/>
  <c r="U53" i="23"/>
  <c r="T53" i="23"/>
  <c r="S53" i="23"/>
  <c r="R53" i="23"/>
  <c r="Q53" i="23"/>
  <c r="P53" i="23"/>
  <c r="O53" i="23"/>
  <c r="X52" i="23"/>
  <c r="W52" i="23"/>
  <c r="V52" i="23"/>
  <c r="U52" i="23"/>
  <c r="T52" i="23"/>
  <c r="S52" i="23"/>
  <c r="R52" i="23"/>
  <c r="Q52" i="23"/>
  <c r="P52" i="23"/>
  <c r="O52" i="23"/>
  <c r="U40" i="23"/>
  <c r="T40" i="23"/>
  <c r="S40" i="23"/>
  <c r="R40" i="23"/>
  <c r="Q40" i="23"/>
  <c r="P40" i="23"/>
  <c r="O40" i="23"/>
  <c r="N40" i="23"/>
  <c r="M40" i="23"/>
  <c r="L40" i="23"/>
  <c r="U39" i="23"/>
  <c r="T39" i="23"/>
  <c r="S39" i="23"/>
  <c r="R39" i="23"/>
  <c r="Q39" i="23"/>
  <c r="P39" i="23"/>
  <c r="O39" i="23"/>
  <c r="N39" i="23"/>
  <c r="M39" i="23"/>
  <c r="L39" i="23"/>
  <c r="U38" i="23"/>
  <c r="T38" i="23"/>
  <c r="S38" i="23"/>
  <c r="R38" i="23"/>
  <c r="Q38" i="23"/>
  <c r="P38" i="23"/>
  <c r="O38" i="23"/>
  <c r="N38" i="23"/>
  <c r="M38" i="23"/>
  <c r="L38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X54" i="22"/>
  <c r="W54" i="22"/>
  <c r="V54" i="22"/>
  <c r="U54" i="22"/>
  <c r="T54" i="22"/>
  <c r="S54" i="22"/>
  <c r="R54" i="22"/>
  <c r="Q54" i="22"/>
  <c r="P54" i="22"/>
  <c r="O54" i="22"/>
  <c r="X53" i="22"/>
  <c r="W53" i="22"/>
  <c r="V53" i="22"/>
  <c r="U53" i="22"/>
  <c r="T53" i="22"/>
  <c r="S53" i="22"/>
  <c r="R53" i="22"/>
  <c r="Q53" i="22"/>
  <c r="P53" i="22"/>
  <c r="O53" i="22"/>
  <c r="X52" i="22"/>
  <c r="W52" i="22"/>
  <c r="V52" i="22"/>
  <c r="U52" i="22"/>
  <c r="T52" i="22"/>
  <c r="S52" i="22"/>
  <c r="R52" i="22"/>
  <c r="Q52" i="22"/>
  <c r="P52" i="22"/>
  <c r="O52" i="22"/>
  <c r="X51" i="22"/>
  <c r="W51" i="22"/>
  <c r="W55" i="22" s="1"/>
  <c r="W55" i="25" s="1"/>
  <c r="V51" i="22"/>
  <c r="U51" i="22"/>
  <c r="T51" i="22"/>
  <c r="S51" i="22"/>
  <c r="R51" i="22"/>
  <c r="Q51" i="22"/>
  <c r="P51" i="22"/>
  <c r="O51" i="22"/>
  <c r="O55" i="22" s="1"/>
  <c r="X50" i="22"/>
  <c r="W50" i="22"/>
  <c r="V50" i="22"/>
  <c r="U50" i="22"/>
  <c r="T50" i="22"/>
  <c r="T55" i="22" s="1"/>
  <c r="T55" i="25" s="1"/>
  <c r="S50" i="22"/>
  <c r="R50" i="22"/>
  <c r="Q50" i="22"/>
  <c r="P50" i="22"/>
  <c r="P55" i="22" s="1"/>
  <c r="P55" i="25" s="1"/>
  <c r="O50" i="22"/>
  <c r="X49" i="22"/>
  <c r="W49" i="22"/>
  <c r="V49" i="22"/>
  <c r="U49" i="22"/>
  <c r="U55" i="22" s="1"/>
  <c r="U55" i="25" s="1"/>
  <c r="T49" i="22"/>
  <c r="S49" i="22"/>
  <c r="R49" i="22"/>
  <c r="Q49" i="22"/>
  <c r="Q55" i="22" s="1"/>
  <c r="Q55" i="25" s="1"/>
  <c r="P49" i="22"/>
  <c r="O49" i="22"/>
  <c r="X48" i="22"/>
  <c r="W48" i="22"/>
  <c r="V48" i="22"/>
  <c r="U48" i="22"/>
  <c r="T48" i="22"/>
  <c r="S48" i="22"/>
  <c r="R48" i="22"/>
  <c r="Q48" i="22"/>
  <c r="P48" i="22"/>
  <c r="O48" i="22"/>
  <c r="U40" i="22"/>
  <c r="T40" i="22"/>
  <c r="S40" i="22"/>
  <c r="R40" i="22"/>
  <c r="Q40" i="22"/>
  <c r="P40" i="22"/>
  <c r="O40" i="22"/>
  <c r="N40" i="22"/>
  <c r="M40" i="22"/>
  <c r="L40" i="22"/>
  <c r="U39" i="22"/>
  <c r="T39" i="22"/>
  <c r="S39" i="22"/>
  <c r="R39" i="22"/>
  <c r="Q39" i="22"/>
  <c r="P39" i="22"/>
  <c r="O39" i="22"/>
  <c r="N39" i="22"/>
  <c r="M39" i="22"/>
  <c r="L39" i="22"/>
  <c r="U38" i="22"/>
  <c r="T38" i="22"/>
  <c r="S38" i="22"/>
  <c r="R38" i="22"/>
  <c r="Q38" i="22"/>
  <c r="P38" i="22"/>
  <c r="O38" i="22"/>
  <c r="N38" i="22"/>
  <c r="M38" i="22"/>
  <c r="L38" i="22"/>
  <c r="U37" i="22"/>
  <c r="T37" i="22"/>
  <c r="S37" i="22"/>
  <c r="R37" i="22"/>
  <c r="Q37" i="22"/>
  <c r="P37" i="22"/>
  <c r="O37" i="22"/>
  <c r="N37" i="22"/>
  <c r="M37" i="22"/>
  <c r="L37" i="22"/>
  <c r="U36" i="22"/>
  <c r="T36" i="22"/>
  <c r="S36" i="22"/>
  <c r="R36" i="22"/>
  <c r="Q36" i="22"/>
  <c r="P36" i="22"/>
  <c r="O36" i="22"/>
  <c r="N36" i="22"/>
  <c r="M36" i="22"/>
  <c r="L36" i="22"/>
  <c r="U35" i="22"/>
  <c r="T35" i="22"/>
  <c r="S35" i="22"/>
  <c r="R35" i="22"/>
  <c r="Q35" i="22"/>
  <c r="P35" i="22"/>
  <c r="O35" i="22"/>
  <c r="N35" i="22"/>
  <c r="M35" i="22"/>
  <c r="L35" i="22"/>
  <c r="U34" i="22"/>
  <c r="T34" i="22"/>
  <c r="S34" i="22"/>
  <c r="R34" i="22"/>
  <c r="Q34" i="22"/>
  <c r="P34" i="22"/>
  <c r="O34" i="22"/>
  <c r="N34" i="22"/>
  <c r="M34" i="22"/>
  <c r="L34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R21" i="22"/>
  <c r="Q21" i="22"/>
  <c r="P21" i="22"/>
  <c r="O21" i="22"/>
  <c r="O27" i="22" s="1"/>
  <c r="N21" i="22"/>
  <c r="M21" i="22"/>
  <c r="L21" i="22"/>
  <c r="K21" i="22"/>
  <c r="J21" i="22"/>
  <c r="I21" i="22"/>
  <c r="H21" i="22"/>
  <c r="H27" i="22" s="1"/>
  <c r="G21" i="22"/>
  <c r="G27" i="22" s="1"/>
  <c r="F21" i="22"/>
  <c r="R20" i="22"/>
  <c r="R27" i="22" s="1"/>
  <c r="Q20" i="22"/>
  <c r="Q27" i="22" s="1"/>
  <c r="P20" i="22"/>
  <c r="O20" i="22"/>
  <c r="N20" i="22"/>
  <c r="M20" i="22"/>
  <c r="L20" i="22"/>
  <c r="K20" i="22"/>
  <c r="J20" i="22"/>
  <c r="J27" i="22" s="1"/>
  <c r="I20" i="22"/>
  <c r="H20" i="22"/>
  <c r="G20" i="22"/>
  <c r="F20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P9" i="22"/>
  <c r="O9" i="22"/>
  <c r="N9" i="22"/>
  <c r="M9" i="22"/>
  <c r="L9" i="22"/>
  <c r="K9" i="22"/>
  <c r="J9" i="22"/>
  <c r="I9" i="22"/>
  <c r="H9" i="22"/>
  <c r="G9" i="22"/>
  <c r="F9" i="22"/>
  <c r="D9" i="22"/>
  <c r="C9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X55" i="22"/>
  <c r="X55" i="25" s="1"/>
  <c r="S55" i="22"/>
  <c r="S55" i="25" s="1"/>
  <c r="U41" i="22"/>
  <c r="T41" i="22"/>
  <c r="S41" i="22"/>
  <c r="Q41" i="22"/>
  <c r="P41" i="22"/>
  <c r="O41" i="22"/>
  <c r="N41" i="22"/>
  <c r="M41" i="22"/>
  <c r="L41" i="22"/>
  <c r="P27" i="22"/>
  <c r="L27" i="22"/>
  <c r="M27" i="22"/>
  <c r="I27" i="22"/>
  <c r="N27" i="22"/>
  <c r="K27" i="22"/>
  <c r="F27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M36" i="16"/>
  <c r="N36" i="16"/>
  <c r="O36" i="16"/>
  <c r="P36" i="16"/>
  <c r="Q36" i="16"/>
  <c r="R36" i="16"/>
  <c r="S36" i="16"/>
  <c r="T36" i="16"/>
  <c r="U36" i="16"/>
  <c r="L36" i="16"/>
  <c r="P50" i="16"/>
  <c r="Q50" i="16"/>
  <c r="R50" i="16"/>
  <c r="S50" i="16"/>
  <c r="T50" i="16"/>
  <c r="U50" i="16"/>
  <c r="V50" i="16"/>
  <c r="W50" i="16"/>
  <c r="X50" i="16"/>
  <c r="O50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F22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C11" i="16"/>
  <c r="C10" i="16"/>
  <c r="T36" i="15"/>
  <c r="Q55" i="23" l="1"/>
  <c r="U55" i="23"/>
  <c r="R55" i="23"/>
  <c r="V55" i="23"/>
  <c r="O55" i="23"/>
  <c r="R55" i="22"/>
  <c r="R55" i="25" s="1"/>
  <c r="V55" i="22"/>
  <c r="V55" i="25" s="1"/>
  <c r="F20" i="17" l="1"/>
  <c r="G20" i="17"/>
  <c r="H20" i="17"/>
  <c r="I20" i="17"/>
  <c r="J20" i="17"/>
  <c r="K20" i="17"/>
  <c r="L20" i="17"/>
  <c r="M20" i="17"/>
  <c r="N20" i="17"/>
  <c r="O20" i="17"/>
  <c r="P20" i="17"/>
  <c r="Q20" i="17"/>
  <c r="R20" i="17"/>
  <c r="T37" i="17" l="1"/>
  <c r="C11" i="17"/>
  <c r="P55" i="18" l="1"/>
  <c r="Q55" i="18"/>
  <c r="R55" i="18"/>
  <c r="S55" i="18"/>
  <c r="T55" i="18"/>
  <c r="U55" i="18"/>
  <c r="V55" i="18"/>
  <c r="W55" i="18"/>
  <c r="X55" i="18"/>
  <c r="O55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4" i="18"/>
  <c r="C13" i="18"/>
  <c r="C12" i="18"/>
  <c r="C15" i="12" l="1"/>
  <c r="R41" i="17" l="1"/>
  <c r="P49" i="18" l="1"/>
  <c r="Q49" i="18"/>
  <c r="R49" i="18"/>
  <c r="S49" i="18"/>
  <c r="T49" i="18"/>
  <c r="U49" i="18"/>
  <c r="V49" i="18"/>
  <c r="W49" i="18"/>
  <c r="X49" i="18"/>
  <c r="O49" i="18"/>
  <c r="M35" i="18"/>
  <c r="N35" i="18"/>
  <c r="O35" i="18"/>
  <c r="P35" i="18"/>
  <c r="Q35" i="18"/>
  <c r="R35" i="18"/>
  <c r="S35" i="18"/>
  <c r="T35" i="18"/>
  <c r="U35" i="18"/>
  <c r="L35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F21" i="18"/>
  <c r="D9" i="18"/>
  <c r="E9" i="18"/>
  <c r="E15" i="18" s="1"/>
  <c r="F9" i="18"/>
  <c r="G9" i="18"/>
  <c r="H9" i="18"/>
  <c r="I9" i="18"/>
  <c r="I15" i="18" s="1"/>
  <c r="J9" i="18"/>
  <c r="K9" i="18"/>
  <c r="L9" i="18"/>
  <c r="M9" i="18"/>
  <c r="M15" i="18" s="1"/>
  <c r="N9" i="18"/>
  <c r="O9" i="18"/>
  <c r="P9" i="18"/>
  <c r="C9" i="18"/>
  <c r="C15" i="18" s="1"/>
  <c r="P48" i="18"/>
  <c r="Q48" i="18"/>
  <c r="R48" i="18"/>
  <c r="S48" i="18"/>
  <c r="T48" i="18"/>
  <c r="U48" i="18"/>
  <c r="V48" i="18"/>
  <c r="W48" i="18"/>
  <c r="X48" i="18"/>
  <c r="O48" i="18"/>
  <c r="M34" i="18"/>
  <c r="N34" i="18"/>
  <c r="N41" i="18" s="1"/>
  <c r="O34" i="18"/>
  <c r="P34" i="18"/>
  <c r="Q34" i="18"/>
  <c r="R34" i="18"/>
  <c r="R41" i="18" s="1"/>
  <c r="S34" i="18"/>
  <c r="T34" i="18"/>
  <c r="U34" i="18"/>
  <c r="L34" i="18"/>
  <c r="L41" i="18" s="1"/>
  <c r="G20" i="18"/>
  <c r="H20" i="18"/>
  <c r="I20" i="18"/>
  <c r="J20" i="18"/>
  <c r="J27" i="18" s="1"/>
  <c r="K20" i="18"/>
  <c r="L20" i="18"/>
  <c r="M20" i="18"/>
  <c r="N20" i="18"/>
  <c r="N27" i="18" s="1"/>
  <c r="O20" i="18"/>
  <c r="P20" i="18"/>
  <c r="Q20" i="18"/>
  <c r="R20" i="18"/>
  <c r="R27" i="18" s="1"/>
  <c r="F20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C8" i="18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21" i="19"/>
  <c r="E5" i="19"/>
  <c r="U41" i="18" l="1"/>
  <c r="Q41" i="18"/>
  <c r="M41" i="18"/>
  <c r="P41" i="18"/>
  <c r="S41" i="18"/>
  <c r="O41" i="18"/>
  <c r="Q27" i="18"/>
  <c r="M27" i="18"/>
  <c r="I27" i="18"/>
  <c r="P27" i="18"/>
  <c r="L27" i="18"/>
  <c r="H27" i="18"/>
  <c r="F27" i="18"/>
  <c r="O27" i="18"/>
  <c r="K27" i="18"/>
  <c r="G27" i="18"/>
  <c r="N15" i="18"/>
  <c r="J15" i="18"/>
  <c r="F15" i="18"/>
  <c r="P15" i="18"/>
  <c r="L15" i="18"/>
  <c r="H15" i="18"/>
  <c r="D15" i="18"/>
  <c r="O15" i="18"/>
  <c r="K15" i="18"/>
  <c r="G15" i="18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21" i="19"/>
  <c r="F6" i="19"/>
  <c r="F7" i="19"/>
  <c r="F8" i="19"/>
  <c r="F9" i="19"/>
  <c r="F10" i="19"/>
  <c r="F5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21" i="19"/>
  <c r="E6" i="19"/>
  <c r="E7" i="19"/>
  <c r="E8" i="19"/>
  <c r="E9" i="19"/>
  <c r="E10" i="19"/>
  <c r="W54" i="18"/>
  <c r="V54" i="18"/>
  <c r="S54" i="18"/>
  <c r="R54" i="18"/>
  <c r="O54" i="18"/>
  <c r="W52" i="18"/>
  <c r="V52" i="18"/>
  <c r="S52" i="18"/>
  <c r="R52" i="18"/>
  <c r="O52" i="18"/>
  <c r="X51" i="18"/>
  <c r="W51" i="18"/>
  <c r="V51" i="18"/>
  <c r="U51" i="18"/>
  <c r="T51" i="18"/>
  <c r="S51" i="18"/>
  <c r="R51" i="18"/>
  <c r="Q51" i="18"/>
  <c r="P51" i="18"/>
  <c r="O51" i="18"/>
  <c r="X50" i="18"/>
  <c r="W50" i="18"/>
  <c r="V50" i="18"/>
  <c r="U50" i="18"/>
  <c r="T50" i="18"/>
  <c r="S50" i="18"/>
  <c r="R50" i="18"/>
  <c r="Q50" i="18"/>
  <c r="P50" i="18"/>
  <c r="O50" i="18"/>
  <c r="P40" i="18"/>
  <c r="L40" i="18"/>
  <c r="P38" i="18"/>
  <c r="L38" i="18"/>
  <c r="U37" i="18"/>
  <c r="U39" i="18" s="1"/>
  <c r="T37" i="18"/>
  <c r="T39" i="18" s="1"/>
  <c r="S37" i="18"/>
  <c r="S40" i="18" s="1"/>
  <c r="R37" i="18"/>
  <c r="R39" i="18" s="1"/>
  <c r="Q37" i="18"/>
  <c r="Q39" i="18" s="1"/>
  <c r="P37" i="18"/>
  <c r="P39" i="18" s="1"/>
  <c r="O37" i="18"/>
  <c r="O40" i="18" s="1"/>
  <c r="N37" i="18"/>
  <c r="N39" i="18" s="1"/>
  <c r="M37" i="18"/>
  <c r="M39" i="18" s="1"/>
  <c r="L37" i="18"/>
  <c r="L39" i="18" s="1"/>
  <c r="U36" i="18"/>
  <c r="T36" i="18"/>
  <c r="S36" i="18"/>
  <c r="R36" i="18"/>
  <c r="Q36" i="18"/>
  <c r="P36" i="18"/>
  <c r="O36" i="18"/>
  <c r="N36" i="18"/>
  <c r="M36" i="18"/>
  <c r="L36" i="18"/>
  <c r="P26" i="18"/>
  <c r="L26" i="18"/>
  <c r="H26" i="18"/>
  <c r="Q25" i="18"/>
  <c r="M25" i="18"/>
  <c r="I25" i="18"/>
  <c r="R24" i="18"/>
  <c r="N24" i="18"/>
  <c r="J24" i="18"/>
  <c r="F24" i="18"/>
  <c r="R23" i="18"/>
  <c r="R26" i="18" s="1"/>
  <c r="Q23" i="18"/>
  <c r="Q24" i="18" s="1"/>
  <c r="P23" i="18"/>
  <c r="P25" i="18" s="1"/>
  <c r="O23" i="18"/>
  <c r="O26" i="18" s="1"/>
  <c r="N23" i="18"/>
  <c r="N26" i="18" s="1"/>
  <c r="M23" i="18"/>
  <c r="M24" i="18" s="1"/>
  <c r="L23" i="18"/>
  <c r="L25" i="18" s="1"/>
  <c r="K23" i="18"/>
  <c r="K26" i="18" s="1"/>
  <c r="J23" i="18"/>
  <c r="J26" i="18" s="1"/>
  <c r="I23" i="18"/>
  <c r="I24" i="18" s="1"/>
  <c r="H23" i="18"/>
  <c r="H25" i="18" s="1"/>
  <c r="G23" i="18"/>
  <c r="G26" i="18" s="1"/>
  <c r="F23" i="18"/>
  <c r="F26" i="18" s="1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X51" i="17"/>
  <c r="W51" i="17"/>
  <c r="W53" i="17" s="1"/>
  <c r="V51" i="17"/>
  <c r="V55" i="17" s="1"/>
  <c r="U51" i="17"/>
  <c r="T51" i="17"/>
  <c r="S51" i="17"/>
  <c r="S53" i="17" s="1"/>
  <c r="R51" i="17"/>
  <c r="R53" i="17" s="1"/>
  <c r="Q51" i="17"/>
  <c r="P51" i="17"/>
  <c r="P55" i="17" s="1"/>
  <c r="O51" i="17"/>
  <c r="O53" i="17" s="1"/>
  <c r="X50" i="17"/>
  <c r="W50" i="17"/>
  <c r="V50" i="17"/>
  <c r="U50" i="17"/>
  <c r="T50" i="17"/>
  <c r="T55" i="17" s="1"/>
  <c r="S50" i="17"/>
  <c r="R50" i="17"/>
  <c r="Q50" i="17"/>
  <c r="P50" i="17"/>
  <c r="O50" i="17"/>
  <c r="U41" i="17"/>
  <c r="S41" i="17"/>
  <c r="Q41" i="17"/>
  <c r="P41" i="17"/>
  <c r="O41" i="17"/>
  <c r="N41" i="17"/>
  <c r="M41" i="17"/>
  <c r="L41" i="17"/>
  <c r="U40" i="17"/>
  <c r="T40" i="17"/>
  <c r="S40" i="17"/>
  <c r="R40" i="17"/>
  <c r="Q40" i="17"/>
  <c r="P40" i="17"/>
  <c r="O40" i="17"/>
  <c r="N40" i="17"/>
  <c r="M40" i="17"/>
  <c r="L40" i="17"/>
  <c r="U39" i="17"/>
  <c r="T39" i="17"/>
  <c r="S39" i="17"/>
  <c r="R39" i="17"/>
  <c r="Q39" i="17"/>
  <c r="P39" i="17"/>
  <c r="O39" i="17"/>
  <c r="N39" i="17"/>
  <c r="M39" i="17"/>
  <c r="L39" i="17"/>
  <c r="U38" i="17"/>
  <c r="T38" i="17"/>
  <c r="S38" i="17"/>
  <c r="R38" i="17"/>
  <c r="Q38" i="17"/>
  <c r="P38" i="17"/>
  <c r="O38" i="17"/>
  <c r="N38" i="17"/>
  <c r="M38" i="17"/>
  <c r="L38" i="17"/>
  <c r="U37" i="17"/>
  <c r="S37" i="17"/>
  <c r="R37" i="17"/>
  <c r="Q37" i="17"/>
  <c r="P37" i="17"/>
  <c r="O37" i="17"/>
  <c r="N37" i="17"/>
  <c r="M37" i="17"/>
  <c r="L37" i="17"/>
  <c r="U36" i="17"/>
  <c r="S36" i="17"/>
  <c r="R36" i="17"/>
  <c r="Q36" i="17"/>
  <c r="P36" i="17"/>
  <c r="O36" i="17"/>
  <c r="N36" i="17"/>
  <c r="M36" i="17"/>
  <c r="L36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F27" i="17"/>
  <c r="F24" i="17"/>
  <c r="F25" i="17"/>
  <c r="F26" i="17"/>
  <c r="D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2" i="17"/>
  <c r="C13" i="17"/>
  <c r="C14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C8" i="17"/>
  <c r="X54" i="17"/>
  <c r="W54" i="17"/>
  <c r="V54" i="17"/>
  <c r="U54" i="17"/>
  <c r="T54" i="17"/>
  <c r="S54" i="17"/>
  <c r="R54" i="17"/>
  <c r="Q54" i="17"/>
  <c r="P54" i="17"/>
  <c r="O54" i="17"/>
  <c r="X53" i="17"/>
  <c r="U53" i="17"/>
  <c r="T53" i="17"/>
  <c r="Q53" i="17"/>
  <c r="P53" i="17"/>
  <c r="X52" i="17"/>
  <c r="W52" i="17"/>
  <c r="V52" i="17"/>
  <c r="U52" i="17"/>
  <c r="T52" i="17"/>
  <c r="S52" i="17"/>
  <c r="R52" i="17"/>
  <c r="Q52" i="17"/>
  <c r="P52" i="17"/>
  <c r="O52" i="17"/>
  <c r="X55" i="17"/>
  <c r="S55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L46" i="13"/>
  <c r="K68" i="16"/>
  <c r="U54" i="16"/>
  <c r="Q54" i="16"/>
  <c r="U52" i="16"/>
  <c r="Q52" i="16"/>
  <c r="X51" i="16"/>
  <c r="X54" i="16" s="1"/>
  <c r="W51" i="16"/>
  <c r="W55" i="16" s="1"/>
  <c r="V51" i="16"/>
  <c r="U51" i="16"/>
  <c r="U55" i="16" s="1"/>
  <c r="T51" i="16"/>
  <c r="T54" i="16" s="1"/>
  <c r="S51" i="16"/>
  <c r="S53" i="16" s="1"/>
  <c r="R51" i="16"/>
  <c r="Q51" i="16"/>
  <c r="Q55" i="16" s="1"/>
  <c r="P51" i="16"/>
  <c r="P54" i="16" s="1"/>
  <c r="O51" i="16"/>
  <c r="X49" i="16"/>
  <c r="W49" i="16"/>
  <c r="V49" i="16"/>
  <c r="U49" i="16"/>
  <c r="T49" i="16"/>
  <c r="S49" i="16"/>
  <c r="R49" i="16"/>
  <c r="Q49" i="16"/>
  <c r="P49" i="16"/>
  <c r="O49" i="16"/>
  <c r="X48" i="16"/>
  <c r="W48" i="16"/>
  <c r="V48" i="16"/>
  <c r="U48" i="16"/>
  <c r="T48" i="16"/>
  <c r="S48" i="16"/>
  <c r="R48" i="16"/>
  <c r="Q48" i="16"/>
  <c r="P48" i="16"/>
  <c r="O48" i="16"/>
  <c r="P40" i="16"/>
  <c r="L40" i="16"/>
  <c r="P38" i="16"/>
  <c r="L38" i="16"/>
  <c r="U37" i="16"/>
  <c r="U39" i="16" s="1"/>
  <c r="T37" i="16"/>
  <c r="T39" i="16" s="1"/>
  <c r="S37" i="16"/>
  <c r="S40" i="16" s="1"/>
  <c r="R37" i="16"/>
  <c r="R40" i="16" s="1"/>
  <c r="Q37" i="16"/>
  <c r="Q39" i="16" s="1"/>
  <c r="P37" i="16"/>
  <c r="P39" i="16" s="1"/>
  <c r="O37" i="16"/>
  <c r="O40" i="16" s="1"/>
  <c r="N37" i="16"/>
  <c r="N40" i="16" s="1"/>
  <c r="M37" i="16"/>
  <c r="M39" i="16" s="1"/>
  <c r="L37" i="16"/>
  <c r="L39" i="16" s="1"/>
  <c r="U35" i="16"/>
  <c r="T35" i="16"/>
  <c r="S35" i="16"/>
  <c r="R35" i="16"/>
  <c r="R41" i="16" s="1"/>
  <c r="Q35" i="16"/>
  <c r="P35" i="16"/>
  <c r="O35" i="16"/>
  <c r="N35" i="16"/>
  <c r="N41" i="16" s="1"/>
  <c r="M35" i="16"/>
  <c r="L35" i="16"/>
  <c r="U34" i="16"/>
  <c r="U41" i="16" s="1"/>
  <c r="T34" i="16"/>
  <c r="S34" i="16"/>
  <c r="S41" i="16" s="1"/>
  <c r="R34" i="16"/>
  <c r="Q34" i="16"/>
  <c r="Q41" i="16" s="1"/>
  <c r="P34" i="16"/>
  <c r="P41" i="16" s="1"/>
  <c r="O34" i="16"/>
  <c r="O41" i="16" s="1"/>
  <c r="N34" i="16"/>
  <c r="M34" i="16"/>
  <c r="M41" i="16" s="1"/>
  <c r="L34" i="16"/>
  <c r="Q26" i="16"/>
  <c r="M26" i="16"/>
  <c r="I26" i="16"/>
  <c r="R25" i="16"/>
  <c r="N25" i="16"/>
  <c r="J25" i="16"/>
  <c r="F25" i="16"/>
  <c r="O24" i="16"/>
  <c r="K24" i="16"/>
  <c r="G24" i="16"/>
  <c r="R23" i="16"/>
  <c r="R24" i="16" s="1"/>
  <c r="Q23" i="16"/>
  <c r="Q25" i="16" s="1"/>
  <c r="P23" i="16"/>
  <c r="P26" i="16" s="1"/>
  <c r="O23" i="16"/>
  <c r="O26" i="16" s="1"/>
  <c r="N23" i="16"/>
  <c r="N24" i="16" s="1"/>
  <c r="M23" i="16"/>
  <c r="M25" i="16" s="1"/>
  <c r="L23" i="16"/>
  <c r="L26" i="16" s="1"/>
  <c r="K23" i="16"/>
  <c r="K26" i="16" s="1"/>
  <c r="J23" i="16"/>
  <c r="J24" i="16" s="1"/>
  <c r="I23" i="16"/>
  <c r="I25" i="16" s="1"/>
  <c r="H23" i="16"/>
  <c r="H26" i="16" s="1"/>
  <c r="G23" i="16"/>
  <c r="G26" i="16" s="1"/>
  <c r="F23" i="16"/>
  <c r="F24" i="16" s="1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R20" i="16"/>
  <c r="R27" i="16" s="1"/>
  <c r="Q20" i="16"/>
  <c r="Q27" i="16" s="1"/>
  <c r="P20" i="16"/>
  <c r="O20" i="16"/>
  <c r="O27" i="16" s="1"/>
  <c r="N20" i="16"/>
  <c r="N27" i="16" s="1"/>
  <c r="M20" i="16"/>
  <c r="M27" i="16" s="1"/>
  <c r="L20" i="16"/>
  <c r="K20" i="16"/>
  <c r="K27" i="16" s="1"/>
  <c r="J20" i="16"/>
  <c r="J27" i="16" s="1"/>
  <c r="I20" i="16"/>
  <c r="I27" i="16" s="1"/>
  <c r="H20" i="16"/>
  <c r="G20" i="16"/>
  <c r="G27" i="16" s="1"/>
  <c r="F20" i="16"/>
  <c r="F27" i="16" s="1"/>
  <c r="N14" i="16"/>
  <c r="J14" i="16"/>
  <c r="F14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P11" i="16"/>
  <c r="P14" i="16" s="1"/>
  <c r="O11" i="16"/>
  <c r="N11" i="16"/>
  <c r="M11" i="16"/>
  <c r="M14" i="16" s="1"/>
  <c r="L11" i="16"/>
  <c r="L13" i="16" s="1"/>
  <c r="K11" i="16"/>
  <c r="J11" i="16"/>
  <c r="I11" i="16"/>
  <c r="I14" i="16" s="1"/>
  <c r="H11" i="16"/>
  <c r="H15" i="16" s="1"/>
  <c r="G11" i="16"/>
  <c r="F11" i="16"/>
  <c r="E11" i="16"/>
  <c r="E14" i="16" s="1"/>
  <c r="D11" i="16"/>
  <c r="D13" i="16" s="1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P50" i="15"/>
  <c r="Q50" i="15"/>
  <c r="R50" i="15"/>
  <c r="R55" i="15" s="1"/>
  <c r="S50" i="15"/>
  <c r="T50" i="15"/>
  <c r="U50" i="15"/>
  <c r="V50" i="15"/>
  <c r="V55" i="15" s="1"/>
  <c r="W50" i="15"/>
  <c r="X50" i="15"/>
  <c r="O50" i="15"/>
  <c r="M36" i="15"/>
  <c r="N36" i="15"/>
  <c r="N41" i="15" s="1"/>
  <c r="O36" i="15"/>
  <c r="P36" i="15"/>
  <c r="Q36" i="15"/>
  <c r="R36" i="15"/>
  <c r="R41" i="15" s="1"/>
  <c r="S36" i="15"/>
  <c r="U36" i="15"/>
  <c r="L36" i="15"/>
  <c r="G22" i="15"/>
  <c r="H22" i="15"/>
  <c r="I22" i="15"/>
  <c r="I27" i="15" s="1"/>
  <c r="J22" i="15"/>
  <c r="K22" i="15"/>
  <c r="L22" i="15"/>
  <c r="M22" i="15"/>
  <c r="M27" i="15" s="1"/>
  <c r="N22" i="15"/>
  <c r="O22" i="15"/>
  <c r="P22" i="15"/>
  <c r="Q22" i="15"/>
  <c r="Q27" i="15" s="1"/>
  <c r="R22" i="15"/>
  <c r="F22" i="15"/>
  <c r="F27" i="15" s="1"/>
  <c r="D10" i="15"/>
  <c r="E10" i="15"/>
  <c r="E15" i="15" s="1"/>
  <c r="F10" i="15"/>
  <c r="F15" i="15" s="1"/>
  <c r="G10" i="15"/>
  <c r="H10" i="15"/>
  <c r="I10" i="15"/>
  <c r="I15" i="15" s="1"/>
  <c r="J10" i="15"/>
  <c r="J15" i="15" s="1"/>
  <c r="K10" i="15"/>
  <c r="L10" i="15"/>
  <c r="M10" i="15"/>
  <c r="M15" i="15" s="1"/>
  <c r="N10" i="15"/>
  <c r="N15" i="15" s="1"/>
  <c r="O10" i="15"/>
  <c r="P10" i="15"/>
  <c r="K68" i="15"/>
  <c r="X54" i="15"/>
  <c r="W54" i="15"/>
  <c r="V54" i="15"/>
  <c r="U54" i="15"/>
  <c r="T54" i="15"/>
  <c r="S54" i="15"/>
  <c r="R54" i="15"/>
  <c r="Q54" i="15"/>
  <c r="P54" i="15"/>
  <c r="O54" i="15"/>
  <c r="X53" i="15"/>
  <c r="W53" i="15"/>
  <c r="V53" i="15"/>
  <c r="U53" i="15"/>
  <c r="T53" i="15"/>
  <c r="S53" i="15"/>
  <c r="R53" i="15"/>
  <c r="Q53" i="15"/>
  <c r="P53" i="15"/>
  <c r="O53" i="15"/>
  <c r="X52" i="15"/>
  <c r="W52" i="15"/>
  <c r="V52" i="15"/>
  <c r="U52" i="15"/>
  <c r="T52" i="15"/>
  <c r="S52" i="15"/>
  <c r="R52" i="15"/>
  <c r="Q52" i="15"/>
  <c r="P52" i="15"/>
  <c r="O52" i="15"/>
  <c r="X55" i="15"/>
  <c r="W55" i="15"/>
  <c r="U55" i="15"/>
  <c r="T55" i="15"/>
  <c r="S55" i="15"/>
  <c r="Q55" i="15"/>
  <c r="P55" i="15"/>
  <c r="O55" i="15"/>
  <c r="U40" i="15"/>
  <c r="T40" i="15"/>
  <c r="S40" i="15"/>
  <c r="R40" i="15"/>
  <c r="Q40" i="15"/>
  <c r="P40" i="15"/>
  <c r="O40" i="15"/>
  <c r="N40" i="15"/>
  <c r="M40" i="15"/>
  <c r="L40" i="15"/>
  <c r="U39" i="15"/>
  <c r="T39" i="15"/>
  <c r="S39" i="15"/>
  <c r="R39" i="15"/>
  <c r="Q39" i="15"/>
  <c r="P39" i="15"/>
  <c r="O39" i="15"/>
  <c r="N39" i="15"/>
  <c r="M39" i="15"/>
  <c r="L39" i="15"/>
  <c r="U38" i="15"/>
  <c r="T38" i="15"/>
  <c r="S38" i="15"/>
  <c r="R38" i="15"/>
  <c r="Q38" i="15"/>
  <c r="P38" i="15"/>
  <c r="O38" i="15"/>
  <c r="N38" i="15"/>
  <c r="M38" i="15"/>
  <c r="L38" i="15"/>
  <c r="U41" i="15"/>
  <c r="S41" i="15"/>
  <c r="Q41" i="15"/>
  <c r="P41" i="15"/>
  <c r="O41" i="15"/>
  <c r="M41" i="15"/>
  <c r="L41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R27" i="15"/>
  <c r="P27" i="15"/>
  <c r="O27" i="15"/>
  <c r="N27" i="15"/>
  <c r="L27" i="15"/>
  <c r="K27" i="15"/>
  <c r="J27" i="15"/>
  <c r="H27" i="15"/>
  <c r="G27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P15" i="15"/>
  <c r="O15" i="15"/>
  <c r="L15" i="15"/>
  <c r="K15" i="15"/>
  <c r="H15" i="15"/>
  <c r="G15" i="15"/>
  <c r="D15" i="15"/>
  <c r="P56" i="12"/>
  <c r="Q56" i="12"/>
  <c r="R56" i="12"/>
  <c r="S56" i="12"/>
  <c r="T56" i="12"/>
  <c r="U56" i="12"/>
  <c r="V56" i="12"/>
  <c r="W56" i="12"/>
  <c r="X56" i="12"/>
  <c r="O56" i="12"/>
  <c r="M42" i="12"/>
  <c r="N42" i="12"/>
  <c r="O42" i="12"/>
  <c r="P42" i="12"/>
  <c r="Q42" i="12"/>
  <c r="R42" i="12"/>
  <c r="S42" i="12"/>
  <c r="U42" i="12"/>
  <c r="L42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F28" i="12"/>
  <c r="T38" i="18" l="1"/>
  <c r="T38" i="16"/>
  <c r="T41" i="18"/>
  <c r="T40" i="16"/>
  <c r="T40" i="18"/>
  <c r="G24" i="18"/>
  <c r="K24" i="18"/>
  <c r="O24" i="18"/>
  <c r="F25" i="18"/>
  <c r="J25" i="18"/>
  <c r="N25" i="18"/>
  <c r="R25" i="18"/>
  <c r="I26" i="18"/>
  <c r="M26" i="18"/>
  <c r="Q26" i="18"/>
  <c r="M38" i="18"/>
  <c r="Q38" i="18"/>
  <c r="U38" i="18"/>
  <c r="O39" i="18"/>
  <c r="S39" i="18"/>
  <c r="M40" i="18"/>
  <c r="Q40" i="18"/>
  <c r="U40" i="18"/>
  <c r="P52" i="18"/>
  <c r="T52" i="18"/>
  <c r="X52" i="18"/>
  <c r="R53" i="18"/>
  <c r="V53" i="18"/>
  <c r="P54" i="18"/>
  <c r="T54" i="18"/>
  <c r="X54" i="18"/>
  <c r="H24" i="18"/>
  <c r="L24" i="18"/>
  <c r="P24" i="18"/>
  <c r="G25" i="18"/>
  <c r="K25" i="18"/>
  <c r="O25" i="18"/>
  <c r="N38" i="18"/>
  <c r="R38" i="18"/>
  <c r="N40" i="18"/>
  <c r="R40" i="18"/>
  <c r="Q52" i="18"/>
  <c r="U52" i="18"/>
  <c r="O53" i="18"/>
  <c r="S53" i="18"/>
  <c r="W53" i="18"/>
  <c r="Q54" i="18"/>
  <c r="U54" i="18"/>
  <c r="O38" i="18"/>
  <c r="S38" i="18"/>
  <c r="P53" i="18"/>
  <c r="T53" i="18"/>
  <c r="X53" i="18"/>
  <c r="Q53" i="18"/>
  <c r="U53" i="18"/>
  <c r="O55" i="17"/>
  <c r="V53" i="17"/>
  <c r="W55" i="17"/>
  <c r="R55" i="17"/>
  <c r="Q55" i="17"/>
  <c r="U55" i="17"/>
  <c r="R55" i="16"/>
  <c r="V55" i="16"/>
  <c r="O55" i="16"/>
  <c r="L41" i="16"/>
  <c r="C15" i="16"/>
  <c r="G15" i="16"/>
  <c r="K15" i="16"/>
  <c r="O15" i="16"/>
  <c r="F15" i="16"/>
  <c r="J15" i="16"/>
  <c r="N15" i="16"/>
  <c r="H13" i="16"/>
  <c r="D15" i="16"/>
  <c r="P15" i="16"/>
  <c r="L27" i="16"/>
  <c r="N39" i="16"/>
  <c r="E13" i="16"/>
  <c r="I13" i="16"/>
  <c r="M13" i="16"/>
  <c r="C14" i="16"/>
  <c r="G14" i="16"/>
  <c r="K14" i="16"/>
  <c r="O14" i="16"/>
  <c r="E15" i="16"/>
  <c r="I15" i="16"/>
  <c r="M15" i="16"/>
  <c r="H24" i="16"/>
  <c r="L24" i="16"/>
  <c r="P24" i="16"/>
  <c r="G25" i="16"/>
  <c r="K25" i="16"/>
  <c r="O25" i="16"/>
  <c r="F26" i="16"/>
  <c r="J26" i="16"/>
  <c r="N26" i="16"/>
  <c r="R26" i="16"/>
  <c r="M38" i="16"/>
  <c r="Q38" i="16"/>
  <c r="U38" i="16"/>
  <c r="O39" i="16"/>
  <c r="S39" i="16"/>
  <c r="M40" i="16"/>
  <c r="Q40" i="16"/>
  <c r="U40" i="16"/>
  <c r="R52" i="16"/>
  <c r="V52" i="16"/>
  <c r="P53" i="16"/>
  <c r="T53" i="16"/>
  <c r="X53" i="16"/>
  <c r="R54" i="16"/>
  <c r="V54" i="16"/>
  <c r="P55" i="16"/>
  <c r="T55" i="16"/>
  <c r="X55" i="16"/>
  <c r="P13" i="16"/>
  <c r="L15" i="16"/>
  <c r="H27" i="16"/>
  <c r="R39" i="16"/>
  <c r="O53" i="16"/>
  <c r="W53" i="16"/>
  <c r="S55" i="16"/>
  <c r="F13" i="16"/>
  <c r="J13" i="16"/>
  <c r="N13" i="16"/>
  <c r="D14" i="16"/>
  <c r="H14" i="16"/>
  <c r="L14" i="16"/>
  <c r="I24" i="16"/>
  <c r="M24" i="16"/>
  <c r="Q24" i="16"/>
  <c r="H25" i="16"/>
  <c r="L25" i="16"/>
  <c r="P25" i="16"/>
  <c r="N38" i="16"/>
  <c r="R38" i="16"/>
  <c r="O52" i="16"/>
  <c r="S52" i="16"/>
  <c r="W52" i="16"/>
  <c r="Q53" i="16"/>
  <c r="U53" i="16"/>
  <c r="O54" i="16"/>
  <c r="S54" i="16"/>
  <c r="W54" i="16"/>
  <c r="P27" i="16"/>
  <c r="C13" i="16"/>
  <c r="G13" i="16"/>
  <c r="K13" i="16"/>
  <c r="O13" i="16"/>
  <c r="O38" i="16"/>
  <c r="S38" i="16"/>
  <c r="P52" i="16"/>
  <c r="T52" i="16"/>
  <c r="X52" i="16"/>
  <c r="R53" i="16"/>
  <c r="V53" i="16"/>
  <c r="D16" i="12" l="1"/>
  <c r="E16" i="12"/>
  <c r="F16" i="12"/>
  <c r="G16" i="12"/>
  <c r="H16" i="12"/>
  <c r="I16" i="12"/>
  <c r="J16" i="12"/>
  <c r="K16" i="12"/>
  <c r="L16" i="12"/>
  <c r="M16" i="12"/>
  <c r="N16" i="12"/>
  <c r="O16" i="12"/>
  <c r="P16" i="12"/>
  <c r="C16" i="12"/>
  <c r="C10" i="15" s="1"/>
  <c r="C15" i="15" l="1"/>
  <c r="C15" i="17" s="1"/>
  <c r="C10" i="17"/>
  <c r="G7" i="10"/>
  <c r="C9" i="10"/>
  <c r="H9" i="10"/>
  <c r="J9" i="10" s="1"/>
  <c r="M9" i="10" s="1"/>
  <c r="D15" i="10"/>
  <c r="E15" i="10"/>
  <c r="F15" i="10"/>
  <c r="G15" i="10"/>
  <c r="H15" i="10"/>
  <c r="K15" i="10"/>
  <c r="L15" i="10" s="1"/>
  <c r="D16" i="10"/>
  <c r="E16" i="10"/>
  <c r="F16" i="10"/>
  <c r="G16" i="10"/>
  <c r="H16" i="10"/>
  <c r="K16" i="10"/>
  <c r="L16" i="10" s="1"/>
  <c r="D17" i="10"/>
  <c r="E17" i="10"/>
  <c r="F17" i="10"/>
  <c r="G17" i="10"/>
  <c r="H17" i="10"/>
  <c r="K17" i="10"/>
  <c r="L17" i="10" s="1"/>
  <c r="D18" i="10"/>
  <c r="E18" i="10"/>
  <c r="F18" i="10"/>
  <c r="G18" i="10"/>
  <c r="H18" i="10"/>
  <c r="K18" i="10"/>
  <c r="L18" i="10" s="1"/>
  <c r="D19" i="10"/>
  <c r="E19" i="10"/>
  <c r="F19" i="10"/>
  <c r="G19" i="10"/>
  <c r="H19" i="10"/>
  <c r="K19" i="10"/>
  <c r="L19" i="10" s="1"/>
  <c r="D20" i="10"/>
  <c r="E20" i="10"/>
  <c r="F20" i="10"/>
  <c r="G20" i="10"/>
  <c r="H20" i="10"/>
  <c r="K20" i="10"/>
  <c r="L20" i="10" s="1"/>
  <c r="D21" i="10"/>
  <c r="E21" i="10"/>
  <c r="F21" i="10"/>
  <c r="G21" i="10"/>
  <c r="H21" i="10"/>
  <c r="K21" i="10"/>
  <c r="L21" i="10" s="1"/>
  <c r="D22" i="10"/>
  <c r="E22" i="10"/>
  <c r="F22" i="10"/>
  <c r="G22" i="10"/>
  <c r="H22" i="10"/>
  <c r="K22" i="10"/>
  <c r="L22" i="10" s="1"/>
  <c r="D23" i="10"/>
  <c r="E23" i="10"/>
  <c r="F23" i="10"/>
  <c r="G23" i="10"/>
  <c r="H23" i="10"/>
  <c r="K23" i="10"/>
  <c r="L23" i="10" s="1"/>
  <c r="D29" i="10"/>
  <c r="E29" i="10"/>
  <c r="F29" i="10"/>
  <c r="G29" i="10"/>
  <c r="H29" i="10"/>
  <c r="K29" i="10"/>
  <c r="L29" i="10" s="1"/>
  <c r="D30" i="10"/>
  <c r="E30" i="10"/>
  <c r="F30" i="10"/>
  <c r="G30" i="10"/>
  <c r="H30" i="10"/>
  <c r="K30" i="10"/>
  <c r="L30" i="10" s="1"/>
  <c r="D31" i="10"/>
  <c r="E31" i="10"/>
  <c r="F31" i="10"/>
  <c r="G31" i="10"/>
  <c r="H31" i="10"/>
  <c r="K31" i="10"/>
  <c r="L31" i="10" s="1"/>
  <c r="D32" i="10"/>
  <c r="E32" i="10"/>
  <c r="F32" i="10"/>
  <c r="G32" i="10"/>
  <c r="H32" i="10"/>
  <c r="K32" i="10"/>
  <c r="L32" i="10" s="1"/>
  <c r="D33" i="10"/>
  <c r="E33" i="10"/>
  <c r="F33" i="10"/>
  <c r="G33" i="10"/>
  <c r="H33" i="10"/>
  <c r="K33" i="10"/>
  <c r="L33" i="10" s="1"/>
  <c r="D34" i="10"/>
  <c r="E34" i="10"/>
  <c r="F34" i="10"/>
  <c r="G34" i="10"/>
  <c r="H34" i="10"/>
  <c r="K34" i="10"/>
  <c r="L34" i="10" s="1"/>
  <c r="D35" i="10"/>
  <c r="E35" i="10"/>
  <c r="F35" i="10"/>
  <c r="G35" i="10"/>
  <c r="H35" i="10"/>
  <c r="K35" i="10"/>
  <c r="L35" i="10" s="1"/>
  <c r="D36" i="10"/>
  <c r="E36" i="10"/>
  <c r="F36" i="10"/>
  <c r="G36" i="10"/>
  <c r="H36" i="10"/>
  <c r="K36" i="10"/>
  <c r="L36" i="10" s="1"/>
  <c r="D37" i="10"/>
  <c r="E37" i="10"/>
  <c r="F37" i="10"/>
  <c r="G37" i="10"/>
  <c r="H37" i="10"/>
  <c r="K37" i="10"/>
  <c r="L37" i="10" s="1"/>
  <c r="D38" i="10"/>
  <c r="E38" i="10"/>
  <c r="F38" i="10"/>
  <c r="G38" i="10"/>
  <c r="H38" i="10"/>
  <c r="K38" i="10"/>
  <c r="L38" i="10" s="1"/>
  <c r="D39" i="10"/>
  <c r="E39" i="10"/>
  <c r="F39" i="10"/>
  <c r="G39" i="10"/>
  <c r="H39" i="10"/>
  <c r="K39" i="10"/>
  <c r="L39" i="10" s="1"/>
  <c r="D40" i="10"/>
  <c r="E40" i="10"/>
  <c r="F40" i="10"/>
  <c r="G40" i="10"/>
  <c r="H40" i="10"/>
  <c r="K40" i="10"/>
  <c r="L40" i="10" s="1"/>
  <c r="D46" i="10"/>
  <c r="E46" i="10"/>
  <c r="F46" i="10"/>
  <c r="G46" i="10"/>
  <c r="H46" i="10"/>
  <c r="K46" i="10"/>
  <c r="L46" i="10" s="1"/>
  <c r="D47" i="10"/>
  <c r="E47" i="10"/>
  <c r="F47" i="10"/>
  <c r="G47" i="10"/>
  <c r="H47" i="10"/>
  <c r="K47" i="10"/>
  <c r="L47" i="10" s="1"/>
  <c r="D48" i="10"/>
  <c r="E48" i="10"/>
  <c r="F48" i="10"/>
  <c r="G48" i="10"/>
  <c r="H48" i="10"/>
  <c r="K48" i="10"/>
  <c r="L48" i="10" s="1"/>
  <c r="D49" i="10"/>
  <c r="E49" i="10"/>
  <c r="F49" i="10"/>
  <c r="G49" i="10"/>
  <c r="H49" i="10"/>
  <c r="K49" i="10"/>
  <c r="L49" i="10" s="1"/>
  <c r="D50" i="10"/>
  <c r="E50" i="10"/>
  <c r="F50" i="10"/>
  <c r="G50" i="10"/>
  <c r="H50" i="10"/>
  <c r="K50" i="10"/>
  <c r="L50" i="10" s="1"/>
  <c r="D51" i="10"/>
  <c r="E51" i="10"/>
  <c r="F51" i="10"/>
  <c r="G51" i="10"/>
  <c r="H51" i="10"/>
  <c r="K51" i="10"/>
  <c r="L51" i="10" s="1"/>
  <c r="D52" i="10"/>
  <c r="E52" i="10"/>
  <c r="F52" i="10"/>
  <c r="G52" i="10"/>
  <c r="H52" i="10"/>
  <c r="K52" i="10"/>
  <c r="L52" i="10" s="1"/>
  <c r="D53" i="10"/>
  <c r="E53" i="10"/>
  <c r="F53" i="10"/>
  <c r="G53" i="10"/>
  <c r="H53" i="10"/>
  <c r="K53" i="10"/>
  <c r="L53" i="10" s="1"/>
  <c r="D54" i="10"/>
  <c r="E54" i="10"/>
  <c r="F54" i="10"/>
  <c r="G54" i="10"/>
  <c r="H54" i="10"/>
  <c r="K54" i="10"/>
  <c r="L54" i="10" s="1"/>
  <c r="D60" i="10"/>
  <c r="E60" i="10"/>
  <c r="F60" i="10"/>
  <c r="G60" i="10"/>
  <c r="H60" i="10"/>
  <c r="K60" i="10"/>
  <c r="L60" i="10" s="1"/>
  <c r="D61" i="10"/>
  <c r="E61" i="10"/>
  <c r="F61" i="10"/>
  <c r="G61" i="10"/>
  <c r="H61" i="10"/>
  <c r="K61" i="10"/>
  <c r="L61" i="10" s="1"/>
  <c r="D62" i="10"/>
  <c r="E62" i="10"/>
  <c r="F62" i="10"/>
  <c r="G62" i="10"/>
  <c r="H62" i="10"/>
  <c r="K62" i="10"/>
  <c r="L62" i="10" s="1"/>
  <c r="D63" i="10"/>
  <c r="E63" i="10"/>
  <c r="F63" i="10"/>
  <c r="G63" i="10"/>
  <c r="H63" i="10"/>
  <c r="K63" i="10"/>
  <c r="L63" i="10" s="1"/>
  <c r="D64" i="10"/>
  <c r="E64" i="10"/>
  <c r="F64" i="10"/>
  <c r="G64" i="10"/>
  <c r="H64" i="10"/>
  <c r="K64" i="10"/>
  <c r="L64" i="10" s="1"/>
  <c r="D65" i="10"/>
  <c r="E65" i="10"/>
  <c r="F65" i="10"/>
  <c r="G65" i="10"/>
  <c r="H65" i="10"/>
  <c r="K65" i="10"/>
  <c r="L65" i="10" s="1"/>
  <c r="D66" i="10"/>
  <c r="E66" i="10"/>
  <c r="F66" i="10"/>
  <c r="G66" i="10"/>
  <c r="H66" i="10"/>
  <c r="K66" i="10"/>
  <c r="L66" i="10" s="1"/>
  <c r="D67" i="10"/>
  <c r="E67" i="10"/>
  <c r="F67" i="10"/>
  <c r="G67" i="10"/>
  <c r="H67" i="10"/>
  <c r="K67" i="10"/>
  <c r="L67" i="10" s="1"/>
  <c r="D68" i="10"/>
  <c r="E68" i="10"/>
  <c r="F68" i="10"/>
  <c r="G68" i="10"/>
  <c r="H68" i="10"/>
  <c r="K68" i="10"/>
  <c r="L68" i="10" s="1"/>
  <c r="D73" i="10"/>
  <c r="E73" i="10"/>
  <c r="F73" i="10"/>
  <c r="G73" i="10"/>
  <c r="H73" i="10"/>
  <c r="M73" i="10" s="1"/>
  <c r="K73" i="10"/>
  <c r="L73" i="10" s="1"/>
  <c r="D74" i="10"/>
  <c r="E74" i="10"/>
  <c r="F74" i="10"/>
  <c r="G74" i="10"/>
  <c r="H74" i="10"/>
  <c r="K74" i="10"/>
  <c r="L74" i="10" s="1"/>
  <c r="M74" i="10"/>
  <c r="F75" i="10"/>
  <c r="G75" i="10"/>
  <c r="D75" i="10" s="1"/>
  <c r="K75" i="10"/>
  <c r="L75" i="10" s="1"/>
  <c r="D76" i="10"/>
  <c r="F76" i="10"/>
  <c r="G76" i="10"/>
  <c r="E76" i="10" s="1"/>
  <c r="H76" i="10"/>
  <c r="M76" i="10" s="1"/>
  <c r="K76" i="10"/>
  <c r="L76" i="10" s="1"/>
  <c r="D77" i="10"/>
  <c r="E77" i="10"/>
  <c r="F77" i="10"/>
  <c r="G77" i="10"/>
  <c r="H77" i="10"/>
  <c r="M77" i="10" s="1"/>
  <c r="K77" i="10"/>
  <c r="L77" i="10" s="1"/>
  <c r="J5" i="14"/>
  <c r="M5" i="14" s="1"/>
  <c r="M67" i="10" l="1"/>
  <c r="M65" i="10"/>
  <c r="M63" i="10"/>
  <c r="M54" i="10"/>
  <c r="M52" i="10"/>
  <c r="M50" i="10"/>
  <c r="M48" i="10"/>
  <c r="M46" i="10"/>
  <c r="M39" i="10"/>
  <c r="M37" i="10"/>
  <c r="M35" i="10"/>
  <c r="M33" i="10"/>
  <c r="M31" i="10"/>
  <c r="M29" i="10"/>
  <c r="M22" i="10"/>
  <c r="M20" i="10"/>
  <c r="M18" i="10"/>
  <c r="M16" i="10"/>
  <c r="E75" i="10"/>
  <c r="H75" i="10"/>
  <c r="M75" i="10" s="1"/>
  <c r="M68" i="10"/>
  <c r="M66" i="10"/>
  <c r="M64" i="10"/>
  <c r="M62" i="10"/>
  <c r="M60" i="10"/>
  <c r="M53" i="10"/>
  <c r="M51" i="10"/>
  <c r="M49" i="10"/>
  <c r="M47" i="10"/>
  <c r="M40" i="10"/>
  <c r="M38" i="10"/>
  <c r="M36" i="10"/>
  <c r="M34" i="10"/>
  <c r="M32" i="10"/>
  <c r="M30" i="10"/>
  <c r="M23" i="10"/>
  <c r="M21" i="10"/>
  <c r="M19" i="10"/>
  <c r="M17" i="10"/>
  <c r="M15" i="10"/>
  <c r="M61" i="10"/>
  <c r="P51" i="13"/>
  <c r="Q51" i="13"/>
  <c r="Q53" i="13" s="1"/>
  <c r="R51" i="13"/>
  <c r="R54" i="13" s="1"/>
  <c r="S51" i="13"/>
  <c r="T51" i="13"/>
  <c r="U51" i="13"/>
  <c r="U53" i="13" s="1"/>
  <c r="V51" i="13"/>
  <c r="V54" i="13" s="1"/>
  <c r="W51" i="13"/>
  <c r="X51" i="13"/>
  <c r="O51" i="13"/>
  <c r="Q50" i="13"/>
  <c r="R50" i="13"/>
  <c r="U50" i="13"/>
  <c r="V50" i="13"/>
  <c r="P49" i="13"/>
  <c r="Q49" i="13"/>
  <c r="R49" i="13"/>
  <c r="S49" i="13"/>
  <c r="T49" i="13"/>
  <c r="U49" i="13"/>
  <c r="V49" i="13"/>
  <c r="W49" i="13"/>
  <c r="X49" i="13"/>
  <c r="O49" i="13"/>
  <c r="P48" i="13"/>
  <c r="Q48" i="13"/>
  <c r="R48" i="13"/>
  <c r="S48" i="13"/>
  <c r="T48" i="13"/>
  <c r="U48" i="13"/>
  <c r="V48" i="13"/>
  <c r="W48" i="13"/>
  <c r="X48" i="13"/>
  <c r="O48" i="13"/>
  <c r="U37" i="13"/>
  <c r="U38" i="13" s="1"/>
  <c r="M37" i="13"/>
  <c r="M39" i="13" s="1"/>
  <c r="N37" i="13"/>
  <c r="N39" i="13" s="1"/>
  <c r="O37" i="13"/>
  <c r="P37" i="13"/>
  <c r="Q37" i="13"/>
  <c r="Q39" i="13" s="1"/>
  <c r="R37" i="13"/>
  <c r="R39" i="13" s="1"/>
  <c r="S37" i="13"/>
  <c r="S38" i="13" s="1"/>
  <c r="T37" i="13"/>
  <c r="T38" i="13" s="1"/>
  <c r="M35" i="13"/>
  <c r="N35" i="13"/>
  <c r="O35" i="13"/>
  <c r="P35" i="13"/>
  <c r="Q35" i="13"/>
  <c r="R35" i="13"/>
  <c r="S35" i="13"/>
  <c r="T35" i="13"/>
  <c r="U35" i="13"/>
  <c r="L35" i="13"/>
  <c r="L37" i="13"/>
  <c r="L38" i="13" s="1"/>
  <c r="M34" i="13"/>
  <c r="N34" i="13"/>
  <c r="O34" i="13"/>
  <c r="P34" i="13"/>
  <c r="Q34" i="13"/>
  <c r="R34" i="13"/>
  <c r="S34" i="13"/>
  <c r="T34" i="13"/>
  <c r="U34" i="13"/>
  <c r="L34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F20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F21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C8" i="13"/>
  <c r="D11" i="13"/>
  <c r="D14" i="13" s="1"/>
  <c r="E11" i="13"/>
  <c r="E13" i="13" s="1"/>
  <c r="F11" i="13"/>
  <c r="F13" i="13" s="1"/>
  <c r="G11" i="13"/>
  <c r="H11" i="13"/>
  <c r="H14" i="13" s="1"/>
  <c r="I11" i="13"/>
  <c r="I13" i="13" s="1"/>
  <c r="J11" i="13"/>
  <c r="J13" i="13" s="1"/>
  <c r="K11" i="13"/>
  <c r="L11" i="13"/>
  <c r="L14" i="13" s="1"/>
  <c r="M11" i="13"/>
  <c r="M13" i="13" s="1"/>
  <c r="N11" i="13"/>
  <c r="N13" i="13" s="1"/>
  <c r="O11" i="13"/>
  <c r="P11" i="13"/>
  <c r="P14" i="13" s="1"/>
  <c r="D13" i="13"/>
  <c r="G13" i="13"/>
  <c r="H13" i="13"/>
  <c r="K13" i="13"/>
  <c r="L13" i="13"/>
  <c r="O13" i="13"/>
  <c r="P13" i="13"/>
  <c r="G14" i="13"/>
  <c r="K14" i="13"/>
  <c r="O14" i="13"/>
  <c r="C14" i="13"/>
  <c r="C13" i="13"/>
  <c r="C11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C9" i="13"/>
  <c r="K68" i="13"/>
  <c r="X54" i="13"/>
  <c r="W54" i="13"/>
  <c r="U54" i="13"/>
  <c r="T54" i="13"/>
  <c r="S54" i="13"/>
  <c r="Q54" i="13"/>
  <c r="P54" i="13"/>
  <c r="O54" i="13"/>
  <c r="X53" i="13"/>
  <c r="W53" i="13"/>
  <c r="V53" i="13"/>
  <c r="T53" i="13"/>
  <c r="S53" i="13"/>
  <c r="R53" i="13"/>
  <c r="P53" i="13"/>
  <c r="O53" i="13"/>
  <c r="X52" i="13"/>
  <c r="W52" i="13"/>
  <c r="U52" i="13"/>
  <c r="T52" i="13"/>
  <c r="S52" i="13"/>
  <c r="Q52" i="13"/>
  <c r="P52" i="13"/>
  <c r="O52" i="13"/>
  <c r="S40" i="13"/>
  <c r="R40" i="13"/>
  <c r="Q40" i="13"/>
  <c r="P40" i="13"/>
  <c r="O40" i="13"/>
  <c r="N40" i="13"/>
  <c r="M40" i="13"/>
  <c r="U39" i="13"/>
  <c r="S39" i="13"/>
  <c r="P39" i="13"/>
  <c r="O39" i="13"/>
  <c r="L39" i="13"/>
  <c r="Q38" i="13"/>
  <c r="P38" i="13"/>
  <c r="O38" i="13"/>
  <c r="M38" i="13"/>
  <c r="O50" i="12"/>
  <c r="O50" i="13" s="1"/>
  <c r="P50" i="12"/>
  <c r="P50" i="13" s="1"/>
  <c r="P55" i="13" s="1"/>
  <c r="P56" i="13" s="1"/>
  <c r="Q50" i="12"/>
  <c r="R50" i="12"/>
  <c r="S50" i="12"/>
  <c r="S50" i="13" s="1"/>
  <c r="S55" i="13" s="1"/>
  <c r="S56" i="13" s="1"/>
  <c r="T50" i="12"/>
  <c r="T50" i="13" s="1"/>
  <c r="T55" i="13" s="1"/>
  <c r="T56" i="13" s="1"/>
  <c r="U50" i="12"/>
  <c r="V50" i="12"/>
  <c r="W50" i="12"/>
  <c r="W50" i="13" s="1"/>
  <c r="W55" i="13" s="1"/>
  <c r="W56" i="13" s="1"/>
  <c r="X50" i="12"/>
  <c r="X50" i="13" s="1"/>
  <c r="X55" i="13" s="1"/>
  <c r="X56" i="13" s="1"/>
  <c r="T39" i="13" l="1"/>
  <c r="T40" i="13"/>
  <c r="R52" i="13"/>
  <c r="V52" i="13"/>
  <c r="Q55" i="13"/>
  <c r="Q56" i="13" s="1"/>
  <c r="U55" i="13"/>
  <c r="U56" i="13" s="1"/>
  <c r="O55" i="13"/>
  <c r="O56" i="13" s="1"/>
  <c r="R55" i="13"/>
  <c r="R56" i="13" s="1"/>
  <c r="V55" i="13"/>
  <c r="V56" i="13" s="1"/>
  <c r="U40" i="13"/>
  <c r="N38" i="13"/>
  <c r="R38" i="13"/>
  <c r="L40" i="13"/>
  <c r="O41" i="13"/>
  <c r="O42" i="13" s="1"/>
  <c r="L15" i="13"/>
  <c r="L16" i="13" s="1"/>
  <c r="N14" i="13"/>
  <c r="J14" i="13"/>
  <c r="F14" i="13"/>
  <c r="M14" i="13"/>
  <c r="I14" i="13"/>
  <c r="E14" i="13"/>
  <c r="K68" i="12"/>
  <c r="U54" i="12"/>
  <c r="U52" i="12"/>
  <c r="W54" i="12"/>
  <c r="V55" i="12"/>
  <c r="S54" i="12"/>
  <c r="R55" i="12"/>
  <c r="O54" i="12"/>
  <c r="R40" i="12"/>
  <c r="R38" i="12"/>
  <c r="T40" i="12"/>
  <c r="S39" i="12"/>
  <c r="R39" i="12"/>
  <c r="P40" i="12"/>
  <c r="O39" i="12"/>
  <c r="N39" i="12"/>
  <c r="L40" i="12"/>
  <c r="U36" i="12"/>
  <c r="U36" i="13" s="1"/>
  <c r="U41" i="13" s="1"/>
  <c r="U42" i="13" s="1"/>
  <c r="T36" i="12"/>
  <c r="T36" i="13" s="1"/>
  <c r="T41" i="13" s="1"/>
  <c r="T42" i="13" s="1"/>
  <c r="T41" i="16" s="1"/>
  <c r="S36" i="12"/>
  <c r="S36" i="13" s="1"/>
  <c r="S41" i="13" s="1"/>
  <c r="S42" i="13" s="1"/>
  <c r="R36" i="12"/>
  <c r="Q36" i="12"/>
  <c r="Q36" i="13" s="1"/>
  <c r="Q41" i="13" s="1"/>
  <c r="Q42" i="13" s="1"/>
  <c r="P36" i="12"/>
  <c r="P36" i="13" s="1"/>
  <c r="P41" i="13" s="1"/>
  <c r="P42" i="13" s="1"/>
  <c r="O36" i="12"/>
  <c r="O36" i="13" s="1"/>
  <c r="N36" i="12"/>
  <c r="M36" i="12"/>
  <c r="M36" i="13" s="1"/>
  <c r="M41" i="13" s="1"/>
  <c r="M42" i="13" s="1"/>
  <c r="L36" i="12"/>
  <c r="L36" i="13" s="1"/>
  <c r="L41" i="13" s="1"/>
  <c r="L42" i="13" s="1"/>
  <c r="R22" i="12"/>
  <c r="R22" i="13" s="1"/>
  <c r="Q22" i="12"/>
  <c r="Q22" i="13" s="1"/>
  <c r="P22" i="12"/>
  <c r="P22" i="13" s="1"/>
  <c r="O22" i="12"/>
  <c r="O22" i="13" s="1"/>
  <c r="N22" i="12"/>
  <c r="N22" i="13" s="1"/>
  <c r="M22" i="12"/>
  <c r="M22" i="13" s="1"/>
  <c r="L22" i="12"/>
  <c r="L22" i="13" s="1"/>
  <c r="K22" i="12"/>
  <c r="K22" i="13" s="1"/>
  <c r="J22" i="12"/>
  <c r="J22" i="13" s="1"/>
  <c r="I22" i="12"/>
  <c r="I22" i="13" s="1"/>
  <c r="H22" i="12"/>
  <c r="H22" i="13" s="1"/>
  <c r="G22" i="12"/>
  <c r="G22" i="13" s="1"/>
  <c r="F22" i="12"/>
  <c r="F22" i="13" s="1"/>
  <c r="K14" i="12"/>
  <c r="C14" i="12"/>
  <c r="K12" i="12"/>
  <c r="K12" i="13" s="1"/>
  <c r="C12" i="12"/>
  <c r="C12" i="13" s="1"/>
  <c r="M14" i="12"/>
  <c r="L15" i="12"/>
  <c r="I14" i="12"/>
  <c r="E14" i="12"/>
  <c r="D15" i="12"/>
  <c r="P10" i="12"/>
  <c r="P10" i="13" s="1"/>
  <c r="P15" i="13" s="1"/>
  <c r="P16" i="13" s="1"/>
  <c r="O10" i="12"/>
  <c r="O10" i="13" s="1"/>
  <c r="O15" i="13" s="1"/>
  <c r="O16" i="13" s="1"/>
  <c r="N10" i="12"/>
  <c r="N10" i="13" s="1"/>
  <c r="N15" i="13" s="1"/>
  <c r="N16" i="13" s="1"/>
  <c r="M10" i="12"/>
  <c r="M10" i="13" s="1"/>
  <c r="M15" i="13" s="1"/>
  <c r="M16" i="13" s="1"/>
  <c r="L10" i="12"/>
  <c r="L10" i="13" s="1"/>
  <c r="K10" i="12"/>
  <c r="K10" i="13" s="1"/>
  <c r="K15" i="13" s="1"/>
  <c r="K16" i="13" s="1"/>
  <c r="J10" i="12"/>
  <c r="J10" i="13" s="1"/>
  <c r="J15" i="13" s="1"/>
  <c r="J16" i="13" s="1"/>
  <c r="I10" i="12"/>
  <c r="I10" i="13" s="1"/>
  <c r="I15" i="13" s="1"/>
  <c r="I16" i="13" s="1"/>
  <c r="H10" i="12"/>
  <c r="H10" i="13" s="1"/>
  <c r="H15" i="13" s="1"/>
  <c r="H16" i="13" s="1"/>
  <c r="G10" i="12"/>
  <c r="G10" i="13" s="1"/>
  <c r="G15" i="13" s="1"/>
  <c r="G16" i="13" s="1"/>
  <c r="F10" i="12"/>
  <c r="F10" i="13" s="1"/>
  <c r="F15" i="13" s="1"/>
  <c r="F16" i="13" s="1"/>
  <c r="E10" i="12"/>
  <c r="E10" i="13" s="1"/>
  <c r="E15" i="13" s="1"/>
  <c r="E16" i="13" s="1"/>
  <c r="D10" i="12"/>
  <c r="D10" i="13" s="1"/>
  <c r="D15" i="13" s="1"/>
  <c r="D16" i="13" s="1"/>
  <c r="C10" i="12"/>
  <c r="C10" i="13" s="1"/>
  <c r="C15" i="13" s="1"/>
  <c r="C16" i="13" s="1"/>
  <c r="H15" i="12" l="1"/>
  <c r="P15" i="12"/>
  <c r="N41" i="12"/>
  <c r="N36" i="13"/>
  <c r="N41" i="13" s="1"/>
  <c r="N42" i="13" s="1"/>
  <c r="R41" i="12"/>
  <c r="R36" i="13"/>
  <c r="R41" i="13" s="1"/>
  <c r="R42" i="13" s="1"/>
  <c r="R52" i="12"/>
  <c r="M41" i="12"/>
  <c r="H12" i="12"/>
  <c r="H12" i="13" s="1"/>
  <c r="P12" i="12"/>
  <c r="P12" i="13" s="1"/>
  <c r="H14" i="12"/>
  <c r="P14" i="12"/>
  <c r="O38" i="12"/>
  <c r="O40" i="12"/>
  <c r="R54" i="12"/>
  <c r="F15" i="12"/>
  <c r="J15" i="12"/>
  <c r="N15" i="12"/>
  <c r="D12" i="12"/>
  <c r="D12" i="13" s="1"/>
  <c r="L12" i="12"/>
  <c r="L12" i="13" s="1"/>
  <c r="D14" i="12"/>
  <c r="L14" i="12"/>
  <c r="O41" i="12"/>
  <c r="S41" i="12"/>
  <c r="Q41" i="12"/>
  <c r="U41" i="12"/>
  <c r="S38" i="12"/>
  <c r="S40" i="12"/>
  <c r="P55" i="12"/>
  <c r="T55" i="12"/>
  <c r="X55" i="12"/>
  <c r="V52" i="12"/>
  <c r="V54" i="12"/>
  <c r="G15" i="12"/>
  <c r="K15" i="12"/>
  <c r="O15" i="12"/>
  <c r="G12" i="12"/>
  <c r="G12" i="13" s="1"/>
  <c r="O12" i="12"/>
  <c r="O12" i="13" s="1"/>
  <c r="G14" i="12"/>
  <c r="O14" i="12"/>
  <c r="N38" i="12"/>
  <c r="N40" i="12"/>
  <c r="Q55" i="12"/>
  <c r="U55" i="12"/>
  <c r="Q52" i="12"/>
  <c r="Q54" i="12"/>
  <c r="F12" i="12"/>
  <c r="F12" i="13" s="1"/>
  <c r="J12" i="12"/>
  <c r="J12" i="13" s="1"/>
  <c r="N12" i="12"/>
  <c r="N12" i="13" s="1"/>
  <c r="D13" i="12"/>
  <c r="H13" i="12"/>
  <c r="L13" i="12"/>
  <c r="P13" i="12"/>
  <c r="F14" i="12"/>
  <c r="J14" i="12"/>
  <c r="N14" i="12"/>
  <c r="M38" i="12"/>
  <c r="Q38" i="12"/>
  <c r="U38" i="12"/>
  <c r="M40" i="12"/>
  <c r="Q40" i="12"/>
  <c r="U40" i="12"/>
  <c r="P52" i="12"/>
  <c r="T52" i="12"/>
  <c r="X52" i="12"/>
  <c r="R53" i="12"/>
  <c r="V53" i="12"/>
  <c r="P54" i="12"/>
  <c r="T54" i="12"/>
  <c r="X54" i="12"/>
  <c r="E13" i="12"/>
  <c r="I13" i="12"/>
  <c r="M13" i="12"/>
  <c r="E15" i="12"/>
  <c r="I15" i="12"/>
  <c r="M15" i="12"/>
  <c r="L39" i="12"/>
  <c r="P39" i="12"/>
  <c r="T39" i="12"/>
  <c r="L41" i="12"/>
  <c r="P41" i="12"/>
  <c r="T41" i="12"/>
  <c r="T42" i="12" s="1"/>
  <c r="O53" i="12"/>
  <c r="S53" i="12"/>
  <c r="W53" i="12"/>
  <c r="O55" i="12"/>
  <c r="S55" i="12"/>
  <c r="W55" i="12"/>
  <c r="F13" i="12"/>
  <c r="J13" i="12"/>
  <c r="N13" i="12"/>
  <c r="M39" i="12"/>
  <c r="Q39" i="12"/>
  <c r="U39" i="12"/>
  <c r="P53" i="12"/>
  <c r="T53" i="12"/>
  <c r="X53" i="12"/>
  <c r="E12" i="12"/>
  <c r="E12" i="13" s="1"/>
  <c r="I12" i="12"/>
  <c r="I12" i="13" s="1"/>
  <c r="M12" i="12"/>
  <c r="M12" i="13" s="1"/>
  <c r="C13" i="12"/>
  <c r="G13" i="12"/>
  <c r="K13" i="12"/>
  <c r="O13" i="12"/>
  <c r="L38" i="12"/>
  <c r="P38" i="12"/>
  <c r="T38" i="12"/>
  <c r="O52" i="12"/>
  <c r="S52" i="12"/>
  <c r="W52" i="12"/>
  <c r="Q53" i="12"/>
  <c r="U53" i="12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C11" i="9"/>
  <c r="P51" i="9"/>
  <c r="Q51" i="9"/>
  <c r="R51" i="9"/>
  <c r="S51" i="9"/>
  <c r="T51" i="9"/>
  <c r="U51" i="9"/>
  <c r="V51" i="9"/>
  <c r="W51" i="9"/>
  <c r="X51" i="9"/>
  <c r="O51" i="9"/>
  <c r="M37" i="9"/>
  <c r="N37" i="9"/>
  <c r="O37" i="9"/>
  <c r="P37" i="9"/>
  <c r="Q37" i="9"/>
  <c r="R37" i="9"/>
  <c r="S37" i="9"/>
  <c r="T37" i="9"/>
  <c r="U37" i="9"/>
  <c r="L37" i="9"/>
  <c r="G23" i="9"/>
  <c r="H23" i="9"/>
  <c r="I23" i="9"/>
  <c r="J23" i="9"/>
  <c r="K23" i="9"/>
  <c r="L23" i="9"/>
  <c r="M23" i="9"/>
  <c r="N23" i="9"/>
  <c r="O23" i="9"/>
  <c r="P23" i="9"/>
  <c r="Q23" i="9"/>
  <c r="R23" i="9"/>
  <c r="F23" i="9"/>
  <c r="T41" i="15" l="1"/>
  <c r="T41" i="17" s="1"/>
  <c r="T36" i="17"/>
  <c r="P52" i="9"/>
  <c r="Q52" i="9"/>
  <c r="R52" i="9"/>
  <c r="S52" i="9"/>
  <c r="T52" i="9"/>
  <c r="U52" i="9"/>
  <c r="V52" i="9"/>
  <c r="W52" i="9"/>
  <c r="X52" i="9"/>
  <c r="O52" i="9"/>
  <c r="M38" i="9"/>
  <c r="N38" i="9"/>
  <c r="O38" i="9"/>
  <c r="P38" i="9"/>
  <c r="Q38" i="9"/>
  <c r="R38" i="9"/>
  <c r="S38" i="9"/>
  <c r="T38" i="9"/>
  <c r="U38" i="9"/>
  <c r="L38" i="9"/>
  <c r="G24" i="9"/>
  <c r="H24" i="9"/>
  <c r="I24" i="9"/>
  <c r="J24" i="9"/>
  <c r="K24" i="9"/>
  <c r="L24" i="9"/>
  <c r="M24" i="9"/>
  <c r="N24" i="9"/>
  <c r="O24" i="9"/>
  <c r="P24" i="9"/>
  <c r="Q24" i="9"/>
  <c r="R24" i="9"/>
  <c r="F24" i="9"/>
  <c r="E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C12" i="9"/>
  <c r="K71" i="9"/>
  <c r="K71" i="7" l="1"/>
  <c r="X53" i="7"/>
  <c r="X53" i="9" s="1"/>
  <c r="W53" i="7"/>
  <c r="W53" i="9" s="1"/>
  <c r="V53" i="7"/>
  <c r="V53" i="9" s="1"/>
  <c r="U53" i="7"/>
  <c r="U53" i="9" s="1"/>
  <c r="T53" i="7"/>
  <c r="T53" i="9" s="1"/>
  <c r="S53" i="7"/>
  <c r="S53" i="9" s="1"/>
  <c r="R53" i="7"/>
  <c r="R53" i="9" s="1"/>
  <c r="Q53" i="7"/>
  <c r="Q53" i="9" s="1"/>
  <c r="P53" i="7"/>
  <c r="P53" i="9" s="1"/>
  <c r="O53" i="7"/>
  <c r="O53" i="9" s="1"/>
  <c r="U39" i="7"/>
  <c r="T39" i="7"/>
  <c r="S39" i="7"/>
  <c r="R39" i="7"/>
  <c r="Q39" i="7"/>
  <c r="P39" i="7"/>
  <c r="O39" i="7"/>
  <c r="N39" i="7"/>
  <c r="M39" i="7"/>
  <c r="L39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I13" i="9" l="1"/>
  <c r="F25" i="9"/>
  <c r="N25" i="9"/>
  <c r="O39" i="9"/>
  <c r="S39" i="9"/>
  <c r="F13" i="9"/>
  <c r="N13" i="9"/>
  <c r="O25" i="9"/>
  <c r="P39" i="9"/>
  <c r="C13" i="9"/>
  <c r="G13" i="9"/>
  <c r="K13" i="9"/>
  <c r="O13" i="9"/>
  <c r="H25" i="9"/>
  <c r="L25" i="9"/>
  <c r="P25" i="9"/>
  <c r="M39" i="9"/>
  <c r="Q39" i="9"/>
  <c r="U39" i="9"/>
  <c r="E13" i="9"/>
  <c r="M13" i="9"/>
  <c r="J25" i="9"/>
  <c r="R25" i="9"/>
  <c r="J13" i="9"/>
  <c r="G25" i="9"/>
  <c r="K25" i="9"/>
  <c r="L39" i="9"/>
  <c r="T39" i="9"/>
  <c r="D13" i="9"/>
  <c r="H13" i="9"/>
  <c r="L13" i="9"/>
  <c r="P13" i="9"/>
  <c r="I25" i="9"/>
  <c r="M25" i="9"/>
  <c r="Q25" i="9"/>
  <c r="N39" i="9"/>
  <c r="R39" i="9"/>
  <c r="F8" i="5"/>
  <c r="C8" i="5"/>
  <c r="J74" i="4"/>
  <c r="H8" i="5" l="1"/>
  <c r="L8" i="5" s="1"/>
  <c r="W56" i="6" l="1"/>
  <c r="V56" i="6"/>
  <c r="U56" i="6"/>
  <c r="T56" i="6"/>
  <c r="S56" i="6"/>
  <c r="R56" i="6"/>
  <c r="Q56" i="6"/>
  <c r="P56" i="6"/>
  <c r="O56" i="6"/>
  <c r="N56" i="6"/>
  <c r="W55" i="6"/>
  <c r="V55" i="6"/>
  <c r="U55" i="6"/>
  <c r="T55" i="6"/>
  <c r="S55" i="6"/>
  <c r="R55" i="6"/>
  <c r="Q55" i="6"/>
  <c r="P55" i="6"/>
  <c r="O55" i="6"/>
  <c r="N55" i="6"/>
  <c r="T40" i="6"/>
  <c r="S40" i="6"/>
  <c r="R40" i="6"/>
  <c r="Q40" i="6"/>
  <c r="P40" i="6"/>
  <c r="O40" i="6"/>
  <c r="N40" i="6"/>
  <c r="M40" i="6"/>
  <c r="L40" i="6"/>
  <c r="K40" i="6"/>
  <c r="T39" i="6"/>
  <c r="S39" i="6"/>
  <c r="R39" i="6"/>
  <c r="Q39" i="6"/>
  <c r="P39" i="6"/>
  <c r="O39" i="6"/>
  <c r="N39" i="6"/>
  <c r="M39" i="6"/>
  <c r="L39" i="6"/>
  <c r="K39" i="6"/>
  <c r="Q25" i="6"/>
  <c r="P25" i="6"/>
  <c r="O25" i="6"/>
  <c r="N25" i="6"/>
  <c r="M25" i="6"/>
  <c r="L25" i="6"/>
  <c r="K25" i="6"/>
  <c r="J25" i="6"/>
  <c r="I25" i="6"/>
  <c r="H25" i="6"/>
  <c r="G25" i="6"/>
  <c r="F25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O12" i="6" l="1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B26" i="1"/>
  <c r="B25" i="1"/>
  <c r="B24" i="1"/>
  <c r="B23" i="1"/>
  <c r="B22" i="1"/>
  <c r="B21" i="1"/>
  <c r="B20" i="2"/>
  <c r="B20" i="1"/>
  <c r="B27" i="1" s="1"/>
  <c r="J73" i="5"/>
  <c r="I73" i="5"/>
  <c r="J72" i="5"/>
  <c r="I72" i="5"/>
  <c r="J71" i="5"/>
  <c r="I71" i="5"/>
  <c r="J70" i="5"/>
  <c r="I70" i="5"/>
  <c r="J69" i="5"/>
  <c r="I69" i="5"/>
  <c r="J64" i="5"/>
  <c r="I64" i="5"/>
  <c r="J63" i="5"/>
  <c r="I63" i="5"/>
  <c r="K63" i="5" s="1"/>
  <c r="J62" i="5"/>
  <c r="I62" i="5"/>
  <c r="J61" i="5"/>
  <c r="I61" i="5"/>
  <c r="K61" i="5" s="1"/>
  <c r="J60" i="5"/>
  <c r="I60" i="5"/>
  <c r="J59" i="5"/>
  <c r="I59" i="5"/>
  <c r="K59" i="5" s="1"/>
  <c r="J58" i="5"/>
  <c r="I58" i="5"/>
  <c r="J57" i="5"/>
  <c r="I57" i="5"/>
  <c r="J56" i="5"/>
  <c r="I56" i="5"/>
  <c r="K56" i="5" s="1"/>
  <c r="E73" i="5"/>
  <c r="D73" i="5"/>
  <c r="F73" i="5" s="1"/>
  <c r="E72" i="5"/>
  <c r="D72" i="5"/>
  <c r="E71" i="5"/>
  <c r="D71" i="5"/>
  <c r="F71" i="5" s="1"/>
  <c r="E70" i="5"/>
  <c r="D70" i="5"/>
  <c r="E69" i="5"/>
  <c r="D69" i="5"/>
  <c r="F69" i="5" s="1"/>
  <c r="E64" i="5"/>
  <c r="D64" i="5"/>
  <c r="E63" i="5"/>
  <c r="D63" i="5"/>
  <c r="E62" i="5"/>
  <c r="F62" i="5" s="1"/>
  <c r="D62" i="5"/>
  <c r="E61" i="5"/>
  <c r="D61" i="5"/>
  <c r="E60" i="5"/>
  <c r="D60" i="5"/>
  <c r="E59" i="5"/>
  <c r="D59" i="5"/>
  <c r="E58" i="5"/>
  <c r="D58" i="5"/>
  <c r="E57" i="5"/>
  <c r="F57" i="5" s="1"/>
  <c r="D57" i="5"/>
  <c r="E56" i="5"/>
  <c r="D56" i="5"/>
  <c r="F61" i="3"/>
  <c r="F59" i="5" l="1"/>
  <c r="L59" i="5" s="1"/>
  <c r="L57" i="14"/>
  <c r="K72" i="5"/>
  <c r="L72" i="14"/>
  <c r="F56" i="5"/>
  <c r="F61" i="5"/>
  <c r="L56" i="5"/>
  <c r="L61" i="14"/>
  <c r="L63" i="14"/>
  <c r="F63" i="5"/>
  <c r="L63" i="5" s="1"/>
  <c r="L61" i="5"/>
  <c r="L64" i="14"/>
  <c r="F60" i="5"/>
  <c r="F64" i="5"/>
  <c r="L56" i="14"/>
  <c r="K58" i="5"/>
  <c r="L58" i="5" s="1"/>
  <c r="L58" i="14"/>
  <c r="K60" i="5"/>
  <c r="K69" i="5"/>
  <c r="L69" i="5" s="1"/>
  <c r="L69" i="14"/>
  <c r="K71" i="5"/>
  <c r="L71" i="5" s="1"/>
  <c r="L71" i="14"/>
  <c r="K73" i="5"/>
  <c r="L73" i="5" s="1"/>
  <c r="L73" i="14"/>
  <c r="L59" i="14"/>
  <c r="K70" i="5"/>
  <c r="L70" i="14"/>
  <c r="F58" i="5"/>
  <c r="F70" i="5"/>
  <c r="F72" i="5"/>
  <c r="K57" i="5"/>
  <c r="L57" i="5" s="1"/>
  <c r="L60" i="14"/>
  <c r="L62" i="14"/>
  <c r="K64" i="5"/>
  <c r="L64" i="5" s="1"/>
  <c r="K62" i="5"/>
  <c r="L62" i="5" s="1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1" i="5"/>
  <c r="E20" i="5"/>
  <c r="E19" i="5"/>
  <c r="E18" i="5"/>
  <c r="E17" i="5"/>
  <c r="E16" i="5"/>
  <c r="E15" i="5"/>
  <c r="E14" i="5"/>
  <c r="E13" i="5"/>
  <c r="D21" i="5"/>
  <c r="D20" i="5"/>
  <c r="D19" i="5"/>
  <c r="D18" i="5"/>
  <c r="D17" i="5"/>
  <c r="D16" i="5"/>
  <c r="D15" i="5"/>
  <c r="D14" i="5"/>
  <c r="D13" i="5"/>
  <c r="L27" i="14" l="1"/>
  <c r="L29" i="14"/>
  <c r="L31" i="14"/>
  <c r="L33" i="14"/>
  <c r="L35" i="14"/>
  <c r="L44" i="14"/>
  <c r="L46" i="14"/>
  <c r="L48" i="14"/>
  <c r="L50" i="14"/>
  <c r="L60" i="5"/>
  <c r="H62" i="14"/>
  <c r="M62" i="14" s="1"/>
  <c r="H72" i="14"/>
  <c r="M72" i="14" s="1"/>
  <c r="H69" i="14"/>
  <c r="M69" i="14" s="1"/>
  <c r="H70" i="14"/>
  <c r="M70" i="14" s="1"/>
  <c r="H73" i="14"/>
  <c r="M73" i="14" s="1"/>
  <c r="H64" i="14"/>
  <c r="M64" i="14" s="1"/>
  <c r="H56" i="14"/>
  <c r="M56" i="14" s="1"/>
  <c r="L72" i="5"/>
  <c r="H59" i="14"/>
  <c r="M59" i="14" s="1"/>
  <c r="H57" i="14"/>
  <c r="M57" i="14" s="1"/>
  <c r="H58" i="14"/>
  <c r="M58" i="14" s="1"/>
  <c r="L28" i="14"/>
  <c r="L30" i="14"/>
  <c r="L32" i="14"/>
  <c r="L34" i="14"/>
  <c r="L36" i="14"/>
  <c r="L43" i="14"/>
  <c r="L45" i="14"/>
  <c r="L47" i="14"/>
  <c r="L49" i="14"/>
  <c r="L70" i="5"/>
  <c r="H61" i="14"/>
  <c r="M61" i="14" s="1"/>
  <c r="H60" i="14"/>
  <c r="M60" i="14" s="1"/>
  <c r="H63" i="14"/>
  <c r="M63" i="14" s="1"/>
  <c r="H71" i="14"/>
  <c r="M71" i="14" s="1"/>
  <c r="N60" i="4"/>
  <c r="N58" i="4"/>
  <c r="N59" i="6" s="1"/>
  <c r="N57" i="4"/>
  <c r="N56" i="4"/>
  <c r="N57" i="6" s="1"/>
  <c r="O33" i="4"/>
  <c r="K33" i="4"/>
  <c r="G33" i="4"/>
  <c r="W60" i="4"/>
  <c r="W61" i="6" s="1"/>
  <c r="V60" i="4"/>
  <c r="V61" i="6" s="1"/>
  <c r="U60" i="4"/>
  <c r="U61" i="6" s="1"/>
  <c r="T60" i="4"/>
  <c r="T61" i="6" s="1"/>
  <c r="S60" i="4"/>
  <c r="S61" i="6" s="1"/>
  <c r="R60" i="4"/>
  <c r="R61" i="6" s="1"/>
  <c r="Q60" i="4"/>
  <c r="Q61" i="6" s="1"/>
  <c r="P60" i="4"/>
  <c r="P61" i="6" s="1"/>
  <c r="O60" i="4"/>
  <c r="O61" i="6" s="1"/>
  <c r="W58" i="4"/>
  <c r="W59" i="6" s="1"/>
  <c r="V58" i="4"/>
  <c r="V59" i="6" s="1"/>
  <c r="U58" i="4"/>
  <c r="U59" i="6" s="1"/>
  <c r="T58" i="4"/>
  <c r="T59" i="6" s="1"/>
  <c r="S58" i="4"/>
  <c r="S59" i="6" s="1"/>
  <c r="R58" i="4"/>
  <c r="R59" i="6" s="1"/>
  <c r="Q58" i="4"/>
  <c r="Q59" i="6" s="1"/>
  <c r="P58" i="4"/>
  <c r="P59" i="6" s="1"/>
  <c r="O58" i="4"/>
  <c r="O59" i="6" s="1"/>
  <c r="W57" i="4"/>
  <c r="V57" i="4"/>
  <c r="U57" i="4"/>
  <c r="T57" i="4"/>
  <c r="S57" i="4"/>
  <c r="R57" i="4"/>
  <c r="Q57" i="4"/>
  <c r="P57" i="4"/>
  <c r="O57" i="4"/>
  <c r="W56" i="4"/>
  <c r="W57" i="6" s="1"/>
  <c r="V56" i="4"/>
  <c r="V57" i="6" s="1"/>
  <c r="U56" i="4"/>
  <c r="U57" i="6" s="1"/>
  <c r="T56" i="4"/>
  <c r="T57" i="6" s="1"/>
  <c r="S56" i="4"/>
  <c r="S57" i="6" s="1"/>
  <c r="R56" i="4"/>
  <c r="R57" i="6" s="1"/>
  <c r="Q56" i="4"/>
  <c r="Q57" i="6" s="1"/>
  <c r="P56" i="4"/>
  <c r="P57" i="6" s="1"/>
  <c r="O56" i="4"/>
  <c r="O57" i="6" s="1"/>
  <c r="T46" i="4"/>
  <c r="T45" i="6" s="1"/>
  <c r="S46" i="4"/>
  <c r="S45" i="6" s="1"/>
  <c r="R46" i="4"/>
  <c r="R45" i="6" s="1"/>
  <c r="Q46" i="4"/>
  <c r="Q45" i="6" s="1"/>
  <c r="P46" i="4"/>
  <c r="P45" i="6" s="1"/>
  <c r="O46" i="4"/>
  <c r="O45" i="6" s="1"/>
  <c r="N46" i="4"/>
  <c r="N45" i="6" s="1"/>
  <c r="M46" i="4"/>
  <c r="M45" i="6" s="1"/>
  <c r="L46" i="4"/>
  <c r="L45" i="6" s="1"/>
  <c r="T44" i="4"/>
  <c r="T43" i="6" s="1"/>
  <c r="S44" i="4"/>
  <c r="S43" i="6" s="1"/>
  <c r="R44" i="4"/>
  <c r="R43" i="6" s="1"/>
  <c r="Q44" i="4"/>
  <c r="Q43" i="6" s="1"/>
  <c r="P44" i="4"/>
  <c r="P43" i="6" s="1"/>
  <c r="O44" i="4"/>
  <c r="O43" i="6" s="1"/>
  <c r="N44" i="4"/>
  <c r="N43" i="6" s="1"/>
  <c r="M44" i="4"/>
  <c r="M43" i="6" s="1"/>
  <c r="L44" i="4"/>
  <c r="L43" i="6" s="1"/>
  <c r="T43" i="4"/>
  <c r="S43" i="4"/>
  <c r="R43" i="4"/>
  <c r="Q43" i="4"/>
  <c r="P43" i="4"/>
  <c r="O43" i="4"/>
  <c r="N43" i="4"/>
  <c r="M43" i="4"/>
  <c r="L43" i="4"/>
  <c r="T42" i="4"/>
  <c r="T41" i="6" s="1"/>
  <c r="S42" i="4"/>
  <c r="S41" i="6" s="1"/>
  <c r="R42" i="4"/>
  <c r="R41" i="6" s="1"/>
  <c r="Q42" i="4"/>
  <c r="Q41" i="6" s="1"/>
  <c r="P42" i="4"/>
  <c r="P41" i="6" s="1"/>
  <c r="O42" i="4"/>
  <c r="O41" i="6" s="1"/>
  <c r="N42" i="4"/>
  <c r="N41" i="6" s="1"/>
  <c r="M42" i="4"/>
  <c r="M41" i="6" s="1"/>
  <c r="L42" i="4"/>
  <c r="L41" i="6" s="1"/>
  <c r="K46" i="4"/>
  <c r="K45" i="6" s="1"/>
  <c r="K44" i="4"/>
  <c r="K43" i="6" s="1"/>
  <c r="K43" i="4"/>
  <c r="K42" i="4"/>
  <c r="K41" i="6" s="1"/>
  <c r="Q32" i="4"/>
  <c r="Q31" i="6" s="1"/>
  <c r="P32" i="4"/>
  <c r="P31" i="6" s="1"/>
  <c r="O32" i="4"/>
  <c r="O31" i="6" s="1"/>
  <c r="N32" i="4"/>
  <c r="N31" i="6" s="1"/>
  <c r="M32" i="4"/>
  <c r="M31" i="6" s="1"/>
  <c r="L32" i="4"/>
  <c r="L31" i="6" s="1"/>
  <c r="K32" i="4"/>
  <c r="K31" i="6" s="1"/>
  <c r="J32" i="4"/>
  <c r="J31" i="6" s="1"/>
  <c r="I32" i="4"/>
  <c r="I31" i="6" s="1"/>
  <c r="H32" i="4"/>
  <c r="H31" i="6" s="1"/>
  <c r="G32" i="4"/>
  <c r="G31" i="6" s="1"/>
  <c r="F32" i="4"/>
  <c r="F31" i="6" s="1"/>
  <c r="Q30" i="4"/>
  <c r="Q29" i="6" s="1"/>
  <c r="P30" i="4"/>
  <c r="P29" i="6" s="1"/>
  <c r="O30" i="4"/>
  <c r="O29" i="6" s="1"/>
  <c r="N30" i="4"/>
  <c r="N29" i="6" s="1"/>
  <c r="M30" i="4"/>
  <c r="M29" i="6" s="1"/>
  <c r="L30" i="4"/>
  <c r="L29" i="6" s="1"/>
  <c r="K30" i="4"/>
  <c r="K29" i="6" s="1"/>
  <c r="J30" i="4"/>
  <c r="J29" i="6" s="1"/>
  <c r="I30" i="4"/>
  <c r="I29" i="6" s="1"/>
  <c r="H30" i="4"/>
  <c r="H29" i="6" s="1"/>
  <c r="G30" i="4"/>
  <c r="G29" i="6" s="1"/>
  <c r="F30" i="4"/>
  <c r="F29" i="6" s="1"/>
  <c r="Q29" i="4"/>
  <c r="P29" i="4"/>
  <c r="O29" i="4"/>
  <c r="N29" i="4"/>
  <c r="M29" i="4"/>
  <c r="L29" i="4"/>
  <c r="K29" i="4"/>
  <c r="J29" i="4"/>
  <c r="I29" i="4"/>
  <c r="H29" i="4"/>
  <c r="G29" i="4"/>
  <c r="F29" i="4"/>
  <c r="Q28" i="4"/>
  <c r="Q27" i="6" s="1"/>
  <c r="P28" i="4"/>
  <c r="P27" i="6" s="1"/>
  <c r="O28" i="4"/>
  <c r="O27" i="6" s="1"/>
  <c r="N28" i="4"/>
  <c r="N27" i="6" s="1"/>
  <c r="M28" i="4"/>
  <c r="M27" i="6" s="1"/>
  <c r="L28" i="4"/>
  <c r="L27" i="6" s="1"/>
  <c r="K28" i="4"/>
  <c r="K27" i="6" s="1"/>
  <c r="J28" i="4"/>
  <c r="J27" i="6" s="1"/>
  <c r="I28" i="4"/>
  <c r="I27" i="6" s="1"/>
  <c r="H28" i="4"/>
  <c r="H27" i="6" s="1"/>
  <c r="G28" i="4"/>
  <c r="G27" i="6" s="1"/>
  <c r="F28" i="4"/>
  <c r="F27" i="6" s="1"/>
  <c r="E32" i="4"/>
  <c r="E31" i="6" s="1"/>
  <c r="E30" i="4"/>
  <c r="E29" i="6" s="1"/>
  <c r="E29" i="4"/>
  <c r="E28" i="4"/>
  <c r="E27" i="6" s="1"/>
  <c r="C14" i="4"/>
  <c r="C13" i="6" s="1"/>
  <c r="D14" i="4"/>
  <c r="D13" i="6" s="1"/>
  <c r="E14" i="4"/>
  <c r="E13" i="6" s="1"/>
  <c r="F14" i="4"/>
  <c r="F13" i="6" s="1"/>
  <c r="G14" i="4"/>
  <c r="G13" i="6" s="1"/>
  <c r="H14" i="4"/>
  <c r="H13" i="6" s="1"/>
  <c r="I14" i="4"/>
  <c r="I13" i="6" s="1"/>
  <c r="J14" i="4"/>
  <c r="J13" i="6" s="1"/>
  <c r="K14" i="4"/>
  <c r="K13" i="6" s="1"/>
  <c r="L14" i="4"/>
  <c r="L13" i="6" s="1"/>
  <c r="M14" i="4"/>
  <c r="M13" i="6" s="1"/>
  <c r="N14" i="4"/>
  <c r="N13" i="6" s="1"/>
  <c r="O14" i="4"/>
  <c r="O13" i="6" s="1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C16" i="4"/>
  <c r="C15" i="6" s="1"/>
  <c r="D16" i="4"/>
  <c r="D15" i="6" s="1"/>
  <c r="E16" i="4"/>
  <c r="E15" i="6" s="1"/>
  <c r="F16" i="4"/>
  <c r="F15" i="6" s="1"/>
  <c r="G16" i="4"/>
  <c r="G15" i="6" s="1"/>
  <c r="H16" i="4"/>
  <c r="H15" i="6" s="1"/>
  <c r="I16" i="4"/>
  <c r="I15" i="6" s="1"/>
  <c r="J16" i="4"/>
  <c r="J15" i="6" s="1"/>
  <c r="K16" i="4"/>
  <c r="K15" i="6" s="1"/>
  <c r="L16" i="4"/>
  <c r="L15" i="6" s="1"/>
  <c r="M16" i="4"/>
  <c r="M15" i="6" s="1"/>
  <c r="N16" i="4"/>
  <c r="N15" i="6" s="1"/>
  <c r="O16" i="4"/>
  <c r="O15" i="6" s="1"/>
  <c r="C18" i="4"/>
  <c r="C17" i="6" s="1"/>
  <c r="D18" i="4"/>
  <c r="D17" i="6" s="1"/>
  <c r="E18" i="4"/>
  <c r="E17" i="6" s="1"/>
  <c r="F18" i="4"/>
  <c r="F17" i="6" s="1"/>
  <c r="G18" i="4"/>
  <c r="G17" i="6" s="1"/>
  <c r="H18" i="4"/>
  <c r="H17" i="6" s="1"/>
  <c r="I18" i="4"/>
  <c r="I17" i="6" s="1"/>
  <c r="J18" i="4"/>
  <c r="J17" i="6" s="1"/>
  <c r="K18" i="4"/>
  <c r="K17" i="6" s="1"/>
  <c r="L18" i="4"/>
  <c r="L17" i="6" s="1"/>
  <c r="M18" i="4"/>
  <c r="M17" i="6" s="1"/>
  <c r="N18" i="4"/>
  <c r="N17" i="6" s="1"/>
  <c r="O18" i="4"/>
  <c r="O17" i="6" s="1"/>
  <c r="B18" i="4"/>
  <c r="B17" i="6" s="1"/>
  <c r="B16" i="4"/>
  <c r="B15" i="6" s="1"/>
  <c r="B15" i="4"/>
  <c r="J14" i="7" l="1"/>
  <c r="I14" i="6"/>
  <c r="I18" i="6" s="1"/>
  <c r="F32" i="6"/>
  <c r="G26" i="7"/>
  <c r="F28" i="6"/>
  <c r="O26" i="7"/>
  <c r="N28" i="6"/>
  <c r="N32" i="6" s="1"/>
  <c r="W54" i="7"/>
  <c r="V58" i="6"/>
  <c r="V62" i="6" s="1"/>
  <c r="C19" i="4"/>
  <c r="N47" i="4"/>
  <c r="H31" i="14"/>
  <c r="M31" i="14" s="1"/>
  <c r="H17" i="14"/>
  <c r="M17" i="14" s="1"/>
  <c r="C14" i="7"/>
  <c r="B14" i="6"/>
  <c r="M14" i="7"/>
  <c r="L14" i="6"/>
  <c r="I14" i="7"/>
  <c r="H14" i="6"/>
  <c r="E14" i="7"/>
  <c r="D14" i="6"/>
  <c r="M18" i="6"/>
  <c r="F26" i="7"/>
  <c r="E28" i="6"/>
  <c r="K32" i="6"/>
  <c r="O32" i="6"/>
  <c r="H26" i="7"/>
  <c r="G28" i="6"/>
  <c r="G32" i="6" s="1"/>
  <c r="L26" i="7"/>
  <c r="K28" i="6"/>
  <c r="P26" i="7"/>
  <c r="O28" i="6"/>
  <c r="L40" i="7"/>
  <c r="K42" i="6"/>
  <c r="M46" i="6"/>
  <c r="M40" i="7"/>
  <c r="L42" i="6"/>
  <c r="L46" i="6" s="1"/>
  <c r="Q40" i="7"/>
  <c r="P42" i="6"/>
  <c r="U40" i="7"/>
  <c r="T42" i="6"/>
  <c r="P54" i="7"/>
  <c r="O58" i="6"/>
  <c r="T54" i="7"/>
  <c r="S58" i="6"/>
  <c r="S62" i="6" s="1"/>
  <c r="X54" i="7"/>
  <c r="W58" i="6"/>
  <c r="W62" i="6" s="1"/>
  <c r="P61" i="4"/>
  <c r="W61" i="4"/>
  <c r="H33" i="4"/>
  <c r="L33" i="4"/>
  <c r="P33" i="4"/>
  <c r="D19" i="4"/>
  <c r="H19" i="4"/>
  <c r="L19" i="4"/>
  <c r="K47" i="4"/>
  <c r="O47" i="4"/>
  <c r="S47" i="4"/>
  <c r="H16" i="14"/>
  <c r="M16" i="14" s="1"/>
  <c r="H46" i="14"/>
  <c r="M46" i="14" s="1"/>
  <c r="H29" i="14"/>
  <c r="M29" i="14" s="1"/>
  <c r="H47" i="14"/>
  <c r="M47" i="14" s="1"/>
  <c r="H43" i="14"/>
  <c r="M43" i="14" s="1"/>
  <c r="H34" i="14"/>
  <c r="M34" i="14" s="1"/>
  <c r="H30" i="14"/>
  <c r="M30" i="14" s="1"/>
  <c r="H15" i="14"/>
  <c r="M15" i="14" s="1"/>
  <c r="H14" i="14"/>
  <c r="M14" i="14" s="1"/>
  <c r="H50" i="14"/>
  <c r="M50" i="14" s="1"/>
  <c r="H33" i="14"/>
  <c r="M33" i="14" s="1"/>
  <c r="E32" i="6"/>
  <c r="K26" i="7"/>
  <c r="J28" i="6"/>
  <c r="K46" i="6"/>
  <c r="P46" i="6"/>
  <c r="P40" i="7"/>
  <c r="O42" i="6"/>
  <c r="O62" i="6"/>
  <c r="V61" i="4"/>
  <c r="K19" i="4"/>
  <c r="O54" i="7"/>
  <c r="N58" i="6"/>
  <c r="H48" i="14"/>
  <c r="M48" i="14" s="1"/>
  <c r="P14" i="7"/>
  <c r="O14" i="6"/>
  <c r="O18" i="6" s="1"/>
  <c r="L14" i="7"/>
  <c r="K14" i="6"/>
  <c r="H14" i="7"/>
  <c r="G14" i="6"/>
  <c r="D14" i="7"/>
  <c r="C14" i="6"/>
  <c r="C18" i="6" s="1"/>
  <c r="L18" i="6"/>
  <c r="H18" i="6"/>
  <c r="D18" i="6"/>
  <c r="P32" i="6"/>
  <c r="I26" i="7"/>
  <c r="H28" i="6"/>
  <c r="H32" i="6" s="1"/>
  <c r="M26" i="7"/>
  <c r="L28" i="6"/>
  <c r="L32" i="6" s="1"/>
  <c r="Q26" i="7"/>
  <c r="P28" i="6"/>
  <c r="N40" i="7"/>
  <c r="M42" i="6"/>
  <c r="R40" i="7"/>
  <c r="Q42" i="6"/>
  <c r="Q46" i="6" s="1"/>
  <c r="Q54" i="7"/>
  <c r="P58" i="6"/>
  <c r="P62" i="6" s="1"/>
  <c r="T58" i="6"/>
  <c r="U54" i="7"/>
  <c r="R61" i="4"/>
  <c r="E33" i="4"/>
  <c r="I33" i="4"/>
  <c r="M33" i="4"/>
  <c r="Q33" i="4"/>
  <c r="E19" i="4"/>
  <c r="I19" i="4"/>
  <c r="M19" i="4"/>
  <c r="L47" i="4"/>
  <c r="P47" i="4"/>
  <c r="T47" i="4"/>
  <c r="N61" i="4"/>
  <c r="N61" i="6"/>
  <c r="M42" i="14"/>
  <c r="N14" i="7"/>
  <c r="M14" i="6"/>
  <c r="F14" i="7"/>
  <c r="E14" i="6"/>
  <c r="E18" i="6" s="1"/>
  <c r="F18" i="6"/>
  <c r="J32" i="6"/>
  <c r="T46" i="6"/>
  <c r="T40" i="7"/>
  <c r="S42" i="6"/>
  <c r="S54" i="7"/>
  <c r="R58" i="6"/>
  <c r="O61" i="4"/>
  <c r="G19" i="4"/>
  <c r="O19" i="4"/>
  <c r="R47" i="4"/>
  <c r="Q61" i="4"/>
  <c r="O14" i="7"/>
  <c r="N14" i="6"/>
  <c r="N18" i="6" s="1"/>
  <c r="K14" i="7"/>
  <c r="J14" i="6"/>
  <c r="J18" i="6" s="1"/>
  <c r="G14" i="7"/>
  <c r="F14" i="6"/>
  <c r="K18" i="6"/>
  <c r="G18" i="6"/>
  <c r="Q32" i="6"/>
  <c r="J26" i="7"/>
  <c r="I28" i="6"/>
  <c r="I32" i="6" s="1"/>
  <c r="N26" i="7"/>
  <c r="M28" i="6"/>
  <c r="M32" i="6" s="1"/>
  <c r="R26" i="7"/>
  <c r="Q28" i="6"/>
  <c r="O46" i="6"/>
  <c r="S46" i="6"/>
  <c r="O40" i="7"/>
  <c r="N42" i="6"/>
  <c r="N46" i="6" s="1"/>
  <c r="S40" i="7"/>
  <c r="R42" i="6"/>
  <c r="R46" i="6" s="1"/>
  <c r="R62" i="6"/>
  <c r="R54" i="7"/>
  <c r="Q58" i="6"/>
  <c r="Q62" i="6" s="1"/>
  <c r="V54" i="7"/>
  <c r="U58" i="6"/>
  <c r="U62" i="6" s="1"/>
  <c r="S61" i="4"/>
  <c r="F33" i="4"/>
  <c r="J33" i="4"/>
  <c r="N33" i="4"/>
  <c r="F19" i="4"/>
  <c r="J19" i="4"/>
  <c r="N19" i="4"/>
  <c r="M47" i="4"/>
  <c r="Q47" i="4"/>
  <c r="N62" i="6"/>
  <c r="U61" i="4"/>
  <c r="H12" i="14"/>
  <c r="M12" i="14" s="1"/>
  <c r="H35" i="14"/>
  <c r="M35" i="14" s="1"/>
  <c r="H13" i="14"/>
  <c r="M13" i="14" s="1"/>
  <c r="H49" i="14"/>
  <c r="M49" i="14" s="1"/>
  <c r="H45" i="14"/>
  <c r="M45" i="14" s="1"/>
  <c r="H36" i="14"/>
  <c r="M36" i="14" s="1"/>
  <c r="H32" i="14"/>
  <c r="M32" i="14" s="1"/>
  <c r="H28" i="14"/>
  <c r="M28" i="14" s="1"/>
  <c r="H19" i="14"/>
  <c r="M19" i="14" s="1"/>
  <c r="H18" i="14"/>
  <c r="M18" i="14" s="1"/>
  <c r="H44" i="14"/>
  <c r="M44" i="14" s="1"/>
  <c r="H27" i="14"/>
  <c r="M27" i="14" s="1"/>
  <c r="T62" i="6"/>
  <c r="T61" i="4"/>
  <c r="B14" i="4"/>
  <c r="G17" i="7" l="1"/>
  <c r="G14" i="9"/>
  <c r="G15" i="7"/>
  <c r="G16" i="7"/>
  <c r="G18" i="7"/>
  <c r="Q40" i="9"/>
  <c r="Q41" i="7"/>
  <c r="Q42" i="7"/>
  <c r="Q44" i="7"/>
  <c r="Q43" i="7"/>
  <c r="P26" i="9"/>
  <c r="P27" i="7"/>
  <c r="P28" i="7"/>
  <c r="P29" i="7"/>
  <c r="P30" i="7"/>
  <c r="H26" i="9"/>
  <c r="H29" i="7"/>
  <c r="H30" i="7"/>
  <c r="H27" i="7"/>
  <c r="H28" i="7"/>
  <c r="I15" i="7"/>
  <c r="I14" i="9"/>
  <c r="I17" i="7"/>
  <c r="I16" i="7"/>
  <c r="I18" i="7"/>
  <c r="C16" i="7"/>
  <c r="C14" i="9"/>
  <c r="C17" i="7"/>
  <c r="C15" i="7"/>
  <c r="C18" i="7"/>
  <c r="R54" i="9"/>
  <c r="R58" i="7"/>
  <c r="R57" i="7"/>
  <c r="R55" i="7"/>
  <c r="R56" i="7"/>
  <c r="S40" i="9"/>
  <c r="S44" i="7"/>
  <c r="S43" i="7"/>
  <c r="S41" i="7"/>
  <c r="S42" i="7"/>
  <c r="N26" i="9"/>
  <c r="N30" i="7"/>
  <c r="N29" i="7"/>
  <c r="N27" i="7"/>
  <c r="N28" i="7"/>
  <c r="Q58" i="7"/>
  <c r="Q54" i="9"/>
  <c r="Q57" i="7"/>
  <c r="Q55" i="7"/>
  <c r="Q56" i="7"/>
  <c r="R40" i="9"/>
  <c r="R44" i="7"/>
  <c r="R41" i="7"/>
  <c r="R42" i="7"/>
  <c r="R43" i="7"/>
  <c r="M26" i="9"/>
  <c r="M28" i="7"/>
  <c r="M29" i="7"/>
  <c r="M30" i="7"/>
  <c r="M27" i="7"/>
  <c r="H16" i="7"/>
  <c r="H14" i="9"/>
  <c r="H17" i="7"/>
  <c r="H15" i="7"/>
  <c r="H18" i="7"/>
  <c r="P16" i="7"/>
  <c r="P14" i="9"/>
  <c r="P15" i="7"/>
  <c r="P17" i="7"/>
  <c r="P18" i="7"/>
  <c r="O55" i="7"/>
  <c r="O54" i="9"/>
  <c r="O58" i="7"/>
  <c r="O57" i="7"/>
  <c r="O56" i="7"/>
  <c r="T54" i="9"/>
  <c r="T58" i="7"/>
  <c r="T57" i="7"/>
  <c r="T56" i="7"/>
  <c r="T55" i="7"/>
  <c r="F26" i="9"/>
  <c r="F29" i="7"/>
  <c r="F28" i="7"/>
  <c r="F30" i="7"/>
  <c r="F27" i="7"/>
  <c r="W54" i="9"/>
  <c r="W58" i="7"/>
  <c r="W57" i="7"/>
  <c r="W55" i="7"/>
  <c r="W56" i="7"/>
  <c r="O26" i="9"/>
  <c r="O27" i="7"/>
  <c r="O28" i="7"/>
  <c r="O30" i="7"/>
  <c r="O29" i="7"/>
  <c r="S54" i="9"/>
  <c r="S58" i="7"/>
  <c r="S56" i="7"/>
  <c r="S57" i="7"/>
  <c r="S55" i="7"/>
  <c r="F17" i="7"/>
  <c r="F14" i="9"/>
  <c r="F16" i="7"/>
  <c r="F15" i="7"/>
  <c r="F18" i="7"/>
  <c r="U58" i="7"/>
  <c r="U54" i="9"/>
  <c r="U57" i="7"/>
  <c r="U55" i="7"/>
  <c r="U56" i="7"/>
  <c r="P40" i="9"/>
  <c r="P44" i="7"/>
  <c r="P42" i="7"/>
  <c r="P43" i="7"/>
  <c r="P41" i="7"/>
  <c r="K26" i="9"/>
  <c r="K28" i="7"/>
  <c r="K29" i="7"/>
  <c r="K27" i="7"/>
  <c r="K30" i="7"/>
  <c r="U40" i="9"/>
  <c r="U44" i="7"/>
  <c r="U41" i="7"/>
  <c r="U42" i="7"/>
  <c r="U43" i="7"/>
  <c r="M40" i="9"/>
  <c r="M44" i="7"/>
  <c r="M41" i="7"/>
  <c r="M42" i="7"/>
  <c r="M43" i="7"/>
  <c r="L40" i="9"/>
  <c r="L44" i="7"/>
  <c r="L41" i="7"/>
  <c r="L43" i="7"/>
  <c r="L42" i="7"/>
  <c r="L26" i="9"/>
  <c r="L30" i="7"/>
  <c r="L29" i="7"/>
  <c r="L28" i="7"/>
  <c r="L27" i="7"/>
  <c r="E15" i="7"/>
  <c r="E14" i="9"/>
  <c r="E17" i="7"/>
  <c r="E16" i="7"/>
  <c r="E18" i="7"/>
  <c r="M15" i="7"/>
  <c r="M14" i="9"/>
  <c r="M16" i="7"/>
  <c r="M17" i="7"/>
  <c r="M18" i="7"/>
  <c r="O17" i="7"/>
  <c r="O14" i="9"/>
  <c r="O16" i="7"/>
  <c r="O15" i="7"/>
  <c r="O18" i="7"/>
  <c r="K17" i="7"/>
  <c r="K14" i="9"/>
  <c r="K15" i="7"/>
  <c r="K16" i="7"/>
  <c r="K18" i="7"/>
  <c r="N17" i="7"/>
  <c r="N14" i="9"/>
  <c r="N16" i="7"/>
  <c r="N15" i="7"/>
  <c r="N18" i="7"/>
  <c r="B13" i="6"/>
  <c r="B18" i="6" s="1"/>
  <c r="B19" i="4"/>
  <c r="V54" i="9"/>
  <c r="V58" i="7"/>
  <c r="V57" i="7"/>
  <c r="V55" i="7"/>
  <c r="V56" i="7"/>
  <c r="O40" i="9"/>
  <c r="O41" i="7"/>
  <c r="O44" i="7"/>
  <c r="O43" i="7"/>
  <c r="O42" i="7"/>
  <c r="R26" i="9"/>
  <c r="R30" i="7"/>
  <c r="R28" i="7"/>
  <c r="R27" i="7"/>
  <c r="R29" i="7"/>
  <c r="J26" i="9"/>
  <c r="J27" i="7"/>
  <c r="J29" i="7"/>
  <c r="J28" i="7"/>
  <c r="J30" i="7"/>
  <c r="T40" i="9"/>
  <c r="T42" i="7"/>
  <c r="T43" i="7"/>
  <c r="T44" i="7"/>
  <c r="T41" i="7"/>
  <c r="N40" i="9"/>
  <c r="N42" i="7"/>
  <c r="N43" i="7"/>
  <c r="N41" i="7"/>
  <c r="N44" i="7"/>
  <c r="Q26" i="9"/>
  <c r="Q30" i="7"/>
  <c r="Q27" i="7"/>
  <c r="Q29" i="7"/>
  <c r="Q28" i="7"/>
  <c r="I26" i="9"/>
  <c r="I30" i="7"/>
  <c r="I28" i="7"/>
  <c r="I29" i="7"/>
  <c r="I27" i="7"/>
  <c r="D16" i="7"/>
  <c r="D14" i="9"/>
  <c r="D15" i="7"/>
  <c r="D17" i="7"/>
  <c r="D18" i="7"/>
  <c r="L16" i="7"/>
  <c r="L14" i="9"/>
  <c r="L17" i="7"/>
  <c r="L15" i="7"/>
  <c r="L18" i="7"/>
  <c r="X54" i="9"/>
  <c r="X58" i="7"/>
  <c r="X56" i="7"/>
  <c r="X55" i="7"/>
  <c r="X57" i="7"/>
  <c r="P58" i="7"/>
  <c r="P54" i="9"/>
  <c r="P57" i="7"/>
  <c r="P55" i="7"/>
  <c r="P56" i="7"/>
  <c r="G26" i="9"/>
  <c r="G30" i="7"/>
  <c r="G29" i="7"/>
  <c r="G27" i="7"/>
  <c r="G28" i="7"/>
  <c r="J17" i="7"/>
  <c r="J14" i="9"/>
  <c r="J15" i="7"/>
  <c r="J16" i="7"/>
  <c r="J18" i="7"/>
  <c r="G6" i="5"/>
  <c r="L18" i="9" l="1"/>
  <c r="L17" i="9"/>
  <c r="L15" i="9"/>
  <c r="L16" i="9"/>
  <c r="G29" i="9"/>
  <c r="G27" i="9"/>
  <c r="G28" i="9"/>
  <c r="G30" i="9"/>
  <c r="P58" i="9"/>
  <c r="P57" i="9"/>
  <c r="P56" i="9"/>
  <c r="P55" i="9"/>
  <c r="T41" i="9"/>
  <c r="T43" i="9"/>
  <c r="T42" i="9"/>
  <c r="T44" i="9"/>
  <c r="V57" i="9"/>
  <c r="V56" i="9"/>
  <c r="V55" i="9"/>
  <c r="V58" i="9"/>
  <c r="O15" i="9"/>
  <c r="O16" i="9"/>
  <c r="O18" i="9"/>
  <c r="O17" i="9"/>
  <c r="L29" i="9"/>
  <c r="L28" i="9"/>
  <c r="L27" i="9"/>
  <c r="L30" i="9"/>
  <c r="K29" i="9"/>
  <c r="K27" i="9"/>
  <c r="K28" i="9"/>
  <c r="K30" i="9"/>
  <c r="S58" i="9"/>
  <c r="S55" i="9"/>
  <c r="S57" i="9"/>
  <c r="S56" i="9"/>
  <c r="T57" i="9"/>
  <c r="T56" i="9"/>
  <c r="T58" i="9"/>
  <c r="T55" i="9"/>
  <c r="O57" i="9"/>
  <c r="O55" i="9"/>
  <c r="O56" i="9"/>
  <c r="O58" i="9"/>
  <c r="M28" i="9"/>
  <c r="M29" i="9"/>
  <c r="M27" i="9"/>
  <c r="M30" i="9"/>
  <c r="S43" i="9"/>
  <c r="S42" i="9"/>
  <c r="S41" i="9"/>
  <c r="S44" i="9"/>
  <c r="H29" i="9"/>
  <c r="H27" i="9"/>
  <c r="H28" i="9"/>
  <c r="H30" i="9"/>
  <c r="J18" i="9"/>
  <c r="J17" i="9"/>
  <c r="J15" i="9"/>
  <c r="J16" i="9"/>
  <c r="I28" i="9"/>
  <c r="I27" i="9"/>
  <c r="I29" i="9"/>
  <c r="I30" i="9"/>
  <c r="J27" i="9"/>
  <c r="J29" i="9"/>
  <c r="J28" i="9"/>
  <c r="J30" i="9"/>
  <c r="M17" i="9"/>
  <c r="M16" i="9"/>
  <c r="M18" i="9"/>
  <c r="M15" i="9"/>
  <c r="L43" i="9"/>
  <c r="L42" i="9"/>
  <c r="L41" i="9"/>
  <c r="L44" i="9"/>
  <c r="P41" i="9"/>
  <c r="P42" i="9"/>
  <c r="P43" i="9"/>
  <c r="P44" i="9"/>
  <c r="U58" i="9"/>
  <c r="U57" i="9"/>
  <c r="U55" i="9"/>
  <c r="U56" i="9"/>
  <c r="O29" i="9"/>
  <c r="O27" i="9"/>
  <c r="O28" i="9"/>
  <c r="O30" i="9"/>
  <c r="P17" i="9"/>
  <c r="P18" i="9"/>
  <c r="P15" i="9"/>
  <c r="P16" i="9"/>
  <c r="R42" i="9"/>
  <c r="R43" i="9"/>
  <c r="R41" i="9"/>
  <c r="R44" i="9"/>
  <c r="Q56" i="9"/>
  <c r="Q55" i="9"/>
  <c r="Q58" i="9"/>
  <c r="Q57" i="9"/>
  <c r="R57" i="9"/>
  <c r="R56" i="9"/>
  <c r="R55" i="9"/>
  <c r="R58" i="9"/>
  <c r="C18" i="9"/>
  <c r="C16" i="9"/>
  <c r="C17" i="9"/>
  <c r="C15" i="9"/>
  <c r="P29" i="9"/>
  <c r="P27" i="9"/>
  <c r="P28" i="9"/>
  <c r="P30" i="9"/>
  <c r="M42" i="9"/>
  <c r="M43" i="9"/>
  <c r="M41" i="9"/>
  <c r="M44" i="9"/>
  <c r="F18" i="9"/>
  <c r="F17" i="9"/>
  <c r="F15" i="9"/>
  <c r="F16" i="9"/>
  <c r="W58" i="9"/>
  <c r="W55" i="9"/>
  <c r="W57" i="9"/>
  <c r="W56" i="9"/>
  <c r="H17" i="9"/>
  <c r="H18" i="9"/>
  <c r="H15" i="9"/>
  <c r="H16" i="9"/>
  <c r="I17" i="9"/>
  <c r="I16" i="9"/>
  <c r="I15" i="9"/>
  <c r="I18" i="9"/>
  <c r="Q42" i="9"/>
  <c r="Q41" i="9"/>
  <c r="Q43" i="9"/>
  <c r="Q44" i="9"/>
  <c r="G15" i="9"/>
  <c r="G18" i="9"/>
  <c r="G16" i="9"/>
  <c r="G17" i="9"/>
  <c r="X57" i="9"/>
  <c r="X56" i="9"/>
  <c r="X58" i="9"/>
  <c r="X55" i="9"/>
  <c r="Q28" i="9"/>
  <c r="Q29" i="9"/>
  <c r="Q27" i="9"/>
  <c r="Q30" i="9"/>
  <c r="R29" i="9"/>
  <c r="R27" i="9"/>
  <c r="R28" i="9"/>
  <c r="R30" i="9"/>
  <c r="N18" i="9"/>
  <c r="N17" i="9"/>
  <c r="N15" i="9"/>
  <c r="N16" i="9"/>
  <c r="E17" i="9"/>
  <c r="E18" i="9"/>
  <c r="E16" i="9"/>
  <c r="E15" i="9"/>
  <c r="D18" i="9"/>
  <c r="D17" i="9"/>
  <c r="D16" i="9"/>
  <c r="D15" i="9"/>
  <c r="N42" i="9"/>
  <c r="N43" i="9"/>
  <c r="N41" i="9"/>
  <c r="N44" i="9"/>
  <c r="O43" i="9"/>
  <c r="O42" i="9"/>
  <c r="O41" i="9"/>
  <c r="O44" i="9"/>
  <c r="K18" i="9"/>
  <c r="K17" i="9"/>
  <c r="K16" i="9"/>
  <c r="K15" i="9"/>
  <c r="U42" i="9"/>
  <c r="U43" i="9"/>
  <c r="U41" i="9"/>
  <c r="U44" i="9"/>
  <c r="F27" i="9"/>
  <c r="F29" i="9"/>
  <c r="F28" i="9"/>
  <c r="F30" i="9"/>
  <c r="N29" i="9"/>
  <c r="N27" i="9"/>
  <c r="N28" i="9"/>
  <c r="N30" i="9"/>
  <c r="K50" i="5"/>
  <c r="K49" i="5"/>
  <c r="K48" i="5"/>
  <c r="K47" i="5"/>
  <c r="K46" i="5"/>
  <c r="K45" i="5"/>
  <c r="K44" i="5"/>
  <c r="K43" i="5"/>
  <c r="K42" i="5"/>
  <c r="F50" i="5"/>
  <c r="L50" i="5" s="1"/>
  <c r="F49" i="5"/>
  <c r="F48" i="5"/>
  <c r="F47" i="5"/>
  <c r="L47" i="5" s="1"/>
  <c r="F46" i="5"/>
  <c r="L46" i="5" s="1"/>
  <c r="F45" i="5"/>
  <c r="F44" i="5"/>
  <c r="F43" i="5"/>
  <c r="L43" i="5" s="1"/>
  <c r="F42" i="5"/>
  <c r="L42" i="5" s="1"/>
  <c r="K37" i="5"/>
  <c r="K36" i="5"/>
  <c r="K35" i="5"/>
  <c r="K34" i="5"/>
  <c r="K33" i="5"/>
  <c r="K32" i="5"/>
  <c r="K31" i="5"/>
  <c r="K30" i="5"/>
  <c r="K29" i="5"/>
  <c r="K28" i="5"/>
  <c r="K27" i="5"/>
  <c r="K26" i="5"/>
  <c r="K21" i="5"/>
  <c r="K20" i="5"/>
  <c r="K19" i="5"/>
  <c r="K18" i="5"/>
  <c r="K17" i="5"/>
  <c r="K16" i="5"/>
  <c r="K15" i="5"/>
  <c r="K14" i="5"/>
  <c r="K13" i="5"/>
  <c r="F37" i="5"/>
  <c r="F36" i="5"/>
  <c r="L36" i="5" s="1"/>
  <c r="F35" i="5"/>
  <c r="L35" i="5" s="1"/>
  <c r="F34" i="5"/>
  <c r="F33" i="5"/>
  <c r="F32" i="5"/>
  <c r="L32" i="5" s="1"/>
  <c r="F31" i="5"/>
  <c r="L31" i="5" s="1"/>
  <c r="F30" i="5"/>
  <c r="F29" i="5"/>
  <c r="F28" i="5"/>
  <c r="L28" i="5" s="1"/>
  <c r="F27" i="5"/>
  <c r="L27" i="5" s="1"/>
  <c r="F26" i="5"/>
  <c r="F21" i="5"/>
  <c r="F20" i="5"/>
  <c r="L20" i="5" s="1"/>
  <c r="F19" i="5"/>
  <c r="L19" i="5" s="1"/>
  <c r="F18" i="5"/>
  <c r="F17" i="5"/>
  <c r="F16" i="5"/>
  <c r="L16" i="5" s="1"/>
  <c r="F15" i="5"/>
  <c r="L15" i="5" s="1"/>
  <c r="F14" i="5"/>
  <c r="F13" i="5"/>
  <c r="L13" i="5" l="1"/>
  <c r="L17" i="5"/>
  <c r="L21" i="5"/>
  <c r="L29" i="5"/>
  <c r="L33" i="5"/>
  <c r="L37" i="5"/>
  <c r="L44" i="5"/>
  <c r="L48" i="5"/>
  <c r="L14" i="5"/>
  <c r="L18" i="5"/>
  <c r="L26" i="5"/>
  <c r="L30" i="5"/>
  <c r="L34" i="5"/>
  <c r="L45" i="5"/>
  <c r="L49" i="5"/>
  <c r="E30" i="2"/>
  <c r="E31" i="2"/>
  <c r="E26" i="2"/>
  <c r="E28" i="2"/>
  <c r="E27" i="2"/>
  <c r="K61" i="3" l="1"/>
  <c r="L61" i="3" s="1"/>
  <c r="E30" i="1"/>
  <c r="E27" i="1"/>
  <c r="E26" i="1"/>
  <c r="E31" i="1" s="1"/>
  <c r="T60" i="1"/>
  <c r="T58" i="1"/>
  <c r="T57" i="1"/>
  <c r="T56" i="1"/>
  <c r="T59" i="2"/>
  <c r="T61" i="1" l="1"/>
  <c r="N25" i="12"/>
  <c r="N23" i="13"/>
  <c r="N24" i="13" s="1"/>
  <c r="N26" i="12"/>
  <c r="N27" i="12"/>
  <c r="P26" i="13"/>
  <c r="I26" i="12"/>
  <c r="I27" i="12"/>
  <c r="I23" i="13"/>
  <c r="I24" i="13" s="1"/>
  <c r="I25" i="12"/>
  <c r="P27" i="12"/>
  <c r="P26" i="12"/>
  <c r="P25" i="12"/>
  <c r="P23" i="13"/>
  <c r="P25" i="13" s="1"/>
  <c r="Q27" i="13"/>
  <c r="Q28" i="13" s="1"/>
  <c r="Q25" i="13"/>
  <c r="Q23" i="13"/>
  <c r="Q26" i="13" s="1"/>
  <c r="Q26" i="12"/>
  <c r="Q27" i="12"/>
  <c r="Q25" i="12"/>
  <c r="K26" i="12"/>
  <c r="K27" i="12"/>
  <c r="K23" i="13"/>
  <c r="K26" i="13" s="1"/>
  <c r="K25" i="12"/>
  <c r="O23" i="13"/>
  <c r="O27" i="13" s="1"/>
  <c r="O28" i="13" s="1"/>
  <c r="O27" i="12"/>
  <c r="O26" i="12"/>
  <c r="O25" i="12"/>
  <c r="H23" i="13"/>
  <c r="H27" i="13" s="1"/>
  <c r="H28" i="13" s="1"/>
  <c r="H25" i="12"/>
  <c r="H26" i="12"/>
  <c r="H27" i="12"/>
  <c r="R26" i="12"/>
  <c r="R25" i="12"/>
  <c r="R23" i="13"/>
  <c r="R24" i="13" s="1"/>
  <c r="R27" i="12"/>
  <c r="L25" i="12"/>
  <c r="L27" i="12"/>
  <c r="L23" i="13"/>
  <c r="L26" i="13" s="1"/>
  <c r="L26" i="12"/>
  <c r="M25" i="12"/>
  <c r="M27" i="12"/>
  <c r="M23" i="13"/>
  <c r="M27" i="13" s="1"/>
  <c r="M28" i="13" s="1"/>
  <c r="M26" i="12"/>
  <c r="F23" i="13"/>
  <c r="F27" i="13" s="1"/>
  <c r="F28" i="13" s="1"/>
  <c r="F26" i="12"/>
  <c r="F27" i="12"/>
  <c r="F25" i="12"/>
  <c r="J25" i="12"/>
  <c r="J26" i="12"/>
  <c r="J23" i="13"/>
  <c r="J24" i="13" s="1"/>
  <c r="J27" i="12"/>
  <c r="G27" i="12"/>
  <c r="G25" i="12"/>
  <c r="G26" i="12"/>
  <c r="G23" i="13"/>
  <c r="G25" i="13" s="1"/>
  <c r="L24" i="12"/>
  <c r="K24" i="12"/>
  <c r="R24" i="12"/>
  <c r="H24" i="12"/>
  <c r="P24" i="12"/>
  <c r="O24" i="12"/>
  <c r="G24" i="12"/>
  <c r="M24" i="12"/>
  <c r="J24" i="12"/>
  <c r="F24" i="12"/>
  <c r="I24" i="12"/>
  <c r="Q24" i="12"/>
  <c r="N24" i="12"/>
  <c r="N26" i="13" l="1"/>
  <c r="G27" i="13"/>
  <c r="G28" i="13" s="1"/>
  <c r="Q24" i="13"/>
  <c r="H26" i="13"/>
  <c r="F24" i="13"/>
  <c r="O24" i="13"/>
  <c r="R25" i="13"/>
  <c r="K27" i="13"/>
  <c r="K28" i="13" s="1"/>
  <c r="J25" i="13"/>
  <c r="I26" i="13"/>
  <c r="G24" i="13"/>
  <c r="M24" i="13"/>
  <c r="R27" i="13"/>
  <c r="R28" i="13" s="1"/>
  <c r="F26" i="13"/>
  <c r="K25" i="13"/>
  <c r="L24" i="13"/>
  <c r="J26" i="13"/>
  <c r="O26" i="13"/>
  <c r="I27" i="13"/>
  <c r="I28" i="13" s="1"/>
  <c r="P24" i="13"/>
  <c r="N25" i="13"/>
  <c r="H25" i="13"/>
  <c r="M26" i="13"/>
  <c r="G26" i="13"/>
  <c r="M25" i="13"/>
  <c r="R26" i="13"/>
  <c r="F25" i="13"/>
  <c r="K24" i="13"/>
  <c r="L25" i="13"/>
  <c r="J27" i="13"/>
  <c r="J28" i="13" s="1"/>
  <c r="O25" i="13"/>
  <c r="I25" i="13"/>
  <c r="P27" i="13"/>
  <c r="P28" i="13" s="1"/>
  <c r="N27" i="13"/>
  <c r="N28" i="13" s="1"/>
  <c r="H24" i="13"/>
  <c r="L27" i="13"/>
  <c r="L28" i="13" s="1"/>
</calcChain>
</file>

<file path=xl/comments1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10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11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12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13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14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15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maig 2019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5.xml><?xml version="1.0" encoding="utf-8"?>
<comments xmlns="http://schemas.openxmlformats.org/spreadsheetml/2006/main">
  <authors>
    <author>Nuria Ibañez Perez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6.xml><?xml version="1.0" encoding="utf-8"?>
<comments xmlns="http://schemas.openxmlformats.org/spreadsheetml/2006/main">
  <authors>
    <author>Nuria Ibañez Perez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maig 2019 (J.Vilamú)</t>
        </r>
      </text>
    </comment>
  </commentList>
</comments>
</file>

<file path=xl/comments7.xml><?xml version="1.0" encoding="utf-8"?>
<comments xmlns="http://schemas.openxmlformats.org/spreadsheetml/2006/main">
  <authors>
    <author>Nuria Ibañez Perez</author>
  </authors>
  <commentList>
    <comment ref="F21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8.xml><?xml version="1.0" encoding="utf-8"?>
<comments xmlns="http://schemas.openxmlformats.org/spreadsheetml/2006/main">
  <authors>
    <author>Nuria Ibañez Perez</author>
  </authors>
  <commentList>
    <comment ref="F21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9.xml><?xml version="1.0" encoding="utf-8"?>
<comments xmlns="http://schemas.openxmlformats.org/spreadsheetml/2006/main">
  <authors>
    <author>Nuria Ibañez Perez</author>
  </authors>
  <commentList>
    <comment ref="F18" author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sharedStrings.xml><?xml version="1.0" encoding="utf-8"?>
<sst xmlns="http://schemas.openxmlformats.org/spreadsheetml/2006/main" count="1603" uniqueCount="149">
  <si>
    <t>ESCALES I NIVELLS RETRIBUTIUS C.P.N.S.C. 2019 PERSONAL FUNCIONARI  (inclou l'increment del 2,25% del RDL 24/2018, de 21 de desembre)</t>
  </si>
  <si>
    <t>(pendent aprovació definitiva per l'Assemblea General)</t>
  </si>
  <si>
    <t>GRUP  "A1"</t>
  </si>
  <si>
    <t>20a</t>
  </si>
  <si>
    <t>20b</t>
  </si>
  <si>
    <t>20c</t>
  </si>
  <si>
    <t>Sou Base</t>
  </si>
  <si>
    <t>C.Desti</t>
  </si>
  <si>
    <t>C.Especific</t>
  </si>
  <si>
    <t>Assist.Punt</t>
  </si>
  <si>
    <t>Prod. Fixa</t>
  </si>
  <si>
    <t>C.horitzontal</t>
  </si>
  <si>
    <t>GRUP  "A2"</t>
  </si>
  <si>
    <t>26a</t>
  </si>
  <si>
    <t>26b</t>
  </si>
  <si>
    <t>16a</t>
  </si>
  <si>
    <t>GRUP  "C1"</t>
  </si>
  <si>
    <t>C.Horitzontal</t>
  </si>
  <si>
    <t>GRUP  "C2"</t>
  </si>
  <si>
    <t>C1</t>
  </si>
  <si>
    <t>C2</t>
  </si>
  <si>
    <t>Assist Punt</t>
  </si>
  <si>
    <t>IMPORT A PERCEBRE A LA PAGA EXTRA DESEMBRE 2018</t>
  </si>
  <si>
    <t>COMPLEMENTS PERSONALS</t>
  </si>
  <si>
    <t>(només pel que fa a sou base i triennis)</t>
  </si>
  <si>
    <t>(imports mensuals)</t>
  </si>
  <si>
    <t>GRUP</t>
  </si>
  <si>
    <t>Sou base</t>
  </si>
  <si>
    <t>Trienni</t>
  </si>
  <si>
    <t>ALTRES PERCEPCIONS (imports mensuals)</t>
  </si>
  <si>
    <t>A1</t>
  </si>
  <si>
    <t>A2</t>
  </si>
  <si>
    <t>Ajut social per fill/a</t>
  </si>
  <si>
    <t>Ajut social per fill/a disminuït/ida</t>
  </si>
  <si>
    <t>ALTRES PERCEPCIONS (import per unitat/km)</t>
  </si>
  <si>
    <t>exempte</t>
  </si>
  <si>
    <t>subjecte</t>
  </si>
  <si>
    <t>Import desplaçament</t>
  </si>
  <si>
    <t>JSR</t>
  </si>
  <si>
    <t>Ajut per menjar</t>
  </si>
  <si>
    <t>IMPORT A PERCEBRE PER UNITAT TRIENNI</t>
  </si>
  <si>
    <t>(a cada mensualitat ordinària)</t>
  </si>
  <si>
    <t>QUADRE DE RETRIBUCIONS DEL PERSONAL LABORAL DEL CONSORCI DEL PARC NATURAL DE LA SERRA DE COLLSEROLA APLICABLE L'ANY 2019 (Inclou la pujada derivada del RDL 24/2018, de 21 de desembre, del 2,25%)</t>
  </si>
  <si>
    <t>RETRIBUCIONS A LES PAGUES EXTRES (JUNY I DESEMBRE DE 2019)</t>
  </si>
  <si>
    <t>TOTAL ANUAL</t>
  </si>
  <si>
    <t xml:space="preserve">TOTAL </t>
  </si>
  <si>
    <t>TOTAL ANY (*)</t>
  </si>
  <si>
    <t>Director Gerent</t>
  </si>
  <si>
    <t>Retribució</t>
  </si>
  <si>
    <t>MES</t>
  </si>
  <si>
    <t>SUBGRUP A1</t>
  </si>
  <si>
    <t>Sou</t>
  </si>
  <si>
    <t>Assistència i</t>
  </si>
  <si>
    <t>Complement Lloc i</t>
  </si>
  <si>
    <t>TOTAL</t>
  </si>
  <si>
    <t>Tècnic Superior</t>
  </si>
  <si>
    <t>Nivells</t>
  </si>
  <si>
    <t>Base</t>
  </si>
  <si>
    <t>Puntualitat</t>
  </si>
  <si>
    <t>Desen.Professional</t>
  </si>
  <si>
    <t>ANUAL</t>
  </si>
  <si>
    <t>TOTAL ANY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</si>
  <si>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</si>
  <si>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</si>
  <si>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</si>
  <si>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</si>
  <si>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</si>
  <si>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</si>
  <si>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</si>
  <si>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 treballs</t>
  </si>
  <si>
    <t>forestals i agrícoles</t>
  </si>
  <si>
    <t>Operari de camp</t>
  </si>
  <si>
    <t>i prevenció d'incendis</t>
  </si>
  <si>
    <t>Subaltern</t>
  </si>
  <si>
    <t>SUBGRUP AP</t>
  </si>
  <si>
    <t>TRIENNIS</t>
  </si>
  <si>
    <t>ALTRES PERCEPCIONS (imports anuals)</t>
  </si>
  <si>
    <t>Antiguitat mes</t>
  </si>
  <si>
    <t>Antiguitat a la</t>
  </si>
  <si>
    <t>ordinari</t>
  </si>
  <si>
    <t>paga extra</t>
  </si>
  <si>
    <t>ALTRES PERCEPCIONS (import unitat)</t>
  </si>
  <si>
    <t>Import desplaçament (qm)</t>
  </si>
  <si>
    <t>AP</t>
  </si>
  <si>
    <t>C.Reventlla S.Joan</t>
  </si>
  <si>
    <t>ANNEX II  PUNT 5.1 .ASSEMBLEA GENERAL 10/04/2019</t>
  </si>
  <si>
    <t>REAL DECRET LLEI 24/2018 21 DESEMBRE (Increment 0,25% aplicació juliol 2019)</t>
  </si>
  <si>
    <t>ESCALES I NIVELLS RETRIBUTIUS C.P.N.S.C. 2019 PERSONAL FUNCIONARI :JULIOL 2019</t>
  </si>
  <si>
    <t>inclou l'increment del 2,25% del RDL 24/2018, de 21 de desembre: aplicació gener 2019</t>
  </si>
  <si>
    <t>RETRIBUCIONS MENSUALS</t>
  </si>
  <si>
    <t>IMPORT A PERCEBRE A LA PAGA EXTRA DESEMBRE 2019</t>
  </si>
  <si>
    <t>modificacions ASSEMBLEA GENERAL 10/04/2019 (A2 26a )</t>
  </si>
  <si>
    <t>modificacions ASSEMBLEA GENERAL 18/09/2019 (Complement PRODUCTIVITAT)</t>
  </si>
  <si>
    <t>ESCALES I NIVELLS RETRIBUTIUS C.P.N.S.C. 2019 PERSONAL FUNCIONARI :OCTUBRE 2019</t>
  </si>
  <si>
    <t>Productivitat</t>
  </si>
  <si>
    <t>Carrera Horitzontal</t>
  </si>
  <si>
    <t>Assistència i Puntualitat</t>
  </si>
  <si>
    <t>C.Productivitat</t>
  </si>
  <si>
    <t>productivitat</t>
  </si>
  <si>
    <t>Productivitat 50%</t>
  </si>
  <si>
    <t>Carrera Horitzontal 30%</t>
  </si>
  <si>
    <t>TOTAL  MES</t>
  </si>
  <si>
    <t xml:space="preserve">Assistència i puntualitat </t>
  </si>
  <si>
    <t>ESCALES I NIVELLS RETRIBUTIUS C.P.N.S.C. 2019 PERSONAL LABORAL:OCTUBRE 2019</t>
  </si>
  <si>
    <t>Conceptes nòmina setembre:</t>
  </si>
  <si>
    <t>Conceptes nòmina octubre:</t>
  </si>
  <si>
    <t>Antiguitat</t>
  </si>
  <si>
    <t>Complement Destí</t>
  </si>
  <si>
    <t>Complement Específic</t>
  </si>
  <si>
    <t xml:space="preserve">Assistència i Puntualitat </t>
  </si>
  <si>
    <t>Productivitat Fixa</t>
  </si>
  <si>
    <t>Carrera horitzontal</t>
  </si>
  <si>
    <t>funcionaris</t>
  </si>
  <si>
    <t>laborals</t>
  </si>
  <si>
    <t>C. lloc i desenv. professional</t>
  </si>
  <si>
    <t>Conceptes nòmina 2020</t>
  </si>
  <si>
    <t>Complement Destí *14</t>
  </si>
  <si>
    <t>Antiguitat*14</t>
  </si>
  <si>
    <t>Complement Específic*14</t>
  </si>
  <si>
    <t>Complement Productivitat*12</t>
  </si>
  <si>
    <t>Sou Base*14</t>
  </si>
  <si>
    <t>C. lloc i desenv. Professional*14</t>
  </si>
  <si>
    <t xml:space="preserve">Febrer: incorporació complement específic 0,3% </t>
  </si>
  <si>
    <t>ESCALES I NIVELLS RETRIBUTIUS C.P.N.S.C.  PERSONAL FUNCIONARI :FEBRER 2020</t>
  </si>
  <si>
    <t>Febrer: incorporació complement específic 0,3% +2% increment</t>
  </si>
  <si>
    <r>
      <rPr>
        <b/>
        <sz val="8"/>
        <rFont val="Arial"/>
        <family val="2"/>
      </rPr>
      <t>Grupo/Subgrupo EBEP</t>
    </r>
  </si>
  <si>
    <r>
      <rPr>
        <b/>
        <sz val="8"/>
        <rFont val="Arial"/>
        <family val="2"/>
      </rPr>
      <t xml:space="preserve">Sueldo
</t>
    </r>
    <r>
      <rPr>
        <b/>
        <sz val="8"/>
        <rFont val="Arial"/>
        <family val="2"/>
      </rPr>
      <t xml:space="preserve">–
</t>
    </r>
    <r>
      <rPr>
        <b/>
        <sz val="8"/>
        <rFont val="Arial"/>
        <family val="2"/>
      </rPr>
      <t>(Euros)</t>
    </r>
  </si>
  <si>
    <r>
      <rPr>
        <b/>
        <sz val="8"/>
        <rFont val="Arial"/>
        <family val="2"/>
      </rPr>
      <t xml:space="preserve">Trienios
</t>
    </r>
    <r>
      <rPr>
        <b/>
        <sz val="8"/>
        <rFont val="Arial"/>
        <family val="2"/>
      </rPr>
      <t xml:space="preserve">–
</t>
    </r>
    <r>
      <rPr>
        <b/>
        <sz val="8"/>
        <rFont val="Arial"/>
        <family val="2"/>
      </rPr>
      <t>(Euros)</t>
    </r>
  </si>
  <si>
    <r>
      <rPr>
        <sz val="9"/>
        <rFont val="Arial"/>
        <family val="2"/>
      </rPr>
      <t>A1</t>
    </r>
  </si>
  <si>
    <r>
      <rPr>
        <sz val="9"/>
        <rFont val="Arial"/>
        <family val="2"/>
      </rPr>
      <t>A2</t>
    </r>
  </si>
  <si>
    <r>
      <rPr>
        <sz val="9"/>
        <rFont val="Arial"/>
        <family val="2"/>
      </rPr>
      <t>B</t>
    </r>
  </si>
  <si>
    <r>
      <rPr>
        <sz val="9"/>
        <rFont val="Arial"/>
        <family val="2"/>
      </rPr>
      <t>C1</t>
    </r>
  </si>
  <si>
    <r>
      <rPr>
        <sz val="9"/>
        <rFont val="Arial"/>
        <family val="2"/>
      </rPr>
      <t>C2</t>
    </r>
  </si>
  <si>
    <r>
      <rPr>
        <sz val="9"/>
        <rFont val="Arial"/>
        <family val="2"/>
      </rPr>
      <t>E (Ley 30/1984) y Agrupaciones Profesionales (EBEP)</t>
    </r>
  </si>
  <si>
    <r>
      <rPr>
        <b/>
        <sz val="8"/>
        <rFont val="Arial"/>
        <family val="2"/>
      </rPr>
      <t>Nivel</t>
    </r>
  </si>
  <si>
    <r>
      <rPr>
        <b/>
        <sz val="8"/>
        <rFont val="Arial"/>
        <family val="2"/>
      </rPr>
      <t xml:space="preserve">Importe
</t>
    </r>
    <r>
      <rPr>
        <b/>
        <sz val="8"/>
        <rFont val="Arial"/>
        <family val="2"/>
      </rPr>
      <t xml:space="preserve">–
</t>
    </r>
    <r>
      <rPr>
        <b/>
        <sz val="8"/>
        <rFont val="Arial"/>
        <family val="2"/>
      </rPr>
      <t>Euros</t>
    </r>
  </si>
  <si>
    <t>SOU BASE ORDINARI</t>
  </si>
  <si>
    <t>SOU BASE EXTRAORDINARI</t>
  </si>
  <si>
    <t>COMPLEMENTS DESTÍ</t>
  </si>
  <si>
    <t>anY</t>
  </si>
  <si>
    <t>Trienios/MES
–
(Euros)</t>
  </si>
  <si>
    <t>Mes</t>
  </si>
  <si>
    <t>RDL 2/2020 , 21 GENER 2020</t>
  </si>
  <si>
    <t>ESCALES I NIVELLS RETRIBUTIUS C.P.N.S.C.  PERSONAL LABORAL FEBRER 2020</t>
  </si>
  <si>
    <t>Febrer: ENDARRERIMENTS NO COBRATS A GENER</t>
  </si>
  <si>
    <t>RETRIBUCIONS A LES PAGUES EXTRES (JUNY I DESEMBRE DE 2020)</t>
  </si>
  <si>
    <t>0,3%+2%</t>
  </si>
  <si>
    <t>SGC=  343,16,-€</t>
  </si>
  <si>
    <t>PVV= 319,07,-€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</si>
</sst>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sz val="8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EEE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23" fillId="0" borderId="0"/>
  </cellStyleXfs>
  <cellXfs count="273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4" fontId="0" fillId="0" borderId="0" xfId="0" applyNumberFormat="1"/>
    <xf numFmtId="4" fontId="0" fillId="0" borderId="7" xfId="0" applyNumberFormat="1" applyBorder="1"/>
    <xf numFmtId="4" fontId="0" fillId="2" borderId="7" xfId="0" applyNumberFormat="1" applyFill="1" applyBorder="1"/>
    <xf numFmtId="4" fontId="0" fillId="3" borderId="7" xfId="0" applyNumberFormat="1" applyFill="1" applyBorder="1"/>
    <xf numFmtId="4" fontId="0" fillId="0" borderId="8" xfId="0" applyNumberFormat="1" applyBorder="1"/>
    <xf numFmtId="4" fontId="0" fillId="0" borderId="9" xfId="0" applyNumberFormat="1" applyBorder="1"/>
    <xf numFmtId="4" fontId="0" fillId="2" borderId="9" xfId="0" applyNumberFormat="1" applyFill="1" applyBorder="1"/>
    <xf numFmtId="4" fontId="0" fillId="3" borderId="9" xfId="0" applyNumberFormat="1" applyFill="1" applyBorder="1"/>
    <xf numFmtId="4" fontId="0" fillId="2" borderId="0" xfId="0" applyNumberFormat="1" applyFill="1"/>
    <xf numFmtId="4" fontId="0" fillId="3" borderId="0" xfId="0" applyNumberFormat="1" applyFill="1"/>
    <xf numFmtId="4" fontId="2" fillId="0" borderId="7" xfId="0" applyNumberFormat="1" applyFont="1" applyBorder="1"/>
    <xf numFmtId="4" fontId="2" fillId="2" borderId="7" xfId="0" applyNumberFormat="1" applyFont="1" applyFill="1" applyBorder="1"/>
    <xf numFmtId="4" fontId="2" fillId="3" borderId="7" xfId="0" applyNumberFormat="1" applyFont="1" applyFill="1" applyBorder="1"/>
    <xf numFmtId="0" fontId="0" fillId="2" borderId="0" xfId="0" applyFill="1" applyAlignment="1">
      <alignment horizontal="right"/>
    </xf>
    <xf numFmtId="0" fontId="0" fillId="0" borderId="7" xfId="0" applyBorder="1"/>
    <xf numFmtId="0" fontId="0" fillId="2" borderId="7" xfId="0" applyFill="1" applyBorder="1"/>
    <xf numFmtId="4" fontId="0" fillId="0" borderId="10" xfId="0" applyNumberFormat="1" applyBorder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4" borderId="7" xfId="0" applyFill="1" applyBorder="1"/>
    <xf numFmtId="0" fontId="0" fillId="5" borderId="7" xfId="0" applyFill="1" applyBorder="1"/>
    <xf numFmtId="4" fontId="0" fillId="4" borderId="9" xfId="0" applyNumberFormat="1" applyFill="1" applyBorder="1"/>
    <xf numFmtId="4" fontId="0" fillId="5" borderId="9" xfId="0" applyNumberFormat="1" applyFill="1" applyBorder="1"/>
    <xf numFmtId="4" fontId="0" fillId="4" borderId="0" xfId="0" applyNumberFormat="1" applyFill="1"/>
    <xf numFmtId="4" fontId="0" fillId="5" borderId="0" xfId="0" applyNumberFormat="1" applyFill="1"/>
    <xf numFmtId="4" fontId="0" fillId="4" borderId="7" xfId="0" applyNumberFormat="1" applyFill="1" applyBorder="1"/>
    <xf numFmtId="4" fontId="0" fillId="5" borderId="7" xfId="0" applyNumberFormat="1" applyFill="1" applyBorder="1"/>
    <xf numFmtId="4" fontId="0" fillId="2" borderId="11" xfId="0" applyNumberFormat="1" applyFill="1" applyBorder="1"/>
    <xf numFmtId="4" fontId="3" fillId="0" borderId="0" xfId="0" applyNumberFormat="1" applyFont="1"/>
    <xf numFmtId="4" fontId="1" fillId="0" borderId="0" xfId="0" applyNumberFormat="1" applyFont="1"/>
    <xf numFmtId="4" fontId="4" fillId="0" borderId="12" xfId="0" applyNumberFormat="1" applyFont="1" applyBorder="1"/>
    <xf numFmtId="4" fontId="2" fillId="4" borderId="7" xfId="0" applyNumberFormat="1" applyFont="1" applyFill="1" applyBorder="1"/>
    <xf numFmtId="4" fontId="5" fillId="0" borderId="0" xfId="0" applyNumberFormat="1" applyFont="1"/>
    <xf numFmtId="4" fontId="6" fillId="0" borderId="12" xfId="0" applyNumberFormat="1" applyFont="1" applyBorder="1"/>
    <xf numFmtId="4" fontId="3" fillId="0" borderId="0" xfId="0" applyNumberFormat="1" applyFont="1" applyAlignment="1">
      <alignment horizontal="right"/>
    </xf>
    <xf numFmtId="4" fontId="1" fillId="0" borderId="12" xfId="0" applyNumberFormat="1" applyFont="1" applyBorder="1"/>
    <xf numFmtId="4" fontId="4" fillId="0" borderId="0" xfId="0" applyNumberFormat="1" applyFont="1"/>
    <xf numFmtId="4" fontId="7" fillId="0" borderId="0" xfId="0" applyNumberFormat="1" applyFont="1" applyAlignment="1">
      <alignment horizontal="right"/>
    </xf>
    <xf numFmtId="164" fontId="1" fillId="0" borderId="0" xfId="0" applyNumberFormat="1" applyFont="1"/>
    <xf numFmtId="4" fontId="2" fillId="5" borderId="7" xfId="0" applyNumberFormat="1" applyFont="1" applyFill="1" applyBorder="1"/>
    <xf numFmtId="0" fontId="0" fillId="0" borderId="0" xfId="0" applyNumberFormat="1"/>
    <xf numFmtId="0" fontId="2" fillId="0" borderId="13" xfId="0" applyFont="1" applyBorder="1"/>
    <xf numFmtId="0" fontId="0" fillId="0" borderId="14" xfId="0" applyBorder="1"/>
    <xf numFmtId="0" fontId="0" fillId="0" borderId="11" xfId="0" applyBorder="1"/>
    <xf numFmtId="0" fontId="2" fillId="0" borderId="7" xfId="0" applyFont="1" applyBorder="1" applyAlignment="1">
      <alignment horizontal="right" wrapText="1"/>
    </xf>
    <xf numFmtId="0" fontId="0" fillId="0" borderId="14" xfId="0" applyNumberFormat="1" applyBorder="1"/>
    <xf numFmtId="0" fontId="5" fillId="0" borderId="10" xfId="0" applyFont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15" xfId="0" applyFont="1" applyBorder="1" applyAlignment="1">
      <alignment horizontal="center"/>
    </xf>
    <xf numFmtId="4" fontId="0" fillId="0" borderId="13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4" fontId="2" fillId="0" borderId="11" xfId="0" applyNumberFormat="1" applyFont="1" applyBorder="1"/>
    <xf numFmtId="0" fontId="2" fillId="0" borderId="7" xfId="0" applyFont="1" applyBorder="1"/>
    <xf numFmtId="0" fontId="0" fillId="0" borderId="10" xfId="0" applyBorder="1"/>
    <xf numFmtId="0" fontId="5" fillId="0" borderId="10" xfId="0" applyNumberFormat="1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0" xfId="0" applyFont="1" applyBorder="1" applyAlignment="1"/>
    <xf numFmtId="0" fontId="9" fillId="0" borderId="10" xfId="0" applyFont="1" applyFill="1" applyBorder="1" applyAlignment="1"/>
    <xf numFmtId="0" fontId="0" fillId="0" borderId="10" xfId="0" applyBorder="1" applyAlignment="1"/>
    <xf numFmtId="4" fontId="2" fillId="0" borderId="15" xfId="0" applyNumberFormat="1" applyFont="1" applyBorder="1"/>
    <xf numFmtId="0" fontId="5" fillId="0" borderId="15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/>
    </xf>
    <xf numFmtId="4" fontId="5" fillId="0" borderId="0" xfId="0" applyNumberFormat="1" applyFont="1" applyAlignment="1"/>
    <xf numFmtId="4" fontId="5" fillId="0" borderId="15" xfId="0" applyNumberFormat="1" applyFont="1" applyBorder="1" applyAlignment="1"/>
    <xf numFmtId="4" fontId="2" fillId="0" borderId="15" xfId="0" applyNumberFormat="1" applyFont="1" applyBorder="1" applyAlignment="1"/>
    <xf numFmtId="0" fontId="0" fillId="0" borderId="7" xfId="0" applyNumberFormat="1" applyBorder="1"/>
    <xf numFmtId="4" fontId="2" fillId="0" borderId="0" xfId="0" applyNumberFormat="1" applyFont="1"/>
    <xf numFmtId="0" fontId="5" fillId="0" borderId="10" xfId="0" applyNumberFormat="1" applyFont="1" applyBorder="1" applyAlignment="1">
      <alignment horizont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2" fillId="0" borderId="15" xfId="0" applyFont="1" applyBorder="1"/>
    <xf numFmtId="0" fontId="0" fillId="2" borderId="7" xfId="0" applyNumberFormat="1" applyFill="1" applyBorder="1"/>
    <xf numFmtId="4" fontId="2" fillId="0" borderId="0" xfId="0" applyNumberFormat="1" applyFont="1" applyBorder="1"/>
    <xf numFmtId="0" fontId="2" fillId="0" borderId="10" xfId="0" applyFont="1" applyBorder="1"/>
    <xf numFmtId="4" fontId="2" fillId="0" borderId="8" xfId="0" applyNumberFormat="1" applyFont="1" applyBorder="1"/>
    <xf numFmtId="4" fontId="2" fillId="0" borderId="16" xfId="0" applyNumberFormat="1" applyFont="1" applyBorder="1"/>
    <xf numFmtId="4" fontId="2" fillId="0" borderId="13" xfId="0" applyNumberFormat="1" applyFont="1" applyBorder="1"/>
    <xf numFmtId="0" fontId="0" fillId="0" borderId="7" xfId="0" applyNumberFormat="1" applyFill="1" applyBorder="1"/>
    <xf numFmtId="4" fontId="0" fillId="0" borderId="0" xfId="0" applyNumberFormat="1" applyBorder="1"/>
    <xf numFmtId="0" fontId="0" fillId="0" borderId="15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4" fontId="13" fillId="0" borderId="0" xfId="0" applyNumberFormat="1" applyFont="1"/>
    <xf numFmtId="2" fontId="0" fillId="0" borderId="0" xfId="0" applyNumberFormat="1"/>
    <xf numFmtId="0" fontId="14" fillId="0" borderId="0" xfId="0" applyFont="1"/>
    <xf numFmtId="0" fontId="15" fillId="0" borderId="0" xfId="0" applyFont="1"/>
    <xf numFmtId="164" fontId="12" fillId="0" borderId="0" xfId="0" applyNumberFormat="1" applyFont="1"/>
    <xf numFmtId="4" fontId="0" fillId="0" borderId="7" xfId="0" applyNumberFormat="1" applyFill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16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2" borderId="13" xfId="0" applyFill="1" applyBorder="1"/>
    <xf numFmtId="4" fontId="0" fillId="2" borderId="13" xfId="0" applyNumberFormat="1" applyFill="1" applyBorder="1"/>
    <xf numFmtId="4" fontId="2" fillId="2" borderId="13" xfId="0" applyNumberFormat="1" applyFont="1" applyFill="1" applyBorder="1"/>
    <xf numFmtId="0" fontId="0" fillId="4" borderId="13" xfId="0" applyFill="1" applyBorder="1"/>
    <xf numFmtId="4" fontId="0" fillId="4" borderId="13" xfId="0" applyNumberFormat="1" applyFill="1" applyBorder="1"/>
    <xf numFmtId="0" fontId="0" fillId="4" borderId="11" xfId="0" applyFill="1" applyBorder="1"/>
    <xf numFmtId="4" fontId="0" fillId="4" borderId="11" xfId="0" applyNumberFormat="1" applyFill="1" applyBorder="1"/>
    <xf numFmtId="0" fontId="0" fillId="0" borderId="0" xfId="0" applyBorder="1"/>
    <xf numFmtId="0" fontId="0" fillId="2" borderId="0" xfId="0" applyFill="1" applyBorder="1"/>
    <xf numFmtId="4" fontId="0" fillId="2" borderId="0" xfId="0" applyNumberFormat="1" applyFill="1" applyBorder="1"/>
    <xf numFmtId="4" fontId="2" fillId="2" borderId="0" xfId="0" applyNumberFormat="1" applyFont="1" applyFill="1" applyBorder="1"/>
    <xf numFmtId="0" fontId="0" fillId="5" borderId="0" xfId="0" applyFill="1" applyBorder="1"/>
    <xf numFmtId="0" fontId="0" fillId="4" borderId="0" xfId="0" applyFill="1" applyBorder="1"/>
    <xf numFmtId="4" fontId="0" fillId="5" borderId="0" xfId="0" applyNumberFormat="1" applyFill="1" applyBorder="1"/>
    <xf numFmtId="4" fontId="0" fillId="4" borderId="0" xfId="0" applyNumberFormat="1" applyFill="1" applyBorder="1"/>
    <xf numFmtId="4" fontId="0" fillId="6" borderId="7" xfId="0" applyNumberFormat="1" applyFill="1" applyBorder="1"/>
    <xf numFmtId="4" fontId="2" fillId="6" borderId="7" xfId="0" applyNumberFormat="1" applyFont="1" applyFill="1" applyBorder="1"/>
    <xf numFmtId="0" fontId="0" fillId="6" borderId="0" xfId="0" applyFill="1" applyAlignment="1">
      <alignment horizontal="right"/>
    </xf>
    <xf numFmtId="0" fontId="0" fillId="6" borderId="7" xfId="0" applyFill="1" applyBorder="1"/>
    <xf numFmtId="4" fontId="0" fillId="6" borderId="9" xfId="0" applyNumberFormat="1" applyFill="1" applyBorder="1"/>
    <xf numFmtId="4" fontId="0" fillId="6" borderId="0" xfId="0" applyNumberFormat="1" applyFill="1"/>
    <xf numFmtId="4" fontId="2" fillId="0" borderId="7" xfId="0" applyNumberFormat="1" applyFont="1" applyFill="1" applyBorder="1"/>
    <xf numFmtId="0" fontId="2" fillId="0" borderId="0" xfId="0" applyFont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0" fontId="5" fillId="0" borderId="10" xfId="0" applyFont="1" applyBorder="1"/>
    <xf numFmtId="0" fontId="5" fillId="0" borderId="17" xfId="0" applyFont="1" applyBorder="1" applyAlignment="1">
      <alignment horizontal="center"/>
    </xf>
    <xf numFmtId="0" fontId="0" fillId="0" borderId="14" xfId="0" applyFill="1" applyBorder="1"/>
    <xf numFmtId="4" fontId="0" fillId="0" borderId="0" xfId="0" applyNumberFormat="1" applyFill="1" applyBorder="1"/>
    <xf numFmtId="0" fontId="0" fillId="2" borderId="10" xfId="0" applyFill="1" applyBorder="1"/>
    <xf numFmtId="4" fontId="0" fillId="2" borderId="14" xfId="0" applyNumberFormat="1" applyFill="1" applyBorder="1"/>
    <xf numFmtId="0" fontId="0" fillId="0" borderId="7" xfId="0" applyFill="1" applyBorder="1"/>
    <xf numFmtId="4" fontId="0" fillId="0" borderId="14" xfId="0" applyNumberFormat="1" applyFill="1" applyBorder="1"/>
    <xf numFmtId="0" fontId="0" fillId="2" borderId="14" xfId="0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20" fillId="0" borderId="7" xfId="0" applyNumberFormat="1" applyFont="1" applyBorder="1"/>
    <xf numFmtId="4" fontId="21" fillId="0" borderId="0" xfId="0" applyNumberFormat="1" applyFont="1"/>
    <xf numFmtId="4" fontId="21" fillId="0" borderId="7" xfId="0" applyNumberFormat="1" applyFont="1" applyBorder="1"/>
    <xf numFmtId="4" fontId="21" fillId="0" borderId="7" xfId="0" applyNumberFormat="1" applyFont="1" applyFill="1" applyBorder="1"/>
    <xf numFmtId="4" fontId="21" fillId="0" borderId="7" xfId="0" applyNumberFormat="1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4" fontId="5" fillId="0" borderId="15" xfId="0" applyNumberFormat="1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shrinkToFit="1"/>
    </xf>
    <xf numFmtId="0" fontId="0" fillId="0" borderId="16" xfId="0" applyNumberFormat="1" applyBorder="1"/>
    <xf numFmtId="0" fontId="0" fillId="0" borderId="19" xfId="0" applyBorder="1"/>
    <xf numFmtId="0" fontId="5" fillId="0" borderId="10" xfId="0" applyFont="1" applyBorder="1" applyAlignment="1">
      <alignment horizontal="center" shrinkToFit="1"/>
    </xf>
    <xf numFmtId="4" fontId="20" fillId="2" borderId="7" xfId="0" applyNumberFormat="1" applyFont="1" applyFill="1" applyBorder="1"/>
    <xf numFmtId="4" fontId="21" fillId="2" borderId="7" xfId="0" applyNumberFormat="1" applyFont="1" applyFill="1" applyBorder="1" applyAlignment="1">
      <alignment horizontal="right"/>
    </xf>
    <xf numFmtId="4" fontId="21" fillId="0" borderId="7" xfId="0" applyNumberFormat="1" applyFont="1" applyBorder="1" applyAlignment="1">
      <alignment horizontal="right"/>
    </xf>
    <xf numFmtId="4" fontId="21" fillId="2" borderId="7" xfId="0" applyNumberFormat="1" applyFont="1" applyFill="1" applyBorder="1"/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3" borderId="7" xfId="0" applyNumberFormat="1" applyFill="1" applyBorder="1"/>
    <xf numFmtId="4" fontId="20" fillId="3" borderId="7" xfId="0" applyNumberFormat="1" applyFont="1" applyFill="1" applyBorder="1"/>
    <xf numFmtId="0" fontId="0" fillId="0" borderId="0" xfId="0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2" fillId="0" borderId="0" xfId="0" applyFont="1" applyBorder="1" applyAlignment="1">
      <alignment vertical="center"/>
    </xf>
    <xf numFmtId="4" fontId="0" fillId="0" borderId="22" xfId="0" applyNumberFormat="1" applyBorder="1"/>
    <xf numFmtId="0" fontId="22" fillId="0" borderId="23" xfId="0" applyFont="1" applyBorder="1" applyAlignment="1">
      <alignment vertical="center"/>
    </xf>
    <xf numFmtId="0" fontId="0" fillId="0" borderId="2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19" fillId="2" borderId="0" xfId="0" applyNumberFormat="1" applyFont="1" applyFill="1" applyAlignment="1">
      <alignment horizontal="center"/>
    </xf>
    <xf numFmtId="4" fontId="21" fillId="0" borderId="0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3" xfId="0" applyNumberFormat="1" applyFont="1" applyBorder="1" applyAlignment="1">
      <alignment horizontal="left"/>
    </xf>
    <xf numFmtId="4" fontId="0" fillId="0" borderId="13" xfId="0" applyNumberFormat="1" applyFill="1" applyBorder="1"/>
    <xf numFmtId="4" fontId="21" fillId="0" borderId="13" xfId="0" applyNumberFormat="1" applyFont="1" applyBorder="1" applyAlignment="1">
      <alignment horizontal="right"/>
    </xf>
    <xf numFmtId="4" fontId="2" fillId="0" borderId="13" xfId="0" applyNumberFormat="1" applyFont="1" applyFill="1" applyBorder="1"/>
    <xf numFmtId="4" fontId="0" fillId="0" borderId="11" xfId="0" applyNumberFormat="1" applyFill="1" applyBorder="1"/>
    <xf numFmtId="4" fontId="21" fillId="0" borderId="11" xfId="0" applyNumberFormat="1" applyFont="1" applyBorder="1" applyAlignment="1">
      <alignment horizontal="right"/>
    </xf>
    <xf numFmtId="4" fontId="21" fillId="0" borderId="14" xfId="0" applyNumberFormat="1" applyFont="1" applyBorder="1" applyAlignment="1">
      <alignment horizontal="right"/>
    </xf>
    <xf numFmtId="4" fontId="2" fillId="0" borderId="14" xfId="0" applyNumberFormat="1" applyFont="1" applyFill="1" applyBorder="1"/>
    <xf numFmtId="4" fontId="2" fillId="0" borderId="11" xfId="0" applyNumberFormat="1" applyFont="1" applyFill="1" applyBorder="1"/>
    <xf numFmtId="4" fontId="0" fillId="7" borderId="0" xfId="0" applyNumberFormat="1" applyFill="1"/>
    <xf numFmtId="4" fontId="24" fillId="0" borderId="26" xfId="1" applyNumberFormat="1" applyFont="1" applyFill="1" applyBorder="1" applyAlignment="1">
      <alignment horizontal="center" vertical="top" shrinkToFit="1"/>
    </xf>
    <xf numFmtId="2" fontId="24" fillId="0" borderId="27" xfId="1" applyNumberFormat="1" applyFont="1" applyFill="1" applyBorder="1" applyAlignment="1">
      <alignment horizontal="center" vertical="top" shrinkToFit="1"/>
    </xf>
    <xf numFmtId="0" fontId="25" fillId="8" borderId="28" xfId="1" applyFont="1" applyFill="1" applyBorder="1" applyAlignment="1">
      <alignment horizontal="center" vertical="center" wrapText="1"/>
    </xf>
    <xf numFmtId="0" fontId="23" fillId="8" borderId="29" xfId="1" applyFill="1" applyBorder="1" applyAlignment="1">
      <alignment horizontal="center" vertical="top" wrapText="1"/>
    </xf>
    <xf numFmtId="0" fontId="23" fillId="8" borderId="30" xfId="1" applyFill="1" applyBorder="1" applyAlignment="1">
      <alignment horizontal="center" vertical="top" wrapText="1"/>
    </xf>
    <xf numFmtId="0" fontId="26" fillId="0" borderId="31" xfId="1" applyFont="1" applyFill="1" applyBorder="1" applyAlignment="1">
      <alignment horizontal="center" vertical="top" wrapText="1"/>
    </xf>
    <xf numFmtId="2" fontId="24" fillId="0" borderId="26" xfId="1" applyNumberFormat="1" applyFont="1" applyFill="1" applyBorder="1" applyAlignment="1">
      <alignment horizontal="center" vertical="top" shrinkToFit="1"/>
    </xf>
    <xf numFmtId="2" fontId="24" fillId="0" borderId="27" xfId="1" applyNumberFormat="1" applyFont="1" applyFill="1" applyBorder="1" applyAlignment="1">
      <alignment horizontal="center" vertical="top" shrinkToFit="1"/>
    </xf>
    <xf numFmtId="0" fontId="25" fillId="8" borderId="28" xfId="1" applyFont="1" applyFill="1" applyBorder="1" applyAlignment="1">
      <alignment horizontal="center" vertical="center" wrapText="1"/>
    </xf>
    <xf numFmtId="0" fontId="23" fillId="8" borderId="30" xfId="1" applyFill="1" applyBorder="1" applyAlignment="1">
      <alignment horizontal="center" vertical="top" wrapText="1"/>
    </xf>
    <xf numFmtId="1" fontId="24" fillId="0" borderId="31" xfId="1" applyNumberFormat="1" applyFont="1" applyFill="1" applyBorder="1" applyAlignment="1">
      <alignment horizontal="center" vertical="top" shrinkToFit="1"/>
    </xf>
    <xf numFmtId="4" fontId="24" fillId="0" borderId="27" xfId="1" applyNumberFormat="1" applyFont="1" applyFill="1" applyBorder="1" applyAlignment="1">
      <alignment horizontal="left" vertical="top" indent="3" shrinkToFit="1"/>
    </xf>
    <xf numFmtId="1" fontId="24" fillId="0" borderId="32" xfId="1" applyNumberFormat="1" applyFont="1" applyFill="1" applyBorder="1" applyAlignment="1">
      <alignment horizontal="center" vertical="top" shrinkToFit="1"/>
    </xf>
    <xf numFmtId="4" fontId="24" fillId="0" borderId="33" xfId="1" applyNumberFormat="1" applyFont="1" applyFill="1" applyBorder="1" applyAlignment="1">
      <alignment horizontal="left" vertical="top" indent="3" shrinkToFit="1"/>
    </xf>
    <xf numFmtId="0" fontId="25" fillId="8" borderId="30" xfId="1" applyFont="1" applyFill="1" applyBorder="1" applyAlignment="1">
      <alignment horizontal="center" vertical="top" wrapText="1"/>
    </xf>
    <xf numFmtId="0" fontId="26" fillId="2" borderId="34" xfId="1" applyFont="1" applyFill="1" applyBorder="1" applyAlignment="1">
      <alignment horizontal="center" vertical="top" wrapText="1"/>
    </xf>
    <xf numFmtId="0" fontId="27" fillId="2" borderId="35" xfId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0" fillId="2" borderId="7" xfId="0" quotePrefix="1" applyNumberFormat="1" applyFill="1" applyBorder="1"/>
    <xf numFmtId="0" fontId="2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0" fillId="0" borderId="15" xfId="0" applyNumberFormat="1" applyBorder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0" fontId="0" fillId="7" borderId="0" xfId="0" applyFill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28" fillId="0" borderId="12" xfId="0" applyNumberFormat="1" applyFont="1" applyBorder="1"/>
    <xf numFmtId="4" fontId="12" fillId="0" borderId="12" xfId="0" applyNumberFormat="1" applyFont="1" applyBorder="1"/>
    <xf numFmtId="4" fontId="16" fillId="0" borderId="12" xfId="0" applyNumberFormat="1" applyFont="1" applyBorder="1"/>
    <xf numFmtId="4" fontId="28" fillId="0" borderId="0" xfId="0" applyNumberFormat="1" applyFont="1"/>
    <xf numFmtId="4" fontId="29" fillId="0" borderId="0" xfId="0" applyNumberFormat="1" applyFont="1" applyAlignment="1">
      <alignment horizontal="right"/>
    </xf>
    <xf numFmtId="164" fontId="16" fillId="0" borderId="0" xfId="0" applyNumberFormat="1" applyFont="1"/>
    <xf numFmtId="0" fontId="1" fillId="0" borderId="12" xfId="0" applyFont="1" applyBorder="1" applyAlignment="1">
      <alignment vertical="center"/>
    </xf>
    <xf numFmtId="9" fontId="5" fillId="0" borderId="8" xfId="0" applyNumberFormat="1" applyFont="1" applyBorder="1" applyAlignment="1">
      <alignment horizontal="center"/>
    </xf>
    <xf numFmtId="9" fontId="5" fillId="0" borderId="9" xfId="0" applyNumberFormat="1" applyFont="1" applyBorder="1" applyAlignment="1">
      <alignment horizontal="center"/>
    </xf>
    <xf numFmtId="49" fontId="19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2"/>
  <sheetViews>
    <sheetView zoomScale="85" zoomScaleNormal="85" workbookViewId="0">
      <selection activeCell="G36" sqref="G36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124</v>
      </c>
      <c r="B2" s="1"/>
      <c r="S2" s="188"/>
      <c r="T2" s="188"/>
      <c r="U2" s="188"/>
      <c r="V2" s="188"/>
      <c r="W2" s="188"/>
      <c r="X2" s="188"/>
      <c r="Y2" s="188"/>
    </row>
    <row r="3" spans="1:25" x14ac:dyDescent="0.25">
      <c r="S3" s="188"/>
      <c r="T3" s="188"/>
      <c r="U3" s="188"/>
      <c r="V3" s="188"/>
      <c r="W3" s="188"/>
      <c r="X3" s="188"/>
      <c r="Y3" s="188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f>(ROUND('0,3 Fun mes'!C8*2%,2)+('0,3 Fun mes'!C8))</f>
        <v>1203.56</v>
      </c>
      <c r="D8" s="6">
        <f>(ROUND('0,3 Fun mes'!D8*2%,2)+('0,3 Fun mes'!D8))</f>
        <v>1203.56</v>
      </c>
      <c r="E8" s="6">
        <f>(ROUND('0,3 Fun mes'!E8*2%,2)+('0,3 Fun mes'!E8))</f>
        <v>1203.56</v>
      </c>
      <c r="F8" s="6">
        <f>(ROUND('0,3 Fun mes'!F8*2%,2)+('0,3 Fun mes'!F8))</f>
        <v>1203.56</v>
      </c>
      <c r="G8" s="7">
        <f>(ROUND('0,3 Fun mes'!G8*2%,2)+('0,3 Fun mes'!G8))</f>
        <v>1203.56</v>
      </c>
      <c r="H8" s="6">
        <f>(ROUND('0,3 Fun mes'!H8*2%,2)+('0,3 Fun mes'!H8))</f>
        <v>1203.56</v>
      </c>
      <c r="I8" s="6">
        <f>(ROUND('0,3 Fun mes'!I8*2%,2)+('0,3 Fun mes'!I8))</f>
        <v>1203.56</v>
      </c>
      <c r="J8" s="6">
        <f>(ROUND('0,3 Fun mes'!J8*2%,2)+('0,3 Fun mes'!J8))</f>
        <v>1203.56</v>
      </c>
      <c r="K8" s="6">
        <f>(ROUND('0,3 Fun mes'!K8*2%,2)+('0,3 Fun mes'!K8))</f>
        <v>1203.56</v>
      </c>
      <c r="L8" s="6">
        <f>(ROUND('0,3 Fun mes'!L8*2%,2)+('0,3 Fun mes'!L8))</f>
        <v>1203.56</v>
      </c>
      <c r="M8" s="7">
        <f>(ROUND('0,3 Fun mes'!M8*2%,2)+('0,3 Fun mes'!M8))</f>
        <v>1203.56</v>
      </c>
      <c r="N8" s="6">
        <f>(ROUND('0,3 Fun mes'!N8*2%,2)+('0,3 Fun mes'!N8))</f>
        <v>1203.56</v>
      </c>
      <c r="O8" s="6">
        <f>(ROUND('0,3 Fun mes'!O8*2%,2)+('0,3 Fun mes'!O8))</f>
        <v>1203.56</v>
      </c>
      <c r="P8" s="6">
        <f>(ROUND('0,3 Fun mes'!P8*2%,2)+('0,3 Fun mes'!P8))</f>
        <v>1203.56</v>
      </c>
    </row>
    <row r="9" spans="1:25" s="5" customFormat="1" x14ac:dyDescent="0.25">
      <c r="A9" s="58" t="s">
        <v>7</v>
      </c>
      <c r="B9" s="6"/>
      <c r="C9" s="6">
        <v>1051.31</v>
      </c>
      <c r="D9" s="6">
        <f>(ROUND('0,3 Fun mes'!D9*2%,2)+('0,3 Fun mes'!D9))</f>
        <v>942.97</v>
      </c>
      <c r="E9" s="6">
        <v>903.35</v>
      </c>
      <c r="F9" s="6">
        <v>863.66</v>
      </c>
      <c r="G9" s="7">
        <v>757.72</v>
      </c>
      <c r="H9" s="6">
        <v>672.26</v>
      </c>
      <c r="I9" s="6">
        <v>632.6</v>
      </c>
      <c r="J9" s="6">
        <v>592.99</v>
      </c>
      <c r="K9" s="6">
        <v>553.29999999999995</v>
      </c>
      <c r="L9" s="6">
        <v>513.71</v>
      </c>
      <c r="M9" s="7">
        <v>477.19</v>
      </c>
      <c r="N9" s="6">
        <v>477.19</v>
      </c>
      <c r="O9" s="6">
        <v>477.19</v>
      </c>
      <c r="P9" s="6">
        <v>477.19</v>
      </c>
    </row>
    <row r="10" spans="1:25" s="5" customFormat="1" x14ac:dyDescent="0.25">
      <c r="A10" s="58" t="s">
        <v>8</v>
      </c>
      <c r="B10" s="6"/>
      <c r="C10" s="6">
        <f>(ROUND('0,3 Fun mes'!C10*2%,2)+('0,3 Fun mes'!C10))</f>
        <v>2536.3636499999998</v>
      </c>
      <c r="D10" s="6">
        <f>(ROUND('0,3 Fun mes'!D10*2%,2)+('0,3 Fun mes'!D10))</f>
        <v>2395.1117050000003</v>
      </c>
      <c r="E10" s="6">
        <f>(ROUND('0,3 Fun mes'!E10*2%,2)+('0,3 Fun mes'!E10))</f>
        <v>2202.0354499999999</v>
      </c>
      <c r="F10" s="6">
        <f>(ROUND('0,3 Fun mes'!F10*2%,2)+('0,3 Fun mes'!F10))</f>
        <v>1782.2489800000001</v>
      </c>
      <c r="G10" s="7">
        <f>(ROUND('0,3 Fun mes'!G10*2%,2)+('0,3 Fun mes'!G10))</f>
        <v>1559.485645</v>
      </c>
      <c r="H10" s="6">
        <f>(ROUND('0,3 Fun mes'!H10*2%,2)+('0,3 Fun mes'!H10))</f>
        <v>1554.6918599999999</v>
      </c>
      <c r="I10" s="6">
        <f>(ROUND('0,3 Fun mes'!I10*2%,2)+('0,3 Fun mes'!I10))</f>
        <v>1515.5452</v>
      </c>
      <c r="J10" s="6">
        <f>(ROUND('0,3 Fun mes'!J10*2%,2)+('0,3 Fun mes'!J10))</f>
        <v>1488.7956550000001</v>
      </c>
      <c r="K10" s="6">
        <f>(ROUND('0,3 Fun mes'!K10*2%,2)+('0,3 Fun mes'!K10))</f>
        <v>1462.08692</v>
      </c>
      <c r="L10" s="6">
        <f>(ROUND('0,3 Fun mes'!L10*2%,2)+('0,3 Fun mes'!L10))</f>
        <v>1350.0759449999998</v>
      </c>
      <c r="M10" s="7">
        <f>(ROUND('0,3 Fun mes'!M10*2%,2)+('0,3 Fun mes'!M10))</f>
        <v>1235.822735</v>
      </c>
      <c r="N10" s="6">
        <f>(ROUND('0,3 Fun mes'!N10*2%,2)+('0,3 Fun mes'!N10))</f>
        <v>1033.0866150000002</v>
      </c>
      <c r="O10" s="6">
        <f>(ROUND('0,3 Fun mes'!O10*2%,2)+('0,3 Fun mes'!O10))</f>
        <v>817.99666999999999</v>
      </c>
      <c r="P10" s="6">
        <f>(ROUND('0,3 Fun mes'!P10*2%,2)+('0,3 Fun mes'!P10))</f>
        <v>581.36360499999989</v>
      </c>
    </row>
    <row r="11" spans="1:25" s="5" customFormat="1" x14ac:dyDescent="0.25">
      <c r="A11" s="58" t="s">
        <v>97</v>
      </c>
      <c r="B11" s="6"/>
      <c r="C11" s="6">
        <f>(ROUND('0,3 Fun mes'!C11*2%,2)+('0,3 Fun mes'!C11))</f>
        <v>1402.94</v>
      </c>
      <c r="D11" s="6">
        <f>(ROUND('0,3 Fun mes'!D11*2%,2)+('0,3 Fun mes'!D11))</f>
        <v>1348.3550000000002</v>
      </c>
      <c r="E11" s="6">
        <f>(ROUND('0,3 Fun mes'!E11*2%,2)+('0,3 Fun mes'!E11))</f>
        <v>1166.2966666666664</v>
      </c>
      <c r="F11" s="6">
        <f>(ROUND('0,3 Fun mes'!F11*2%,2)+('0,3 Fun mes'!F11))</f>
        <v>979.04000000000008</v>
      </c>
      <c r="G11" s="7">
        <f>(ROUND('0,3 Fun mes'!G11*2%,2)+('0,3 Fun mes'!G11))</f>
        <v>870.0916666666667</v>
      </c>
      <c r="H11" s="6">
        <f>(ROUND('0,3 Fun mes'!H11*2%,2)+('0,3 Fun mes'!H11))</f>
        <v>870.39333333333343</v>
      </c>
      <c r="I11" s="6">
        <f>(ROUND('0,3 Fun mes'!I11*2%,2)+('0,3 Fun mes'!I11))</f>
        <v>851.45</v>
      </c>
      <c r="J11" s="6">
        <f>(ROUND('0,3 Fun mes'!J11*2%,2)+('0,3 Fun mes'!J11))</f>
        <v>836.10166666666669</v>
      </c>
      <c r="K11" s="6">
        <f>(ROUND('0,3 Fun mes'!K11*2%,2)+('0,3 Fun mes'!K11))</f>
        <v>824.50666666666666</v>
      </c>
      <c r="L11" s="6">
        <f>(ROUND('0,3 Fun mes'!L11*2%,2)+('0,3 Fun mes'!L11))</f>
        <v>767.74833333333322</v>
      </c>
      <c r="M11" s="7">
        <f>(ROUND('0,3 Fun mes'!M11*2%,2)+('0,3 Fun mes'!M11))</f>
        <v>716.22166666666669</v>
      </c>
      <c r="N11" s="6">
        <f>(ROUND('0,3 Fun mes'!N11*2%,2)+('0,3 Fun mes'!N11))</f>
        <v>691.80166666666651</v>
      </c>
      <c r="O11" s="6">
        <f>(ROUND('0,3 Fun mes'!O11*2%,2)+('0,3 Fun mes'!O11))</f>
        <v>589.76</v>
      </c>
      <c r="P11" s="6">
        <f>(ROUND('0,3 Fun mes'!P11*2%,2)+('0,3 Fun mes'!P11))</f>
        <v>477.50833333333333</v>
      </c>
    </row>
    <row r="12" spans="1:25" s="38" customFormat="1" x14ac:dyDescent="0.25">
      <c r="A12" s="156">
        <v>0.5</v>
      </c>
      <c r="B12" s="157" t="s">
        <v>94</v>
      </c>
      <c r="C12" s="6">
        <f>(ROUND('0,3 Fun mes'!C12*2%,2)+('0,3 Fun mes'!C12))</f>
        <v>701.46500000000003</v>
      </c>
      <c r="D12" s="6">
        <f>(ROUND('0,3 Fun mes'!D12*2%,2)+('0,3 Fun mes'!D12))</f>
        <v>674.17750000000012</v>
      </c>
      <c r="E12" s="6">
        <f>(ROUND('0,3 Fun mes'!E12*2%,2)+('0,3 Fun mes'!E12))</f>
        <v>583.1433333333332</v>
      </c>
      <c r="F12" s="6">
        <f>(ROUND('0,3 Fun mes'!F12*2%,2)+('0,3 Fun mes'!F12))</f>
        <v>489.52000000000004</v>
      </c>
      <c r="G12" s="7">
        <f>(ROUND('0,3 Fun mes'!G12*2%,2)+('0,3 Fun mes'!G12))</f>
        <v>435.04583333333335</v>
      </c>
      <c r="H12" s="6">
        <f>(ROUND('0,3 Fun mes'!H12*2%,2)+('0,3 Fun mes'!H12))</f>
        <v>435.19166666666666</v>
      </c>
      <c r="I12" s="6">
        <f>(ROUND('0,3 Fun mes'!I12*2%,2)+('0,3 Fun mes'!I12))</f>
        <v>425.72500000000002</v>
      </c>
      <c r="J12" s="6">
        <f>(ROUND('0,3 Fun mes'!J12*2%,2)+('0,3 Fun mes'!J12))</f>
        <v>418.05583333333334</v>
      </c>
      <c r="K12" s="6">
        <f>(ROUND('0,3 Fun mes'!K12*2%,2)+('0,3 Fun mes'!K12))</f>
        <v>412.24833333333333</v>
      </c>
      <c r="L12" s="6">
        <f>(ROUND('0,3 Fun mes'!L12*2%,2)+('0,3 Fun mes'!L12))</f>
        <v>383.87916666666661</v>
      </c>
      <c r="M12" s="7">
        <f>(ROUND('0,3 Fun mes'!M12*2%,2)+('0,3 Fun mes'!M12))</f>
        <v>358.11083333333335</v>
      </c>
      <c r="N12" s="6">
        <f>(ROUND('0,3 Fun mes'!N12*2%,2)+('0,3 Fun mes'!N12))</f>
        <v>345.90083333333325</v>
      </c>
      <c r="O12" s="6">
        <f>(ROUND('0,3 Fun mes'!O12*2%,2)+('0,3 Fun mes'!O12))</f>
        <v>294.88</v>
      </c>
      <c r="P12" s="6">
        <f>(ROUND('0,3 Fun mes'!P12*2%,2)+('0,3 Fun mes'!P12))</f>
        <v>238.75416666666666</v>
      </c>
    </row>
    <row r="13" spans="1:25" s="38" customFormat="1" x14ac:dyDescent="0.25">
      <c r="A13" s="156">
        <v>0.3</v>
      </c>
      <c r="B13" s="157" t="s">
        <v>95</v>
      </c>
      <c r="C13" s="6">
        <f>(ROUND('0,3 Fun mes'!C13*2%,2)+('0,3 Fun mes'!C13))</f>
        <v>420.87900000000002</v>
      </c>
      <c r="D13" s="6">
        <f>(ROUND('0,3 Fun mes'!D13*2%,2)+('0,3 Fun mes'!D13))</f>
        <v>404.50450000000006</v>
      </c>
      <c r="E13" s="6">
        <f>(ROUND('0,3 Fun mes'!E13*2%,2)+('0,3 Fun mes'!E13))</f>
        <v>349.88799999999998</v>
      </c>
      <c r="F13" s="6">
        <f>(ROUND('0,3 Fun mes'!F13*2%,2)+('0,3 Fun mes'!F13))</f>
        <v>293.71199999999999</v>
      </c>
      <c r="G13" s="7">
        <f>(ROUND('0,3 Fun mes'!G13*2%,2)+('0,3 Fun mes'!G13))</f>
        <v>261.02949999999998</v>
      </c>
      <c r="H13" s="6">
        <f>(ROUND('0,3 Fun mes'!H13*2%,2)+('0,3 Fun mes'!H13))</f>
        <v>261.11700000000002</v>
      </c>
      <c r="I13" s="6">
        <f>(ROUND('0,3 Fun mes'!I13*2%,2)+('0,3 Fun mes'!I13))</f>
        <v>255.43499999999997</v>
      </c>
      <c r="J13" s="6">
        <f>(ROUND('0,3 Fun mes'!J13*2%,2)+('0,3 Fun mes'!J13))</f>
        <v>250.83349999999999</v>
      </c>
      <c r="K13" s="6">
        <f>(ROUND('0,3 Fun mes'!K13*2%,2)+('0,3 Fun mes'!K13))</f>
        <v>247.351</v>
      </c>
      <c r="L13" s="6">
        <f>(ROUND('0,3 Fun mes'!L13*2%,2)+('0,3 Fun mes'!L13))</f>
        <v>230.3295</v>
      </c>
      <c r="M13" s="7">
        <f>(ROUND('0,3 Fun mes'!M13*2%,2)+('0,3 Fun mes'!M13))</f>
        <v>214.86450000000002</v>
      </c>
      <c r="N13" s="6">
        <f>(ROUND('0,3 Fun mes'!N13*2%,2)+('0,3 Fun mes'!N13))</f>
        <v>207.54249999999996</v>
      </c>
      <c r="O13" s="6">
        <f>(ROUND('0,3 Fun mes'!O13*2%,2)+('0,3 Fun mes'!O13))</f>
        <v>176.93</v>
      </c>
      <c r="P13" s="6">
        <f>(ROUND('0,3 Fun mes'!P13*2%,2)+('0,3 Fun mes'!P13))</f>
        <v>143.25449999999998</v>
      </c>
    </row>
    <row r="14" spans="1:25" s="38" customFormat="1" x14ac:dyDescent="0.25">
      <c r="A14" s="156">
        <v>0.2</v>
      </c>
      <c r="B14" s="157" t="s">
        <v>96</v>
      </c>
      <c r="C14" s="6">
        <f>(ROUND('0,3 Fun mes'!C14*2%,2)+('0,3 Fun mes'!C14))</f>
        <v>280.58600000000001</v>
      </c>
      <c r="D14" s="6">
        <f>(ROUND('0,3 Fun mes'!D14*2%,2)+('0,3 Fun mes'!D14))</f>
        <v>269.67300000000006</v>
      </c>
      <c r="E14" s="6">
        <f>(ROUND('0,3 Fun mes'!E14*2%,2)+('0,3 Fun mes'!E14))</f>
        <v>233.25533333333331</v>
      </c>
      <c r="F14" s="6">
        <f>(ROUND('0,3 Fun mes'!F14*2%,2)+('0,3 Fun mes'!F14))</f>
        <v>195.80800000000002</v>
      </c>
      <c r="G14" s="7">
        <f>(ROUND('0,3 Fun mes'!G14*2%,2)+('0,3 Fun mes'!G14))</f>
        <v>174.01633333333336</v>
      </c>
      <c r="H14" s="6">
        <f>(ROUND('0,3 Fun mes'!H14*2%,2)+('0,3 Fun mes'!H14))</f>
        <v>174.07466666666667</v>
      </c>
      <c r="I14" s="6">
        <f>(ROUND('0,3 Fun mes'!I14*2%,2)+('0,3 Fun mes'!I14))</f>
        <v>170.29000000000002</v>
      </c>
      <c r="J14" s="6">
        <f>(ROUND('0,3 Fun mes'!J14*2%,2)+('0,3 Fun mes'!J14))</f>
        <v>167.22233333333335</v>
      </c>
      <c r="K14" s="6">
        <f>(ROUND('0,3 Fun mes'!K14*2%,2)+('0,3 Fun mes'!K14))</f>
        <v>164.89733333333334</v>
      </c>
      <c r="L14" s="6">
        <f>(ROUND('0,3 Fun mes'!L14*2%,2)+('0,3 Fun mes'!L14))</f>
        <v>153.54966666666664</v>
      </c>
      <c r="M14" s="7">
        <f>(ROUND('0,3 Fun mes'!M14*2%,2)+('0,3 Fun mes'!M14))</f>
        <v>143.24633333333335</v>
      </c>
      <c r="N14" s="6">
        <f>(ROUND('0,3 Fun mes'!N14*2%,2)+('0,3 Fun mes'!N14))</f>
        <v>138.35833333333332</v>
      </c>
      <c r="O14" s="6">
        <f>(ROUND('0,3 Fun mes'!O14*2%,2)+('0,3 Fun mes'!O14))</f>
        <v>117.95000000000002</v>
      </c>
      <c r="P14" s="6">
        <f>(ROUND('0,3 Fun mes'!P14*2%,2)+('0,3 Fun mes'!P14))</f>
        <v>95.49966666666667</v>
      </c>
    </row>
    <row r="15" spans="1:25" s="5" customFormat="1" x14ac:dyDescent="0.25">
      <c r="A15" s="58"/>
      <c r="B15" s="6"/>
      <c r="C15" s="16">
        <f>(ROUND('0,3 Fun mes'!C15*2%,2)+('0,3 Fun mes'!C15))</f>
        <v>6194.1636500000004</v>
      </c>
      <c r="D15" s="16">
        <f>(ROUND('0,3 Fun mes'!D15*2%,2)+('0,3 Fun mes'!D15))</f>
        <v>5889.9967050000005</v>
      </c>
      <c r="E15" s="16">
        <f>(ROUND('0,3 Fun mes'!E15*2%,2)+('0,3 Fun mes'!E15))</f>
        <v>5475.2321166666661</v>
      </c>
      <c r="F15" s="16">
        <f>(ROUND('0,3 Fun mes'!F15*2%,2)+('0,3 Fun mes'!F15))</f>
        <v>4828.4989800000003</v>
      </c>
      <c r="G15" s="16">
        <f>(ROUND('0,3 Fun mes'!G15*2%,2)+('0,3 Fun mes'!G15))</f>
        <v>4390.8573116666666</v>
      </c>
      <c r="H15" s="16">
        <f>(ROUND('0,3 Fun mes'!H15*2%,2)+('0,3 Fun mes'!H15))</f>
        <v>4300.8951933333337</v>
      </c>
      <c r="I15" s="16">
        <f>(ROUND('0,3 Fun mes'!I15*2%,2)+('0,3 Fun mes'!I15))</f>
        <v>4203.1352000000006</v>
      </c>
      <c r="J15" s="16">
        <f>(ROUND('0,3 Fun mes'!J15*2%,2)+('0,3 Fun mes'!J15))</f>
        <v>4121.4473216666674</v>
      </c>
      <c r="K15" s="16">
        <f>(ROUND('0,3 Fun mes'!K15*2%,2)+('0,3 Fun mes'!K15))</f>
        <v>4043.4435866666668</v>
      </c>
      <c r="L15" s="16">
        <f>(ROUND('0,3 Fun mes'!L15*2%,2)+('0,3 Fun mes'!L15))</f>
        <v>3835.094278333333</v>
      </c>
      <c r="M15" s="16">
        <f>(ROUND('0,3 Fun mes'!M15*2%,2)+('0,3 Fun mes'!M15))</f>
        <v>3632.7944016666665</v>
      </c>
      <c r="N15" s="16">
        <f>(ROUND('0,3 Fun mes'!N15*2%,2)+('0,3 Fun mes'!N15))</f>
        <v>3405.6382816666669</v>
      </c>
      <c r="O15" s="16">
        <f>(ROUND('0,3 Fun mes'!O15*2%,2)+('0,3 Fun mes'!O15))</f>
        <v>3088.5066700000002</v>
      </c>
      <c r="P15" s="16">
        <f>(ROUND('0,3 Fun mes'!P15*2%,2)+('0,3 Fun mes'!P15))</f>
        <v>2739.6219383333332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49"/>
      <c r="H19" s="19"/>
      <c r="I19" s="19"/>
      <c r="J19" s="19"/>
      <c r="K19" s="117"/>
      <c r="L19" s="20"/>
      <c r="M19" s="20"/>
      <c r="N19" s="48"/>
      <c r="O19" s="20"/>
      <c r="P19" s="48"/>
      <c r="Q19" s="20"/>
      <c r="R19" s="49"/>
    </row>
    <row r="20" spans="1:21" s="5" customFormat="1" x14ac:dyDescent="0.25">
      <c r="E20" s="58" t="s">
        <v>6</v>
      </c>
      <c r="F20" s="7">
        <f>(ROUND('0,3 Fun mes'!F20*2%,2)+('0,3 Fun mes'!F20))</f>
        <v>1040.69</v>
      </c>
      <c r="G20" s="6">
        <f>(ROUND('0,3 Fun mes'!G20*2%,2)+('0,3 Fun mes'!G20))</f>
        <v>1040.69</v>
      </c>
      <c r="H20" s="6">
        <f>(ROUND('0,3 Fun mes'!H20*2%,2)+('0,3 Fun mes'!H20))</f>
        <v>1040.69</v>
      </c>
      <c r="I20" s="6">
        <f>(ROUND('0,3 Fun mes'!I20*2%,2)+('0,3 Fun mes'!I20))</f>
        <v>1040.69</v>
      </c>
      <c r="J20" s="6">
        <f>(ROUND('0,3 Fun mes'!J20*2%,2)+('0,3 Fun mes'!J20))</f>
        <v>1040.69</v>
      </c>
      <c r="K20" s="6">
        <f>(ROUND('0,3 Fun mes'!K20*2%,2)+('0,3 Fun mes'!K20))</f>
        <v>1040.69</v>
      </c>
      <c r="L20" s="7">
        <f>(ROUND('0,3 Fun mes'!L20*2%,2)+('0,3 Fun mes'!L20))</f>
        <v>1040.69</v>
      </c>
      <c r="M20" s="7">
        <f>(ROUND('0,3 Fun mes'!M20*2%,2)+('0,3 Fun mes'!M20))</f>
        <v>1040.69</v>
      </c>
      <c r="N20" s="6">
        <f>(ROUND('0,3 Fun mes'!N20*2%,2)+('0,3 Fun mes'!N20))</f>
        <v>1040.69</v>
      </c>
      <c r="O20" s="7">
        <f>(ROUND('0,3 Fun mes'!O20*2%,2)+('0,3 Fun mes'!O20))</f>
        <v>1040.69</v>
      </c>
      <c r="P20" s="6">
        <f>(ROUND('0,3 Fun mes'!P20*2%,2)+('0,3 Fun mes'!P20))</f>
        <v>1040.69</v>
      </c>
      <c r="Q20" s="7">
        <f>(ROUND('0,3 Fun mes'!Q20*2%,2)+('0,3 Fun mes'!Q20))</f>
        <v>1040.69</v>
      </c>
      <c r="R20" s="6">
        <f>(ROUND('0,3 Fun mes'!R20*2%,2)+('0,3 Fun mes'!R20))</f>
        <v>1040.69</v>
      </c>
    </row>
    <row r="21" spans="1:21" s="5" customFormat="1" x14ac:dyDescent="0.25">
      <c r="E21" s="58" t="s">
        <v>7</v>
      </c>
      <c r="F21" s="7">
        <v>757.72</v>
      </c>
      <c r="G21" s="6">
        <v>757.72</v>
      </c>
      <c r="H21" s="6">
        <v>672.26</v>
      </c>
      <c r="I21" s="6">
        <v>632.6</v>
      </c>
      <c r="J21" s="6">
        <v>592.99</v>
      </c>
      <c r="K21" s="6">
        <v>553.29999999999995</v>
      </c>
      <c r="L21" s="7">
        <v>513.71</v>
      </c>
      <c r="M21" s="7">
        <v>477.19</v>
      </c>
      <c r="N21" s="60">
        <v>452.83</v>
      </c>
      <c r="O21" s="7">
        <v>428.46</v>
      </c>
      <c r="P21" s="150">
        <v>404.08</v>
      </c>
      <c r="Q21" s="7">
        <v>379.77</v>
      </c>
      <c r="R21" s="59">
        <v>379.77</v>
      </c>
    </row>
    <row r="22" spans="1:21" s="5" customFormat="1" x14ac:dyDescent="0.25">
      <c r="E22" s="58" t="s">
        <v>8</v>
      </c>
      <c r="F22" s="7">
        <f>('0,3 Fun mes'!F22*2%)+'0,3 Fun mes'!F22</f>
        <v>1598.2712061</v>
      </c>
      <c r="G22" s="6">
        <f>('0,3 Fun mes'!G22*2%)+'0,3 Fun mes'!G22</f>
        <v>1338.4648794</v>
      </c>
      <c r="H22" s="6">
        <f>('0,3 Fun mes'!H22*2%)+'0,3 Fun mes'!H22</f>
        <v>1264.8203949000001</v>
      </c>
      <c r="I22" s="6">
        <f>('0,3 Fun mes'!I22*2%)+'0,3 Fun mes'!I22</f>
        <v>1252.6383309</v>
      </c>
      <c r="J22" s="6">
        <f>('0,3 Fun mes'!J22*2%)+'0,3 Fun mes'!J22</f>
        <v>1232.2839911999997</v>
      </c>
      <c r="K22" s="6">
        <f>('0,3 Fun mes'!K22*2%)+'0,3 Fun mes'!K22</f>
        <v>1212.2252832000001</v>
      </c>
      <c r="L22" s="7">
        <f>('0,3 Fun mes'!L22*2%)+'0,3 Fun mes'!L22</f>
        <v>1185.3980132999998</v>
      </c>
      <c r="M22" s="7">
        <f>('0,3 Fun mes'!M22*2%)+'0,3 Fun mes'!M22</f>
        <v>1156.2629220000001</v>
      </c>
      <c r="N22" s="6">
        <f>('0,3 Fun mes'!N22*2%)+'0,3 Fun mes'!N22</f>
        <v>1139.1608880000001</v>
      </c>
      <c r="O22" s="7">
        <f>('0,3 Fun mes'!O22*2%)+'0,3 Fun mes'!O22</f>
        <v>1051.2169673999999</v>
      </c>
      <c r="P22" s="6">
        <f>('0,3 Fun mes'!P22*2%)+'0,3 Fun mes'!P22</f>
        <v>998.69334749999985</v>
      </c>
      <c r="Q22" s="7">
        <f>('0,3 Fun mes'!Q22*2%)+'0,3 Fun mes'!Q22</f>
        <v>946.10338679999995</v>
      </c>
      <c r="R22" s="6">
        <f>('0,3 Fun mes'!R22*2%)+'0,3 Fun mes'!R22</f>
        <v>820.42543320000004</v>
      </c>
    </row>
    <row r="23" spans="1:21" s="5" customFormat="1" x14ac:dyDescent="0.25">
      <c r="E23" s="58" t="s">
        <v>97</v>
      </c>
      <c r="F23" s="7">
        <f>('0,3 Fun mes'!F23*2%)+'0,3 Fun mes'!F23</f>
        <v>1143.1735000000001</v>
      </c>
      <c r="G23" s="6">
        <f>('0,3 Fun mes'!G23*2%)+'0,3 Fun mes'!G23</f>
        <v>842.99599999999998</v>
      </c>
      <c r="H23" s="6">
        <f>('0,3 Fun mes'!H23*2%)+'0,3 Fun mes'!H23</f>
        <v>954.20150000000001</v>
      </c>
      <c r="I23" s="6">
        <f>('0,3 Fun mes'!I23*2%)+'0,3 Fun mes'!I23</f>
        <v>786.69709999999998</v>
      </c>
      <c r="J23" s="6">
        <f>('0,3 Fun mes'!J23*2%)+'0,3 Fun mes'!J23</f>
        <v>715.28519999999992</v>
      </c>
      <c r="K23" s="6">
        <f>('0,3 Fun mes'!K23*2%)+'0,3 Fun mes'!K23</f>
        <v>701.57640000000004</v>
      </c>
      <c r="L23" s="7">
        <f>('0,3 Fun mes'!L23*2%)+'0,3 Fun mes'!L23</f>
        <v>689.14089999999999</v>
      </c>
      <c r="M23" s="7">
        <f>('0,3 Fun mes'!M23*2%)+'0,3 Fun mes'!M23</f>
        <v>678.46660000000008</v>
      </c>
      <c r="N23" s="6">
        <f>('0,3 Fun mes'!N23*2%)+'0,3 Fun mes'!N23</f>
        <v>669.8986000000001</v>
      </c>
      <c r="O23" s="7">
        <f>('0,3 Fun mes'!O23*2%)+'0,3 Fun mes'!O23</f>
        <v>625.51160000000004</v>
      </c>
      <c r="P23" s="6">
        <f>('0,3 Fun mes'!P23*2%)+'0,3 Fun mes'!P23</f>
        <v>605.65049999999997</v>
      </c>
      <c r="Q23" s="7">
        <f>('0,3 Fun mes'!Q23*2%)+'0,3 Fun mes'!Q23</f>
        <v>577.24520000000007</v>
      </c>
      <c r="R23" s="6">
        <f>('0,3 Fun mes'!R23*2%)+'0,3 Fun mes'!R23</f>
        <v>573.00879999999995</v>
      </c>
    </row>
    <row r="24" spans="1:21" s="5" customFormat="1" x14ac:dyDescent="0.25">
      <c r="C24" s="189" t="s">
        <v>94</v>
      </c>
      <c r="D24" s="190"/>
      <c r="E24" s="191">
        <v>0.5</v>
      </c>
      <c r="F24" s="7">
        <f>(ROUND('0,3 Fun mes'!F24*2%,2)+('0,3 Fun mes'!F24))</f>
        <v>571.58916666666676</v>
      </c>
      <c r="G24" s="169">
        <f t="shared" ref="G24:R24" si="0">G23*$E$24</f>
        <v>421.49799999999999</v>
      </c>
      <c r="H24" s="169">
        <f t="shared" si="0"/>
        <v>477.10075000000001</v>
      </c>
      <c r="I24" s="169">
        <f t="shared" si="0"/>
        <v>393.34854999999999</v>
      </c>
      <c r="J24" s="169">
        <f t="shared" si="0"/>
        <v>357.64259999999996</v>
      </c>
      <c r="K24" s="169">
        <f t="shared" si="0"/>
        <v>350.78820000000002</v>
      </c>
      <c r="L24" s="168">
        <f t="shared" si="0"/>
        <v>344.57044999999999</v>
      </c>
      <c r="M24" s="168">
        <f t="shared" si="0"/>
        <v>339.23330000000004</v>
      </c>
      <c r="N24" s="197">
        <f t="shared" si="0"/>
        <v>334.94930000000005</v>
      </c>
      <c r="O24" s="168">
        <f t="shared" si="0"/>
        <v>312.75580000000002</v>
      </c>
      <c r="P24" s="197">
        <f t="shared" si="0"/>
        <v>302.82524999999998</v>
      </c>
      <c r="Q24" s="168">
        <f t="shared" si="0"/>
        <v>288.62260000000003</v>
      </c>
      <c r="R24" s="196">
        <f t="shared" si="0"/>
        <v>286.50439999999998</v>
      </c>
    </row>
    <row r="25" spans="1:21" s="5" customFormat="1" x14ac:dyDescent="0.25">
      <c r="C25" s="189" t="s">
        <v>95</v>
      </c>
      <c r="D25" s="190"/>
      <c r="E25" s="191">
        <v>0.3</v>
      </c>
      <c r="F25" s="7">
        <f>(ROUND('0,3 Fun mes'!F25*2%,2)+('0,3 Fun mes'!F25))</f>
        <v>342.94750000000005</v>
      </c>
      <c r="G25" s="169">
        <f t="shared" ref="G25:R25" si="1">G23*$E$25</f>
        <v>252.89879999999999</v>
      </c>
      <c r="H25" s="169">
        <f t="shared" si="1"/>
        <v>286.26044999999999</v>
      </c>
      <c r="I25" s="169">
        <f t="shared" si="1"/>
        <v>236.00912999999997</v>
      </c>
      <c r="J25" s="169">
        <f t="shared" si="1"/>
        <v>214.58555999999996</v>
      </c>
      <c r="K25" s="169">
        <f t="shared" si="1"/>
        <v>210.47292000000002</v>
      </c>
      <c r="L25" s="168">
        <f t="shared" si="1"/>
        <v>206.74226999999999</v>
      </c>
      <c r="M25" s="168">
        <f t="shared" si="1"/>
        <v>203.53998000000001</v>
      </c>
      <c r="N25" s="197">
        <f t="shared" si="1"/>
        <v>200.96958000000004</v>
      </c>
      <c r="O25" s="168">
        <f t="shared" si="1"/>
        <v>187.65348</v>
      </c>
      <c r="P25" s="197">
        <f t="shared" si="1"/>
        <v>181.69514999999998</v>
      </c>
      <c r="Q25" s="168">
        <f t="shared" si="1"/>
        <v>173.17356000000001</v>
      </c>
      <c r="R25" s="196">
        <f t="shared" si="1"/>
        <v>171.90263999999999</v>
      </c>
    </row>
    <row r="26" spans="1:21" s="5" customFormat="1" x14ac:dyDescent="0.25">
      <c r="C26" s="189" t="s">
        <v>96</v>
      </c>
      <c r="D26" s="190"/>
      <c r="E26" s="191">
        <v>0.2</v>
      </c>
      <c r="F26" s="7">
        <f>(ROUND('0,3 Fun mes'!F26*2%,2)+('0,3 Fun mes'!F26))</f>
        <v>228.63166666666669</v>
      </c>
      <c r="G26" s="169">
        <f t="shared" ref="G26:R26" si="2">G23*$E$26</f>
        <v>168.5992</v>
      </c>
      <c r="H26" s="169">
        <f t="shared" si="2"/>
        <v>190.84030000000001</v>
      </c>
      <c r="I26" s="169">
        <f t="shared" si="2"/>
        <v>157.33942000000002</v>
      </c>
      <c r="J26" s="169">
        <f t="shared" si="2"/>
        <v>143.05704</v>
      </c>
      <c r="K26" s="169">
        <f t="shared" si="2"/>
        <v>140.31528</v>
      </c>
      <c r="L26" s="168">
        <f t="shared" si="2"/>
        <v>137.82818</v>
      </c>
      <c r="M26" s="168">
        <f t="shared" si="2"/>
        <v>135.69332000000003</v>
      </c>
      <c r="N26" s="197">
        <f t="shared" si="2"/>
        <v>133.97972000000001</v>
      </c>
      <c r="O26" s="168">
        <f t="shared" si="2"/>
        <v>125.10232000000002</v>
      </c>
      <c r="P26" s="197">
        <f t="shared" si="2"/>
        <v>121.1301</v>
      </c>
      <c r="Q26" s="168">
        <f t="shared" si="2"/>
        <v>115.44904000000002</v>
      </c>
      <c r="R26" s="196">
        <f t="shared" si="2"/>
        <v>114.60176</v>
      </c>
    </row>
    <row r="27" spans="1:21" s="5" customFormat="1" x14ac:dyDescent="0.25">
      <c r="E27" s="15"/>
      <c r="F27" s="16">
        <f>F20+F21+F22+F23</f>
        <v>4539.8547060999999</v>
      </c>
      <c r="G27" s="16">
        <f t="shared" ref="G27:R27" si="3">G20+G21+G22+G23</f>
        <v>3979.8708794000004</v>
      </c>
      <c r="H27" s="16">
        <f t="shared" si="3"/>
        <v>3931.9718949000003</v>
      </c>
      <c r="I27" s="16">
        <f t="shared" si="3"/>
        <v>3712.6254309000001</v>
      </c>
      <c r="J27" s="16">
        <f t="shared" si="3"/>
        <v>3581.2491911999996</v>
      </c>
      <c r="K27" s="16">
        <f t="shared" si="3"/>
        <v>3507.7916832000001</v>
      </c>
      <c r="L27" s="16">
        <f t="shared" si="3"/>
        <v>3428.9389133</v>
      </c>
      <c r="M27" s="16">
        <f t="shared" si="3"/>
        <v>3352.6095220000002</v>
      </c>
      <c r="N27" s="16">
        <f t="shared" si="3"/>
        <v>3302.5794879999999</v>
      </c>
      <c r="O27" s="16">
        <f t="shared" si="3"/>
        <v>3145.8785674000001</v>
      </c>
      <c r="P27" s="16">
        <f t="shared" si="3"/>
        <v>3049.1138474999998</v>
      </c>
      <c r="Q27" s="16">
        <f t="shared" si="3"/>
        <v>2943.8085867999998</v>
      </c>
      <c r="R27" s="16">
        <f t="shared" si="3"/>
        <v>2813.8942332000001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 s="2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20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1"/>
      <c r="P32" s="11"/>
      <c r="Q32" s="11"/>
      <c r="R32" s="11"/>
      <c r="S32" s="10"/>
      <c r="T32" s="11"/>
      <c r="U32" s="10"/>
    </row>
    <row r="33" spans="1:24" s="5" customFormat="1" x14ac:dyDescent="0.25">
      <c r="O33" s="13"/>
      <c r="P33" s="13"/>
      <c r="Q33" s="13"/>
      <c r="R33" s="13"/>
      <c r="T33" s="13"/>
    </row>
    <row r="34" spans="1:24" s="5" customFormat="1" x14ac:dyDescent="0.25">
      <c r="J34" s="6" t="s">
        <v>6</v>
      </c>
      <c r="K34" s="6"/>
      <c r="L34" s="6">
        <v>781.39</v>
      </c>
      <c r="M34" s="6">
        <v>781.39</v>
      </c>
      <c r="N34" s="6">
        <v>781.39</v>
      </c>
      <c r="O34" s="7">
        <v>781.39</v>
      </c>
      <c r="P34" s="7">
        <v>781.39</v>
      </c>
      <c r="Q34" s="7">
        <v>781.39</v>
      </c>
      <c r="R34" s="7">
        <v>781.39</v>
      </c>
      <c r="S34" s="6">
        <v>781.39</v>
      </c>
      <c r="T34" s="7">
        <v>781.39</v>
      </c>
      <c r="U34" s="6">
        <v>781.39</v>
      </c>
    </row>
    <row r="35" spans="1:24" s="5" customFormat="1" x14ac:dyDescent="0.25">
      <c r="J35" s="6" t="s">
        <v>7</v>
      </c>
      <c r="K35" s="6"/>
      <c r="L35" s="6">
        <v>513.71</v>
      </c>
      <c r="M35" s="6">
        <v>477.19</v>
      </c>
      <c r="N35" s="6">
        <v>452.83</v>
      </c>
      <c r="O35" s="7">
        <v>428.46</v>
      </c>
      <c r="P35" s="7">
        <v>404.08</v>
      </c>
      <c r="Q35" s="7">
        <v>379.77</v>
      </c>
      <c r="R35" s="7">
        <v>355.36</v>
      </c>
      <c r="S35" s="6">
        <v>331.04</v>
      </c>
      <c r="T35" s="7">
        <v>306.64</v>
      </c>
      <c r="U35" s="6">
        <v>282.26</v>
      </c>
    </row>
    <row r="36" spans="1:24" s="5" customFormat="1" x14ac:dyDescent="0.25">
      <c r="J36" s="6" t="s">
        <v>8</v>
      </c>
      <c r="K36" s="6"/>
      <c r="L36" s="6">
        <f>(ROUND('0,3 Fun mes'!L36*2%,2)+('0,3 Fun mes'!L36))</f>
        <v>1329.93328</v>
      </c>
      <c r="M36" s="6">
        <f>(ROUND('0,3 Fun mes'!M36*2%,2)+('0,3 Fun mes'!M36))</f>
        <v>1310.2811550000001</v>
      </c>
      <c r="N36" s="6">
        <f>(ROUND('0,3 Fun mes'!N36*2%,2)+('0,3 Fun mes'!N36))</f>
        <v>1251.0089599999999</v>
      </c>
      <c r="O36" s="7">
        <f>(ROUND('0,3 Fun mes'!O36*2%,2)+('0,3 Fun mes'!O36))</f>
        <v>1206.7444750000002</v>
      </c>
      <c r="P36" s="7">
        <f>(ROUND('0,3 Fun mes'!P36*2%,2)+('0,3 Fun mes'!P36))</f>
        <v>1085.830485</v>
      </c>
      <c r="Q36" s="7">
        <f>(ROUND('0,3 Fun mes'!Q36*2%,2)+('0,3 Fun mes'!Q36))</f>
        <v>1000.9217149999999</v>
      </c>
      <c r="R36" s="7">
        <f>(ROUND('0,3 Fun mes'!R36*2%,2)+('0,3 Fun mes'!R36))</f>
        <v>879.95093000000008</v>
      </c>
      <c r="S36" s="6">
        <f>(ROUND('0,3 Fun mes'!S36*2%,2)+('0,3 Fun mes'!S36))</f>
        <v>810.11274500000002</v>
      </c>
      <c r="T36" s="7">
        <f>(ROUND('0,3 Fun mes'!T36*2%,2)+('0,3 Fun mes'!T36))</f>
        <v>760.81529999999998</v>
      </c>
      <c r="U36" s="6">
        <f>(ROUND('0,3 Fun mes'!U36*2%,2)+('0,3 Fun mes'!U36))</f>
        <v>666.52854000000002</v>
      </c>
    </row>
    <row r="37" spans="1:24" s="5" customFormat="1" x14ac:dyDescent="0.25">
      <c r="J37" s="58" t="s">
        <v>97</v>
      </c>
      <c r="K37" s="6"/>
      <c r="L37" s="6">
        <f>(ROUND('0,3 Fun mes'!L37*2%,2)+('0,3 Fun mes'!L37))</f>
        <v>1001.1466666666668</v>
      </c>
      <c r="M37" s="6">
        <f>(ROUND('0,3 Fun mes'!M37*2%,2)+('0,3 Fun mes'!M37))</f>
        <v>974.73833333333346</v>
      </c>
      <c r="N37" s="6">
        <f>(ROUND('0,3 Fun mes'!N37*2%,2)+('0,3 Fun mes'!N37))</f>
        <v>890.5233333333332</v>
      </c>
      <c r="O37" s="7">
        <f>(ROUND('0,3 Fun mes'!O37*2%,2)+('0,3 Fun mes'!O37))</f>
        <v>691.63833333333332</v>
      </c>
      <c r="P37" s="7">
        <f>(ROUND('0,3 Fun mes'!P37*2%,2)+('0,3 Fun mes'!P37))</f>
        <v>685.52166666666676</v>
      </c>
      <c r="Q37" s="7">
        <f>(ROUND('0,3 Fun mes'!Q37*2%,2)+('0,3 Fun mes'!Q37))</f>
        <v>583.73500000000001</v>
      </c>
      <c r="R37" s="7">
        <f>(ROUND('0,3 Fun mes'!R37*2%,2)+('0,3 Fun mes'!R37))</f>
        <v>582.20000000000005</v>
      </c>
      <c r="S37" s="6">
        <f>(ROUND('0,3 Fun mes'!S37*2%,2)+('0,3 Fun mes'!S37))</f>
        <v>581.49166666666656</v>
      </c>
      <c r="T37" s="221">
        <f>('0,3 Fun mes'!T37*2%)+'0,3 Fun mes'!T37</f>
        <v>550.35120000000006</v>
      </c>
      <c r="U37" s="7">
        <f>(ROUND('0,3 Fun mes'!U37*2%,2)+('0,3 Fun mes'!U37))</f>
        <v>475.74</v>
      </c>
    </row>
    <row r="38" spans="1:24" s="5" customFormat="1" ht="15" hidden="1" customHeight="1" x14ac:dyDescent="0.25">
      <c r="I38" s="189" t="s">
        <v>94</v>
      </c>
      <c r="J38" s="190"/>
      <c r="K38" s="159">
        <v>0.5</v>
      </c>
      <c r="L38" s="6">
        <f>(ROUND('0,3 Fun mes'!L38*2%,2)+('0,3 Fun mes'!L38))</f>
        <v>500.57833333333338</v>
      </c>
      <c r="M38" s="6">
        <f>(ROUND('0,3 Fun mes'!M38*2%,2)+('0,3 Fun mes'!M38))</f>
        <v>487.37416666666672</v>
      </c>
      <c r="N38" s="6">
        <f>(ROUND('0,3 Fun mes'!N38*2%,2)+('0,3 Fun mes'!N38))</f>
        <v>445.2616666666666</v>
      </c>
      <c r="O38" s="7">
        <f>(ROUND('0,3 Fun mes'!O38*2%,2)+('0,3 Fun mes'!O38))</f>
        <v>345.81916666666666</v>
      </c>
      <c r="P38" s="7">
        <f>(ROUND('0,3 Fun mes'!P38*2%,2)+('0,3 Fun mes'!P38))</f>
        <v>342.76083333333338</v>
      </c>
      <c r="Q38" s="7">
        <f>(ROUND('0,3 Fun mes'!Q38*2%,2)+('0,3 Fun mes'!Q38))</f>
        <v>291.86250000000001</v>
      </c>
      <c r="R38" s="7">
        <f>(ROUND('0,3 Fun mes'!R38*2%,2)+('0,3 Fun mes'!R38))</f>
        <v>291.10000000000002</v>
      </c>
      <c r="S38" s="6">
        <f>(ROUND('0,3 Fun mes'!S38*2%,2)+('0,3 Fun mes'!S38))</f>
        <v>290.74583333333328</v>
      </c>
      <c r="T38" s="7">
        <f>(ROUND('0,3 Fun mes'!T38*2%,2)+('0,3 Fun mes'!T38))</f>
        <v>275.18</v>
      </c>
      <c r="U38" s="6">
        <f>(ROUND('0,3 Fun mes'!U38*2%,2)+('0,3 Fun mes'!U38))</f>
        <v>237.86500000000001</v>
      </c>
    </row>
    <row r="39" spans="1:24" s="5" customFormat="1" ht="15" hidden="1" customHeight="1" x14ac:dyDescent="0.25">
      <c r="I39" s="189" t="s">
        <v>95</v>
      </c>
      <c r="J39" s="190"/>
      <c r="K39" s="159">
        <v>0.3</v>
      </c>
      <c r="L39" s="6">
        <f>(ROUND('0,3 Fun mes'!L39*2%,2)+('0,3 Fun mes'!L39))</f>
        <v>300.34500000000003</v>
      </c>
      <c r="M39" s="6">
        <f>(ROUND('0,3 Fun mes'!M39*2%,2)+('0,3 Fun mes'!M39))</f>
        <v>292.41850000000005</v>
      </c>
      <c r="N39" s="6">
        <f>(ROUND('0,3 Fun mes'!N39*2%,2)+('0,3 Fun mes'!N39))</f>
        <v>267.15899999999993</v>
      </c>
      <c r="O39" s="7">
        <f>(ROUND('0,3 Fun mes'!O39*2%,2)+('0,3 Fun mes'!O39))</f>
        <v>207.49350000000001</v>
      </c>
      <c r="P39" s="7">
        <f>(ROUND('0,3 Fun mes'!P39*2%,2)+('0,3 Fun mes'!P39))</f>
        <v>205.65450000000001</v>
      </c>
      <c r="Q39" s="7">
        <f>(ROUND('0,3 Fun mes'!Q39*2%,2)+('0,3 Fun mes'!Q39))</f>
        <v>175.1155</v>
      </c>
      <c r="R39" s="7">
        <f>(ROUND('0,3 Fun mes'!R39*2%,2)+('0,3 Fun mes'!R39))</f>
        <v>174.654</v>
      </c>
      <c r="S39" s="6">
        <f>(ROUND('0,3 Fun mes'!S39*2%,2)+('0,3 Fun mes'!S39))</f>
        <v>174.44749999999996</v>
      </c>
      <c r="T39" s="7">
        <f>(ROUND('0,3 Fun mes'!T39*2%,2)+('0,3 Fun mes'!T39))</f>
        <v>165.10800000000003</v>
      </c>
      <c r="U39" s="6">
        <f>(ROUND('0,3 Fun mes'!U39*2%,2)+('0,3 Fun mes'!U39))</f>
        <v>142.72300000000001</v>
      </c>
    </row>
    <row r="40" spans="1:24" s="5" customFormat="1" ht="15" hidden="1" customHeight="1" x14ac:dyDescent="0.25">
      <c r="I40" s="189" t="s">
        <v>96</v>
      </c>
      <c r="J40" s="190"/>
      <c r="K40" s="159">
        <v>0.2</v>
      </c>
      <c r="L40" s="6">
        <f>(ROUND('0,3 Fun mes'!L40*2%,2)+('0,3 Fun mes'!L40))</f>
        <v>200.23333333333338</v>
      </c>
      <c r="M40" s="6">
        <f>(ROUND('0,3 Fun mes'!M40*2%,2)+('0,3 Fun mes'!M40))</f>
        <v>194.94566666666668</v>
      </c>
      <c r="N40" s="6">
        <f>(ROUND('0,3 Fun mes'!N40*2%,2)+('0,3 Fun mes'!N40))</f>
        <v>178.10266666666666</v>
      </c>
      <c r="O40" s="7">
        <f>(ROUND('0,3 Fun mes'!O40*2%,2)+('0,3 Fun mes'!O40))</f>
        <v>138.32566666666668</v>
      </c>
      <c r="P40" s="7">
        <f>(ROUND('0,3 Fun mes'!P40*2%,2)+('0,3 Fun mes'!P40))</f>
        <v>137.10633333333334</v>
      </c>
      <c r="Q40" s="7">
        <f>(ROUND('0,3 Fun mes'!Q40*2%,2)+('0,3 Fun mes'!Q40))</f>
        <v>116.747</v>
      </c>
      <c r="R40" s="7">
        <f>(ROUND('0,3 Fun mes'!R40*2%,2)+('0,3 Fun mes'!R40))</f>
        <v>116.43600000000002</v>
      </c>
      <c r="S40" s="6">
        <f>(ROUND('0,3 Fun mes'!S40*2%,2)+('0,3 Fun mes'!S40))</f>
        <v>116.29833333333332</v>
      </c>
      <c r="T40" s="7">
        <f>(ROUND('0,3 Fun mes'!T40*2%,2)+('0,3 Fun mes'!T40))</f>
        <v>110.07200000000002</v>
      </c>
      <c r="U40" s="6">
        <f>(ROUND('0,3 Fun mes'!U40*2%,2)+('0,3 Fun mes'!U40))</f>
        <v>95.152000000000015</v>
      </c>
    </row>
    <row r="41" spans="1:24" s="5" customFormat="1" x14ac:dyDescent="0.25">
      <c r="J41" s="15"/>
      <c r="K41" s="15"/>
      <c r="L41" s="16">
        <f>(ROUND('0,3 Fun mes'!L41*2%,2)+('0,3 Fun mes'!L41))</f>
        <v>3626.1599466666667</v>
      </c>
      <c r="M41" s="16">
        <f>(ROUND('0,3 Fun mes'!M41*2%,2)+('0,3 Fun mes'!M41))</f>
        <v>3543.5894883333335</v>
      </c>
      <c r="N41" s="16">
        <f>(ROUND('0,3 Fun mes'!N41*2%,2)+('0,3 Fun mes'!N41))</f>
        <v>3375.7422933333328</v>
      </c>
      <c r="O41" s="16">
        <f>(ROUND('0,3 Fun mes'!O41*2%,2)+('0,3 Fun mes'!O41))</f>
        <v>3108.2228083333334</v>
      </c>
      <c r="P41" s="16">
        <f>(ROUND('0,3 Fun mes'!P41*2%,2)+('0,3 Fun mes'!P41))</f>
        <v>2956.8121516666665</v>
      </c>
      <c r="Q41" s="16">
        <f>(ROUND('0,3 Fun mes'!Q41*2%,2)+('0,3 Fun mes'!Q41))</f>
        <v>2745.7967149999999</v>
      </c>
      <c r="R41" s="16">
        <f>SUM(R34:R40)</f>
        <v>3181.0909299999998</v>
      </c>
      <c r="S41" s="16">
        <f>(ROUND('0,3 Fun mes'!S41*2%,2)+('0,3 Fun mes'!S41))</f>
        <v>2504.0244116666663</v>
      </c>
      <c r="T41" s="16">
        <f>(ROUND('0,3 Fun mes'!T41*2%,2)+('0,3 Fun mes'!T41))</f>
        <v>2399.1752999999999</v>
      </c>
      <c r="U41" s="16">
        <f>(ROUND('0,3 Fun mes'!U41*2%,2)+('0,3 Fun mes'!U41))</f>
        <v>2205.8985399999997</v>
      </c>
    </row>
    <row r="42" spans="1:24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4" x14ac:dyDescent="0.25">
      <c r="A43" s="1" t="s">
        <v>18</v>
      </c>
      <c r="B43" s="1"/>
    </row>
    <row r="44" spans="1:24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4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4" s="5" customFormat="1" x14ac:dyDescent="0.25">
      <c r="G46"/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4" s="5" customFormat="1" x14ac:dyDescent="0.25">
      <c r="G47"/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4" s="5" customFormat="1" x14ac:dyDescent="0.25">
      <c r="G48"/>
      <c r="N48" s="6" t="s">
        <v>6</v>
      </c>
      <c r="O48" s="6">
        <v>650.33000000000004</v>
      </c>
      <c r="P48" s="7">
        <v>650.33000000000004</v>
      </c>
      <c r="Q48" s="6">
        <v>650.33000000000004</v>
      </c>
      <c r="R48" s="6">
        <v>650.33000000000004</v>
      </c>
      <c r="S48" s="7">
        <v>650.33000000000004</v>
      </c>
      <c r="T48" s="7">
        <v>650.33000000000004</v>
      </c>
      <c r="U48" s="7">
        <v>650.33000000000004</v>
      </c>
      <c r="V48" s="7">
        <v>650.33000000000004</v>
      </c>
      <c r="W48" s="6">
        <v>650.33000000000004</v>
      </c>
      <c r="X48" s="7">
        <v>650.33000000000004</v>
      </c>
    </row>
    <row r="49" spans="1:25" s="5" customFormat="1" x14ac:dyDescent="0.25">
      <c r="G49"/>
      <c r="N49" s="6" t="s">
        <v>7</v>
      </c>
      <c r="O49" s="6">
        <v>428.46</v>
      </c>
      <c r="P49" s="7">
        <v>404.08</v>
      </c>
      <c r="Q49" s="6">
        <v>379.77</v>
      </c>
      <c r="R49" s="6">
        <v>355.36</v>
      </c>
      <c r="S49" s="7">
        <v>331.04</v>
      </c>
      <c r="T49" s="7">
        <v>306.64</v>
      </c>
      <c r="U49" s="7">
        <v>282.26</v>
      </c>
      <c r="V49" s="7">
        <v>257.88</v>
      </c>
      <c r="W49" s="6">
        <v>233.55</v>
      </c>
      <c r="X49" s="7">
        <v>221.39</v>
      </c>
    </row>
    <row r="50" spans="1:25" s="5" customFormat="1" x14ac:dyDescent="0.25">
      <c r="N50" s="6" t="s">
        <v>8</v>
      </c>
      <c r="O50" s="6">
        <f>(ROUND('0,3 Fun mes'!O50*2%,2)+('0,3 Fun mes'!O50))</f>
        <v>1036.41552</v>
      </c>
      <c r="P50" s="7">
        <f>(ROUND('0,3 Fun mes'!P50*2%,2)+('0,3 Fun mes'!P50))</f>
        <v>993.27081499999997</v>
      </c>
      <c r="Q50" s="6">
        <f>(ROUND('0,3 Fun mes'!Q50*2%,2)+('0,3 Fun mes'!Q50))</f>
        <v>957.44653000000005</v>
      </c>
      <c r="R50" s="6">
        <f>(ROUND('0,3 Fun mes'!R50*2%,2)+('0,3 Fun mes'!R50))</f>
        <v>855.20288500000004</v>
      </c>
      <c r="S50" s="7">
        <f>(ROUND('0,3 Fun mes'!S50*2%,2)+('0,3 Fun mes'!S50))</f>
        <v>800.18610500000011</v>
      </c>
      <c r="T50" s="7">
        <f>(ROUND('0,3 Fun mes'!T50*2%,2)+('0,3 Fun mes'!T50))</f>
        <v>697.63256999999999</v>
      </c>
      <c r="U50" s="7">
        <f>(ROUND('0,3 Fun mes'!U50*2%,2)+('0,3 Fun mes'!U50))</f>
        <v>724.38601000000006</v>
      </c>
      <c r="V50" s="7">
        <f>(ROUND('0,3 Fun mes'!V50*2%,2)+('0,3 Fun mes'!V50))</f>
        <v>727.77662500000008</v>
      </c>
      <c r="W50" s="6">
        <f>(ROUND('0,3 Fun mes'!W50*2%,2)+('0,3 Fun mes'!W50))</f>
        <v>606.54583000000002</v>
      </c>
      <c r="X50" s="7">
        <f>(ROUND('0,3 Fun mes'!X50*2%,2)+('0,3 Fun mes'!X50))</f>
        <v>514.41999499999997</v>
      </c>
    </row>
    <row r="51" spans="1:25" s="5" customFormat="1" x14ac:dyDescent="0.25">
      <c r="A51" s="38" t="s">
        <v>41</v>
      </c>
      <c r="B51" s="38"/>
      <c r="N51" s="58" t="s">
        <v>97</v>
      </c>
      <c r="O51" s="6">
        <f>(ROUND('0,3 Fun mes'!O51*2%,2)+('0,3 Fun mes'!O51))</f>
        <v>648.94999999999993</v>
      </c>
      <c r="P51" s="7">
        <f>(ROUND('0,3 Fun mes'!P51*2%,2)+('0,3 Fun mes'!P51))</f>
        <v>554.59500000000003</v>
      </c>
      <c r="Q51" s="6">
        <f>(ROUND('0,3 Fun mes'!Q51*2%,2)+('0,3 Fun mes'!Q51))</f>
        <v>562.10666666666668</v>
      </c>
      <c r="R51" s="6">
        <f>(ROUND('0,3 Fun mes'!R51*2%,2)+('0,3 Fun mes'!R51))</f>
        <v>592.0383333333333</v>
      </c>
      <c r="S51" s="7">
        <f>(ROUND('0,3 Fun mes'!S51*2%,2)+('0,3 Fun mes'!S51))</f>
        <v>566.75833333333344</v>
      </c>
      <c r="T51" s="7">
        <f>(ROUND('0,3 Fun mes'!T51*2%,2)+('0,3 Fun mes'!T51))</f>
        <v>597.02666666666676</v>
      </c>
      <c r="U51" s="7">
        <f>(ROUND('0,3 Fun mes'!U51*2%,2)+('0,3 Fun mes'!U51))</f>
        <v>496.91666666666674</v>
      </c>
      <c r="V51" s="7">
        <f>(ROUND('0,3 Fun mes'!V51*2%,2)+('0,3 Fun mes'!V51))</f>
        <v>514.70833333333337</v>
      </c>
      <c r="W51" s="6">
        <f>(ROUND('0,3 Fun mes'!W51*2%,2)+('0,3 Fun mes'!W51))</f>
        <v>434.92333333333335</v>
      </c>
      <c r="X51" s="7">
        <f>(ROUND('0,3 Fun mes'!X51*2%,2)+('0,3 Fun mes'!X51))</f>
        <v>390.59500000000003</v>
      </c>
    </row>
    <row r="52" spans="1:25" s="5" customFormat="1" ht="15" hidden="1" customHeight="1" x14ac:dyDescent="0.25">
      <c r="A52" s="38"/>
      <c r="B52" s="38"/>
      <c r="L52" s="189" t="s">
        <v>94</v>
      </c>
      <c r="M52" s="190"/>
      <c r="N52" s="159">
        <v>0.5</v>
      </c>
      <c r="O52" s="158">
        <f>O51*$N$52</f>
        <v>324.47499999999997</v>
      </c>
      <c r="P52" s="170">
        <f t="shared" ref="P52:X52" si="4">P51*$N$52</f>
        <v>277.29750000000001</v>
      </c>
      <c r="Q52" s="158">
        <f t="shared" si="4"/>
        <v>281.05333333333334</v>
      </c>
      <c r="R52" s="158">
        <f t="shared" si="4"/>
        <v>296.01916666666665</v>
      </c>
      <c r="S52" s="170">
        <f t="shared" si="4"/>
        <v>283.37916666666672</v>
      </c>
      <c r="T52" s="170">
        <f t="shared" si="4"/>
        <v>298.51333333333338</v>
      </c>
      <c r="U52" s="170">
        <f t="shared" si="4"/>
        <v>248.45833333333337</v>
      </c>
      <c r="V52" s="170">
        <f t="shared" si="4"/>
        <v>257.35416666666669</v>
      </c>
      <c r="W52" s="158">
        <f t="shared" si="4"/>
        <v>217.46166666666667</v>
      </c>
      <c r="X52" s="170">
        <f t="shared" si="4"/>
        <v>195.29750000000001</v>
      </c>
    </row>
    <row r="53" spans="1:25" s="5" customFormat="1" ht="15" hidden="1" customHeight="1" x14ac:dyDescent="0.25">
      <c r="A53" s="38"/>
      <c r="B53" s="38"/>
      <c r="L53" s="189" t="s">
        <v>95</v>
      </c>
      <c r="M53" s="190"/>
      <c r="N53" s="159">
        <v>0.3</v>
      </c>
      <c r="O53" s="158">
        <f>O51*$N$53</f>
        <v>194.68499999999997</v>
      </c>
      <c r="P53" s="170">
        <f t="shared" ref="P53:X53" si="5">P51*$N$53</f>
        <v>166.3785</v>
      </c>
      <c r="Q53" s="158">
        <f t="shared" si="5"/>
        <v>168.63200000000001</v>
      </c>
      <c r="R53" s="158">
        <f t="shared" si="5"/>
        <v>177.61149999999998</v>
      </c>
      <c r="S53" s="170">
        <f t="shared" si="5"/>
        <v>170.02750000000003</v>
      </c>
      <c r="T53" s="170">
        <f t="shared" si="5"/>
        <v>179.10800000000003</v>
      </c>
      <c r="U53" s="170">
        <f t="shared" si="5"/>
        <v>149.07500000000002</v>
      </c>
      <c r="V53" s="170">
        <f t="shared" si="5"/>
        <v>154.41249999999999</v>
      </c>
      <c r="W53" s="158">
        <f t="shared" si="5"/>
        <v>130.477</v>
      </c>
      <c r="X53" s="170">
        <f t="shared" si="5"/>
        <v>117.1785</v>
      </c>
    </row>
    <row r="54" spans="1:25" s="5" customFormat="1" ht="15" hidden="1" customHeight="1" x14ac:dyDescent="0.25">
      <c r="A54" s="34"/>
      <c r="B54" s="34"/>
      <c r="C54" s="34"/>
      <c r="D54" s="40"/>
      <c r="L54" s="189" t="s">
        <v>96</v>
      </c>
      <c r="M54" s="190"/>
      <c r="N54" s="159">
        <v>0.2</v>
      </c>
      <c r="O54" s="158">
        <f>O51*$N$54</f>
        <v>129.79</v>
      </c>
      <c r="P54" s="170">
        <f t="shared" ref="P54:X54" si="6">P51*$N$54</f>
        <v>110.91900000000001</v>
      </c>
      <c r="Q54" s="158">
        <f t="shared" si="6"/>
        <v>112.42133333333334</v>
      </c>
      <c r="R54" s="158">
        <f t="shared" si="6"/>
        <v>118.40766666666667</v>
      </c>
      <c r="S54" s="170">
        <f t="shared" si="6"/>
        <v>113.35166666666669</v>
      </c>
      <c r="T54" s="170">
        <f t="shared" si="6"/>
        <v>119.40533333333336</v>
      </c>
      <c r="U54" s="170">
        <f t="shared" si="6"/>
        <v>99.383333333333354</v>
      </c>
      <c r="V54" s="170">
        <f t="shared" si="6"/>
        <v>102.94166666666668</v>
      </c>
      <c r="W54" s="158">
        <f t="shared" si="6"/>
        <v>86.984666666666669</v>
      </c>
      <c r="X54" s="170">
        <f t="shared" si="6"/>
        <v>78.119000000000014</v>
      </c>
    </row>
    <row r="55" spans="1:25" s="5" customFormat="1" x14ac:dyDescent="0.25">
      <c r="A55" s="34" t="s">
        <v>26</v>
      </c>
      <c r="B55" s="34"/>
      <c r="C55" s="34"/>
      <c r="D55" s="40" t="s">
        <v>28</v>
      </c>
      <c r="N55" s="6"/>
      <c r="O55" s="16">
        <f>O51+O50+O49+O48</f>
        <v>2764.1555199999998</v>
      </c>
      <c r="P55" s="16">
        <f t="shared" ref="P55:X55" si="7">P51+P50+P49+P48</f>
        <v>2602.275815</v>
      </c>
      <c r="Q55" s="16">
        <f t="shared" si="7"/>
        <v>2549.6531966666666</v>
      </c>
      <c r="R55" s="16">
        <f t="shared" si="7"/>
        <v>2452.9312183333332</v>
      </c>
      <c r="S55" s="16">
        <f t="shared" si="7"/>
        <v>2348.3144383333333</v>
      </c>
      <c r="T55" s="16">
        <f t="shared" si="7"/>
        <v>2251.6292366666667</v>
      </c>
      <c r="U55" s="16">
        <f t="shared" si="7"/>
        <v>2153.8926766666668</v>
      </c>
      <c r="V55" s="16">
        <f t="shared" si="7"/>
        <v>2150.6949583333335</v>
      </c>
      <c r="W55" s="16">
        <f t="shared" si="7"/>
        <v>1925.3491633333333</v>
      </c>
      <c r="X55" s="16">
        <f t="shared" si="7"/>
        <v>1776.7349949999998</v>
      </c>
    </row>
    <row r="56" spans="1:25" x14ac:dyDescent="0.25">
      <c r="A56" s="5" t="s">
        <v>30</v>
      </c>
      <c r="B56" s="5"/>
      <c r="C56" s="5"/>
      <c r="D56" s="5">
        <v>46.32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</row>
    <row r="57" spans="1:25" x14ac:dyDescent="0.25">
      <c r="A57" s="5" t="s">
        <v>31</v>
      </c>
      <c r="B57" s="5"/>
      <c r="C57" s="5"/>
      <c r="D57" s="5">
        <v>37.78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5" x14ac:dyDescent="0.25">
      <c r="A58" t="s">
        <v>19</v>
      </c>
      <c r="D58" s="5">
        <v>28.59</v>
      </c>
    </row>
    <row r="59" spans="1:25" s="5" customFormat="1" x14ac:dyDescent="0.25">
      <c r="A59" t="s">
        <v>20</v>
      </c>
      <c r="B59"/>
      <c r="C59"/>
      <c r="D59" s="5">
        <v>19.46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5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5" s="5" customFormat="1" x14ac:dyDescent="0.25">
      <c r="A61" s="38" t="s">
        <v>24</v>
      </c>
      <c r="B61" s="38"/>
      <c r="H61" s="35"/>
      <c r="I61" s="35"/>
      <c r="J61" s="41"/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5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41"/>
      <c r="K62" s="35"/>
      <c r="L62" s="35"/>
      <c r="M62" s="35"/>
      <c r="N62" s="35"/>
      <c r="O62" s="35"/>
      <c r="P62" s="35"/>
      <c r="Q62" s="35"/>
      <c r="R62" s="35"/>
    </row>
    <row r="63" spans="1:25" s="5" customFormat="1" x14ac:dyDescent="0.25">
      <c r="A63" s="5" t="s">
        <v>30</v>
      </c>
      <c r="C63" s="5">
        <v>742.7</v>
      </c>
      <c r="D63" s="5">
        <v>28.59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5" s="5" customFormat="1" x14ac:dyDescent="0.25">
      <c r="A64" s="5" t="s">
        <v>31</v>
      </c>
      <c r="C64" s="5">
        <v>759</v>
      </c>
      <c r="D64" s="5">
        <v>27.54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675.35</v>
      </c>
      <c r="D65" s="5">
        <v>24.69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644.4</v>
      </c>
      <c r="D66" s="5">
        <v>19.27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D67" s="208"/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0.25700000000000001</v>
      </c>
      <c r="Q67" s="35">
        <v>0.19</v>
      </c>
      <c r="R67" s="44">
        <v>6.7000000000000004E-2</v>
      </c>
    </row>
    <row r="68" spans="1:18" s="5" customFormat="1" x14ac:dyDescent="0.25">
      <c r="H68" s="35"/>
      <c r="I68" s="35"/>
      <c r="J68" s="41"/>
      <c r="K68" s="35"/>
      <c r="L68" s="35"/>
      <c r="M68" s="35" t="s">
        <v>39</v>
      </c>
      <c r="N68" s="35"/>
      <c r="O68" s="35"/>
      <c r="P68" s="35">
        <v>9.2100000000000009</v>
      </c>
      <c r="Q68" s="35">
        <v>0</v>
      </c>
      <c r="R68" s="35">
        <v>9.2100000000000009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">
    <mergeCell ref="A1:K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5"/>
  <sheetViews>
    <sheetView topLeftCell="B18" workbookViewId="0">
      <selection activeCell="F34" sqref="F34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93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88</v>
      </c>
      <c r="B2" s="1"/>
      <c r="S2" s="125"/>
      <c r="T2" s="125"/>
      <c r="U2" s="125"/>
      <c r="V2" s="125"/>
      <c r="W2" s="125"/>
      <c r="X2" s="125"/>
      <c r="Y2" s="125"/>
    </row>
    <row r="3" spans="1:25" x14ac:dyDescent="0.25">
      <c r="A3" s="1" t="s">
        <v>91</v>
      </c>
      <c r="B3" s="1"/>
    </row>
    <row r="4" spans="1:25" x14ac:dyDescent="0.25">
      <c r="A4" s="1" t="s">
        <v>86</v>
      </c>
      <c r="B4" s="1"/>
      <c r="S4" s="154"/>
      <c r="T4" s="154"/>
      <c r="U4" s="154"/>
      <c r="V4" s="154"/>
      <c r="W4" s="154"/>
      <c r="X4" s="154"/>
      <c r="Y4" s="154"/>
    </row>
    <row r="5" spans="1:25" x14ac:dyDescent="0.25">
      <c r="A5" s="1" t="s">
        <v>92</v>
      </c>
      <c r="B5" s="1"/>
      <c r="S5" s="154"/>
      <c r="T5" s="154"/>
      <c r="U5" s="154"/>
      <c r="V5" s="154"/>
      <c r="W5" s="154"/>
      <c r="X5" s="154"/>
      <c r="Y5" s="154"/>
    </row>
    <row r="6" spans="1:25" x14ac:dyDescent="0.25">
      <c r="S6" s="260"/>
      <c r="T6" s="260"/>
      <c r="U6" s="260"/>
      <c r="V6" s="260"/>
      <c r="W6" s="260"/>
      <c r="X6" s="260"/>
      <c r="Y6" s="260"/>
    </row>
    <row r="7" spans="1:25" x14ac:dyDescent="0.25">
      <c r="A7" s="1" t="s">
        <v>2</v>
      </c>
      <c r="B7" s="1"/>
      <c r="S7" s="125"/>
      <c r="T7" s="125"/>
      <c r="U7" s="125"/>
      <c r="V7" s="125"/>
      <c r="W7" s="125"/>
      <c r="X7" s="125"/>
      <c r="Y7" s="125"/>
    </row>
    <row r="8" spans="1:25" x14ac:dyDescent="0.25">
      <c r="C8">
        <v>30</v>
      </c>
      <c r="D8">
        <v>29</v>
      </c>
      <c r="E8">
        <v>28</v>
      </c>
      <c r="F8">
        <v>27</v>
      </c>
      <c r="G8" s="2">
        <v>26</v>
      </c>
      <c r="H8">
        <v>25</v>
      </c>
      <c r="I8">
        <v>24</v>
      </c>
      <c r="J8">
        <v>23</v>
      </c>
      <c r="K8">
        <v>22</v>
      </c>
      <c r="L8">
        <v>21</v>
      </c>
      <c r="M8" s="2">
        <v>20</v>
      </c>
      <c r="N8" s="3" t="s">
        <v>3</v>
      </c>
      <c r="O8" s="3" t="s">
        <v>4</v>
      </c>
      <c r="P8" s="4" t="s">
        <v>5</v>
      </c>
      <c r="S8" s="125"/>
      <c r="T8" s="125"/>
      <c r="U8" s="125"/>
      <c r="V8" s="125"/>
      <c r="W8" s="125"/>
      <c r="X8" s="125"/>
      <c r="Y8" s="125"/>
    </row>
    <row r="9" spans="1:25" s="5" customFormat="1" x14ac:dyDescent="0.25">
      <c r="C9" s="6"/>
      <c r="D9" s="6"/>
      <c r="E9" s="6"/>
      <c r="F9" s="6"/>
      <c r="G9" s="7"/>
      <c r="H9" s="6"/>
      <c r="I9" s="6"/>
      <c r="J9" s="6"/>
      <c r="K9" s="6"/>
      <c r="L9" s="6"/>
      <c r="M9" s="7"/>
      <c r="N9" s="6"/>
      <c r="O9" s="6"/>
      <c r="P9" s="8"/>
    </row>
    <row r="10" spans="1:25" s="5" customFormat="1" x14ac:dyDescent="0.25">
      <c r="G10" s="13"/>
      <c r="M10" s="13"/>
      <c r="P10" s="14"/>
    </row>
    <row r="11" spans="1:25" s="5" customFormat="1" x14ac:dyDescent="0.25">
      <c r="A11" s="58" t="s">
        <v>6</v>
      </c>
      <c r="B11" s="6"/>
      <c r="C11" s="6">
        <f>ROUND(('Oct mes fun'!C11*12)+('Oct mes fun'!$C$66*2),2)</f>
        <v>15615.78</v>
      </c>
      <c r="D11" s="6">
        <f>ROUND(('Oct mes fun'!D11*12)+('Oct mes fun'!$C$66*2),2)</f>
        <v>15615.78</v>
      </c>
      <c r="E11" s="6">
        <f>ROUND(('Oct mes fun'!E11*12)+('Oct mes fun'!$C$66*2),2)</f>
        <v>15615.78</v>
      </c>
      <c r="F11" s="6">
        <f>ROUND(('Oct mes fun'!F11*12)+('Oct mes fun'!$C$66*2),2)</f>
        <v>15615.78</v>
      </c>
      <c r="G11" s="7">
        <f>ROUND(('Oct mes fun'!G11*12)+('Oct mes fun'!$C$66*2),2)</f>
        <v>15615.78</v>
      </c>
      <c r="H11" s="6">
        <f>ROUND(('Oct mes fun'!H11*12)+('Oct mes fun'!$C$66*2),2)</f>
        <v>15615.78</v>
      </c>
      <c r="I11" s="6">
        <f>ROUND(('Oct mes fun'!I11*12)+('Oct mes fun'!$C$66*2),2)</f>
        <v>15615.78</v>
      </c>
      <c r="J11" s="6">
        <f>ROUND(('Oct mes fun'!J11*12)+('Oct mes fun'!$C$66*2),2)</f>
        <v>15615.78</v>
      </c>
      <c r="K11" s="6">
        <f>ROUND(('Oct mes fun'!K11*12)+('Oct mes fun'!$C$66*2),2)</f>
        <v>15615.78</v>
      </c>
      <c r="L11" s="6">
        <f>ROUND(('Oct mes fun'!L11*12)+('Oct mes fun'!$C$66*2),2)</f>
        <v>15615.78</v>
      </c>
      <c r="M11" s="7">
        <f>ROUND(('Oct mes fun'!M11*12)+('Oct mes fun'!$C$66*2),2)</f>
        <v>15615.78</v>
      </c>
      <c r="N11" s="6">
        <f>ROUND(('Oct mes fun'!N11*12)+('Oct mes fun'!$C$66*2),2)</f>
        <v>15615.78</v>
      </c>
      <c r="O11" s="6">
        <f>ROUND(('Oct mes fun'!O11*12)+('Oct mes fun'!$C$66*2),2)</f>
        <v>15615.78</v>
      </c>
      <c r="P11" s="6">
        <f>ROUND(('Oct mes fun'!P11*12)+('Oct mes fun'!$C$66*2),2)</f>
        <v>15615.78</v>
      </c>
    </row>
    <row r="12" spans="1:25" s="5" customFormat="1" x14ac:dyDescent="0.25">
      <c r="A12" s="58" t="s">
        <v>7</v>
      </c>
      <c r="B12" s="6"/>
      <c r="C12" s="6">
        <f>ROUND('Oct mes fun'!C12*14,2)</f>
        <v>14429.66</v>
      </c>
      <c r="D12" s="6">
        <f>ROUND('Oct mes fun'!D12*14,2)</f>
        <v>12942.72</v>
      </c>
      <c r="E12" s="6">
        <f>ROUND('Oct mes fun'!E12*14,2)</f>
        <v>12398.82</v>
      </c>
      <c r="F12" s="6">
        <f>ROUND('Oct mes fun'!F12*14,2)</f>
        <v>11854.08</v>
      </c>
      <c r="G12" s="7">
        <f>ROUND('Oct mes fun'!G12*14,2)</f>
        <v>10400.040000000001</v>
      </c>
      <c r="H12" s="6">
        <f>ROUND('Oct mes fun'!H12*14,2)</f>
        <v>9226.98</v>
      </c>
      <c r="I12" s="6">
        <f>ROUND('Oct mes fun'!I12*14,2)</f>
        <v>8682.66</v>
      </c>
      <c r="J12" s="6">
        <f>ROUND('Oct mes fun'!J12*14,2)</f>
        <v>8139.04</v>
      </c>
      <c r="K12" s="6">
        <f>ROUND('Oct mes fun'!K12*14,2)</f>
        <v>7594.3</v>
      </c>
      <c r="L12" s="6">
        <f>ROUND('Oct mes fun'!L12*14,2)</f>
        <v>7050.82</v>
      </c>
      <c r="M12" s="7">
        <f>ROUND('Oct mes fun'!M12*14,2)</f>
        <v>6549.62</v>
      </c>
      <c r="N12" s="6">
        <f>ROUND('Oct mes fun'!N12*14,2)</f>
        <v>6549.62</v>
      </c>
      <c r="O12" s="6">
        <f>ROUND('Oct mes fun'!O12*14,2)</f>
        <v>6549.62</v>
      </c>
      <c r="P12" s="6">
        <f>ROUND('Oct mes fun'!P12*14,2)</f>
        <v>6549.62</v>
      </c>
    </row>
    <row r="13" spans="1:25" s="5" customFormat="1" x14ac:dyDescent="0.25">
      <c r="A13" s="58" t="s">
        <v>8</v>
      </c>
      <c r="B13" s="6"/>
      <c r="C13" s="6">
        <f>ROUND('Oct mes fun'!C13*14,2)</f>
        <v>34558.58</v>
      </c>
      <c r="D13" s="6">
        <f>ROUND('Oct mes fun'!D13*14,2)</f>
        <v>32632.32</v>
      </c>
      <c r="E13" s="6">
        <f>ROUND('Oct mes fun'!E13*14,2)</f>
        <v>29999.200000000001</v>
      </c>
      <c r="F13" s="6">
        <f>ROUND('Oct mes fun'!F13*14,2)</f>
        <v>24263.96</v>
      </c>
      <c r="G13" s="7">
        <f>ROUND('Oct mes fun'!G13*14,2)</f>
        <v>21224.42</v>
      </c>
      <c r="H13" s="6">
        <f>ROUND('Oct mes fun'!H13*14,2)</f>
        <v>21162.400000000001</v>
      </c>
      <c r="I13" s="6">
        <f>ROUND('Oct mes fun'!I13*14,2)</f>
        <v>20629</v>
      </c>
      <c r="J13" s="6">
        <f>ROUND('Oct mes fun'!J13*14,2)</f>
        <v>20265.28</v>
      </c>
      <c r="K13" s="6">
        <f>ROUND('Oct mes fun'!K13*14,2)</f>
        <v>19901.84</v>
      </c>
      <c r="L13" s="6">
        <f>ROUND('Oct mes fun'!L13*14,2)</f>
        <v>18373.04</v>
      </c>
      <c r="M13" s="7">
        <f>ROUND('Oct mes fun'!M13*14,2)</f>
        <v>16813.16</v>
      </c>
      <c r="N13" s="6">
        <f>ROUND('Oct mes fun'!N13*14,2)</f>
        <v>14039.76</v>
      </c>
      <c r="O13" s="6">
        <f>ROUND('Oct mes fun'!O13*14,2)</f>
        <v>11100.6</v>
      </c>
      <c r="P13" s="6">
        <f>ROUND('Oct mes fun'!P13*14,2)</f>
        <v>7867.02</v>
      </c>
    </row>
    <row r="14" spans="1:25" s="5" customFormat="1" x14ac:dyDescent="0.25">
      <c r="A14" s="58" t="s">
        <v>97</v>
      </c>
      <c r="B14" s="6"/>
      <c r="C14" s="6">
        <f>ROUND('Oct mes fun'!C14*14,2)</f>
        <v>16505.16</v>
      </c>
      <c r="D14" s="6">
        <f>ROUND('Oct mes fun'!D14*14,2)</f>
        <v>15862.98</v>
      </c>
      <c r="E14" s="6">
        <f>ROUND('Oct mes fun'!E14*14,2)</f>
        <v>13721.12</v>
      </c>
      <c r="F14" s="6">
        <f>ROUND('Oct mes fun'!F14*14,2)</f>
        <v>11518.08</v>
      </c>
      <c r="G14" s="7">
        <f>ROUND('Oct mes fun'!G14*14,2)</f>
        <v>10236.379999999999</v>
      </c>
      <c r="H14" s="6">
        <f>ROUND('Oct mes fun'!H14*14,2)</f>
        <v>10239.879999999999</v>
      </c>
      <c r="I14" s="6">
        <f>ROUND('Oct mes fun'!I14*14,2)</f>
        <v>10017</v>
      </c>
      <c r="J14" s="6">
        <f>ROUND('Oct mes fun'!J14*14,2)</f>
        <v>9836.5400000000009</v>
      </c>
      <c r="K14" s="6">
        <f>ROUND('Oct mes fun'!K14*14,2)</f>
        <v>9700.0400000000009</v>
      </c>
      <c r="L14" s="6">
        <f>ROUND('Oct mes fun'!L14*14,2)</f>
        <v>9032.3799999999992</v>
      </c>
      <c r="M14" s="7">
        <f>ROUND('Oct mes fun'!M14*14,2)</f>
        <v>8426.18</v>
      </c>
      <c r="N14" s="6">
        <f>ROUND('Oct mes fun'!N14*14,2)</f>
        <v>8138.9</v>
      </c>
      <c r="O14" s="6">
        <f>ROUND('Oct mes fun'!O14*14,2)</f>
        <v>6938.4</v>
      </c>
      <c r="P14" s="6">
        <f>ROUND('Oct mes fun'!P14*14,2)</f>
        <v>5617.78</v>
      </c>
    </row>
    <row r="15" spans="1:25" s="38" customFormat="1" x14ac:dyDescent="0.25">
      <c r="A15" s="156">
        <v>0.5</v>
      </c>
      <c r="B15" s="157" t="s">
        <v>94</v>
      </c>
      <c r="C15" s="158">
        <f>C14*$A$15</f>
        <v>8252.58</v>
      </c>
      <c r="D15" s="158">
        <f t="shared" ref="D15:P15" si="0">D14*$A$15</f>
        <v>7931.49</v>
      </c>
      <c r="E15" s="158">
        <f t="shared" si="0"/>
        <v>6860.56</v>
      </c>
      <c r="F15" s="158">
        <f t="shared" si="0"/>
        <v>5759.04</v>
      </c>
      <c r="G15" s="170">
        <f t="shared" si="0"/>
        <v>5118.1899999999996</v>
      </c>
      <c r="H15" s="158">
        <f t="shared" si="0"/>
        <v>5119.9399999999996</v>
      </c>
      <c r="I15" s="158">
        <f t="shared" si="0"/>
        <v>5008.5</v>
      </c>
      <c r="J15" s="158">
        <f t="shared" si="0"/>
        <v>4918.2700000000004</v>
      </c>
      <c r="K15" s="158">
        <f t="shared" si="0"/>
        <v>4850.0200000000004</v>
      </c>
      <c r="L15" s="158">
        <f t="shared" si="0"/>
        <v>4516.1899999999996</v>
      </c>
      <c r="M15" s="170">
        <f t="shared" si="0"/>
        <v>4213.09</v>
      </c>
      <c r="N15" s="158">
        <f t="shared" si="0"/>
        <v>4069.45</v>
      </c>
      <c r="O15" s="158">
        <f t="shared" si="0"/>
        <v>3469.2</v>
      </c>
      <c r="P15" s="158">
        <f t="shared" si="0"/>
        <v>2808.89</v>
      </c>
    </row>
    <row r="16" spans="1:25" s="38" customFormat="1" x14ac:dyDescent="0.25">
      <c r="A16" s="156">
        <v>0.3</v>
      </c>
      <c r="B16" s="157" t="s">
        <v>95</v>
      </c>
      <c r="C16" s="158">
        <f>C14*$A$16</f>
        <v>4951.5479999999998</v>
      </c>
      <c r="D16" s="158">
        <f t="shared" ref="D16:P16" si="1">D14*$A$16</f>
        <v>4758.8939999999993</v>
      </c>
      <c r="E16" s="158">
        <f t="shared" si="1"/>
        <v>4116.3360000000002</v>
      </c>
      <c r="F16" s="158">
        <f t="shared" si="1"/>
        <v>3455.424</v>
      </c>
      <c r="G16" s="170">
        <f t="shared" si="1"/>
        <v>3070.9139999999998</v>
      </c>
      <c r="H16" s="158">
        <f t="shared" si="1"/>
        <v>3071.9639999999995</v>
      </c>
      <c r="I16" s="158">
        <f t="shared" si="1"/>
        <v>3005.1</v>
      </c>
      <c r="J16" s="158">
        <f t="shared" si="1"/>
        <v>2950.962</v>
      </c>
      <c r="K16" s="158">
        <f t="shared" si="1"/>
        <v>2910.0120000000002</v>
      </c>
      <c r="L16" s="158">
        <f t="shared" si="1"/>
        <v>2709.7139999999995</v>
      </c>
      <c r="M16" s="170">
        <f t="shared" si="1"/>
        <v>2527.8539999999998</v>
      </c>
      <c r="N16" s="158">
        <f t="shared" si="1"/>
        <v>2441.6699999999996</v>
      </c>
      <c r="O16" s="158">
        <f t="shared" si="1"/>
        <v>2081.52</v>
      </c>
      <c r="P16" s="158">
        <f t="shared" si="1"/>
        <v>1685.3339999999998</v>
      </c>
    </row>
    <row r="17" spans="1:18" s="38" customFormat="1" x14ac:dyDescent="0.25">
      <c r="A17" s="156">
        <v>0.2</v>
      </c>
      <c r="B17" s="157" t="s">
        <v>96</v>
      </c>
      <c r="C17" s="158">
        <f>C14*$A$17</f>
        <v>3301.0320000000002</v>
      </c>
      <c r="D17" s="158">
        <f t="shared" ref="D17:P17" si="2">D14*$A$17</f>
        <v>3172.596</v>
      </c>
      <c r="E17" s="158">
        <f t="shared" si="2"/>
        <v>2744.2240000000002</v>
      </c>
      <c r="F17" s="158">
        <f t="shared" si="2"/>
        <v>2303.616</v>
      </c>
      <c r="G17" s="170">
        <f t="shared" si="2"/>
        <v>2047.2759999999998</v>
      </c>
      <c r="H17" s="158">
        <f t="shared" si="2"/>
        <v>2047.9759999999999</v>
      </c>
      <c r="I17" s="158">
        <f t="shared" si="2"/>
        <v>2003.4</v>
      </c>
      <c r="J17" s="158">
        <f t="shared" si="2"/>
        <v>1967.3080000000002</v>
      </c>
      <c r="K17" s="158">
        <f t="shared" si="2"/>
        <v>1940.0080000000003</v>
      </c>
      <c r="L17" s="158">
        <f t="shared" si="2"/>
        <v>1806.4759999999999</v>
      </c>
      <c r="M17" s="170">
        <f t="shared" si="2"/>
        <v>1685.2360000000001</v>
      </c>
      <c r="N17" s="158">
        <f t="shared" si="2"/>
        <v>1627.78</v>
      </c>
      <c r="O17" s="158">
        <f t="shared" si="2"/>
        <v>1387.68</v>
      </c>
      <c r="P17" s="158">
        <f t="shared" si="2"/>
        <v>1123.556</v>
      </c>
    </row>
    <row r="18" spans="1:18" s="5" customFormat="1" x14ac:dyDescent="0.25">
      <c r="A18" s="58"/>
      <c r="B18" s="6"/>
      <c r="C18" s="15">
        <f>C14+C13+C12+C11</f>
        <v>81109.180000000008</v>
      </c>
      <c r="D18" s="15">
        <f t="shared" ref="D18:P18" si="3">D14+D13+D12+D11</f>
        <v>77053.8</v>
      </c>
      <c r="E18" s="15">
        <f t="shared" si="3"/>
        <v>71734.92</v>
      </c>
      <c r="F18" s="15">
        <f t="shared" si="3"/>
        <v>63251.9</v>
      </c>
      <c r="G18" s="16">
        <f t="shared" si="3"/>
        <v>57476.619999999995</v>
      </c>
      <c r="H18" s="15">
        <f t="shared" si="3"/>
        <v>56245.039999999994</v>
      </c>
      <c r="I18" s="15">
        <f t="shared" si="3"/>
        <v>54944.44</v>
      </c>
      <c r="J18" s="15">
        <f t="shared" si="3"/>
        <v>53856.639999999999</v>
      </c>
      <c r="K18" s="15">
        <f t="shared" si="3"/>
        <v>52811.96</v>
      </c>
      <c r="L18" s="15">
        <f t="shared" si="3"/>
        <v>50072.02</v>
      </c>
      <c r="M18" s="16">
        <f t="shared" si="3"/>
        <v>47404.74</v>
      </c>
      <c r="N18" s="15">
        <f t="shared" si="3"/>
        <v>44344.06</v>
      </c>
      <c r="O18" s="15">
        <f t="shared" si="3"/>
        <v>40204.400000000001</v>
      </c>
      <c r="P18" s="15">
        <f t="shared" si="3"/>
        <v>35650.199999999997</v>
      </c>
    </row>
    <row r="19" spans="1:18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8" x14ac:dyDescent="0.25">
      <c r="A20" s="1" t="s">
        <v>12</v>
      </c>
      <c r="B20" s="1"/>
      <c r="C20" s="5"/>
    </row>
    <row r="21" spans="1:18" x14ac:dyDescent="0.25">
      <c r="F21" s="18" t="s">
        <v>13</v>
      </c>
      <c r="G21" s="3" t="s">
        <v>14</v>
      </c>
      <c r="H21" s="3">
        <v>25</v>
      </c>
      <c r="I21" s="3">
        <v>24</v>
      </c>
      <c r="J21" s="3">
        <v>23</v>
      </c>
      <c r="K21" s="3">
        <v>22</v>
      </c>
      <c r="L21" s="18">
        <v>21</v>
      </c>
      <c r="M21" s="18">
        <v>20</v>
      </c>
      <c r="N21" s="3">
        <v>19</v>
      </c>
      <c r="O21" s="18">
        <v>18</v>
      </c>
      <c r="P21" s="3">
        <v>17</v>
      </c>
      <c r="Q21" s="18">
        <v>16</v>
      </c>
      <c r="R21" s="3" t="s">
        <v>15</v>
      </c>
    </row>
    <row r="22" spans="1:18" x14ac:dyDescent="0.25">
      <c r="F22" s="20"/>
      <c r="G22" s="19"/>
      <c r="H22" s="19"/>
      <c r="I22" s="19"/>
      <c r="J22" s="19"/>
      <c r="K22" s="19"/>
      <c r="L22" s="20"/>
      <c r="M22" s="20"/>
      <c r="N22" s="19"/>
      <c r="O22" s="20"/>
      <c r="P22" s="19"/>
      <c r="Q22" s="20"/>
      <c r="R22" s="19"/>
    </row>
    <row r="23" spans="1:18" s="5" customFormat="1" x14ac:dyDescent="0.25">
      <c r="E23" s="6" t="s">
        <v>6</v>
      </c>
      <c r="F23" s="7">
        <f>ROUND(('Oct mes fun'!F23*12)+('Oct mes fun'!$C$67*2),2)</f>
        <v>13731.58</v>
      </c>
      <c r="G23" s="104">
        <f>ROUND(('Oct mes fun'!G23*12)+('Oct mes fun'!$C$67*2),2)</f>
        <v>13731.58</v>
      </c>
      <c r="H23" s="104">
        <f>ROUND(('Oct mes fun'!H23*12)+('Oct mes fun'!$C$67*2),2)</f>
        <v>13731.58</v>
      </c>
      <c r="I23" s="104">
        <f>ROUND(('Oct mes fun'!I23*12)+('Oct mes fun'!$C$67*2),2)</f>
        <v>13731.58</v>
      </c>
      <c r="J23" s="104">
        <f>ROUND(('Oct mes fun'!J23*12)+('Oct mes fun'!$C$67*2),2)</f>
        <v>13731.58</v>
      </c>
      <c r="K23" s="104">
        <f>ROUND(('Oct mes fun'!K23*12)+('Oct mes fun'!$C$67*2),2)</f>
        <v>13731.58</v>
      </c>
      <c r="L23" s="7">
        <f>ROUND(('Oct mes fun'!L23*12)+('Oct mes fun'!$C$67*2),2)</f>
        <v>13731.58</v>
      </c>
      <c r="M23" s="7">
        <f>ROUND(('Oct mes fun'!M23*12)+('Oct mes fun'!$C$67*2),2)</f>
        <v>13731.58</v>
      </c>
      <c r="N23" s="104">
        <f>ROUND(('Oct mes fun'!N23*12)+('Oct mes fun'!$C$67*2),2)</f>
        <v>13731.58</v>
      </c>
      <c r="O23" s="7">
        <f>ROUND(('Oct mes fun'!O23*12)+('Oct mes fun'!$C$67*2),2)</f>
        <v>13731.58</v>
      </c>
      <c r="P23" s="104">
        <f>ROUND(('Oct mes fun'!P23*12)+('Oct mes fun'!$C$67*2),2)</f>
        <v>13731.58</v>
      </c>
      <c r="Q23" s="7">
        <f>ROUND(('Oct mes fun'!Q23*12)+('Oct mes fun'!$C$67*2),2)</f>
        <v>13731.58</v>
      </c>
      <c r="R23" s="104">
        <f>ROUND(('Oct mes fun'!R23*12)+('Oct mes fun'!$C$67*2),2)</f>
        <v>13731.58</v>
      </c>
    </row>
    <row r="24" spans="1:18" s="5" customFormat="1" x14ac:dyDescent="0.25">
      <c r="E24" s="6" t="s">
        <v>7</v>
      </c>
      <c r="F24" s="7">
        <f>ROUND('jul mensual func'!E27*14,2)</f>
        <v>10400.040000000001</v>
      </c>
      <c r="G24" s="104">
        <f>ROUND('jul mensual func'!F27*14,2)</f>
        <v>10400.040000000001</v>
      </c>
      <c r="H24" s="104">
        <f>ROUND('jul mensual func'!G27*14,2)</f>
        <v>9226.98</v>
      </c>
      <c r="I24" s="104">
        <f>ROUND('jul mensual func'!H27*14,2)</f>
        <v>8682.66</v>
      </c>
      <c r="J24" s="104">
        <f>ROUND('jul mensual func'!I27*14,2)</f>
        <v>8139.04</v>
      </c>
      <c r="K24" s="104">
        <f>ROUND('jul mensual func'!J27*14,2)</f>
        <v>7594.3</v>
      </c>
      <c r="L24" s="7">
        <f>ROUND('jul mensual func'!K27*14,2)</f>
        <v>7050.82</v>
      </c>
      <c r="M24" s="7">
        <f>ROUND('jul mensual func'!L27*14,2)</f>
        <v>6549.62</v>
      </c>
      <c r="N24" s="104">
        <f>ROUND('jul mensual func'!M27*14,2)</f>
        <v>6215.3</v>
      </c>
      <c r="O24" s="7">
        <f>ROUND('jul mensual func'!N27*14,2)</f>
        <v>5880.7</v>
      </c>
      <c r="P24" s="104">
        <f>ROUND('jul mensual func'!O27*14,2)</f>
        <v>5546.1</v>
      </c>
      <c r="Q24" s="7">
        <f>ROUND('jul mensual func'!P27*14,2)</f>
        <v>5212.4799999999996</v>
      </c>
      <c r="R24" s="104">
        <f>ROUND('jul mensual func'!Q27*14,2)</f>
        <v>5199.74</v>
      </c>
    </row>
    <row r="25" spans="1:18" s="5" customFormat="1" x14ac:dyDescent="0.25">
      <c r="E25" s="6" t="s">
        <v>8</v>
      </c>
      <c r="F25" s="7">
        <f>ROUND('Oct mes fun'!F25*14,2)</f>
        <v>21750.68</v>
      </c>
      <c r="G25" s="104">
        <f>ROUND('Oct mes fun'!G25*14,2)</f>
        <v>18207.7</v>
      </c>
      <c r="H25" s="104">
        <f>ROUND('Oct mes fun'!H25*14,2)</f>
        <v>17198.86</v>
      </c>
      <c r="I25" s="104">
        <f>ROUND('Oct mes fun'!I25*14,2)</f>
        <v>17040.66</v>
      </c>
      <c r="J25" s="104">
        <f>ROUND('Oct mes fun'!J25*14,2)</f>
        <v>16766.68</v>
      </c>
      <c r="K25" s="104">
        <f>ROUND('Oct mes fun'!K25*14,2)</f>
        <v>16494.38</v>
      </c>
      <c r="L25" s="7">
        <f>ROUND('Oct mes fun'!L25*14,2)</f>
        <v>16129.4</v>
      </c>
      <c r="M25" s="7">
        <f>ROUND('Oct mes fun'!M25*14,2)</f>
        <v>15732.64</v>
      </c>
      <c r="N25" s="104">
        <f>ROUND('Oct mes fun'!N25*14,2)</f>
        <v>15499.96</v>
      </c>
      <c r="O25" s="7">
        <f>ROUND('Oct mes fun'!O25*14,2)</f>
        <v>14299.32</v>
      </c>
      <c r="P25" s="104">
        <f>ROUND('Oct mes fun'!P25*14,2)</f>
        <v>13582.38</v>
      </c>
      <c r="Q25" s="7">
        <f>ROUND('Oct mes fun'!Q25*14,2)</f>
        <v>12864.88</v>
      </c>
      <c r="R25" s="104">
        <f>ROUND('Oct mes fun'!R25*14,2)</f>
        <v>11145.26</v>
      </c>
    </row>
    <row r="26" spans="1:18" s="5" customFormat="1" x14ac:dyDescent="0.25">
      <c r="E26" s="58" t="s">
        <v>97</v>
      </c>
      <c r="F26" s="7">
        <f>ROUND('Oct mes fun'!F26*14,2)</f>
        <v>13449.1</v>
      </c>
      <c r="G26" s="104">
        <f>ROUND('Oct mes fun'!G26*14,2)</f>
        <v>9917.6</v>
      </c>
      <c r="H26" s="104">
        <f>ROUND('Oct mes fun'!H26*14,2)</f>
        <v>11225.9</v>
      </c>
      <c r="I26" s="104">
        <f>ROUND('Oct mes fun'!I26*14,2)</f>
        <v>9255.26</v>
      </c>
      <c r="J26" s="104">
        <f>ROUND('Oct mes fun'!J26*14,2)</f>
        <v>8415.1200000000008</v>
      </c>
      <c r="K26" s="104">
        <f>ROUND('Oct mes fun'!K26*14,2)</f>
        <v>8253.84</v>
      </c>
      <c r="L26" s="7">
        <f>ROUND('Oct mes fun'!L26*14,2)</f>
        <v>8107.54</v>
      </c>
      <c r="M26" s="7">
        <f>ROUND('Oct mes fun'!M26*14,2)</f>
        <v>7981.96</v>
      </c>
      <c r="N26" s="104">
        <f>ROUND('Oct mes fun'!N26*14,2)</f>
        <v>7881.16</v>
      </c>
      <c r="O26" s="7">
        <f>ROUND('Oct mes fun'!O26*14,2)</f>
        <v>7358.96</v>
      </c>
      <c r="P26" s="104">
        <f>ROUND('Oct mes fun'!P26*14,2)</f>
        <v>7125.3</v>
      </c>
      <c r="Q26" s="7">
        <f>ROUND('Oct mes fun'!Q26*14,2)</f>
        <v>6791.12</v>
      </c>
      <c r="R26" s="104">
        <f>ROUND('Oct mes fun'!R26*14,2)</f>
        <v>6741.28</v>
      </c>
    </row>
    <row r="27" spans="1:18" s="5" customFormat="1" x14ac:dyDescent="0.25">
      <c r="C27" s="261" t="s">
        <v>94</v>
      </c>
      <c r="D27" s="262"/>
      <c r="E27" s="159">
        <v>0.5</v>
      </c>
      <c r="F27" s="170">
        <f>F26*$E$27</f>
        <v>6724.55</v>
      </c>
      <c r="G27" s="158">
        <f t="shared" ref="G27:R27" si="4">G26*$E$27</f>
        <v>4958.8</v>
      </c>
      <c r="H27" s="158">
        <f t="shared" si="4"/>
        <v>5612.95</v>
      </c>
      <c r="I27" s="158">
        <f t="shared" si="4"/>
        <v>4627.63</v>
      </c>
      <c r="J27" s="158">
        <f t="shared" si="4"/>
        <v>4207.5600000000004</v>
      </c>
      <c r="K27" s="158">
        <f t="shared" si="4"/>
        <v>4126.92</v>
      </c>
      <c r="L27" s="170">
        <f t="shared" si="4"/>
        <v>4053.77</v>
      </c>
      <c r="M27" s="170">
        <f t="shared" si="4"/>
        <v>3990.98</v>
      </c>
      <c r="N27" s="158">
        <f t="shared" si="4"/>
        <v>3940.58</v>
      </c>
      <c r="O27" s="170">
        <f t="shared" si="4"/>
        <v>3679.48</v>
      </c>
      <c r="P27" s="158">
        <f t="shared" si="4"/>
        <v>3562.65</v>
      </c>
      <c r="Q27" s="170">
        <f t="shared" si="4"/>
        <v>3395.56</v>
      </c>
      <c r="R27" s="158">
        <f t="shared" si="4"/>
        <v>3370.64</v>
      </c>
    </row>
    <row r="28" spans="1:18" s="5" customFormat="1" x14ac:dyDescent="0.25">
      <c r="C28" s="261" t="s">
        <v>95</v>
      </c>
      <c r="D28" s="262"/>
      <c r="E28" s="159">
        <v>0.3</v>
      </c>
      <c r="F28" s="170">
        <f>F26*$E$28</f>
        <v>4034.73</v>
      </c>
      <c r="G28" s="158">
        <f t="shared" ref="G28:R28" si="5">G26*$E$28</f>
        <v>2975.28</v>
      </c>
      <c r="H28" s="158">
        <f t="shared" si="5"/>
        <v>3367.77</v>
      </c>
      <c r="I28" s="158">
        <f t="shared" si="5"/>
        <v>2776.578</v>
      </c>
      <c r="J28" s="158">
        <f t="shared" si="5"/>
        <v>2524.5360000000001</v>
      </c>
      <c r="K28" s="158">
        <f t="shared" si="5"/>
        <v>2476.152</v>
      </c>
      <c r="L28" s="170">
        <f t="shared" si="5"/>
        <v>2432.2619999999997</v>
      </c>
      <c r="M28" s="170">
        <f t="shared" si="5"/>
        <v>2394.5879999999997</v>
      </c>
      <c r="N28" s="158">
        <f t="shared" si="5"/>
        <v>2364.348</v>
      </c>
      <c r="O28" s="170">
        <f t="shared" si="5"/>
        <v>2207.6880000000001</v>
      </c>
      <c r="P28" s="158">
        <f t="shared" si="5"/>
        <v>2137.59</v>
      </c>
      <c r="Q28" s="170">
        <f t="shared" si="5"/>
        <v>2037.3359999999998</v>
      </c>
      <c r="R28" s="158">
        <f t="shared" si="5"/>
        <v>2022.3839999999998</v>
      </c>
    </row>
    <row r="29" spans="1:18" s="5" customFormat="1" x14ac:dyDescent="0.25">
      <c r="C29" s="261" t="s">
        <v>96</v>
      </c>
      <c r="D29" s="262"/>
      <c r="E29" s="159">
        <v>0.2</v>
      </c>
      <c r="F29" s="170">
        <f>F26*$E$29</f>
        <v>2689.82</v>
      </c>
      <c r="G29" s="158">
        <f t="shared" ref="G29:R29" si="6">G26*$E$29</f>
        <v>1983.5200000000002</v>
      </c>
      <c r="H29" s="158">
        <f t="shared" si="6"/>
        <v>2245.1799999999998</v>
      </c>
      <c r="I29" s="158">
        <f t="shared" si="6"/>
        <v>1851.0520000000001</v>
      </c>
      <c r="J29" s="158">
        <f t="shared" si="6"/>
        <v>1683.0240000000003</v>
      </c>
      <c r="K29" s="158">
        <f t="shared" si="6"/>
        <v>1650.768</v>
      </c>
      <c r="L29" s="170">
        <f t="shared" si="6"/>
        <v>1621.508</v>
      </c>
      <c r="M29" s="170">
        <f t="shared" si="6"/>
        <v>1596.3920000000001</v>
      </c>
      <c r="N29" s="158">
        <f t="shared" si="6"/>
        <v>1576.232</v>
      </c>
      <c r="O29" s="170">
        <f t="shared" si="6"/>
        <v>1471.7920000000001</v>
      </c>
      <c r="P29" s="158">
        <f t="shared" si="6"/>
        <v>1425.0600000000002</v>
      </c>
      <c r="Q29" s="170">
        <f t="shared" si="6"/>
        <v>1358.2240000000002</v>
      </c>
      <c r="R29" s="158">
        <f t="shared" si="6"/>
        <v>1348.2560000000001</v>
      </c>
    </row>
    <row r="30" spans="1:18" s="5" customFormat="1" x14ac:dyDescent="0.25">
      <c r="E30" s="15"/>
      <c r="F30" s="16">
        <f>F23+F24+F25+F26</f>
        <v>59331.4</v>
      </c>
      <c r="G30" s="139">
        <f t="shared" ref="G30:R30" si="7">G23+G24+G25+G26</f>
        <v>52256.920000000006</v>
      </c>
      <c r="H30" s="139">
        <f t="shared" si="7"/>
        <v>51383.32</v>
      </c>
      <c r="I30" s="139">
        <f t="shared" si="7"/>
        <v>48710.159999999996</v>
      </c>
      <c r="J30" s="139">
        <f t="shared" si="7"/>
        <v>47052.420000000006</v>
      </c>
      <c r="K30" s="139">
        <f t="shared" si="7"/>
        <v>46074.100000000006</v>
      </c>
      <c r="L30" s="16">
        <f t="shared" si="7"/>
        <v>45019.340000000004</v>
      </c>
      <c r="M30" s="16">
        <f t="shared" si="7"/>
        <v>43995.799999999996</v>
      </c>
      <c r="N30" s="139">
        <f t="shared" si="7"/>
        <v>43328</v>
      </c>
      <c r="O30" s="16">
        <f t="shared" si="7"/>
        <v>41270.559999999998</v>
      </c>
      <c r="P30" s="139">
        <f t="shared" si="7"/>
        <v>39985.360000000001</v>
      </c>
      <c r="Q30" s="16">
        <f t="shared" si="7"/>
        <v>38600.06</v>
      </c>
      <c r="R30" s="139">
        <f t="shared" si="7"/>
        <v>36817.86</v>
      </c>
    </row>
    <row r="31" spans="1:18" s="5" customFormat="1" x14ac:dyDescent="0.25"/>
    <row r="32" spans="1:18" x14ac:dyDescent="0.25">
      <c r="A32" s="1" t="s">
        <v>16</v>
      </c>
      <c r="B32" s="1"/>
      <c r="D32" s="5"/>
    </row>
    <row r="33" spans="1:24" x14ac:dyDescent="0.25">
      <c r="D33" s="5"/>
      <c r="K33">
        <v>22</v>
      </c>
      <c r="L33">
        <v>21</v>
      </c>
      <c r="M33">
        <v>20</v>
      </c>
      <c r="N33">
        <v>19</v>
      </c>
      <c r="O33">
        <v>18</v>
      </c>
      <c r="P33" s="2">
        <v>17</v>
      </c>
      <c r="Q33" s="2">
        <v>16</v>
      </c>
      <c r="R33" s="2">
        <v>15</v>
      </c>
      <c r="S33">
        <v>14</v>
      </c>
      <c r="T33" s="2">
        <v>13</v>
      </c>
      <c r="U33">
        <v>12</v>
      </c>
    </row>
    <row r="34" spans="1:24" x14ac:dyDescent="0.25">
      <c r="K34" s="19"/>
      <c r="L34" s="19"/>
      <c r="M34" s="19"/>
      <c r="N34" s="19"/>
      <c r="O34" s="19"/>
      <c r="P34" s="20"/>
      <c r="Q34" s="20"/>
      <c r="R34" s="20"/>
      <c r="S34" s="19"/>
      <c r="T34" s="20"/>
      <c r="U34" s="19"/>
    </row>
    <row r="35" spans="1:24" s="5" customFormat="1" x14ac:dyDescent="0.25">
      <c r="J35" s="9"/>
      <c r="K35" s="10"/>
      <c r="L35" s="10"/>
      <c r="M35" s="10"/>
      <c r="N35" s="10"/>
      <c r="O35" s="10"/>
      <c r="P35" s="11"/>
      <c r="Q35" s="11"/>
      <c r="R35" s="11"/>
      <c r="S35" s="10"/>
      <c r="T35" s="11"/>
      <c r="U35" s="10"/>
    </row>
    <row r="36" spans="1:24" s="5" customFormat="1" x14ac:dyDescent="0.25">
      <c r="P36" s="13"/>
      <c r="Q36" s="13"/>
      <c r="R36" s="13"/>
      <c r="T36" s="13"/>
    </row>
    <row r="37" spans="1:24" s="5" customFormat="1" x14ac:dyDescent="0.25">
      <c r="J37" s="6" t="s">
        <v>6</v>
      </c>
      <c r="K37" s="6"/>
      <c r="L37" s="6">
        <f>ROUND(('Oct mes fun'!L37*12)+('Oct mes fun'!$C$68*2),2)</f>
        <v>10516.92</v>
      </c>
      <c r="M37" s="6">
        <f>ROUND(('Oct mes fun'!M37*12)+('Oct mes fun'!$C$68*2),2)</f>
        <v>10516.92</v>
      </c>
      <c r="N37" s="6">
        <f>ROUND(('Oct mes fun'!N37*12)+('Oct mes fun'!$C$68*2),2)</f>
        <v>10516.92</v>
      </c>
      <c r="O37" s="6">
        <f>ROUND(('Oct mes fun'!O37*12)+('Oct mes fun'!$C$68*2),2)</f>
        <v>10516.92</v>
      </c>
      <c r="P37" s="7">
        <f>ROUND(('Oct mes fun'!P37*12)+('Oct mes fun'!$C$68*2),2)</f>
        <v>10516.92</v>
      </c>
      <c r="Q37" s="7">
        <f>ROUND(('Oct mes fun'!Q37*12)+('Oct mes fun'!$C$68*2),2)</f>
        <v>10516.92</v>
      </c>
      <c r="R37" s="7">
        <f>ROUND(('Oct mes fun'!R37*12)+('Oct mes fun'!$C$68*2),2)</f>
        <v>10516.92</v>
      </c>
      <c r="S37" s="6">
        <f>ROUND(('Oct mes fun'!S37*12)+('Oct mes fun'!$C$68*2),2)</f>
        <v>10516.92</v>
      </c>
      <c r="T37" s="7">
        <f>ROUND(('Oct mes fun'!T37*12)+('Oct mes fun'!$C$68*2),2)</f>
        <v>10516.92</v>
      </c>
      <c r="U37" s="6">
        <f>ROUND(('Oct mes fun'!U37*12)+('Oct mes fun'!$C$68*2),2)</f>
        <v>10516.92</v>
      </c>
    </row>
    <row r="38" spans="1:24" s="5" customFormat="1" x14ac:dyDescent="0.25">
      <c r="J38" s="6" t="s">
        <v>7</v>
      </c>
      <c r="K38" s="6"/>
      <c r="L38" s="104">
        <f>ROUND('jul mensual func'!K41*14,2)</f>
        <v>7050.82</v>
      </c>
      <c r="M38" s="104">
        <f>ROUND('jul mensual func'!L41*14,2)</f>
        <v>6549.62</v>
      </c>
      <c r="N38" s="104">
        <f>ROUND('jul mensual func'!M41*14,2)</f>
        <v>6215.3</v>
      </c>
      <c r="O38" s="104">
        <f>ROUND('jul mensual func'!N41*14,2)</f>
        <v>5880.7</v>
      </c>
      <c r="P38" s="7">
        <f>ROUND('jul mensual func'!O41*14,2)</f>
        <v>5546.1</v>
      </c>
      <c r="Q38" s="7">
        <f>ROUND('jul mensual func'!P41*14,2)</f>
        <v>5212.4799999999996</v>
      </c>
      <c r="R38" s="7">
        <f>ROUND('jul mensual func'!Q41*14,2)</f>
        <v>4877.46</v>
      </c>
      <c r="S38" s="104">
        <f>ROUND('jul mensual func'!R41*14,2)</f>
        <v>4543.5600000000004</v>
      </c>
      <c r="T38" s="7">
        <f>ROUND('jul mensual func'!S41*14,2)</f>
        <v>4208.68</v>
      </c>
      <c r="U38" s="104">
        <f>ROUND('jul mensual func'!T41*14,2)</f>
        <v>3874.08</v>
      </c>
    </row>
    <row r="39" spans="1:24" s="5" customFormat="1" x14ac:dyDescent="0.25">
      <c r="J39" s="6" t="s">
        <v>8</v>
      </c>
      <c r="K39" s="6"/>
      <c r="L39" s="6">
        <f>ROUND('Oct mes fun'!L39*14,2)</f>
        <v>18105.080000000002</v>
      </c>
      <c r="M39" s="6">
        <f>ROUND('Oct mes fun'!M39*14,2)</f>
        <v>17838.8</v>
      </c>
      <c r="N39" s="6">
        <f>ROUND('Oct mes fun'!N39*14,2)</f>
        <v>17032.12</v>
      </c>
      <c r="O39" s="6">
        <f>ROUND('Oct mes fun'!O39*14,2)</f>
        <v>16435.580000000002</v>
      </c>
      <c r="P39" s="7">
        <f>ROUND('Oct mes fun'!P39*14,2)</f>
        <v>14782.18</v>
      </c>
      <c r="Q39" s="7">
        <f>ROUND('Oct mes fun'!Q39*14,2)</f>
        <v>13625.36</v>
      </c>
      <c r="R39" s="7">
        <f>ROUND('Oct mes fun'!R39*14,2)</f>
        <v>11971.12</v>
      </c>
      <c r="S39" s="6">
        <f>ROUND('Oct mes fun'!S39*14,2)</f>
        <v>11016.46</v>
      </c>
      <c r="T39" s="7">
        <f>ROUND('Oct mes fun'!T39*14,2)</f>
        <v>10344.040000000001</v>
      </c>
      <c r="U39" s="6">
        <f>ROUND('Oct mes fun'!U39*14,2)</f>
        <v>9057.86</v>
      </c>
    </row>
    <row r="40" spans="1:24" s="5" customFormat="1" x14ac:dyDescent="0.25">
      <c r="J40" s="58" t="s">
        <v>97</v>
      </c>
      <c r="K40" s="6"/>
      <c r="L40" s="6">
        <f>ROUND('Oct mes fun'!L40*14,2)</f>
        <v>11778.2</v>
      </c>
      <c r="M40" s="6">
        <f>ROUND('Oct mes fun'!M40*14,2)</f>
        <v>11467.54</v>
      </c>
      <c r="N40" s="6">
        <f>ROUND('Oct mes fun'!N40*14,2)</f>
        <v>10476.76</v>
      </c>
      <c r="O40" s="6">
        <f>ROUND('Oct mes fun'!O40*14,2)</f>
        <v>8136.94</v>
      </c>
      <c r="P40" s="7">
        <f>ROUND('Oct mes fun'!P40*14,2)</f>
        <v>8064.98</v>
      </c>
      <c r="Q40" s="7">
        <f>ROUND('Oct mes fun'!Q40*14,2)</f>
        <v>6867.42</v>
      </c>
      <c r="R40" s="7">
        <f>ROUND('Oct mes fun'!R40*14,2)</f>
        <v>6849.36</v>
      </c>
      <c r="S40" s="6">
        <f>ROUND('Oct mes fun'!S40*14,2)</f>
        <v>6841.1</v>
      </c>
      <c r="T40" s="7">
        <f>ROUND('Oct mes fun'!T40*14,2)</f>
        <v>6474.72</v>
      </c>
      <c r="U40" s="6">
        <f>ROUND('Oct mes fun'!U40*14,2)</f>
        <v>5596.92</v>
      </c>
    </row>
    <row r="41" spans="1:24" s="5" customFormat="1" x14ac:dyDescent="0.25">
      <c r="I41" s="261" t="s">
        <v>94</v>
      </c>
      <c r="J41" s="262"/>
      <c r="K41" s="159">
        <v>0.5</v>
      </c>
      <c r="L41" s="158">
        <f>L40*$K$41</f>
        <v>5889.1</v>
      </c>
      <c r="M41" s="158">
        <f t="shared" ref="M41:U41" si="8">M40*$K$41</f>
        <v>5733.77</v>
      </c>
      <c r="N41" s="158">
        <f t="shared" si="8"/>
        <v>5238.38</v>
      </c>
      <c r="O41" s="158">
        <f t="shared" si="8"/>
        <v>4068.47</v>
      </c>
      <c r="P41" s="170">
        <f t="shared" si="8"/>
        <v>4032.49</v>
      </c>
      <c r="Q41" s="170">
        <f t="shared" si="8"/>
        <v>3433.71</v>
      </c>
      <c r="R41" s="170">
        <f t="shared" si="8"/>
        <v>3424.68</v>
      </c>
      <c r="S41" s="158">
        <f t="shared" si="8"/>
        <v>3420.55</v>
      </c>
      <c r="T41" s="170">
        <f t="shared" si="8"/>
        <v>3237.36</v>
      </c>
      <c r="U41" s="158">
        <f t="shared" si="8"/>
        <v>2798.46</v>
      </c>
    </row>
    <row r="42" spans="1:24" s="5" customFormat="1" x14ac:dyDescent="0.25">
      <c r="I42" s="261" t="s">
        <v>95</v>
      </c>
      <c r="J42" s="262"/>
      <c r="K42" s="159">
        <v>0.3</v>
      </c>
      <c r="L42" s="158">
        <f>$K$42*L40</f>
        <v>3533.46</v>
      </c>
      <c r="M42" s="158">
        <f t="shared" ref="M42:U42" si="9">$K$42*M40</f>
        <v>3440.2620000000002</v>
      </c>
      <c r="N42" s="158">
        <f t="shared" si="9"/>
        <v>3143.0279999999998</v>
      </c>
      <c r="O42" s="158">
        <f t="shared" si="9"/>
        <v>2441.0819999999999</v>
      </c>
      <c r="P42" s="170">
        <f t="shared" si="9"/>
        <v>2419.4939999999997</v>
      </c>
      <c r="Q42" s="170">
        <f t="shared" si="9"/>
        <v>2060.2260000000001</v>
      </c>
      <c r="R42" s="170">
        <f t="shared" si="9"/>
        <v>2054.808</v>
      </c>
      <c r="S42" s="158">
        <f t="shared" si="9"/>
        <v>2052.33</v>
      </c>
      <c r="T42" s="170">
        <f t="shared" si="9"/>
        <v>1942.4159999999999</v>
      </c>
      <c r="U42" s="158">
        <f t="shared" si="9"/>
        <v>1679.076</v>
      </c>
    </row>
    <row r="43" spans="1:24" s="5" customFormat="1" x14ac:dyDescent="0.25">
      <c r="I43" s="261" t="s">
        <v>96</v>
      </c>
      <c r="J43" s="262"/>
      <c r="K43" s="159">
        <v>0.2</v>
      </c>
      <c r="L43" s="158">
        <f>L40*$K$43</f>
        <v>2355.6400000000003</v>
      </c>
      <c r="M43" s="158">
        <f t="shared" ref="M43:U43" si="10">M40*$K$43</f>
        <v>2293.5080000000003</v>
      </c>
      <c r="N43" s="158">
        <f t="shared" si="10"/>
        <v>2095.3520000000003</v>
      </c>
      <c r="O43" s="158">
        <f t="shared" si="10"/>
        <v>1627.3879999999999</v>
      </c>
      <c r="P43" s="170">
        <f t="shared" si="10"/>
        <v>1612.9960000000001</v>
      </c>
      <c r="Q43" s="170">
        <f t="shared" si="10"/>
        <v>1373.4840000000002</v>
      </c>
      <c r="R43" s="170">
        <f t="shared" si="10"/>
        <v>1369.8720000000001</v>
      </c>
      <c r="S43" s="158">
        <f t="shared" si="10"/>
        <v>1368.2200000000003</v>
      </c>
      <c r="T43" s="170">
        <f t="shared" si="10"/>
        <v>1294.9440000000002</v>
      </c>
      <c r="U43" s="158">
        <f t="shared" si="10"/>
        <v>1119.384</v>
      </c>
    </row>
    <row r="44" spans="1:24" s="5" customFormat="1" x14ac:dyDescent="0.25">
      <c r="J44" s="15"/>
      <c r="K44" s="15"/>
      <c r="L44" s="17">
        <f>SUM(L37:L40)</f>
        <v>47451.020000000004</v>
      </c>
      <c r="M44" s="17">
        <f t="shared" ref="M44:U44" si="11">SUM(M37:M40)</f>
        <v>46372.88</v>
      </c>
      <c r="N44" s="17">
        <f t="shared" si="11"/>
        <v>44241.1</v>
      </c>
      <c r="O44" s="17">
        <f t="shared" si="11"/>
        <v>40970.14</v>
      </c>
      <c r="P44" s="16">
        <f t="shared" si="11"/>
        <v>38910.18</v>
      </c>
      <c r="Q44" s="16">
        <f t="shared" si="11"/>
        <v>36222.18</v>
      </c>
      <c r="R44" s="16">
        <f t="shared" si="11"/>
        <v>34214.86</v>
      </c>
      <c r="S44" s="17">
        <f t="shared" si="11"/>
        <v>32918.04</v>
      </c>
      <c r="T44" s="16">
        <f t="shared" si="11"/>
        <v>31544.36</v>
      </c>
      <c r="U44" s="17">
        <f t="shared" si="11"/>
        <v>29045.78</v>
      </c>
    </row>
    <row r="45" spans="1:24" s="5" customFormat="1" x14ac:dyDescent="0.25"/>
    <row r="46" spans="1:24" x14ac:dyDescent="0.25">
      <c r="A46" s="1" t="s">
        <v>18</v>
      </c>
      <c r="B46" s="1"/>
    </row>
    <row r="47" spans="1:24" x14ac:dyDescent="0.25">
      <c r="O47" s="142">
        <v>18</v>
      </c>
      <c r="P47" s="2">
        <v>17</v>
      </c>
      <c r="Q47" s="142">
        <v>16</v>
      </c>
      <c r="R47" s="142">
        <v>15</v>
      </c>
      <c r="S47" s="2">
        <v>14</v>
      </c>
      <c r="T47" s="2">
        <v>13</v>
      </c>
      <c r="U47" s="2">
        <v>12</v>
      </c>
      <c r="V47" s="2">
        <v>11</v>
      </c>
      <c r="W47" s="142">
        <v>10</v>
      </c>
      <c r="X47" s="2">
        <v>9</v>
      </c>
    </row>
    <row r="48" spans="1:24" x14ac:dyDescent="0.25">
      <c r="N48" s="19"/>
      <c r="O48" s="149"/>
      <c r="P48" s="20"/>
      <c r="Q48" s="149"/>
      <c r="R48" s="149"/>
      <c r="S48" s="20"/>
      <c r="T48" s="20"/>
      <c r="U48" s="20"/>
      <c r="V48" s="20"/>
      <c r="W48" s="149"/>
      <c r="X48" s="20"/>
    </row>
    <row r="49" spans="1:24" s="5" customFormat="1" x14ac:dyDescent="0.25">
      <c r="N49" s="58"/>
      <c r="O49" s="150"/>
      <c r="P49" s="148"/>
      <c r="Q49" s="150"/>
      <c r="R49" s="150"/>
      <c r="S49" s="148"/>
      <c r="T49" s="148"/>
      <c r="U49" s="148"/>
      <c r="V49" s="148"/>
      <c r="W49" s="150"/>
      <c r="X49" s="33"/>
    </row>
    <row r="50" spans="1:24" s="5" customFormat="1" x14ac:dyDescent="0.25">
      <c r="O50" s="141"/>
      <c r="P50" s="13"/>
      <c r="Q50" s="141"/>
      <c r="R50" s="141"/>
      <c r="S50" s="7"/>
      <c r="T50" s="7"/>
      <c r="U50" s="7"/>
      <c r="V50" s="7"/>
      <c r="W50" s="141"/>
      <c r="X50" s="13"/>
    </row>
    <row r="51" spans="1:24" s="5" customFormat="1" x14ac:dyDescent="0.25">
      <c r="N51" s="6" t="s">
        <v>6</v>
      </c>
      <c r="O51" s="6">
        <f>ROUND(('Oct mes fun'!O51*12)+('Oct mes fun'!$C$69*2),2)</f>
        <v>8914.36</v>
      </c>
      <c r="P51" s="7">
        <f>ROUND(('Oct mes fun'!P51*12)+('Oct mes fun'!$C$69*2),2)</f>
        <v>8914.36</v>
      </c>
      <c r="Q51" s="6">
        <f>ROUND(('Oct mes fun'!Q51*12)+('Oct mes fun'!$C$69*2),2)</f>
        <v>8914.36</v>
      </c>
      <c r="R51" s="6">
        <f>ROUND(('Oct mes fun'!R51*12)+('Oct mes fun'!$C$69*2),2)</f>
        <v>8914.36</v>
      </c>
      <c r="S51" s="7">
        <f>ROUND(('Oct mes fun'!S51*12)+('Oct mes fun'!$C$69*2),2)</f>
        <v>8914.36</v>
      </c>
      <c r="T51" s="7">
        <f>ROUND(('Oct mes fun'!T51*12)+('Oct mes fun'!$C$69*2),2)</f>
        <v>8914.36</v>
      </c>
      <c r="U51" s="7">
        <f>ROUND(('Oct mes fun'!U51*12)+('Oct mes fun'!$C$69*2),2)</f>
        <v>8914.36</v>
      </c>
      <c r="V51" s="7">
        <f>ROUND(('Oct mes fun'!V51*12)+('Oct mes fun'!$C$69*2),2)</f>
        <v>8914.36</v>
      </c>
      <c r="W51" s="6">
        <f>ROUND(('Oct mes fun'!W51*12)+('Oct mes fun'!$C$69*2),2)</f>
        <v>8914.36</v>
      </c>
      <c r="X51" s="7">
        <f>ROUND(('Oct mes fun'!X51*12)+('Oct mes fun'!$C$69*2),2)</f>
        <v>8914.36</v>
      </c>
    </row>
    <row r="52" spans="1:24" s="5" customFormat="1" x14ac:dyDescent="0.25">
      <c r="N52" s="6" t="s">
        <v>7</v>
      </c>
      <c r="O52" s="104">
        <f>ROUND('jul mensual func'!N55*14,2)</f>
        <v>5880.7</v>
      </c>
      <c r="P52" s="7">
        <f>ROUND('jul mensual func'!O55*14,2)</f>
        <v>5546.1</v>
      </c>
      <c r="Q52" s="104">
        <f>ROUND('jul mensual func'!P55*14,2)</f>
        <v>5212.4799999999996</v>
      </c>
      <c r="R52" s="104">
        <f>ROUND('jul mensual func'!Q55*14,2)</f>
        <v>4877.46</v>
      </c>
      <c r="S52" s="7">
        <f>ROUND('jul mensual func'!R55*14,2)</f>
        <v>4543.5600000000004</v>
      </c>
      <c r="T52" s="7">
        <f>ROUND('jul mensual func'!S55*14,2)</f>
        <v>4208.68</v>
      </c>
      <c r="U52" s="7">
        <f>ROUND('jul mensual func'!T55*14,2)</f>
        <v>3874.08</v>
      </c>
      <c r="V52" s="7">
        <f>ROUND('jul mensual func'!U55*14,2)</f>
        <v>3539.48</v>
      </c>
      <c r="W52" s="104">
        <f>ROUND('jul mensual func'!V55*14,2)</f>
        <v>3205.58</v>
      </c>
      <c r="X52" s="7">
        <f>ROUND('jul mensual func'!W55*14,2)</f>
        <v>3038.56</v>
      </c>
    </row>
    <row r="53" spans="1:24" s="5" customFormat="1" x14ac:dyDescent="0.25">
      <c r="N53" s="6" t="s">
        <v>8</v>
      </c>
      <c r="O53" s="6">
        <f>ROUND('Oct mes fun'!O53*14,2)</f>
        <v>14111.86</v>
      </c>
      <c r="P53" s="7">
        <f>ROUND('Oct mes fun'!P53*14,2)</f>
        <v>13526.24</v>
      </c>
      <c r="Q53" s="6">
        <f>ROUND('Oct mes fun'!Q53*14,2)</f>
        <v>13036.8</v>
      </c>
      <c r="R53" s="6">
        <f>ROUND('Oct mes fun'!R53*14,2)</f>
        <v>11637.36</v>
      </c>
      <c r="S53" s="7">
        <f>ROUND('Oct mes fun'!S53*14,2)</f>
        <v>10886.54</v>
      </c>
      <c r="T53" s="7">
        <f>ROUND('Oct mes fun'!T53*14,2)</f>
        <v>9482.9</v>
      </c>
      <c r="U53" s="7">
        <f>ROUND('Oct mes fun'!U53*14,2)</f>
        <v>9854.18</v>
      </c>
      <c r="V53" s="7">
        <f>ROUND('Oct mes fun'!V53*14,2)</f>
        <v>9900.7999999999993</v>
      </c>
      <c r="W53" s="6">
        <f>ROUND('Oct mes fun'!W53*14,2)</f>
        <v>8246.14</v>
      </c>
      <c r="X53" s="7">
        <f>ROUND('Oct mes fun'!X53*14,2)</f>
        <v>6987.68</v>
      </c>
    </row>
    <row r="54" spans="1:24" s="5" customFormat="1" x14ac:dyDescent="0.25">
      <c r="A54" s="38" t="s">
        <v>41</v>
      </c>
      <c r="B54" s="38"/>
      <c r="N54" s="58" t="s">
        <v>97</v>
      </c>
      <c r="O54" s="6">
        <f>ROUND('Oct mes fun'!O54*14,2)</f>
        <v>7634.76</v>
      </c>
      <c r="P54" s="7">
        <f>ROUND('Oct mes fun'!P54*14,2)</f>
        <v>6524.7</v>
      </c>
      <c r="Q54" s="6">
        <f>ROUND('Oct mes fun'!Q54*14,2)</f>
        <v>6613.04</v>
      </c>
      <c r="R54" s="6">
        <f>ROUND('Oct mes fun'!R54*14,2)</f>
        <v>6965.14</v>
      </c>
      <c r="S54" s="7">
        <f>ROUND('Oct mes fun'!S54*14,2)</f>
        <v>6667.78</v>
      </c>
      <c r="T54" s="7">
        <f>ROUND('Oct mes fun'!T54*14,2)</f>
        <v>7023.8</v>
      </c>
      <c r="U54" s="7">
        <f>ROUND('Oct mes fun'!U54*14,2)</f>
        <v>5846.12</v>
      </c>
      <c r="V54" s="7">
        <f>ROUND('Oct mes fun'!V54*14,2)</f>
        <v>6055.42</v>
      </c>
      <c r="W54" s="6">
        <f>ROUND('Oct mes fun'!W54*14,2)</f>
        <v>5116.72</v>
      </c>
      <c r="X54" s="7">
        <f>ROUND('Oct mes fun'!X54*14,2)</f>
        <v>4595.22</v>
      </c>
    </row>
    <row r="55" spans="1:24" s="5" customFormat="1" x14ac:dyDescent="0.25">
      <c r="A55" s="38"/>
      <c r="B55" s="38"/>
      <c r="L55" s="261" t="s">
        <v>94</v>
      </c>
      <c r="M55" s="262"/>
      <c r="N55" s="159">
        <v>0.5</v>
      </c>
      <c r="O55" s="158">
        <f>O54*$N$55</f>
        <v>3817.38</v>
      </c>
      <c r="P55" s="170">
        <f t="shared" ref="P55:X55" si="12">P54*$N$55</f>
        <v>3262.35</v>
      </c>
      <c r="Q55" s="158">
        <f t="shared" si="12"/>
        <v>3306.52</v>
      </c>
      <c r="R55" s="158">
        <f t="shared" si="12"/>
        <v>3482.57</v>
      </c>
      <c r="S55" s="170">
        <f t="shared" si="12"/>
        <v>3333.89</v>
      </c>
      <c r="T55" s="170">
        <f t="shared" si="12"/>
        <v>3511.9</v>
      </c>
      <c r="U55" s="170">
        <f t="shared" si="12"/>
        <v>2923.06</v>
      </c>
      <c r="V55" s="170">
        <f t="shared" si="12"/>
        <v>3027.71</v>
      </c>
      <c r="W55" s="158">
        <f t="shared" si="12"/>
        <v>2558.36</v>
      </c>
      <c r="X55" s="170">
        <f t="shared" si="12"/>
        <v>2297.61</v>
      </c>
    </row>
    <row r="56" spans="1:24" s="5" customFormat="1" x14ac:dyDescent="0.25">
      <c r="A56" s="38"/>
      <c r="B56" s="38"/>
      <c r="L56" s="261" t="s">
        <v>95</v>
      </c>
      <c r="M56" s="262"/>
      <c r="N56" s="159">
        <v>0.3</v>
      </c>
      <c r="O56" s="158">
        <f>O54*$N$56</f>
        <v>2290.4279999999999</v>
      </c>
      <c r="P56" s="170">
        <f t="shared" ref="P56:X56" si="13">P54*$N$56</f>
        <v>1957.4099999999999</v>
      </c>
      <c r="Q56" s="158">
        <f t="shared" si="13"/>
        <v>1983.9119999999998</v>
      </c>
      <c r="R56" s="158">
        <f t="shared" si="13"/>
        <v>2089.5419999999999</v>
      </c>
      <c r="S56" s="170">
        <f t="shared" si="13"/>
        <v>2000.3339999999998</v>
      </c>
      <c r="T56" s="170">
        <f t="shared" si="13"/>
        <v>2107.14</v>
      </c>
      <c r="U56" s="170">
        <f t="shared" si="13"/>
        <v>1753.836</v>
      </c>
      <c r="V56" s="170">
        <f t="shared" si="13"/>
        <v>1816.626</v>
      </c>
      <c r="W56" s="158">
        <f t="shared" si="13"/>
        <v>1535.0160000000001</v>
      </c>
      <c r="X56" s="170">
        <f t="shared" si="13"/>
        <v>1378.566</v>
      </c>
    </row>
    <row r="57" spans="1:24" s="5" customFormat="1" x14ac:dyDescent="0.25">
      <c r="A57" s="34"/>
      <c r="B57" s="34"/>
      <c r="C57" s="34"/>
      <c r="D57" s="40"/>
      <c r="L57" s="261" t="s">
        <v>96</v>
      </c>
      <c r="M57" s="262"/>
      <c r="N57" s="159">
        <v>0.2</v>
      </c>
      <c r="O57" s="158">
        <f>O54*$N$57</f>
        <v>1526.9520000000002</v>
      </c>
      <c r="P57" s="170">
        <f t="shared" ref="P57:X57" si="14">P54*$N$57</f>
        <v>1304.94</v>
      </c>
      <c r="Q57" s="158">
        <f t="shared" si="14"/>
        <v>1322.6080000000002</v>
      </c>
      <c r="R57" s="158">
        <f t="shared" si="14"/>
        <v>1393.0280000000002</v>
      </c>
      <c r="S57" s="170">
        <f t="shared" si="14"/>
        <v>1333.556</v>
      </c>
      <c r="T57" s="170">
        <f t="shared" si="14"/>
        <v>1404.7600000000002</v>
      </c>
      <c r="U57" s="170">
        <f t="shared" si="14"/>
        <v>1169.2239999999999</v>
      </c>
      <c r="V57" s="170">
        <f t="shared" si="14"/>
        <v>1211.0840000000001</v>
      </c>
      <c r="W57" s="158">
        <f t="shared" si="14"/>
        <v>1023.3440000000001</v>
      </c>
      <c r="X57" s="170">
        <f t="shared" si="14"/>
        <v>919.0440000000001</v>
      </c>
    </row>
    <row r="58" spans="1:24" s="5" customFormat="1" x14ac:dyDescent="0.25">
      <c r="A58" s="34" t="s">
        <v>26</v>
      </c>
      <c r="B58" s="34"/>
      <c r="C58" s="34"/>
      <c r="D58" s="40" t="s">
        <v>28</v>
      </c>
      <c r="N58" s="6"/>
      <c r="O58" s="139">
        <f>O54+O53+O52+O51</f>
        <v>36541.680000000008</v>
      </c>
      <c r="P58" s="16">
        <f t="shared" ref="P58:X58" si="15">P54+P53+P52+P51</f>
        <v>34511.4</v>
      </c>
      <c r="Q58" s="139">
        <f t="shared" si="15"/>
        <v>33776.68</v>
      </c>
      <c r="R58" s="139">
        <f t="shared" si="15"/>
        <v>32394.32</v>
      </c>
      <c r="S58" s="16">
        <f t="shared" si="15"/>
        <v>31012.240000000002</v>
      </c>
      <c r="T58" s="16">
        <f t="shared" si="15"/>
        <v>29629.74</v>
      </c>
      <c r="U58" s="16">
        <f t="shared" si="15"/>
        <v>28488.739999999998</v>
      </c>
      <c r="V58" s="16">
        <f t="shared" si="15"/>
        <v>28410.06</v>
      </c>
      <c r="W58" s="139">
        <f t="shared" si="15"/>
        <v>25482.800000000003</v>
      </c>
      <c r="X58" s="16">
        <f t="shared" si="15"/>
        <v>23535.82</v>
      </c>
    </row>
    <row r="59" spans="1:24" x14ac:dyDescent="0.25">
      <c r="A59" s="5" t="s">
        <v>31</v>
      </c>
      <c r="B59" s="5"/>
      <c r="C59" s="5"/>
      <c r="D59" s="5">
        <v>37.03</v>
      </c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t="s">
        <v>19</v>
      </c>
      <c r="D60" s="5">
        <v>28.02</v>
      </c>
    </row>
    <row r="61" spans="1:24" x14ac:dyDescent="0.25">
      <c r="A61" t="s">
        <v>20</v>
      </c>
      <c r="D61" s="5">
        <v>19.07</v>
      </c>
    </row>
    <row r="62" spans="1:24" s="5" customFormat="1" x14ac:dyDescent="0.25">
      <c r="A62" s="34" t="s">
        <v>90</v>
      </c>
      <c r="B62" s="34"/>
      <c r="C62" s="34"/>
      <c r="D62" s="34"/>
      <c r="E62" s="34"/>
      <c r="F62" s="34"/>
      <c r="H62" s="35"/>
      <c r="I62" s="35"/>
      <c r="J62" s="36" t="s">
        <v>23</v>
      </c>
      <c r="K62" s="35"/>
      <c r="L62" s="35"/>
      <c r="M62" s="35"/>
      <c r="N62" s="35"/>
      <c r="O62" s="35"/>
      <c r="P62" s="35"/>
      <c r="Q62" s="35"/>
      <c r="R62" s="35"/>
      <c r="T62" s="141"/>
    </row>
    <row r="63" spans="1:24" s="5" customFormat="1" x14ac:dyDescent="0.25">
      <c r="A63" s="38" t="s">
        <v>24</v>
      </c>
      <c r="B63" s="38"/>
      <c r="H63" s="35"/>
      <c r="I63" s="35"/>
      <c r="J63" s="39" t="s">
        <v>25</v>
      </c>
      <c r="K63" s="35"/>
      <c r="L63" s="35"/>
      <c r="M63" s="35"/>
      <c r="N63" s="35"/>
      <c r="O63" s="35"/>
      <c r="P63" s="35"/>
      <c r="Q63" s="35"/>
      <c r="R63" s="35"/>
    </row>
    <row r="64" spans="1:24" s="5" customFormat="1" x14ac:dyDescent="0.25">
      <c r="A64" s="34" t="s">
        <v>26</v>
      </c>
      <c r="B64" s="34"/>
      <c r="C64" s="40" t="s">
        <v>27</v>
      </c>
      <c r="D64" s="40" t="s">
        <v>28</v>
      </c>
      <c r="H64" s="35"/>
      <c r="I64" s="35"/>
      <c r="J64" s="41"/>
      <c r="K64" s="35"/>
      <c r="L64" s="35"/>
      <c r="M64" s="42" t="s">
        <v>29</v>
      </c>
      <c r="N64" s="35"/>
      <c r="O64" s="35"/>
      <c r="P64" s="35"/>
      <c r="Q64" s="35"/>
      <c r="R64" s="35"/>
    </row>
    <row r="65" spans="1:18" s="5" customFormat="1" x14ac:dyDescent="0.25">
      <c r="A65" s="5" t="s">
        <v>30</v>
      </c>
      <c r="C65" s="5">
        <v>728.13</v>
      </c>
      <c r="D65" s="5">
        <v>28.02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31</v>
      </c>
      <c r="C66" s="5">
        <v>744.11</v>
      </c>
      <c r="D66" s="5">
        <v>27</v>
      </c>
      <c r="H66" s="35"/>
      <c r="I66" s="35"/>
      <c r="J66" s="41"/>
      <c r="K66" s="35"/>
      <c r="L66" s="35"/>
      <c r="M66" s="35" t="s">
        <v>32</v>
      </c>
      <c r="N66" s="35"/>
      <c r="O66" s="35"/>
      <c r="P66" s="35">
        <v>43.5</v>
      </c>
      <c r="Q66" s="35"/>
      <c r="R66" s="35"/>
    </row>
    <row r="67" spans="1:18" s="5" customFormat="1" x14ac:dyDescent="0.25">
      <c r="A67" s="5" t="s">
        <v>19</v>
      </c>
      <c r="C67" s="5">
        <v>662.1</v>
      </c>
      <c r="D67" s="5">
        <v>24.2</v>
      </c>
      <c r="H67" s="35"/>
      <c r="I67" s="35"/>
      <c r="J67" s="41"/>
      <c r="K67" s="35"/>
      <c r="L67" s="35"/>
      <c r="M67" s="35" t="s">
        <v>33</v>
      </c>
      <c r="N67" s="35"/>
      <c r="O67" s="35"/>
      <c r="P67" s="35">
        <v>136.30000000000001</v>
      </c>
      <c r="Q67" s="35"/>
      <c r="R67" s="35"/>
    </row>
    <row r="68" spans="1:18" s="5" customFormat="1" x14ac:dyDescent="0.25">
      <c r="A68" s="5" t="s">
        <v>20</v>
      </c>
      <c r="C68" s="5">
        <v>631.76</v>
      </c>
      <c r="D68" s="5">
        <v>18.89</v>
      </c>
      <c r="H68" s="35"/>
      <c r="I68" s="35"/>
      <c r="J68" s="41"/>
      <c r="K68" s="35"/>
      <c r="L68" s="35"/>
      <c r="M68" s="35"/>
      <c r="N68" s="35"/>
      <c r="O68" s="35"/>
      <c r="P68" s="35"/>
      <c r="Q68" s="35"/>
      <c r="R68" s="35"/>
    </row>
    <row r="69" spans="1:18" s="5" customFormat="1" x14ac:dyDescent="0.25">
      <c r="H69" s="35"/>
      <c r="I69" s="35"/>
      <c r="J69" s="41"/>
      <c r="K69" s="35"/>
      <c r="L69" s="35"/>
      <c r="M69" s="42" t="s">
        <v>34</v>
      </c>
      <c r="N69" s="35"/>
      <c r="O69" s="35"/>
      <c r="P69" s="35"/>
      <c r="Q69" s="43" t="s">
        <v>35</v>
      </c>
      <c r="R69" s="43" t="s">
        <v>36</v>
      </c>
    </row>
    <row r="70" spans="1:18" s="5" customFormat="1" x14ac:dyDescent="0.25">
      <c r="H70" s="35"/>
      <c r="I70" s="35"/>
      <c r="J70" s="41"/>
      <c r="K70" s="35"/>
      <c r="L70" s="35"/>
      <c r="M70" s="35" t="s">
        <v>37</v>
      </c>
      <c r="N70" s="35"/>
      <c r="O70" s="35"/>
      <c r="P70" s="44">
        <v>0.25569999999999998</v>
      </c>
      <c r="Q70" s="35">
        <v>0.19</v>
      </c>
      <c r="R70" s="44">
        <v>6.2199999999999998E-2</v>
      </c>
    </row>
    <row r="71" spans="1:18" s="5" customFormat="1" x14ac:dyDescent="0.25">
      <c r="H71" s="35"/>
      <c r="I71" s="35"/>
      <c r="J71" s="41" t="s">
        <v>38</v>
      </c>
      <c r="K71" s="35">
        <f>ROUND(('abril mensual funcionaris'!J72*0.24467%)+('abril mensual funcionaris'!J72),2)</f>
        <v>482.51</v>
      </c>
      <c r="L71" s="35"/>
      <c r="M71" s="35" t="s">
        <v>39</v>
      </c>
      <c r="N71" s="35"/>
      <c r="O71" s="35"/>
      <c r="P71" s="35">
        <v>9.1259999999999994</v>
      </c>
      <c r="Q71" s="35">
        <v>0</v>
      </c>
      <c r="R71" s="35">
        <v>9.1259999999999994</v>
      </c>
    </row>
    <row r="72" spans="1:18" s="5" customFormat="1" x14ac:dyDescent="0.25"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</row>
    <row r="73" spans="1:18" s="5" customFormat="1" x14ac:dyDescent="0.25"/>
    <row r="74" spans="1:18" s="5" customFormat="1" x14ac:dyDescent="0.25"/>
    <row r="75" spans="1:18" s="5" customFormat="1" x14ac:dyDescent="0.25"/>
  </sheetData>
  <mergeCells count="11">
    <mergeCell ref="I41:J41"/>
    <mergeCell ref="A1:K1"/>
    <mergeCell ref="S6:Y6"/>
    <mergeCell ref="C27:D27"/>
    <mergeCell ref="C28:D28"/>
    <mergeCell ref="C29:D29"/>
    <mergeCell ref="I42:J42"/>
    <mergeCell ref="I43:J43"/>
    <mergeCell ref="L55:M55"/>
    <mergeCell ref="L56:M56"/>
    <mergeCell ref="L57:M57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zoomScaleNormal="100" workbookViewId="0">
      <selection activeCell="F34" sqref="F34"/>
    </sheetView>
  </sheetViews>
  <sheetFormatPr baseColWidth="10" defaultRowHeight="15" x14ac:dyDescent="0.25"/>
  <cols>
    <col min="1" max="1" width="22.85546875" customWidth="1"/>
    <col min="2" max="2" width="11.42578125" style="46"/>
    <col min="3" max="3" width="14.5703125" customWidth="1"/>
    <col min="4" max="6" width="14.140625" customWidth="1"/>
    <col min="7" max="7" width="15.7109375" customWidth="1"/>
    <col min="11" max="11" width="14.85546875" customWidth="1"/>
    <col min="14" max="14" width="12.85546875" hidden="1" customWidth="1"/>
  </cols>
  <sheetData>
    <row r="1" spans="1:14" ht="21" x14ac:dyDescent="0.35">
      <c r="A1" s="249" t="s">
        <v>103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 x14ac:dyDescent="0.25">
      <c r="A2" s="1" t="s">
        <v>88</v>
      </c>
      <c r="B2"/>
    </row>
    <row r="3" spans="1:14" x14ac:dyDescent="0.25">
      <c r="A3" s="1" t="s">
        <v>91</v>
      </c>
      <c r="B3"/>
    </row>
    <row r="4" spans="1:14" x14ac:dyDescent="0.25">
      <c r="A4" s="1" t="s">
        <v>86</v>
      </c>
      <c r="B4"/>
    </row>
    <row r="5" spans="1:14" x14ac:dyDescent="0.25">
      <c r="A5" s="1" t="s">
        <v>92</v>
      </c>
      <c r="B5"/>
    </row>
    <row r="6" spans="1:14" ht="53.25" customHeight="1" x14ac:dyDescent="0.25">
      <c r="A6" s="256" t="s">
        <v>89</v>
      </c>
      <c r="B6" s="257"/>
      <c r="C6" s="257"/>
      <c r="D6" s="257"/>
      <c r="E6" s="257"/>
      <c r="F6" s="257"/>
      <c r="G6" s="257"/>
      <c r="H6" s="257"/>
      <c r="I6" s="258"/>
      <c r="J6" s="256" t="s">
        <v>43</v>
      </c>
      <c r="K6" s="257"/>
      <c r="L6" s="258"/>
      <c r="M6" s="50" t="s">
        <v>44</v>
      </c>
    </row>
    <row r="7" spans="1:14" x14ac:dyDescent="0.25">
      <c r="A7" s="47"/>
      <c r="B7" s="51"/>
      <c r="C7" s="49"/>
      <c r="G7" s="53">
        <f>(1.0225+0.025)</f>
        <v>1.0474999999999999</v>
      </c>
      <c r="H7" s="52" t="s">
        <v>45</v>
      </c>
      <c r="I7" s="53"/>
      <c r="M7" s="54"/>
      <c r="N7" s="55" t="s">
        <v>46</v>
      </c>
    </row>
    <row r="8" spans="1:14" x14ac:dyDescent="0.25">
      <c r="A8" s="47" t="s">
        <v>47</v>
      </c>
      <c r="B8" s="51"/>
      <c r="C8" s="143" t="s">
        <v>48</v>
      </c>
      <c r="H8" s="144" t="s">
        <v>49</v>
      </c>
      <c r="M8" s="54"/>
    </row>
    <row r="9" spans="1:14" s="5" customFormat="1" x14ac:dyDescent="0.25">
      <c r="B9" s="46"/>
      <c r="C9" s="6">
        <f>ROUND(('abril laborals'!C7*0.24467%)+('abril laborals'!C7),2)</f>
        <v>5801.59</v>
      </c>
      <c r="D9" s="145"/>
      <c r="E9" s="145"/>
      <c r="F9" s="145"/>
      <c r="G9" s="145"/>
      <c r="H9" s="6">
        <f>ROUND(('abril laborals'!F7*0.24467%)+('abril laborals'!F7),2)</f>
        <v>5801.59</v>
      </c>
      <c r="I9" s="6"/>
      <c r="J9" s="6">
        <f>H9</f>
        <v>5801.59</v>
      </c>
      <c r="K9" s="60"/>
      <c r="L9" s="60"/>
      <c r="M9" s="61">
        <f>J9*14</f>
        <v>81222.260000000009</v>
      </c>
      <c r="N9" s="6">
        <v>77875.42</v>
      </c>
    </row>
    <row r="10" spans="1:14" x14ac:dyDescent="0.25">
      <c r="C10" s="146"/>
      <c r="D10" s="142"/>
      <c r="E10" s="142"/>
      <c r="F10" s="142"/>
      <c r="G10" s="142"/>
      <c r="H10" s="141"/>
      <c r="M10" s="54"/>
    </row>
    <row r="11" spans="1:14" x14ac:dyDescent="0.25">
      <c r="A11" s="62" t="s">
        <v>50</v>
      </c>
      <c r="M11" s="54"/>
    </row>
    <row r="12" spans="1:14" x14ac:dyDescent="0.25">
      <c r="A12" s="63"/>
      <c r="B12" s="64"/>
      <c r="C12" s="65" t="s">
        <v>51</v>
      </c>
      <c r="D12" s="263"/>
      <c r="E12" s="264"/>
      <c r="F12" s="265"/>
      <c r="G12" s="65" t="s">
        <v>53</v>
      </c>
      <c r="H12" s="52" t="s">
        <v>45</v>
      </c>
      <c r="I12" s="66"/>
      <c r="J12" s="52" t="s">
        <v>51</v>
      </c>
      <c r="K12" s="67" t="s">
        <v>53</v>
      </c>
      <c r="L12" s="67" t="s">
        <v>45</v>
      </c>
      <c r="M12" s="68" t="s">
        <v>54</v>
      </c>
      <c r="N12" s="69"/>
    </row>
    <row r="13" spans="1:14" s="5" customFormat="1" x14ac:dyDescent="0.25">
      <c r="A13" s="70" t="s">
        <v>55</v>
      </c>
      <c r="B13" s="71" t="s">
        <v>56</v>
      </c>
      <c r="C13" s="72" t="s">
        <v>57</v>
      </c>
      <c r="D13" s="266"/>
      <c r="E13" s="267"/>
      <c r="F13" s="268"/>
      <c r="G13" s="72" t="s">
        <v>59</v>
      </c>
      <c r="H13" s="73" t="s">
        <v>49</v>
      </c>
      <c r="I13" s="74"/>
      <c r="J13" s="73" t="s">
        <v>57</v>
      </c>
      <c r="K13" s="75" t="s">
        <v>59</v>
      </c>
      <c r="L13" s="75" t="s">
        <v>49</v>
      </c>
      <c r="M13" s="76" t="s">
        <v>60</v>
      </c>
      <c r="N13" s="73" t="s">
        <v>61</v>
      </c>
    </row>
    <row r="14" spans="1:14" s="5" customFormat="1" ht="39" customHeight="1" x14ac:dyDescent="0.25">
      <c r="A14" s="84"/>
      <c r="B14" s="71"/>
      <c r="C14" s="72"/>
      <c r="D14" s="161" t="s">
        <v>99</v>
      </c>
      <c r="E14" s="161" t="s">
        <v>100</v>
      </c>
      <c r="F14" s="161" t="s">
        <v>102</v>
      </c>
      <c r="G14" s="72"/>
      <c r="H14" s="73"/>
      <c r="I14" s="74"/>
      <c r="J14" s="73"/>
      <c r="K14" s="75"/>
      <c r="L14" s="75"/>
      <c r="M14" s="76"/>
      <c r="N14" s="73"/>
    </row>
    <row r="15" spans="1:14" s="5" customFormat="1" x14ac:dyDescent="0.25">
      <c r="B15" s="77">
        <v>28</v>
      </c>
      <c r="C15" s="6">
        <v>1179.96</v>
      </c>
      <c r="D15" s="155">
        <f>G15*50%</f>
        <v>2004.2450000000001</v>
      </c>
      <c r="E15" s="155">
        <f>G15*30%</f>
        <v>1202.547</v>
      </c>
      <c r="F15" s="155">
        <f>'Oct mes fun'!E17</f>
        <v>196.01599999999999</v>
      </c>
      <c r="G15" s="6">
        <f>'jul lab'!D13+'jul lab'!E13</f>
        <v>4008.4900000000002</v>
      </c>
      <c r="H15" s="6">
        <f>G15+C15</f>
        <v>5188.4500000000007</v>
      </c>
      <c r="J15" s="6">
        <v>728.13</v>
      </c>
      <c r="K15" s="6">
        <f>'jul lab'!J13+'jul lab'!I13</f>
        <v>4008.4900000000002</v>
      </c>
      <c r="L15" s="6">
        <f>K15+J15</f>
        <v>4736.62</v>
      </c>
      <c r="M15" s="139">
        <f>ROUND((H15*12)+(L15*2),2)</f>
        <v>71734.64</v>
      </c>
      <c r="N15" s="6">
        <v>69804.346292174989</v>
      </c>
    </row>
    <row r="16" spans="1:14" s="5" customFormat="1" x14ac:dyDescent="0.25">
      <c r="B16" s="77">
        <v>27</v>
      </c>
      <c r="C16" s="6">
        <v>1179.96</v>
      </c>
      <c r="D16" s="155">
        <f t="shared" ref="D16:D23" si="0">G16*50%</f>
        <v>1701.3050000000001</v>
      </c>
      <c r="E16" s="155">
        <f t="shared" ref="E16:E23" si="1">G16*30%</f>
        <v>1020.783</v>
      </c>
      <c r="F16" s="155">
        <f>'Oct mes fun'!F17</f>
        <v>164.54400000000001</v>
      </c>
      <c r="G16" s="6">
        <f>'jul lab'!D14+'jul lab'!E14</f>
        <v>3402.61</v>
      </c>
      <c r="H16" s="6">
        <f t="shared" ref="H16:H23" si="2">G16+C16</f>
        <v>4582.57</v>
      </c>
      <c r="J16" s="6">
        <v>728.13</v>
      </c>
      <c r="K16" s="6">
        <f>'jul lab'!J14+'jul lab'!I14</f>
        <v>3402.61</v>
      </c>
      <c r="L16" s="6">
        <f t="shared" ref="L16:L23" si="3">K16+J16</f>
        <v>4130.74</v>
      </c>
      <c r="M16" s="139">
        <f t="shared" ref="M16:M23" si="4">ROUND((H16*12)+(L16*2),2)</f>
        <v>63252.32</v>
      </c>
      <c r="N16" s="6">
        <v>61549.553992546993</v>
      </c>
    </row>
    <row r="17" spans="1:15" s="5" customFormat="1" x14ac:dyDescent="0.25">
      <c r="B17" s="77">
        <v>26</v>
      </c>
      <c r="C17" s="6">
        <v>1179.96</v>
      </c>
      <c r="D17" s="155">
        <f t="shared" si="0"/>
        <v>1495.0150000000001</v>
      </c>
      <c r="E17" s="155">
        <f t="shared" si="1"/>
        <v>897.00900000000001</v>
      </c>
      <c r="F17" s="155">
        <f>'Oct mes fun'!G17</f>
        <v>146.23400000000001</v>
      </c>
      <c r="G17" s="6">
        <f>'jul lab'!D15+'jul lab'!E15</f>
        <v>2990.03</v>
      </c>
      <c r="H17" s="6">
        <f t="shared" si="2"/>
        <v>4169.99</v>
      </c>
      <c r="J17" s="6">
        <v>728.13</v>
      </c>
      <c r="K17" s="6">
        <f>'jul lab'!J15+'jul lab'!I15</f>
        <v>2990.03</v>
      </c>
      <c r="L17" s="6">
        <f t="shared" si="3"/>
        <v>3718.1600000000003</v>
      </c>
      <c r="M17" s="139">
        <f t="shared" si="4"/>
        <v>57476.2</v>
      </c>
      <c r="N17" s="6">
        <v>55928.572541755995</v>
      </c>
    </row>
    <row r="18" spans="1:15" s="5" customFormat="1" x14ac:dyDescent="0.25">
      <c r="B18" s="77">
        <v>25</v>
      </c>
      <c r="C18" s="6">
        <v>1179.96</v>
      </c>
      <c r="D18" s="155">
        <f t="shared" si="0"/>
        <v>1451.0450000000001</v>
      </c>
      <c r="E18" s="155">
        <f t="shared" si="1"/>
        <v>870.62700000000007</v>
      </c>
      <c r="F18" s="155">
        <f>'Oct mes fun'!H17</f>
        <v>146.28400000000002</v>
      </c>
      <c r="G18" s="6">
        <f>'jul lab'!D16+'jul lab'!E16</f>
        <v>2902.09</v>
      </c>
      <c r="H18" s="6">
        <f t="shared" si="2"/>
        <v>4082.05</v>
      </c>
      <c r="J18" s="6">
        <v>728.13</v>
      </c>
      <c r="K18" s="6">
        <f>'jul lab'!J16+'jul lab'!I16</f>
        <v>2902.09</v>
      </c>
      <c r="L18" s="6">
        <f t="shared" si="3"/>
        <v>3630.2200000000003</v>
      </c>
      <c r="M18" s="139">
        <f t="shared" si="4"/>
        <v>56245.04</v>
      </c>
      <c r="N18" s="6">
        <v>54730.371757706489</v>
      </c>
    </row>
    <row r="19" spans="1:15" s="5" customFormat="1" x14ac:dyDescent="0.25">
      <c r="B19" s="77">
        <v>24</v>
      </c>
      <c r="C19" s="6">
        <v>1179.96</v>
      </c>
      <c r="D19" s="155">
        <f t="shared" si="0"/>
        <v>1404.595</v>
      </c>
      <c r="E19" s="155">
        <f t="shared" si="1"/>
        <v>842.75699999999995</v>
      </c>
      <c r="F19" s="155">
        <f>'Oct mes fun'!I17</f>
        <v>143.1</v>
      </c>
      <c r="G19" s="6">
        <f>'jul lab'!D17+'jul lab'!E17</f>
        <v>2809.19</v>
      </c>
      <c r="H19" s="6">
        <f t="shared" si="2"/>
        <v>3989.15</v>
      </c>
      <c r="J19" s="6">
        <v>728.13</v>
      </c>
      <c r="K19" s="6">
        <f>'jul lab'!J17+'jul lab'!I17</f>
        <v>2809.19</v>
      </c>
      <c r="L19" s="6">
        <f t="shared" si="3"/>
        <v>3537.32</v>
      </c>
      <c r="M19" s="139">
        <f t="shared" si="4"/>
        <v>54944.44</v>
      </c>
      <c r="N19" s="6">
        <v>53464.693857901992</v>
      </c>
    </row>
    <row r="20" spans="1:15" s="5" customFormat="1" x14ac:dyDescent="0.25">
      <c r="B20" s="77">
        <v>23</v>
      </c>
      <c r="C20" s="6">
        <v>1179.96</v>
      </c>
      <c r="D20" s="155">
        <f t="shared" si="0"/>
        <v>1365.7350000000001</v>
      </c>
      <c r="E20" s="155">
        <f t="shared" si="1"/>
        <v>819.44100000000003</v>
      </c>
      <c r="F20" s="155">
        <f>'Oct mes fun'!J17</f>
        <v>140.52200000000002</v>
      </c>
      <c r="G20" s="6">
        <f>'jul lab'!D18+'jul lab'!E18</f>
        <v>2731.4700000000003</v>
      </c>
      <c r="H20" s="6">
        <f t="shared" si="2"/>
        <v>3911.4300000000003</v>
      </c>
      <c r="J20" s="6">
        <v>728.13</v>
      </c>
      <c r="K20" s="6">
        <f>'jul lab'!J18+'jul lab'!I18</f>
        <v>2731.4700000000003</v>
      </c>
      <c r="L20" s="6">
        <f t="shared" si="3"/>
        <v>3459.6000000000004</v>
      </c>
      <c r="M20" s="139">
        <f t="shared" si="4"/>
        <v>53856.36</v>
      </c>
      <c r="N20" s="6">
        <v>52405.716265746982</v>
      </c>
    </row>
    <row r="21" spans="1:15" s="5" customFormat="1" x14ac:dyDescent="0.25">
      <c r="B21" s="77">
        <v>22</v>
      </c>
      <c r="C21" s="6">
        <v>1179.96</v>
      </c>
      <c r="D21" s="155">
        <f t="shared" si="0"/>
        <v>1328.43</v>
      </c>
      <c r="E21" s="155">
        <f t="shared" si="1"/>
        <v>797.05799999999999</v>
      </c>
      <c r="F21" s="155">
        <f>'Oct mes fun'!K17</f>
        <v>138.572</v>
      </c>
      <c r="G21" s="6">
        <f>'jul lab'!D19+'jul lab'!E19</f>
        <v>2656.86</v>
      </c>
      <c r="H21" s="6">
        <f t="shared" si="2"/>
        <v>3836.82</v>
      </c>
      <c r="J21" s="6">
        <v>728.13</v>
      </c>
      <c r="K21" s="6">
        <f>'jul lab'!J19+'jul lab'!I19</f>
        <v>2656.86</v>
      </c>
      <c r="L21" s="6">
        <f t="shared" si="3"/>
        <v>3384.9900000000002</v>
      </c>
      <c r="M21" s="139">
        <f t="shared" si="4"/>
        <v>52811.82</v>
      </c>
      <c r="N21" s="6">
        <v>51389.152860637994</v>
      </c>
    </row>
    <row r="22" spans="1:15" s="5" customFormat="1" x14ac:dyDescent="0.25">
      <c r="B22" s="77">
        <v>21</v>
      </c>
      <c r="C22" s="6">
        <v>1179.96</v>
      </c>
      <c r="D22" s="155">
        <f t="shared" si="0"/>
        <v>1230.5600000000002</v>
      </c>
      <c r="E22" s="155">
        <f t="shared" si="1"/>
        <v>738.33600000000013</v>
      </c>
      <c r="F22" s="155">
        <f>'Oct mes fun'!L17</f>
        <v>129.03399999999999</v>
      </c>
      <c r="G22" s="6">
        <f>'jul lab'!D20+'jul lab'!E20</f>
        <v>2461.1200000000003</v>
      </c>
      <c r="H22" s="6">
        <f t="shared" si="2"/>
        <v>3641.0800000000004</v>
      </c>
      <c r="J22" s="6">
        <v>728.13</v>
      </c>
      <c r="K22" s="6">
        <f>'jul lab'!J20+'jul lab'!I20</f>
        <v>2461.1200000000003</v>
      </c>
      <c r="L22" s="6">
        <f t="shared" si="3"/>
        <v>3189.2500000000005</v>
      </c>
      <c r="M22" s="139">
        <f t="shared" si="4"/>
        <v>50071.46</v>
      </c>
      <c r="N22" s="6">
        <v>48722.429704320508</v>
      </c>
    </row>
    <row r="23" spans="1:15" s="5" customFormat="1" x14ac:dyDescent="0.25">
      <c r="B23" s="77">
        <v>20</v>
      </c>
      <c r="C23" s="6">
        <v>1179.96</v>
      </c>
      <c r="D23" s="155">
        <f t="shared" si="0"/>
        <v>1135.31</v>
      </c>
      <c r="E23" s="155">
        <f t="shared" si="1"/>
        <v>681.18599999999992</v>
      </c>
      <c r="F23" s="155">
        <f>'Oct mes fun'!M17</f>
        <v>120.37400000000001</v>
      </c>
      <c r="G23" s="6">
        <f>'jul lab'!D21+'jul lab'!E21</f>
        <v>2270.62</v>
      </c>
      <c r="H23" s="6">
        <f t="shared" si="2"/>
        <v>3450.58</v>
      </c>
      <c r="J23" s="6">
        <v>728.13</v>
      </c>
      <c r="K23" s="6">
        <f>'jul lab'!J21+'jul lab'!I21</f>
        <v>2270.62</v>
      </c>
      <c r="L23" s="6">
        <f t="shared" si="3"/>
        <v>2998.75</v>
      </c>
      <c r="M23" s="139">
        <f t="shared" si="4"/>
        <v>47404.46</v>
      </c>
      <c r="N23" s="6">
        <v>46126.764082144997</v>
      </c>
    </row>
    <row r="24" spans="1:15" s="5" customFormat="1" x14ac:dyDescent="0.25">
      <c r="B24" s="46"/>
      <c r="M24" s="78"/>
    </row>
    <row r="25" spans="1:15" x14ac:dyDescent="0.25">
      <c r="A25" s="62" t="s">
        <v>62</v>
      </c>
      <c r="M25" s="54"/>
    </row>
    <row r="26" spans="1:15" x14ac:dyDescent="0.25">
      <c r="A26" s="63"/>
      <c r="B26" s="79"/>
      <c r="C26" s="52" t="s">
        <v>51</v>
      </c>
      <c r="D26" s="263"/>
      <c r="E26" s="264"/>
      <c r="F26" s="265"/>
      <c r="G26" s="52" t="s">
        <v>53</v>
      </c>
      <c r="H26" s="52" t="s">
        <v>45</v>
      </c>
      <c r="I26" s="80"/>
      <c r="J26" s="52" t="s">
        <v>51</v>
      </c>
      <c r="K26" s="52" t="s">
        <v>53</v>
      </c>
      <c r="L26" s="52" t="s">
        <v>45</v>
      </c>
      <c r="M26" s="68" t="s">
        <v>54</v>
      </c>
      <c r="N26" s="81"/>
    </row>
    <row r="27" spans="1:15" x14ac:dyDescent="0.25">
      <c r="A27" s="82" t="s">
        <v>63</v>
      </c>
      <c r="B27" s="71" t="s">
        <v>56</v>
      </c>
      <c r="C27" s="57" t="s">
        <v>57</v>
      </c>
      <c r="D27" s="266"/>
      <c r="E27" s="267"/>
      <c r="F27" s="268"/>
      <c r="G27" s="57" t="s">
        <v>59</v>
      </c>
      <c r="H27" s="57" t="s">
        <v>49</v>
      </c>
      <c r="I27" s="80"/>
      <c r="J27" s="57" t="s">
        <v>57</v>
      </c>
      <c r="K27" s="57" t="s">
        <v>59</v>
      </c>
      <c r="L27" s="57" t="s">
        <v>49</v>
      </c>
      <c r="M27" s="76" t="s">
        <v>60</v>
      </c>
      <c r="N27" s="57" t="s">
        <v>61</v>
      </c>
    </row>
    <row r="28" spans="1:15" ht="45" customHeight="1" x14ac:dyDescent="0.25">
      <c r="A28" s="105"/>
      <c r="B28" s="71"/>
      <c r="C28" s="57"/>
      <c r="D28" s="161" t="s">
        <v>99</v>
      </c>
      <c r="E28" s="161" t="s">
        <v>100</v>
      </c>
      <c r="F28" s="161" t="s">
        <v>102</v>
      </c>
      <c r="G28" s="57"/>
      <c r="H28" s="57"/>
      <c r="I28" s="80"/>
      <c r="J28" s="57"/>
      <c r="K28" s="57"/>
      <c r="L28" s="57"/>
      <c r="M28" s="76"/>
      <c r="N28" s="57"/>
    </row>
    <row r="29" spans="1:15" s="141" customFormat="1" x14ac:dyDescent="0.25">
      <c r="B29" s="89">
        <v>27</v>
      </c>
      <c r="C29" s="104">
        <v>1020.28</v>
      </c>
      <c r="D29" s="155">
        <f t="shared" ref="D29:D40" si="5">G29*50%</f>
        <v>1628.5649999999998</v>
      </c>
      <c r="E29" s="155">
        <f t="shared" ref="E29:E40" si="6">G29*30%</f>
        <v>977.1389999999999</v>
      </c>
      <c r="F29" s="155">
        <f>'Oct mes fun'!F29</f>
        <v>192.13000000000002</v>
      </c>
      <c r="G29" s="6">
        <f>'jul lab'!D26+'jul lab'!E26</f>
        <v>3257.1299999999997</v>
      </c>
      <c r="H29" s="6">
        <f t="shared" ref="H29" si="7">G29+C29</f>
        <v>4277.41</v>
      </c>
      <c r="J29" s="104">
        <v>744.11</v>
      </c>
      <c r="K29" s="104">
        <f>'jul lab'!J26+'jul lab'!I26</f>
        <v>3257.1299999999997</v>
      </c>
      <c r="L29" s="6">
        <f>K29+J29</f>
        <v>4001.24</v>
      </c>
      <c r="M29" s="139">
        <f>ROUND((H29*12)+(L29*2),2)</f>
        <v>59331.4</v>
      </c>
      <c r="N29" s="104">
        <v>57734.97942799599</v>
      </c>
    </row>
    <row r="30" spans="1:15" s="5" customFormat="1" x14ac:dyDescent="0.25">
      <c r="B30" s="89">
        <v>26</v>
      </c>
      <c r="C30" s="6">
        <v>1020.28</v>
      </c>
      <c r="D30" s="155">
        <f t="shared" si="5"/>
        <v>1578.11</v>
      </c>
      <c r="E30" s="155">
        <f t="shared" si="6"/>
        <v>946.86599999999987</v>
      </c>
      <c r="F30" s="155">
        <f>'Oct mes fun'!G29</f>
        <v>141.68</v>
      </c>
      <c r="G30" s="6">
        <f>'jul lab'!D27+'jul lab'!E27</f>
        <v>3156.22</v>
      </c>
      <c r="H30" s="6">
        <f t="shared" ref="H30:H40" si="8">G30+C30</f>
        <v>4176.5</v>
      </c>
      <c r="J30" s="104">
        <v>744.11</v>
      </c>
      <c r="K30" s="104">
        <f>'jul lab'!J27+'jul lab'!I27</f>
        <v>3156.22</v>
      </c>
      <c r="L30" s="6">
        <f t="shared" ref="L30:L40" si="9">K30+J30</f>
        <v>3900.33</v>
      </c>
      <c r="M30" s="139">
        <f t="shared" ref="M30:M40" si="10">ROUND((H30*12)+(L30*2),2)</f>
        <v>57918.66</v>
      </c>
      <c r="N30" s="6">
        <v>56360.098767387994</v>
      </c>
      <c r="O30" s="141"/>
    </row>
    <row r="31" spans="1:15" s="5" customFormat="1" x14ac:dyDescent="0.25">
      <c r="B31" s="77">
        <v>25</v>
      </c>
      <c r="C31" s="6">
        <v>1020.28</v>
      </c>
      <c r="D31" s="155">
        <f t="shared" si="5"/>
        <v>1344.7149999999999</v>
      </c>
      <c r="E31" s="155">
        <f t="shared" si="6"/>
        <v>806.82899999999995</v>
      </c>
      <c r="F31" s="155">
        <f>'Oct mes fun'!H29</f>
        <v>160.37</v>
      </c>
      <c r="G31" s="6">
        <f>'jul lab'!D28+'jul lab'!E28</f>
        <v>2689.43</v>
      </c>
      <c r="H31" s="6">
        <f t="shared" si="8"/>
        <v>3709.71</v>
      </c>
      <c r="J31" s="104">
        <v>744.11</v>
      </c>
      <c r="K31" s="104">
        <f>'jul lab'!J28+'jul lab'!I28</f>
        <v>2689.43</v>
      </c>
      <c r="L31" s="6">
        <f t="shared" si="9"/>
        <v>3433.54</v>
      </c>
      <c r="M31" s="139">
        <f t="shared" si="10"/>
        <v>51383.6</v>
      </c>
      <c r="N31" s="6">
        <v>50000.311753279508</v>
      </c>
      <c r="O31" s="141"/>
    </row>
    <row r="32" spans="1:15" s="5" customFormat="1" x14ac:dyDescent="0.25">
      <c r="B32" s="77">
        <v>24</v>
      </c>
      <c r="C32" s="6">
        <v>1020.28</v>
      </c>
      <c r="D32" s="155">
        <f t="shared" si="5"/>
        <v>1249.24</v>
      </c>
      <c r="E32" s="155">
        <f t="shared" si="6"/>
        <v>749.54399999999998</v>
      </c>
      <c r="F32" s="155">
        <f>'Oct mes fun'!I29</f>
        <v>132.21800000000002</v>
      </c>
      <c r="G32" s="6">
        <f>'jul lab'!D29+'jul lab'!E29</f>
        <v>2498.48</v>
      </c>
      <c r="H32" s="6">
        <f t="shared" si="8"/>
        <v>3518.76</v>
      </c>
      <c r="J32" s="104">
        <v>744.11</v>
      </c>
      <c r="K32" s="104">
        <f>'jul lab'!J29+'jul lab'!I29</f>
        <v>2498.48</v>
      </c>
      <c r="L32" s="6">
        <f t="shared" si="9"/>
        <v>3242.59</v>
      </c>
      <c r="M32" s="139">
        <f t="shared" si="10"/>
        <v>48710.3</v>
      </c>
      <c r="N32" s="6">
        <v>47398.72466992549</v>
      </c>
      <c r="O32" s="141"/>
    </row>
    <row r="33" spans="1:15" s="5" customFormat="1" x14ac:dyDescent="0.25">
      <c r="B33" s="77">
        <v>23</v>
      </c>
      <c r="C33" s="6">
        <v>1020.28</v>
      </c>
      <c r="D33" s="155">
        <f t="shared" si="5"/>
        <v>1190.0349999999999</v>
      </c>
      <c r="E33" s="155">
        <f t="shared" si="6"/>
        <v>714.02099999999984</v>
      </c>
      <c r="F33" s="155">
        <f>'Oct mes fun'!J29</f>
        <v>120.21599999999999</v>
      </c>
      <c r="G33" s="6">
        <f>'jul lab'!D30+'jul lab'!E30</f>
        <v>2380.0699999999997</v>
      </c>
      <c r="H33" s="6">
        <f t="shared" si="8"/>
        <v>3400.3499999999995</v>
      </c>
      <c r="J33" s="104">
        <v>744.11</v>
      </c>
      <c r="K33" s="104">
        <f>'jul lab'!J30+'jul lab'!I30</f>
        <v>2380.0699999999997</v>
      </c>
      <c r="L33" s="6">
        <f t="shared" si="9"/>
        <v>3124.18</v>
      </c>
      <c r="M33" s="139">
        <f t="shared" si="10"/>
        <v>47052.56</v>
      </c>
      <c r="N33" s="6">
        <v>45785.470769783002</v>
      </c>
      <c r="O33" s="141"/>
    </row>
    <row r="34" spans="1:15" s="5" customFormat="1" x14ac:dyDescent="0.25">
      <c r="B34" s="77">
        <v>22</v>
      </c>
      <c r="C34" s="6">
        <v>1020.28</v>
      </c>
      <c r="D34" s="155">
        <f t="shared" si="5"/>
        <v>1155.095</v>
      </c>
      <c r="E34" s="155">
        <f t="shared" si="6"/>
        <v>693.05700000000002</v>
      </c>
      <c r="F34" s="155">
        <f>'Oct mes fun'!K29</f>
        <v>117.91200000000002</v>
      </c>
      <c r="G34" s="6">
        <f>'jul lab'!D31+'jul lab'!E31</f>
        <v>2310.19</v>
      </c>
      <c r="H34" s="6">
        <f t="shared" si="8"/>
        <v>3330.4700000000003</v>
      </c>
      <c r="J34" s="104">
        <v>744.11</v>
      </c>
      <c r="K34" s="104">
        <f>'jul lab'!J31+'jul lab'!I31</f>
        <v>2310.19</v>
      </c>
      <c r="L34" s="6">
        <f t="shared" si="9"/>
        <v>3054.3</v>
      </c>
      <c r="M34" s="139">
        <f t="shared" si="10"/>
        <v>46074.239999999998</v>
      </c>
      <c r="N34" s="6">
        <v>44833.354895639997</v>
      </c>
      <c r="O34" s="141"/>
    </row>
    <row r="35" spans="1:15" s="5" customFormat="1" x14ac:dyDescent="0.25">
      <c r="B35" s="77">
        <v>21</v>
      </c>
      <c r="C35" s="6">
        <v>1020.28</v>
      </c>
      <c r="D35" s="155">
        <f t="shared" si="5"/>
        <v>1117.4199999999998</v>
      </c>
      <c r="E35" s="155">
        <f t="shared" si="6"/>
        <v>670.45199999999988</v>
      </c>
      <c r="F35" s="155">
        <f>'Oct mes fun'!L29</f>
        <v>115.822</v>
      </c>
      <c r="G35" s="6">
        <f>'jul lab'!D32+'jul lab'!E32</f>
        <v>2234.8399999999997</v>
      </c>
      <c r="H35" s="6">
        <f t="shared" si="8"/>
        <v>3255.12</v>
      </c>
      <c r="J35" s="104">
        <v>744.11</v>
      </c>
      <c r="K35" s="104">
        <f>'jul lab'!J32+'jul lab'!I32</f>
        <v>2234.8399999999997</v>
      </c>
      <c r="L35" s="6">
        <f t="shared" si="9"/>
        <v>2978.95</v>
      </c>
      <c r="M35" s="139">
        <f t="shared" si="10"/>
        <v>45019.34</v>
      </c>
      <c r="N35" s="6">
        <v>43806.7387773675</v>
      </c>
      <c r="O35" s="141"/>
    </row>
    <row r="36" spans="1:15" s="5" customFormat="1" x14ac:dyDescent="0.25">
      <c r="B36" s="77">
        <v>20</v>
      </c>
      <c r="C36" s="6">
        <v>1020.28</v>
      </c>
      <c r="D36" s="155">
        <f t="shared" si="5"/>
        <v>1080.865</v>
      </c>
      <c r="E36" s="155">
        <f t="shared" si="6"/>
        <v>648.51900000000001</v>
      </c>
      <c r="F36" s="155">
        <f>'Oct mes fun'!M29</f>
        <v>114.02800000000002</v>
      </c>
      <c r="G36" s="6">
        <f>'jul lab'!D33+'jul lab'!E33</f>
        <v>2161.73</v>
      </c>
      <c r="H36" s="6">
        <f t="shared" si="8"/>
        <v>3182.01</v>
      </c>
      <c r="J36" s="104">
        <v>744.11</v>
      </c>
      <c r="K36" s="104">
        <f>'jul lab'!J33+'jul lab'!I33</f>
        <v>2161.73</v>
      </c>
      <c r="L36" s="6">
        <f t="shared" si="9"/>
        <v>2905.84</v>
      </c>
      <c r="M36" s="139">
        <f t="shared" si="10"/>
        <v>43995.8</v>
      </c>
      <c r="N36" s="6">
        <v>42810.693923783998</v>
      </c>
      <c r="O36" s="141"/>
    </row>
    <row r="37" spans="1:15" s="5" customFormat="1" x14ac:dyDescent="0.25">
      <c r="B37" s="77">
        <v>19</v>
      </c>
      <c r="C37" s="6">
        <v>1020.28</v>
      </c>
      <c r="D37" s="155">
        <f t="shared" si="5"/>
        <v>1057.0049999999999</v>
      </c>
      <c r="E37" s="155">
        <f t="shared" si="6"/>
        <v>634.20299999999986</v>
      </c>
      <c r="F37" s="155">
        <f>'Oct mes fun'!N29</f>
        <v>112.58800000000002</v>
      </c>
      <c r="G37" s="6">
        <f>'jul lab'!D34+'jul lab'!E34</f>
        <v>2114.0099999999998</v>
      </c>
      <c r="H37" s="6">
        <f t="shared" si="8"/>
        <v>3134.29</v>
      </c>
      <c r="J37" s="104">
        <v>744.11</v>
      </c>
      <c r="K37" s="104">
        <f>'jul lab'!J34+'jul lab'!I34</f>
        <v>2114.0099999999998</v>
      </c>
      <c r="L37" s="6">
        <f t="shared" si="9"/>
        <v>2858.12</v>
      </c>
      <c r="M37" s="139">
        <f t="shared" si="10"/>
        <v>43327.72</v>
      </c>
      <c r="N37" s="6">
        <v>42160.434861344991</v>
      </c>
      <c r="O37" s="141"/>
    </row>
    <row r="38" spans="1:15" s="5" customFormat="1" x14ac:dyDescent="0.25">
      <c r="B38" s="83">
        <v>18</v>
      </c>
      <c r="C38" s="7">
        <v>1020.28</v>
      </c>
      <c r="D38" s="167">
        <f t="shared" si="5"/>
        <v>983.54500000000007</v>
      </c>
      <c r="E38" s="167">
        <f t="shared" si="6"/>
        <v>590.12700000000007</v>
      </c>
      <c r="F38" s="167">
        <f>'Oct mes fun'!O29</f>
        <v>105.128</v>
      </c>
      <c r="G38" s="7">
        <f>'jul lab'!D35+'jul lab'!E35</f>
        <v>1967.0900000000001</v>
      </c>
      <c r="H38" s="7">
        <f t="shared" si="8"/>
        <v>2987.37</v>
      </c>
      <c r="I38" s="13"/>
      <c r="J38" s="7">
        <v>744.11</v>
      </c>
      <c r="K38" s="7">
        <f>'jul lab'!J35+'jul lab'!I35</f>
        <v>1967.0900000000001</v>
      </c>
      <c r="L38" s="7">
        <f t="shared" si="9"/>
        <v>2711.2000000000003</v>
      </c>
      <c r="M38" s="16">
        <f t="shared" si="10"/>
        <v>41270.839999999997</v>
      </c>
      <c r="N38" s="6">
        <v>40158.705566212993</v>
      </c>
      <c r="O38" s="141"/>
    </row>
    <row r="39" spans="1:15" s="5" customFormat="1" x14ac:dyDescent="0.25">
      <c r="B39" s="77">
        <v>17</v>
      </c>
      <c r="C39" s="6">
        <v>1020.28</v>
      </c>
      <c r="D39" s="155">
        <f t="shared" si="5"/>
        <v>937.6400000000001</v>
      </c>
      <c r="E39" s="155">
        <f t="shared" si="6"/>
        <v>562.58400000000006</v>
      </c>
      <c r="F39" s="155">
        <f>'Oct mes fun'!P29</f>
        <v>101.79</v>
      </c>
      <c r="G39" s="6">
        <f>'jul lab'!D36+'jul lab'!E36</f>
        <v>1875.2800000000002</v>
      </c>
      <c r="H39" s="6">
        <f t="shared" si="8"/>
        <v>2895.5600000000004</v>
      </c>
      <c r="J39" s="104">
        <v>744.11</v>
      </c>
      <c r="K39" s="104">
        <f>'jul lab'!J36+'jul lab'!I36</f>
        <v>1875.2800000000002</v>
      </c>
      <c r="L39" s="6">
        <f t="shared" si="9"/>
        <v>2619.3900000000003</v>
      </c>
      <c r="M39" s="139">
        <f t="shared" si="10"/>
        <v>39985.5</v>
      </c>
      <c r="N39" s="6">
        <v>38907.762465154992</v>
      </c>
      <c r="O39" s="141"/>
    </row>
    <row r="40" spans="1:15" s="5" customFormat="1" x14ac:dyDescent="0.25">
      <c r="B40" s="77">
        <v>16</v>
      </c>
      <c r="C40" s="6">
        <v>1020.28</v>
      </c>
      <c r="D40" s="155">
        <f t="shared" si="5"/>
        <v>888.16499999999996</v>
      </c>
      <c r="E40" s="155">
        <f t="shared" si="6"/>
        <v>532.899</v>
      </c>
      <c r="F40" s="155">
        <f>'Oct mes fun'!Q29</f>
        <v>97.01600000000002</v>
      </c>
      <c r="G40" s="6">
        <f>'jul lab'!D37+'jul lab'!E37</f>
        <v>1776.33</v>
      </c>
      <c r="H40" s="6">
        <f t="shared" si="8"/>
        <v>2796.6099999999997</v>
      </c>
      <c r="J40" s="104">
        <v>744.11</v>
      </c>
      <c r="K40" s="104">
        <f>'jul lab'!J37+'jul lab'!I37</f>
        <v>1776.33</v>
      </c>
      <c r="L40" s="6">
        <f t="shared" si="9"/>
        <v>2520.44</v>
      </c>
      <c r="M40" s="139">
        <f t="shared" si="10"/>
        <v>38600.199999999997</v>
      </c>
      <c r="N40" s="6">
        <v>37559.73494244949</v>
      </c>
      <c r="O40" s="141"/>
    </row>
    <row r="41" spans="1:15" x14ac:dyDescent="0.25">
      <c r="M41" s="54"/>
    </row>
    <row r="42" spans="1:15" x14ac:dyDescent="0.25">
      <c r="A42" s="62" t="s">
        <v>64</v>
      </c>
      <c r="M42" s="54"/>
    </row>
    <row r="43" spans="1:15" x14ac:dyDescent="0.25">
      <c r="A43" s="63"/>
      <c r="B43" s="79"/>
      <c r="C43" s="52" t="s">
        <v>51</v>
      </c>
      <c r="D43" s="263"/>
      <c r="E43" s="264"/>
      <c r="F43" s="265"/>
      <c r="G43" s="52" t="s">
        <v>53</v>
      </c>
      <c r="H43" s="52" t="s">
        <v>45</v>
      </c>
      <c r="I43" s="80"/>
      <c r="J43" s="52" t="s">
        <v>51</v>
      </c>
      <c r="K43" s="52" t="s">
        <v>53</v>
      </c>
      <c r="L43" s="52" t="s">
        <v>45</v>
      </c>
      <c r="M43" s="68" t="s">
        <v>54</v>
      </c>
      <c r="N43" s="52"/>
    </row>
    <row r="44" spans="1:15" x14ac:dyDescent="0.25">
      <c r="A44" s="82" t="s">
        <v>65</v>
      </c>
      <c r="B44" s="71" t="s">
        <v>56</v>
      </c>
      <c r="C44" s="57" t="s">
        <v>57</v>
      </c>
      <c r="D44" s="266"/>
      <c r="E44" s="267"/>
      <c r="F44" s="268"/>
      <c r="G44" s="57" t="s">
        <v>59</v>
      </c>
      <c r="H44" s="57" t="s">
        <v>49</v>
      </c>
      <c r="I44" s="80"/>
      <c r="J44" s="57" t="s">
        <v>57</v>
      </c>
      <c r="K44" s="57" t="s">
        <v>59</v>
      </c>
      <c r="L44" s="57" t="s">
        <v>49</v>
      </c>
      <c r="M44" s="76" t="s">
        <v>60</v>
      </c>
      <c r="N44" s="57" t="s">
        <v>61</v>
      </c>
    </row>
    <row r="45" spans="1:15" ht="44.25" customHeight="1" x14ac:dyDescent="0.25">
      <c r="A45" s="105"/>
      <c r="B45" s="71"/>
      <c r="C45" s="57"/>
      <c r="D45" s="161" t="s">
        <v>99</v>
      </c>
      <c r="E45" s="161" t="s">
        <v>100</v>
      </c>
      <c r="F45" s="161" t="s">
        <v>102</v>
      </c>
      <c r="G45" s="57"/>
      <c r="H45" s="57"/>
      <c r="I45" s="80"/>
      <c r="J45" s="57"/>
      <c r="K45" s="57"/>
      <c r="L45" s="57"/>
      <c r="M45" s="76"/>
      <c r="N45" s="57"/>
    </row>
    <row r="46" spans="1:15" s="5" customFormat="1" x14ac:dyDescent="0.25">
      <c r="B46" s="77">
        <v>21</v>
      </c>
      <c r="C46" s="6">
        <v>766.06</v>
      </c>
      <c r="D46" s="155">
        <f t="shared" ref="D46:D54" si="11">G46*50%</f>
        <v>1319.0650000000001</v>
      </c>
      <c r="E46" s="155">
        <f t="shared" ref="E46:E54" si="12">G46*30%</f>
        <v>791.43899999999996</v>
      </c>
      <c r="F46" s="155">
        <f>'Oct mes fun'!L43</f>
        <v>168.26000000000002</v>
      </c>
      <c r="G46" s="6">
        <f>'jul lab'!D42+'jul lab'!E42</f>
        <v>2638.13</v>
      </c>
      <c r="H46" s="6">
        <f t="shared" ref="H46" si="13">G46+C46</f>
        <v>3404.19</v>
      </c>
      <c r="J46" s="6">
        <v>662.1</v>
      </c>
      <c r="K46" s="104">
        <f>'jul lab'!J42+'jul lab'!I42</f>
        <v>2638.13</v>
      </c>
      <c r="L46" s="6">
        <f t="shared" ref="L46" si="14">K46+J46</f>
        <v>3300.23</v>
      </c>
      <c r="M46" s="139">
        <f t="shared" ref="M46" si="15">ROUND((H46*12)+(L46*2),2)</f>
        <v>47450.74</v>
      </c>
      <c r="N46" s="6">
        <v>46173.919466295498</v>
      </c>
    </row>
    <row r="47" spans="1:15" s="5" customFormat="1" x14ac:dyDescent="0.25">
      <c r="B47" s="77">
        <v>20</v>
      </c>
      <c r="C47" s="6">
        <v>766.06</v>
      </c>
      <c r="D47" s="155">
        <f t="shared" si="11"/>
        <v>1280.56</v>
      </c>
      <c r="E47" s="155">
        <f t="shared" si="12"/>
        <v>768.3359999999999</v>
      </c>
      <c r="F47" s="155">
        <f>'Oct mes fun'!M43</f>
        <v>163.822</v>
      </c>
      <c r="G47" s="6">
        <f>'jul lab'!D43+'jul lab'!E43</f>
        <v>2561.12</v>
      </c>
      <c r="H47" s="6">
        <f t="shared" ref="H47:H54" si="16">G47+C47</f>
        <v>3327.18</v>
      </c>
      <c r="J47" s="6">
        <v>662.1</v>
      </c>
      <c r="K47" s="104">
        <f>'jul lab'!J43+'jul lab'!I43</f>
        <v>2561.12</v>
      </c>
      <c r="L47" s="6">
        <f t="shared" ref="L47:L54" si="17">K47+J47</f>
        <v>3223.22</v>
      </c>
      <c r="M47" s="139">
        <f t="shared" ref="M47:M54" si="18">ROUND((H47*12)+(L47*2),2)</f>
        <v>46372.6</v>
      </c>
      <c r="N47" s="6">
        <v>45124.856878904488</v>
      </c>
    </row>
    <row r="48" spans="1:15" s="5" customFormat="1" x14ac:dyDescent="0.25">
      <c r="B48" s="77">
        <v>19</v>
      </c>
      <c r="C48" s="6">
        <v>766.06</v>
      </c>
      <c r="D48" s="155">
        <f t="shared" si="11"/>
        <v>1204.4299999999998</v>
      </c>
      <c r="E48" s="155">
        <f t="shared" si="12"/>
        <v>722.6579999999999</v>
      </c>
      <c r="F48" s="155">
        <f>'Oct mes fun'!N43</f>
        <v>149.66799999999998</v>
      </c>
      <c r="G48" s="6">
        <f>'jul lab'!D44+'jul lab'!E44</f>
        <v>2408.8599999999997</v>
      </c>
      <c r="H48" s="6">
        <f t="shared" si="16"/>
        <v>3174.9199999999996</v>
      </c>
      <c r="J48" s="6">
        <v>662.1</v>
      </c>
      <c r="K48" s="104">
        <f>'jul lab'!J44+'jul lab'!I44</f>
        <v>2408.8599999999997</v>
      </c>
      <c r="L48" s="6">
        <f t="shared" si="17"/>
        <v>3070.9599999999996</v>
      </c>
      <c r="M48" s="139">
        <f t="shared" si="18"/>
        <v>44240.959999999999</v>
      </c>
      <c r="N48" s="6">
        <v>43050.417548836493</v>
      </c>
    </row>
    <row r="49" spans="1:14" s="5" customFormat="1" x14ac:dyDescent="0.25">
      <c r="B49" s="83">
        <v>18</v>
      </c>
      <c r="C49" s="7">
        <v>766.06</v>
      </c>
      <c r="D49" s="167">
        <f t="shared" si="11"/>
        <v>1087.595</v>
      </c>
      <c r="E49" s="167">
        <f t="shared" si="12"/>
        <v>652.55700000000002</v>
      </c>
      <c r="F49" s="167">
        <f>'Oct mes fun'!O43</f>
        <v>116.24200000000002</v>
      </c>
      <c r="G49" s="7">
        <f>'jul lab'!D45+'jul lab'!E45</f>
        <v>2175.19</v>
      </c>
      <c r="H49" s="7">
        <f t="shared" si="16"/>
        <v>2941.25</v>
      </c>
      <c r="I49" s="13"/>
      <c r="J49" s="7">
        <v>662.1</v>
      </c>
      <c r="K49" s="7">
        <f>'jul lab'!J45+'jul lab'!I45</f>
        <v>2175.19</v>
      </c>
      <c r="L49" s="7">
        <f t="shared" si="17"/>
        <v>2837.29</v>
      </c>
      <c r="M49" s="16">
        <f t="shared" si="18"/>
        <v>40969.58</v>
      </c>
      <c r="N49" s="6">
        <v>39866.874769195492</v>
      </c>
    </row>
    <row r="50" spans="1:14" s="5" customFormat="1" x14ac:dyDescent="0.25">
      <c r="B50" s="77">
        <v>17</v>
      </c>
      <c r="C50" s="6">
        <v>766.06</v>
      </c>
      <c r="D50" s="155">
        <f t="shared" si="11"/>
        <v>1014.025</v>
      </c>
      <c r="E50" s="155">
        <f t="shared" si="12"/>
        <v>608.41499999999996</v>
      </c>
      <c r="F50" s="155">
        <f>'Oct mes fun'!P43</f>
        <v>115.21400000000001</v>
      </c>
      <c r="G50" s="6">
        <f>'jul lab'!D46+'jul lab'!E46</f>
        <v>2028.05</v>
      </c>
      <c r="H50" s="6">
        <f t="shared" si="16"/>
        <v>2794.1099999999997</v>
      </c>
      <c r="J50" s="6">
        <v>662.1</v>
      </c>
      <c r="K50" s="104">
        <f>'jul lab'!J46+'jul lab'!I46</f>
        <v>2028.05</v>
      </c>
      <c r="L50" s="6">
        <f t="shared" si="17"/>
        <v>2690.15</v>
      </c>
      <c r="M50" s="139">
        <f t="shared" si="18"/>
        <v>38909.620000000003</v>
      </c>
      <c r="N50" s="6">
        <v>37861.978180874998</v>
      </c>
    </row>
    <row r="51" spans="1:14" s="5" customFormat="1" x14ac:dyDescent="0.25">
      <c r="B51" s="77">
        <v>16</v>
      </c>
      <c r="C51" s="6">
        <v>766.06</v>
      </c>
      <c r="D51" s="155">
        <f t="shared" si="11"/>
        <v>918.04</v>
      </c>
      <c r="E51" s="155">
        <f t="shared" si="12"/>
        <v>550.82399999999996</v>
      </c>
      <c r="F51" s="155">
        <f>'Oct mes fun'!Q43</f>
        <v>98.105999999999995</v>
      </c>
      <c r="G51" s="6">
        <f>'jul lab'!D47+'jul lab'!E47</f>
        <v>1836.08</v>
      </c>
      <c r="H51" s="6">
        <f t="shared" si="16"/>
        <v>2602.14</v>
      </c>
      <c r="J51" s="6">
        <v>662.1</v>
      </c>
      <c r="K51" s="104">
        <f>'jul lab'!J47+'jul lab'!I47</f>
        <v>1836.08</v>
      </c>
      <c r="L51" s="6">
        <f t="shared" si="17"/>
        <v>2498.1799999999998</v>
      </c>
      <c r="M51" s="139">
        <f t="shared" si="18"/>
        <v>36222.04</v>
      </c>
      <c r="N51" s="6">
        <v>35246.482549171495</v>
      </c>
    </row>
    <row r="52" spans="1:14" s="5" customFormat="1" x14ac:dyDescent="0.25">
      <c r="B52" s="83">
        <v>15</v>
      </c>
      <c r="C52" s="7">
        <v>766.06</v>
      </c>
      <c r="D52" s="167">
        <f t="shared" si="11"/>
        <v>846.34</v>
      </c>
      <c r="E52" s="167">
        <f t="shared" si="12"/>
        <v>507.80399999999997</v>
      </c>
      <c r="F52" s="167">
        <f>'Oct mes fun'!R43</f>
        <v>97.848000000000013</v>
      </c>
      <c r="G52" s="7">
        <f>'jul lab'!D48+'jul lab'!E48</f>
        <v>1692.68</v>
      </c>
      <c r="H52" s="7">
        <f t="shared" si="16"/>
        <v>2458.7399999999998</v>
      </c>
      <c r="I52" s="13"/>
      <c r="J52" s="7">
        <v>662.1</v>
      </c>
      <c r="K52" s="7">
        <f>'jul lab'!J48+'jul lab'!I48</f>
        <v>1692.68</v>
      </c>
      <c r="L52" s="7">
        <f t="shared" si="17"/>
        <v>2354.7800000000002</v>
      </c>
      <c r="M52" s="16">
        <f t="shared" si="18"/>
        <v>34214.44</v>
      </c>
      <c r="N52" s="6">
        <v>33292.675777065495</v>
      </c>
    </row>
    <row r="53" spans="1:14" s="5" customFormat="1" x14ac:dyDescent="0.25">
      <c r="B53" s="77">
        <v>14</v>
      </c>
      <c r="C53" s="6">
        <v>766.06</v>
      </c>
      <c r="D53" s="155">
        <f t="shared" si="11"/>
        <v>800.03</v>
      </c>
      <c r="E53" s="155">
        <f t="shared" si="12"/>
        <v>480.01799999999997</v>
      </c>
      <c r="F53" s="155">
        <f>'Oct mes fun'!S43</f>
        <v>97.73</v>
      </c>
      <c r="G53" s="6">
        <f>'jul lab'!D49+'jul lab'!E49</f>
        <v>1600.06</v>
      </c>
      <c r="H53" s="6">
        <f t="shared" si="16"/>
        <v>2366.12</v>
      </c>
      <c r="J53" s="6">
        <v>662.1</v>
      </c>
      <c r="K53" s="104">
        <f>'jul lab'!J49+'jul lab'!I49</f>
        <v>1600.06</v>
      </c>
      <c r="L53" s="6">
        <f t="shared" si="17"/>
        <v>2262.16</v>
      </c>
      <c r="M53" s="139">
        <f t="shared" si="18"/>
        <v>32917.760000000002</v>
      </c>
      <c r="N53" s="6">
        <v>32030.853712446995</v>
      </c>
    </row>
    <row r="54" spans="1:14" s="5" customFormat="1" x14ac:dyDescent="0.25">
      <c r="B54" s="77">
        <v>13</v>
      </c>
      <c r="C54" s="6">
        <v>766.06</v>
      </c>
      <c r="D54" s="155">
        <f t="shared" si="11"/>
        <v>750.95500000000004</v>
      </c>
      <c r="E54" s="155">
        <f t="shared" si="12"/>
        <v>450.57300000000004</v>
      </c>
      <c r="F54" s="155">
        <f>'Oct mes fun'!T43</f>
        <v>92.496000000000009</v>
      </c>
      <c r="G54" s="6">
        <f>'jul lab'!D50+'jul lab'!E50</f>
        <v>1501.91</v>
      </c>
      <c r="H54" s="6">
        <f t="shared" si="16"/>
        <v>2267.9700000000003</v>
      </c>
      <c r="J54" s="6">
        <v>662.1</v>
      </c>
      <c r="K54" s="104">
        <f>'jul lab'!J50+'jul lab'!I50</f>
        <v>1501.91</v>
      </c>
      <c r="L54" s="6">
        <f t="shared" si="17"/>
        <v>2164.0100000000002</v>
      </c>
      <c r="M54" s="139">
        <f t="shared" si="18"/>
        <v>31543.66</v>
      </c>
      <c r="N54" s="6">
        <v>30693.705153301995</v>
      </c>
    </row>
    <row r="55" spans="1:14" s="5" customFormat="1" x14ac:dyDescent="0.25">
      <c r="B55" s="46"/>
      <c r="M55" s="84"/>
    </row>
    <row r="56" spans="1:14" x14ac:dyDescent="0.25">
      <c r="A56" s="62" t="s">
        <v>66</v>
      </c>
      <c r="M56" s="84"/>
    </row>
    <row r="57" spans="1:14" ht="15.75" customHeight="1" x14ac:dyDescent="0.25">
      <c r="A57" s="62" t="s">
        <v>67</v>
      </c>
      <c r="M57" s="84"/>
    </row>
    <row r="58" spans="1:14" ht="17.25" customHeight="1" x14ac:dyDescent="0.25">
      <c r="A58" s="62" t="s">
        <v>68</v>
      </c>
      <c r="B58" s="79"/>
      <c r="C58" s="52" t="s">
        <v>51</v>
      </c>
      <c r="D58" s="162"/>
      <c r="E58" s="162"/>
      <c r="F58" s="162"/>
      <c r="G58" s="52" t="s">
        <v>53</v>
      </c>
      <c r="H58" s="52" t="s">
        <v>45</v>
      </c>
      <c r="I58" s="80"/>
      <c r="J58" s="52" t="s">
        <v>51</v>
      </c>
      <c r="K58" s="52" t="s">
        <v>53</v>
      </c>
      <c r="L58" s="52" t="s">
        <v>45</v>
      </c>
      <c r="M58" s="68" t="s">
        <v>54</v>
      </c>
      <c r="N58" s="80"/>
    </row>
    <row r="59" spans="1:14" ht="24.75" customHeight="1" x14ac:dyDescent="0.25">
      <c r="A59" s="85" t="s">
        <v>69</v>
      </c>
      <c r="B59" s="71" t="s">
        <v>56</v>
      </c>
      <c r="C59" s="57" t="s">
        <v>57</v>
      </c>
      <c r="D59" s="161" t="s">
        <v>99</v>
      </c>
      <c r="E59" s="161" t="s">
        <v>100</v>
      </c>
      <c r="F59" s="161" t="s">
        <v>102</v>
      </c>
      <c r="G59" s="57" t="s">
        <v>59</v>
      </c>
      <c r="H59" s="57" t="s">
        <v>49</v>
      </c>
      <c r="I59" s="80"/>
      <c r="J59" s="57" t="s">
        <v>57</v>
      </c>
      <c r="K59" s="57" t="s">
        <v>59</v>
      </c>
      <c r="L59" s="57" t="s">
        <v>49</v>
      </c>
      <c r="M59" s="76" t="s">
        <v>60</v>
      </c>
      <c r="N59" s="80" t="s">
        <v>61</v>
      </c>
    </row>
    <row r="60" spans="1:14" s="5" customFormat="1" x14ac:dyDescent="0.25">
      <c r="A60" s="86" t="s">
        <v>70</v>
      </c>
      <c r="B60" s="77">
        <v>18</v>
      </c>
      <c r="C60" s="6">
        <v>637.57000000000005</v>
      </c>
      <c r="D60" s="155">
        <f t="shared" ref="D60:D68" si="19">G60*50%</f>
        <v>986.67499999999995</v>
      </c>
      <c r="E60" s="155">
        <f t="shared" ref="E60:E68" si="20">G60*30%</f>
        <v>592.005</v>
      </c>
      <c r="F60" s="155">
        <f>'Oct mes fun'!O57</f>
        <v>109.06799999999998</v>
      </c>
      <c r="G60" s="6">
        <f>'jul lab'!D56+'jul lab'!E56</f>
        <v>1973.35</v>
      </c>
      <c r="H60" s="104">
        <f>G60+C60</f>
        <v>2610.92</v>
      </c>
      <c r="J60" s="6">
        <v>631.76</v>
      </c>
      <c r="K60" s="6">
        <f>'jul lab'!J56+'jul lab'!I56</f>
        <v>1973.35</v>
      </c>
      <c r="L60" s="6">
        <f>K60+J60</f>
        <v>2605.1099999999997</v>
      </c>
      <c r="M60" s="139">
        <f>ROUND((H60*12)+(L60*2),2)</f>
        <v>36541.26</v>
      </c>
      <c r="N60" s="6">
        <v>35487.819514392497</v>
      </c>
    </row>
    <row r="61" spans="1:14" s="5" customFormat="1" x14ac:dyDescent="0.25">
      <c r="A61" s="87" t="s">
        <v>71</v>
      </c>
      <c r="B61" s="83">
        <v>17</v>
      </c>
      <c r="C61" s="7">
        <v>637.57000000000005</v>
      </c>
      <c r="D61" s="167">
        <f t="shared" si="19"/>
        <v>914.16499999999996</v>
      </c>
      <c r="E61" s="167">
        <f t="shared" si="20"/>
        <v>548.49899999999991</v>
      </c>
      <c r="F61" s="167">
        <f>'Oct mes fun'!P57</f>
        <v>93.210000000000008</v>
      </c>
      <c r="G61" s="7">
        <f>'jul lab'!D57+'jul lab'!E57</f>
        <v>1828.33</v>
      </c>
      <c r="H61" s="7">
        <f t="shared" ref="H61:H68" si="21">G61+C61</f>
        <v>2465.9</v>
      </c>
      <c r="I61" s="13"/>
      <c r="J61" s="7">
        <v>631.76</v>
      </c>
      <c r="K61" s="7">
        <f>'jul lab'!J57+'jul lab'!I57</f>
        <v>1828.33</v>
      </c>
      <c r="L61" s="7">
        <f t="shared" ref="L61:L68" si="22">K61+J61</f>
        <v>2460.09</v>
      </c>
      <c r="M61" s="16">
        <f t="shared" ref="M61:M68" si="23">ROUND((H61*12)+(L61*2),2)</f>
        <v>34510.980000000003</v>
      </c>
      <c r="N61" s="6">
        <v>33581.797556912999</v>
      </c>
    </row>
    <row r="62" spans="1:14" s="5" customFormat="1" x14ac:dyDescent="0.25">
      <c r="A62" s="86" t="s">
        <v>72</v>
      </c>
      <c r="B62" s="77">
        <v>16</v>
      </c>
      <c r="C62" s="6">
        <v>637.57000000000005</v>
      </c>
      <c r="D62" s="155">
        <f t="shared" si="19"/>
        <v>887.93499999999995</v>
      </c>
      <c r="E62" s="155">
        <f t="shared" si="20"/>
        <v>532.76099999999997</v>
      </c>
      <c r="F62" s="155">
        <f>'Oct mes fun'!Q57</f>
        <v>94.472000000000008</v>
      </c>
      <c r="G62" s="6">
        <f>'jul lab'!D58+'jul lab'!E58</f>
        <v>1775.87</v>
      </c>
      <c r="H62" s="104">
        <f t="shared" si="21"/>
        <v>2413.44</v>
      </c>
      <c r="J62" s="6">
        <v>631.76</v>
      </c>
      <c r="K62" s="6">
        <f>'jul lab'!J58+'jul lab'!I58</f>
        <v>1775.87</v>
      </c>
      <c r="L62" s="6">
        <f t="shared" si="22"/>
        <v>2407.63</v>
      </c>
      <c r="M62" s="139">
        <f t="shared" si="23"/>
        <v>33776.54</v>
      </c>
      <c r="N62" s="6">
        <v>32801.954890544497</v>
      </c>
    </row>
    <row r="63" spans="1:14" s="5" customFormat="1" x14ac:dyDescent="0.25">
      <c r="A63" s="88" t="s">
        <v>73</v>
      </c>
      <c r="B63" s="77">
        <v>15</v>
      </c>
      <c r="C63" s="6">
        <v>637.57000000000005</v>
      </c>
      <c r="D63" s="155">
        <f t="shared" si="19"/>
        <v>838.57</v>
      </c>
      <c r="E63" s="155">
        <f t="shared" si="20"/>
        <v>503.142</v>
      </c>
      <c r="F63" s="155">
        <f>'Oct mes fun'!R57</f>
        <v>99.50200000000001</v>
      </c>
      <c r="G63" s="6">
        <f>'jul lab'!D59+'jul lab'!E59</f>
        <v>1677.14</v>
      </c>
      <c r="H63" s="104">
        <f t="shared" si="21"/>
        <v>2314.71</v>
      </c>
      <c r="J63" s="6">
        <v>631.76</v>
      </c>
      <c r="K63" s="6">
        <f>'jul lab'!J59+'jul lab'!I59</f>
        <v>1677.14</v>
      </c>
      <c r="L63" s="6">
        <f t="shared" si="22"/>
        <v>2308.9</v>
      </c>
      <c r="M63" s="139">
        <f t="shared" si="23"/>
        <v>32394.32</v>
      </c>
      <c r="N63" s="6">
        <v>32296.289647580496</v>
      </c>
    </row>
    <row r="64" spans="1:14" s="5" customFormat="1" x14ac:dyDescent="0.25">
      <c r="B64" s="83">
        <v>14</v>
      </c>
      <c r="C64" s="7">
        <v>637.57000000000005</v>
      </c>
      <c r="D64" s="167">
        <f t="shared" si="19"/>
        <v>789.2</v>
      </c>
      <c r="E64" s="167">
        <f t="shared" si="20"/>
        <v>473.52</v>
      </c>
      <c r="F64" s="167">
        <f>'Oct mes fun'!S57</f>
        <v>95.254000000000019</v>
      </c>
      <c r="G64" s="7">
        <f>'jul lab'!D60+'jul lab'!E60</f>
        <v>1578.4</v>
      </c>
      <c r="H64" s="7">
        <f t="shared" si="21"/>
        <v>2215.9700000000003</v>
      </c>
      <c r="I64" s="13"/>
      <c r="J64" s="7">
        <v>631.76</v>
      </c>
      <c r="K64" s="7">
        <f>'jul lab'!J60+'jul lab'!I60</f>
        <v>1578.4</v>
      </c>
      <c r="L64" s="7">
        <f t="shared" si="22"/>
        <v>2210.16</v>
      </c>
      <c r="M64" s="16">
        <f t="shared" si="23"/>
        <v>31011.96</v>
      </c>
      <c r="N64" s="6">
        <v>30979.108806362994</v>
      </c>
    </row>
    <row r="65" spans="1:16" s="5" customFormat="1" x14ac:dyDescent="0.25">
      <c r="B65" s="77">
        <v>13</v>
      </c>
      <c r="C65" s="6">
        <v>637.57000000000005</v>
      </c>
      <c r="D65" s="155">
        <f t="shared" si="19"/>
        <v>739.83</v>
      </c>
      <c r="E65" s="155">
        <f t="shared" si="20"/>
        <v>443.89800000000002</v>
      </c>
      <c r="F65" s="155">
        <f>'Oct mes fun'!T57</f>
        <v>100.34</v>
      </c>
      <c r="G65" s="6">
        <f>'jul lab'!D61+'jul lab'!E61</f>
        <v>1479.66</v>
      </c>
      <c r="H65" s="104">
        <f t="shared" si="21"/>
        <v>2117.23</v>
      </c>
      <c r="J65" s="6">
        <v>631.76</v>
      </c>
      <c r="K65" s="6">
        <f>'jul lab'!J61+'jul lab'!I61</f>
        <v>1479.66</v>
      </c>
      <c r="L65" s="6">
        <f t="shared" si="22"/>
        <v>2111.42</v>
      </c>
      <c r="M65" s="139">
        <f t="shared" si="23"/>
        <v>29629.599999999999</v>
      </c>
      <c r="N65" s="6">
        <v>30358.319341416998</v>
      </c>
    </row>
    <row r="66" spans="1:16" s="5" customFormat="1" x14ac:dyDescent="0.25">
      <c r="B66" s="83">
        <v>12</v>
      </c>
      <c r="C66" s="7">
        <v>637.57000000000005</v>
      </c>
      <c r="D66" s="167">
        <f t="shared" si="19"/>
        <v>699.07</v>
      </c>
      <c r="E66" s="167">
        <f t="shared" si="20"/>
        <v>419.44200000000001</v>
      </c>
      <c r="F66" s="167">
        <f>'Oct mes fun'!U57</f>
        <v>83.51600000000002</v>
      </c>
      <c r="G66" s="7">
        <f>'jul lab'!D62+'jul lab'!E62</f>
        <v>1398.14</v>
      </c>
      <c r="H66" s="7">
        <f t="shared" si="21"/>
        <v>2035.71</v>
      </c>
      <c r="I66" s="13"/>
      <c r="J66" s="7">
        <v>631.76</v>
      </c>
      <c r="K66" s="7">
        <f>'jul lab'!J62+'jul lab'!I62</f>
        <v>1398.14</v>
      </c>
      <c r="L66" s="7">
        <f t="shared" si="22"/>
        <v>2029.9</v>
      </c>
      <c r="M66" s="16">
        <f t="shared" si="23"/>
        <v>28488.32</v>
      </c>
      <c r="N66" s="6">
        <v>27720.652657393995</v>
      </c>
    </row>
    <row r="67" spans="1:16" s="5" customFormat="1" x14ac:dyDescent="0.25">
      <c r="B67" s="83">
        <v>11</v>
      </c>
      <c r="C67" s="7">
        <v>637.57000000000005</v>
      </c>
      <c r="D67" s="167">
        <f t="shared" si="19"/>
        <v>696.27499999999998</v>
      </c>
      <c r="E67" s="167">
        <f t="shared" si="20"/>
        <v>417.76499999999999</v>
      </c>
      <c r="F67" s="167">
        <f>'Oct mes fun'!V57</f>
        <v>86.506000000000014</v>
      </c>
      <c r="G67" s="7">
        <f>'jul lab'!D63+'jul lab'!E63</f>
        <v>1392.55</v>
      </c>
      <c r="H67" s="7">
        <f t="shared" si="21"/>
        <v>2030.12</v>
      </c>
      <c r="I67" s="13"/>
      <c r="J67" s="7">
        <v>631.76</v>
      </c>
      <c r="K67" s="7">
        <f>'jul lab'!J63+'jul lab'!I63</f>
        <v>1392.55</v>
      </c>
      <c r="L67" s="7">
        <f t="shared" si="22"/>
        <v>2024.31</v>
      </c>
      <c r="M67" s="16">
        <f t="shared" si="23"/>
        <v>28410.06</v>
      </c>
      <c r="N67" s="6">
        <v>27644.362204071</v>
      </c>
    </row>
    <row r="68" spans="1:16" s="5" customFormat="1" x14ac:dyDescent="0.25">
      <c r="B68" s="89">
        <v>10</v>
      </c>
      <c r="C68" s="6">
        <v>637.57000000000005</v>
      </c>
      <c r="D68" s="155">
        <f t="shared" si="19"/>
        <v>591.72</v>
      </c>
      <c r="E68" s="155">
        <f t="shared" si="20"/>
        <v>355.03199999999998</v>
      </c>
      <c r="F68" s="155">
        <f>'Oct mes fun'!V57</f>
        <v>86.506000000000014</v>
      </c>
      <c r="G68" s="6">
        <f>'jul lab'!D64+'jul lab'!E64</f>
        <v>1183.44</v>
      </c>
      <c r="H68" s="104">
        <f t="shared" si="21"/>
        <v>1821.0100000000002</v>
      </c>
      <c r="J68" s="6">
        <v>631.76</v>
      </c>
      <c r="K68" s="6">
        <f>'jul lab'!J64+'jul lab'!I64</f>
        <v>1183.44</v>
      </c>
      <c r="L68" s="6">
        <f t="shared" si="22"/>
        <v>1815.2</v>
      </c>
      <c r="M68" s="139">
        <f t="shared" si="23"/>
        <v>25482.52</v>
      </c>
      <c r="N68" s="90"/>
    </row>
    <row r="69" spans="1:16" s="5" customFormat="1" x14ac:dyDescent="0.25">
      <c r="B69" s="46"/>
      <c r="M69" s="78"/>
    </row>
    <row r="70" spans="1:16" x14ac:dyDescent="0.25">
      <c r="A70" s="62" t="s">
        <v>74</v>
      </c>
      <c r="B70" s="164"/>
      <c r="C70" s="165"/>
      <c r="D70" s="165"/>
      <c r="E70" s="165"/>
      <c r="F70" s="165"/>
      <c r="G70" s="166"/>
      <c r="H70" s="269" t="s">
        <v>101</v>
      </c>
      <c r="M70" s="54"/>
    </row>
    <row r="71" spans="1:16" x14ac:dyDescent="0.25">
      <c r="A71" s="85" t="s">
        <v>71</v>
      </c>
      <c r="B71" s="79"/>
      <c r="C71" s="52" t="s">
        <v>51</v>
      </c>
      <c r="D71" s="52"/>
      <c r="E71" s="52"/>
      <c r="F71" s="160"/>
      <c r="G71" s="171" t="s">
        <v>53</v>
      </c>
      <c r="H71" s="270"/>
      <c r="I71" s="80"/>
      <c r="J71" s="52" t="s">
        <v>51</v>
      </c>
      <c r="K71" s="52" t="s">
        <v>53</v>
      </c>
      <c r="L71" s="52" t="s">
        <v>45</v>
      </c>
      <c r="M71" s="68" t="s">
        <v>54</v>
      </c>
      <c r="N71" s="81"/>
    </row>
    <row r="72" spans="1:16" ht="31.5" customHeight="1" x14ac:dyDescent="0.25">
      <c r="A72" s="82" t="s">
        <v>72</v>
      </c>
      <c r="B72" s="71" t="s">
        <v>56</v>
      </c>
      <c r="C72" s="57" t="s">
        <v>57</v>
      </c>
      <c r="D72" s="73" t="s">
        <v>98</v>
      </c>
      <c r="E72" s="161" t="s">
        <v>100</v>
      </c>
      <c r="F72" s="161" t="s">
        <v>102</v>
      </c>
      <c r="G72" s="172" t="s">
        <v>59</v>
      </c>
      <c r="H72" s="271"/>
      <c r="I72" s="80"/>
      <c r="J72" s="57" t="s">
        <v>57</v>
      </c>
      <c r="K72" s="57" t="s">
        <v>59</v>
      </c>
      <c r="L72" s="57" t="s">
        <v>49</v>
      </c>
      <c r="M72" s="76" t="s">
        <v>60</v>
      </c>
      <c r="N72" s="91" t="s">
        <v>61</v>
      </c>
      <c r="P72" s="142"/>
    </row>
    <row r="73" spans="1:16" s="5" customFormat="1" x14ac:dyDescent="0.25">
      <c r="A73" s="88" t="s">
        <v>73</v>
      </c>
      <c r="B73" s="77">
        <v>14</v>
      </c>
      <c r="C73" s="6">
        <v>583.54</v>
      </c>
      <c r="D73" s="155">
        <f>G73*50%</f>
        <v>942.23500000000001</v>
      </c>
      <c r="E73" s="155">
        <f>G73*30%</f>
        <v>565.34100000000001</v>
      </c>
      <c r="F73" s="155">
        <f>'Oct mes fun'!S57</f>
        <v>95.254000000000019</v>
      </c>
      <c r="G73" s="6">
        <f>'jul lab'!E69+'jul lab'!D69</f>
        <v>1884.47</v>
      </c>
      <c r="H73" s="104">
        <f>G73+C73</f>
        <v>2468.0100000000002</v>
      </c>
      <c r="J73" s="6">
        <v>583.54</v>
      </c>
      <c r="K73" s="6">
        <f>'jul lab'!J69+'jul lab'!I69</f>
        <v>1884.47</v>
      </c>
      <c r="L73" s="6">
        <f>K73+J73</f>
        <v>2468.0100000000002</v>
      </c>
      <c r="M73" s="139">
        <f>ROUND((H73*12)+(L73*2),2)</f>
        <v>34552.14</v>
      </c>
      <c r="N73" s="6">
        <v>33588.008721111997</v>
      </c>
    </row>
    <row r="74" spans="1:16" s="5" customFormat="1" x14ac:dyDescent="0.25">
      <c r="B74" s="77">
        <v>13</v>
      </c>
      <c r="C74" s="6">
        <v>583.54</v>
      </c>
      <c r="D74" s="155">
        <f t="shared" ref="D74:D77" si="24">G74*50%</f>
        <v>825.14</v>
      </c>
      <c r="E74" s="155">
        <f t="shared" ref="E74:E77" si="25">G74*30%</f>
        <v>495.08399999999995</v>
      </c>
      <c r="F74" s="155">
        <f>'Oct mes fun'!T57</f>
        <v>100.34</v>
      </c>
      <c r="G74" s="6">
        <f>'jul lab'!E70+'jul lab'!D70</f>
        <v>1650.28</v>
      </c>
      <c r="H74" s="104">
        <f t="shared" ref="H74:H77" si="26">G74+C74</f>
        <v>2233.8199999999997</v>
      </c>
      <c r="J74" s="6">
        <v>583.54</v>
      </c>
      <c r="K74" s="6">
        <f>'jul lab'!J70+'jul lab'!I70</f>
        <v>1650.28</v>
      </c>
      <c r="L74" s="6">
        <f t="shared" ref="L74:L77" si="27">K74+J74</f>
        <v>2233.8199999999997</v>
      </c>
      <c r="M74" s="139">
        <f t="shared" ref="M74:M77" si="28">ROUND((H74*12)+(L74*2),2)</f>
        <v>31273.48</v>
      </c>
      <c r="N74" s="6">
        <v>30401.955636163002</v>
      </c>
    </row>
    <row r="75" spans="1:16" s="5" customFormat="1" x14ac:dyDescent="0.25">
      <c r="B75" s="83">
        <v>12</v>
      </c>
      <c r="C75" s="7">
        <v>583.54</v>
      </c>
      <c r="D75" s="167">
        <f t="shared" si="24"/>
        <v>725.41000000000008</v>
      </c>
      <c r="E75" s="167">
        <f t="shared" si="25"/>
        <v>435.24600000000004</v>
      </c>
      <c r="F75" s="167">
        <f>'Oct mes fun'!U57</f>
        <v>83.51600000000002</v>
      </c>
      <c r="G75" s="7">
        <f>'jul lab'!E71+'jul lab'!D71</f>
        <v>1450.8200000000002</v>
      </c>
      <c r="H75" s="7">
        <f t="shared" si="26"/>
        <v>2034.3600000000001</v>
      </c>
      <c r="I75" s="13"/>
      <c r="J75" s="7">
        <v>583.54</v>
      </c>
      <c r="K75" s="7">
        <f>'jul lab'!J71+'jul lab'!I71</f>
        <v>1450.8200000000002</v>
      </c>
      <c r="L75" s="7">
        <f t="shared" si="27"/>
        <v>2034.3600000000001</v>
      </c>
      <c r="M75" s="16">
        <f t="shared" si="28"/>
        <v>28481.040000000001</v>
      </c>
      <c r="N75" s="6">
        <v>27688.261839349001</v>
      </c>
    </row>
    <row r="76" spans="1:16" s="5" customFormat="1" x14ac:dyDescent="0.25">
      <c r="B76" s="173">
        <v>11</v>
      </c>
      <c r="C76" s="8">
        <v>583.54</v>
      </c>
      <c r="D76" s="174">
        <f t="shared" si="24"/>
        <v>722.7</v>
      </c>
      <c r="E76" s="174">
        <f t="shared" si="25"/>
        <v>433.62</v>
      </c>
      <c r="F76" s="174">
        <f>'Oct mes fun'!V57</f>
        <v>86.506000000000014</v>
      </c>
      <c r="G76" s="8">
        <f>'jul lab'!E72+'jul lab'!D72</f>
        <v>1445.4</v>
      </c>
      <c r="H76" s="8">
        <f t="shared" si="26"/>
        <v>2028.94</v>
      </c>
      <c r="I76" s="14"/>
      <c r="J76" s="8">
        <v>583.54</v>
      </c>
      <c r="K76" s="8">
        <f>'jul lab'!J72+'jul lab'!I72</f>
        <v>1445.4</v>
      </c>
      <c r="L76" s="8">
        <f t="shared" si="27"/>
        <v>2028.94</v>
      </c>
      <c r="M76" s="17">
        <f t="shared" si="28"/>
        <v>28405.16</v>
      </c>
      <c r="N76" s="6">
        <v>27614.279511250999</v>
      </c>
    </row>
    <row r="77" spans="1:16" s="5" customFormat="1" x14ac:dyDescent="0.25">
      <c r="B77" s="77">
        <v>10</v>
      </c>
      <c r="C77" s="6">
        <v>583.54</v>
      </c>
      <c r="D77" s="155">
        <f t="shared" si="24"/>
        <v>597.29000000000008</v>
      </c>
      <c r="E77" s="155">
        <f t="shared" si="25"/>
        <v>358.37400000000002</v>
      </c>
      <c r="F77" s="155">
        <f>'Oct mes fun'!W57</f>
        <v>73.096000000000004</v>
      </c>
      <c r="G77" s="6">
        <f>'jul lab'!E73+'jul lab'!D73</f>
        <v>1194.5800000000002</v>
      </c>
      <c r="H77" s="104">
        <f t="shared" si="26"/>
        <v>1778.1200000000001</v>
      </c>
      <c r="J77" s="6">
        <v>583.54</v>
      </c>
      <c r="K77" s="6">
        <f>'jul lab'!J73+'jul lab'!I73</f>
        <v>1194.5800000000002</v>
      </c>
      <c r="L77" s="6">
        <f t="shared" si="27"/>
        <v>1778.1200000000001</v>
      </c>
      <c r="M77" s="139">
        <f t="shared" si="28"/>
        <v>24893.68</v>
      </c>
      <c r="N77" s="6">
        <v>24201.879006135994</v>
      </c>
    </row>
    <row r="78" spans="1:16" s="5" customFormat="1" x14ac:dyDescent="0.25">
      <c r="B78" s="46"/>
    </row>
    <row r="79" spans="1:16" x14ac:dyDescent="0.25">
      <c r="A79" s="46"/>
      <c r="B79" s="259" t="s">
        <v>75</v>
      </c>
      <c r="C79" s="259"/>
      <c r="E79" s="153"/>
      <c r="F79" s="153"/>
      <c r="H79" s="92" t="s">
        <v>76</v>
      </c>
      <c r="I79" s="93"/>
      <c r="J79" s="93"/>
    </row>
    <row r="80" spans="1:16" x14ac:dyDescent="0.25">
      <c r="A80" s="46"/>
      <c r="B80" s="94" t="s">
        <v>77</v>
      </c>
      <c r="C80" s="94" t="s">
        <v>78</v>
      </c>
      <c r="E80" s="94"/>
      <c r="F80" s="94"/>
    </row>
    <row r="81" spans="1:15" x14ac:dyDescent="0.25">
      <c r="A81" s="95" t="s">
        <v>26</v>
      </c>
      <c r="B81" s="94" t="s">
        <v>79</v>
      </c>
      <c r="C81" s="94" t="s">
        <v>80</v>
      </c>
      <c r="E81" s="94"/>
      <c r="F81" s="94"/>
      <c r="H81" s="96" t="s">
        <v>32</v>
      </c>
      <c r="I81" s="96"/>
      <c r="J81" s="96"/>
      <c r="K81" s="97">
        <v>522.03</v>
      </c>
      <c r="L81" s="97"/>
      <c r="O81" s="163"/>
    </row>
    <row r="82" spans="1:15" x14ac:dyDescent="0.25">
      <c r="A82" s="46" t="s">
        <v>30</v>
      </c>
      <c r="B82">
        <v>45.41</v>
      </c>
      <c r="C82">
        <v>28.02</v>
      </c>
      <c r="H82" s="96" t="s">
        <v>33</v>
      </c>
      <c r="I82" s="96"/>
      <c r="J82" s="96"/>
      <c r="K82" s="97">
        <v>1635.55</v>
      </c>
      <c r="L82" s="97"/>
    </row>
    <row r="83" spans="1:15" x14ac:dyDescent="0.25">
      <c r="A83" s="46" t="s">
        <v>31</v>
      </c>
      <c r="B83">
        <v>37.03</v>
      </c>
      <c r="C83" s="100">
        <v>27</v>
      </c>
      <c r="E83" s="100"/>
      <c r="F83" s="100"/>
      <c r="H83" s="98"/>
      <c r="I83" s="98"/>
      <c r="J83" s="98"/>
      <c r="K83" s="99"/>
      <c r="L83" s="99"/>
    </row>
    <row r="84" spans="1:15" x14ac:dyDescent="0.25">
      <c r="A84" s="46" t="s">
        <v>19</v>
      </c>
      <c r="B84">
        <v>28.02</v>
      </c>
      <c r="C84" s="100">
        <v>24.2</v>
      </c>
      <c r="E84" s="100"/>
      <c r="F84" s="100"/>
      <c r="H84" s="101" t="s">
        <v>81</v>
      </c>
      <c r="I84" s="102"/>
      <c r="J84" s="102"/>
      <c r="K84" s="99" t="s">
        <v>35</v>
      </c>
      <c r="L84" s="99" t="s">
        <v>36</v>
      </c>
    </row>
    <row r="85" spans="1:15" x14ac:dyDescent="0.25">
      <c r="A85" s="46" t="s">
        <v>20</v>
      </c>
      <c r="B85" s="100">
        <v>19.07</v>
      </c>
      <c r="C85">
        <v>18.89</v>
      </c>
      <c r="H85" s="96" t="s">
        <v>82</v>
      </c>
      <c r="I85" s="96"/>
      <c r="J85" s="96"/>
      <c r="K85" s="97">
        <v>0.19</v>
      </c>
      <c r="L85" s="103">
        <v>6.2199999999999998E-2</v>
      </c>
    </row>
    <row r="86" spans="1:15" x14ac:dyDescent="0.25">
      <c r="A86" s="46" t="s">
        <v>83</v>
      </c>
      <c r="B86" s="100">
        <v>14.36</v>
      </c>
      <c r="C86" s="100">
        <v>14.36</v>
      </c>
      <c r="E86" s="100"/>
      <c r="F86" s="100"/>
      <c r="H86" s="96" t="s">
        <v>39</v>
      </c>
      <c r="I86" s="96"/>
      <c r="J86" s="96"/>
      <c r="K86" s="112">
        <v>0</v>
      </c>
      <c r="L86" s="112">
        <v>9.1259999999999994</v>
      </c>
    </row>
    <row r="87" spans="1:15" x14ac:dyDescent="0.25">
      <c r="H87" s="96" t="s">
        <v>84</v>
      </c>
      <c r="I87" s="96"/>
      <c r="J87" s="96"/>
      <c r="K87" s="97"/>
      <c r="L87" s="97"/>
    </row>
    <row r="88" spans="1:15" x14ac:dyDescent="0.25">
      <c r="K88" s="5"/>
      <c r="L88" s="5"/>
    </row>
    <row r="89" spans="1:15" x14ac:dyDescent="0.25">
      <c r="K89" s="5"/>
      <c r="L89" s="5"/>
    </row>
    <row r="90" spans="1:15" x14ac:dyDescent="0.25">
      <c r="K90" s="5"/>
      <c r="L90" s="5"/>
    </row>
  </sheetData>
  <mergeCells count="8">
    <mergeCell ref="B79:C79"/>
    <mergeCell ref="A1:K1"/>
    <mergeCell ref="A6:I6"/>
    <mergeCell ref="D12:F13"/>
    <mergeCell ref="D26:F27"/>
    <mergeCell ref="D43:F44"/>
    <mergeCell ref="H70:H72"/>
    <mergeCell ref="J6:L6"/>
  </mergeCells>
  <pageMargins left="0.70866141732283472" right="0.70866141732283472" top="0.74803149606299213" bottom="0.74803149606299213" header="0.31496062992125984" footer="0.31496062992125984"/>
  <pageSetup paperSize="8"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37" sqref="C37"/>
    </sheetView>
  </sheetViews>
  <sheetFormatPr baseColWidth="10" defaultRowHeight="15" x14ac:dyDescent="0.25"/>
  <cols>
    <col min="1" max="1" width="27.42578125" bestFit="1" customWidth="1"/>
    <col min="2" max="2" width="5.140625" customWidth="1"/>
    <col min="3" max="3" width="25.5703125" bestFit="1" customWidth="1"/>
  </cols>
  <sheetData>
    <row r="1" spans="1:3" x14ac:dyDescent="0.25">
      <c r="A1" s="178" t="s">
        <v>112</v>
      </c>
      <c r="B1" s="178"/>
      <c r="C1" s="178"/>
    </row>
    <row r="2" spans="1:3" x14ac:dyDescent="0.25">
      <c r="A2" s="175" t="s">
        <v>104</v>
      </c>
      <c r="C2" s="175" t="s">
        <v>115</v>
      </c>
    </row>
    <row r="3" spans="1:3" ht="15.75" thickBot="1" x14ac:dyDescent="0.3">
      <c r="A3" s="175"/>
    </row>
    <row r="4" spans="1:3" ht="15.75" thickBot="1" x14ac:dyDescent="0.3">
      <c r="A4" s="176" t="s">
        <v>6</v>
      </c>
      <c r="C4" s="176" t="s">
        <v>6</v>
      </c>
    </row>
    <row r="5" spans="1:3" ht="15.75" thickBot="1" x14ac:dyDescent="0.3">
      <c r="A5" s="177" t="s">
        <v>106</v>
      </c>
      <c r="C5" s="177" t="s">
        <v>116</v>
      </c>
    </row>
    <row r="6" spans="1:3" ht="15.75" thickBot="1" x14ac:dyDescent="0.3">
      <c r="A6" s="177" t="s">
        <v>107</v>
      </c>
      <c r="C6" s="177" t="s">
        <v>117</v>
      </c>
    </row>
    <row r="7" spans="1:3" ht="15.75" thickBot="1" x14ac:dyDescent="0.3">
      <c r="A7" s="177" t="s">
        <v>108</v>
      </c>
      <c r="C7" s="177" t="s">
        <v>118</v>
      </c>
    </row>
    <row r="8" spans="1:3" ht="15.75" thickBot="1" x14ac:dyDescent="0.3">
      <c r="A8" s="177" t="s">
        <v>109</v>
      </c>
      <c r="C8" s="180" t="s">
        <v>119</v>
      </c>
    </row>
    <row r="9" spans="1:3" ht="15.75" thickBot="1" x14ac:dyDescent="0.3">
      <c r="A9" s="177" t="s">
        <v>110</v>
      </c>
      <c r="C9" s="179"/>
    </row>
    <row r="10" spans="1:3" ht="15.75" thickBot="1" x14ac:dyDescent="0.3">
      <c r="A10" s="177" t="s">
        <v>111</v>
      </c>
      <c r="C10" s="179"/>
    </row>
    <row r="12" spans="1:3" x14ac:dyDescent="0.25">
      <c r="A12" s="178" t="s">
        <v>113</v>
      </c>
      <c r="B12" s="178"/>
      <c r="C12" s="178"/>
    </row>
    <row r="13" spans="1:3" x14ac:dyDescent="0.25">
      <c r="A13" s="175" t="s">
        <v>104</v>
      </c>
      <c r="C13" s="175" t="s">
        <v>105</v>
      </c>
    </row>
    <row r="14" spans="1:3" ht="15.75" thickBot="1" x14ac:dyDescent="0.3"/>
    <row r="15" spans="1:3" ht="15.75" thickBot="1" x14ac:dyDescent="0.3">
      <c r="A15" s="176" t="s">
        <v>6</v>
      </c>
      <c r="C15" s="176" t="s">
        <v>120</v>
      </c>
    </row>
    <row r="16" spans="1:3" ht="15.75" thickBot="1" x14ac:dyDescent="0.3">
      <c r="A16" s="177" t="s">
        <v>106</v>
      </c>
      <c r="C16" s="177" t="s">
        <v>117</v>
      </c>
    </row>
    <row r="17" spans="1:3" ht="15.75" thickBot="1" x14ac:dyDescent="0.3">
      <c r="A17" s="181" t="s">
        <v>109</v>
      </c>
      <c r="C17" s="182" t="s">
        <v>121</v>
      </c>
    </row>
    <row r="18" spans="1:3" ht="15.75" thickBot="1" x14ac:dyDescent="0.3">
      <c r="A18" s="182" t="s">
        <v>114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4" workbookViewId="0">
      <selection activeCell="F27" sqref="F27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122</v>
      </c>
      <c r="B2" s="1"/>
      <c r="S2" s="183"/>
      <c r="T2" s="183"/>
      <c r="U2" s="183"/>
      <c r="V2" s="183"/>
      <c r="W2" s="183"/>
      <c r="X2" s="183"/>
      <c r="Y2" s="183"/>
    </row>
    <row r="3" spans="1:25" x14ac:dyDescent="0.25">
      <c r="S3" s="260"/>
      <c r="T3" s="260"/>
      <c r="U3" s="260"/>
      <c r="V3" s="260"/>
      <c r="W3" s="260"/>
      <c r="X3" s="260"/>
      <c r="Y3" s="260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v>1179.96</v>
      </c>
      <c r="D8" s="6">
        <v>1179.96</v>
      </c>
      <c r="E8" s="6">
        <v>1179.96</v>
      </c>
      <c r="F8" s="6">
        <v>1179.96</v>
      </c>
      <c r="G8" s="7">
        <v>1179.96</v>
      </c>
      <c r="H8" s="6">
        <v>1179.96</v>
      </c>
      <c r="I8" s="6">
        <v>1179.96</v>
      </c>
      <c r="J8" s="6">
        <v>1179.96</v>
      </c>
      <c r="K8" s="6">
        <v>1179.96</v>
      </c>
      <c r="L8" s="6">
        <v>1179.96</v>
      </c>
      <c r="M8" s="7">
        <v>1179.96</v>
      </c>
      <c r="N8" s="6">
        <v>1179.96</v>
      </c>
      <c r="O8" s="6">
        <v>1179.96</v>
      </c>
      <c r="P8" s="6">
        <v>1179.96</v>
      </c>
    </row>
    <row r="9" spans="1:25" s="5" customFormat="1" x14ac:dyDescent="0.25">
      <c r="A9" s="58" t="s">
        <v>7</v>
      </c>
      <c r="B9" s="6"/>
      <c r="C9" s="6">
        <v>1030.69</v>
      </c>
      <c r="D9" s="6">
        <v>924.48</v>
      </c>
      <c r="E9" s="6">
        <v>885.63</v>
      </c>
      <c r="F9" s="6">
        <v>846.72</v>
      </c>
      <c r="G9" s="7">
        <v>742.86</v>
      </c>
      <c r="H9" s="6">
        <v>659.07</v>
      </c>
      <c r="I9" s="6">
        <v>620.19000000000005</v>
      </c>
      <c r="J9" s="6">
        <v>581.36</v>
      </c>
      <c r="K9" s="6">
        <v>542.45000000000005</v>
      </c>
      <c r="L9" s="6">
        <v>503.63</v>
      </c>
      <c r="M9" s="7">
        <v>467.83</v>
      </c>
      <c r="N9" s="6">
        <v>467.83</v>
      </c>
      <c r="O9" s="6">
        <v>467.83</v>
      </c>
      <c r="P9" s="6">
        <v>467.83</v>
      </c>
    </row>
    <row r="10" spans="1:25" s="5" customFormat="1" x14ac:dyDescent="0.25">
      <c r="A10" s="58" t="s">
        <v>8</v>
      </c>
      <c r="B10" s="6"/>
      <c r="C10" s="6">
        <f>ROUND(('abril mensual funcionaris'!B12*0.24467%)+('abril mensual funcionaris'!B12),2)</f>
        <v>2468.4699999999998</v>
      </c>
      <c r="D10" s="6">
        <f>ROUND(('abril mensual funcionaris'!C12*0.24467%)+('abril mensual funcionaris'!C12),2)</f>
        <v>2330.88</v>
      </c>
      <c r="E10" s="6">
        <f>ROUND(('abril mensual funcionaris'!D12*0.24467%)+('abril mensual funcionaris'!D12),2)</f>
        <v>2142.8000000000002</v>
      </c>
      <c r="F10" s="6">
        <f>ROUND(('abril mensual funcionaris'!E12*0.24467%)+('abril mensual funcionaris'!E12),2)</f>
        <v>1733.14</v>
      </c>
      <c r="G10" s="7">
        <f>ROUND(('abril mensual funcionaris'!F12*0.24467%)+('abril mensual funcionaris'!F12),2)</f>
        <v>1516.03</v>
      </c>
      <c r="H10" s="6">
        <f>ROUND(('abril mensual funcionaris'!G12*0.24467%)+('abril mensual funcionaris'!G12),2)</f>
        <v>1511.6</v>
      </c>
      <c r="I10" s="6">
        <f>ROUND(('abril mensual funcionaris'!H12*0.24467%)+('abril mensual funcionaris'!H12),2)</f>
        <v>1473.5</v>
      </c>
      <c r="J10" s="6">
        <f>ROUND(('abril mensual funcionaris'!I12*0.24467%)+('abril mensual funcionaris'!I12),2)</f>
        <v>1447.52</v>
      </c>
      <c r="K10" s="6">
        <f>ROUND(('abril mensual funcionaris'!J12*0.24467%)+('abril mensual funcionaris'!J12),2)</f>
        <v>1421.56</v>
      </c>
      <c r="L10" s="6">
        <f>ROUND(('abril mensual funcionaris'!K12*0.24467%)+('abril mensual funcionaris'!K12),2)</f>
        <v>1312.36</v>
      </c>
      <c r="M10" s="7">
        <f>ROUND(('abril mensual funcionaris'!L12*0.24467%)+('abril mensual funcionaris'!L12),2)</f>
        <v>1200.94</v>
      </c>
      <c r="N10" s="6">
        <f>ROUND(('abril mensual funcionaris'!M12*0.24467%)+('abril mensual funcionaris'!M12),2)</f>
        <v>1002.84</v>
      </c>
      <c r="O10" s="6">
        <f>ROUND(('abril mensual funcionaris'!N12*0.24467%)+('abril mensual funcionaris'!N12),2)</f>
        <v>792.9</v>
      </c>
      <c r="P10" s="6">
        <f>ROUND(('abril mensual funcionaris'!O12*0.24467%)+('abril mensual funcionaris'!O12),2)</f>
        <v>561.92999999999995</v>
      </c>
    </row>
    <row r="11" spans="1:25" s="5" customFormat="1" x14ac:dyDescent="0.25">
      <c r="A11" s="58" t="s">
        <v>97</v>
      </c>
      <c r="B11" s="6"/>
      <c r="C11" s="6">
        <v>1375.43</v>
      </c>
      <c r="D11" s="6">
        <v>1321.9150000000002</v>
      </c>
      <c r="E11" s="6">
        <v>1143.4266666666665</v>
      </c>
      <c r="F11" s="6">
        <v>959.84</v>
      </c>
      <c r="G11" s="7">
        <v>853.03166666666675</v>
      </c>
      <c r="H11" s="6">
        <v>853.32333333333338</v>
      </c>
      <c r="I11" s="6">
        <v>834.75</v>
      </c>
      <c r="J11" s="6">
        <v>819.7116666666667</v>
      </c>
      <c r="K11" s="6">
        <v>808.3366666666667</v>
      </c>
      <c r="L11" s="6">
        <v>752.69833333333327</v>
      </c>
      <c r="M11" s="7">
        <v>702.18166666666673</v>
      </c>
      <c r="N11" s="6">
        <v>678.24166666666656</v>
      </c>
      <c r="O11" s="6">
        <v>578.20000000000005</v>
      </c>
      <c r="P11" s="6">
        <v>468.14833333333331</v>
      </c>
    </row>
    <row r="12" spans="1:25" s="38" customFormat="1" hidden="1" x14ac:dyDescent="0.25">
      <c r="A12" s="156">
        <v>0.5</v>
      </c>
      <c r="B12" s="157" t="s">
        <v>94</v>
      </c>
      <c r="C12" s="157">
        <f>C11*$A$12</f>
        <v>687.71500000000003</v>
      </c>
      <c r="D12" s="157">
        <f t="shared" ref="D12:P12" si="0">D11*$A$12</f>
        <v>660.9575000000001</v>
      </c>
      <c r="E12" s="157">
        <f t="shared" si="0"/>
        <v>571.71333333333325</v>
      </c>
      <c r="F12" s="157">
        <f t="shared" si="0"/>
        <v>479.92</v>
      </c>
      <c r="G12" s="170">
        <f t="shared" si="0"/>
        <v>426.51583333333338</v>
      </c>
      <c r="H12" s="157">
        <f t="shared" si="0"/>
        <v>426.66166666666669</v>
      </c>
      <c r="I12" s="157">
        <f t="shared" si="0"/>
        <v>417.375</v>
      </c>
      <c r="J12" s="157">
        <f t="shared" si="0"/>
        <v>409.85583333333335</v>
      </c>
      <c r="K12" s="157">
        <f t="shared" si="0"/>
        <v>404.16833333333335</v>
      </c>
      <c r="L12" s="157">
        <f t="shared" si="0"/>
        <v>376.34916666666663</v>
      </c>
      <c r="M12" s="170">
        <f t="shared" si="0"/>
        <v>351.09083333333336</v>
      </c>
      <c r="N12" s="157">
        <f t="shared" si="0"/>
        <v>339.12083333333328</v>
      </c>
      <c r="O12" s="157">
        <f t="shared" si="0"/>
        <v>289.10000000000002</v>
      </c>
      <c r="P12" s="157">
        <f t="shared" si="0"/>
        <v>234.07416666666666</v>
      </c>
    </row>
    <row r="13" spans="1:25" s="38" customFormat="1" hidden="1" x14ac:dyDescent="0.25">
      <c r="A13" s="156">
        <v>0.3</v>
      </c>
      <c r="B13" s="157" t="s">
        <v>95</v>
      </c>
      <c r="C13" s="157">
        <f>C11*$A$13</f>
        <v>412.62900000000002</v>
      </c>
      <c r="D13" s="157">
        <f t="shared" ref="D13:P13" si="1">D11*$A$13</f>
        <v>396.57450000000006</v>
      </c>
      <c r="E13" s="157">
        <f t="shared" si="1"/>
        <v>343.02799999999996</v>
      </c>
      <c r="F13" s="157">
        <f t="shared" si="1"/>
        <v>287.952</v>
      </c>
      <c r="G13" s="170">
        <f t="shared" si="1"/>
        <v>255.90950000000001</v>
      </c>
      <c r="H13" s="157">
        <f t="shared" si="1"/>
        <v>255.99700000000001</v>
      </c>
      <c r="I13" s="157">
        <f t="shared" si="1"/>
        <v>250.42499999999998</v>
      </c>
      <c r="J13" s="157">
        <f t="shared" si="1"/>
        <v>245.9135</v>
      </c>
      <c r="K13" s="157">
        <f t="shared" si="1"/>
        <v>242.501</v>
      </c>
      <c r="L13" s="157">
        <f t="shared" si="1"/>
        <v>225.80949999999999</v>
      </c>
      <c r="M13" s="170">
        <f t="shared" si="1"/>
        <v>210.65450000000001</v>
      </c>
      <c r="N13" s="157">
        <f t="shared" si="1"/>
        <v>203.47249999999997</v>
      </c>
      <c r="O13" s="157">
        <f t="shared" si="1"/>
        <v>173.46</v>
      </c>
      <c r="P13" s="157">
        <f t="shared" si="1"/>
        <v>140.44449999999998</v>
      </c>
    </row>
    <row r="14" spans="1:25" s="38" customFormat="1" hidden="1" x14ac:dyDescent="0.25">
      <c r="A14" s="156">
        <v>0.2</v>
      </c>
      <c r="B14" s="157" t="s">
        <v>96</v>
      </c>
      <c r="C14" s="157">
        <f>C11*$A$14</f>
        <v>275.08600000000001</v>
      </c>
      <c r="D14" s="157">
        <f t="shared" ref="D14:P14" si="2">D11*$A$14</f>
        <v>264.38300000000004</v>
      </c>
      <c r="E14" s="157">
        <f t="shared" si="2"/>
        <v>228.68533333333332</v>
      </c>
      <c r="F14" s="157">
        <f t="shared" si="2"/>
        <v>191.96800000000002</v>
      </c>
      <c r="G14" s="170">
        <f t="shared" si="2"/>
        <v>170.60633333333337</v>
      </c>
      <c r="H14" s="157">
        <f t="shared" si="2"/>
        <v>170.66466666666668</v>
      </c>
      <c r="I14" s="157">
        <f t="shared" si="2"/>
        <v>166.95000000000002</v>
      </c>
      <c r="J14" s="157">
        <f t="shared" si="2"/>
        <v>163.94233333333335</v>
      </c>
      <c r="K14" s="157">
        <f t="shared" si="2"/>
        <v>161.66733333333335</v>
      </c>
      <c r="L14" s="157">
        <f t="shared" si="2"/>
        <v>150.53966666666665</v>
      </c>
      <c r="M14" s="170">
        <f t="shared" si="2"/>
        <v>140.43633333333335</v>
      </c>
      <c r="N14" s="157">
        <f t="shared" si="2"/>
        <v>135.64833333333331</v>
      </c>
      <c r="O14" s="157">
        <f t="shared" si="2"/>
        <v>115.64000000000001</v>
      </c>
      <c r="P14" s="157">
        <f t="shared" si="2"/>
        <v>93.629666666666665</v>
      </c>
    </row>
    <row r="15" spans="1:25" s="5" customFormat="1" x14ac:dyDescent="0.25">
      <c r="A15" s="58"/>
      <c r="B15" s="6"/>
      <c r="C15" s="15">
        <f>C11+C10+C9+C8</f>
        <v>6054.55</v>
      </c>
      <c r="D15" s="15">
        <f t="shared" ref="D15:P15" si="3">D11+D10+D9+D8</f>
        <v>5757.2349999999997</v>
      </c>
      <c r="E15" s="15">
        <f t="shared" si="3"/>
        <v>5351.8166666666666</v>
      </c>
      <c r="F15" s="15">
        <f t="shared" si="3"/>
        <v>4719.66</v>
      </c>
      <c r="G15" s="16">
        <f t="shared" si="3"/>
        <v>4291.8816666666662</v>
      </c>
      <c r="H15" s="15">
        <f t="shared" si="3"/>
        <v>4203.9533333333329</v>
      </c>
      <c r="I15" s="15">
        <f t="shared" si="3"/>
        <v>4108.3999999999996</v>
      </c>
      <c r="J15" s="15">
        <f t="shared" si="3"/>
        <v>4028.5516666666667</v>
      </c>
      <c r="K15" s="15">
        <f t="shared" si="3"/>
        <v>3952.3066666666664</v>
      </c>
      <c r="L15" s="15">
        <f t="shared" si="3"/>
        <v>3748.6483333333335</v>
      </c>
      <c r="M15" s="7">
        <f t="shared" si="3"/>
        <v>3550.9116666666669</v>
      </c>
      <c r="N15" s="15">
        <f t="shared" si="3"/>
        <v>3328.8716666666664</v>
      </c>
      <c r="O15" s="15">
        <f t="shared" si="3"/>
        <v>3018.89</v>
      </c>
      <c r="P15" s="15">
        <f t="shared" si="3"/>
        <v>2677.8683333333333</v>
      </c>
    </row>
    <row r="16" spans="1:25" x14ac:dyDescent="0.25">
      <c r="C16" s="200">
        <f>C15*0.3%</f>
        <v>18.163650000000001</v>
      </c>
      <c r="D16" s="200">
        <f t="shared" ref="D16:P16" si="4">D15*0.3%</f>
        <v>17.271705000000001</v>
      </c>
      <c r="E16" s="200">
        <f t="shared" si="4"/>
        <v>16.05545</v>
      </c>
      <c r="F16" s="200">
        <f t="shared" si="4"/>
        <v>14.15898</v>
      </c>
      <c r="G16" s="200">
        <f t="shared" si="4"/>
        <v>12.875644999999999</v>
      </c>
      <c r="H16" s="200">
        <f t="shared" si="4"/>
        <v>12.611859999999998</v>
      </c>
      <c r="I16" s="200">
        <f t="shared" si="4"/>
        <v>12.325199999999999</v>
      </c>
      <c r="J16" s="200">
        <f t="shared" si="4"/>
        <v>12.085655000000001</v>
      </c>
      <c r="K16" s="200">
        <f t="shared" si="4"/>
        <v>11.856919999999999</v>
      </c>
      <c r="L16" s="200">
        <f t="shared" si="4"/>
        <v>11.245945000000001</v>
      </c>
      <c r="M16" s="200">
        <f t="shared" si="4"/>
        <v>10.652735000000002</v>
      </c>
      <c r="N16" s="200">
        <f t="shared" si="4"/>
        <v>9.9866149999999987</v>
      </c>
      <c r="O16" s="200">
        <f t="shared" si="4"/>
        <v>9.0566700000000004</v>
      </c>
      <c r="P16" s="200">
        <f t="shared" si="4"/>
        <v>8.0336049999999997</v>
      </c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49"/>
      <c r="H19" s="19"/>
      <c r="I19" s="19"/>
      <c r="J19" s="19"/>
      <c r="K19" s="117"/>
      <c r="L19" s="20"/>
      <c r="M19" s="20"/>
      <c r="N19" s="48"/>
      <c r="O19" s="20"/>
      <c r="P19" s="48"/>
      <c r="Q19" s="20"/>
      <c r="R19" s="49"/>
    </row>
    <row r="20" spans="1:21" s="5" customFormat="1" x14ac:dyDescent="0.25">
      <c r="E20" s="58" t="s">
        <v>6</v>
      </c>
      <c r="F20" s="7">
        <v>1020.28</v>
      </c>
      <c r="G20" s="195">
        <v>1020.28</v>
      </c>
      <c r="H20" s="104">
        <v>1020.28</v>
      </c>
      <c r="I20" s="104">
        <v>1020.28</v>
      </c>
      <c r="J20" s="104">
        <v>1020.28</v>
      </c>
      <c r="K20" s="192">
        <v>1020.28</v>
      </c>
      <c r="L20" s="7">
        <v>1020.28</v>
      </c>
      <c r="M20" s="7">
        <v>1020.28</v>
      </c>
      <c r="N20" s="150">
        <v>1020.28</v>
      </c>
      <c r="O20" s="7">
        <v>1020.28</v>
      </c>
      <c r="P20" s="150">
        <v>1020.28</v>
      </c>
      <c r="Q20" s="7">
        <v>1020.28</v>
      </c>
      <c r="R20" s="195">
        <v>1020.28</v>
      </c>
    </row>
    <row r="21" spans="1:21" s="5" customFormat="1" x14ac:dyDescent="0.25">
      <c r="E21" s="58" t="s">
        <v>7</v>
      </c>
      <c r="F21" s="7">
        <v>742.86</v>
      </c>
      <c r="G21" s="59">
        <v>742.86</v>
      </c>
      <c r="H21" s="6">
        <v>659.07</v>
      </c>
      <c r="I21" s="6">
        <v>620.19000000000005</v>
      </c>
      <c r="J21" s="6">
        <v>581.36</v>
      </c>
      <c r="K21" s="58">
        <v>542.45000000000005</v>
      </c>
      <c r="L21" s="7">
        <v>503.63</v>
      </c>
      <c r="M21" s="7">
        <v>467.83</v>
      </c>
      <c r="N21" s="60">
        <v>443.95</v>
      </c>
      <c r="O21" s="7">
        <v>420.05</v>
      </c>
      <c r="P21" s="150">
        <v>396.15</v>
      </c>
      <c r="Q21" s="7">
        <v>372.32</v>
      </c>
      <c r="R21" s="59">
        <v>371.41</v>
      </c>
    </row>
    <row r="22" spans="1:21" s="5" customFormat="1" x14ac:dyDescent="0.25">
      <c r="E22" s="58" t="s">
        <v>8</v>
      </c>
      <c r="F22" s="7">
        <f>ROUND(('abril mensual funcionaris'!E26*0.24467%)+('abril mensual funcionaris'!E26),2)</f>
        <v>1553.62</v>
      </c>
      <c r="G22" s="195">
        <f>ROUND(('abril mensual funcionaris'!F26*0.24467%)+('abril mensual funcionaris'!F26),2)</f>
        <v>1300.55</v>
      </c>
      <c r="H22" s="104">
        <f>ROUND(('abril mensual funcionaris'!G26*0.24467%)+('abril mensual funcionaris'!G26),2)</f>
        <v>1228.49</v>
      </c>
      <c r="I22" s="104">
        <f>ROUND(('abril mensual funcionaris'!H26*0.24467%)+('abril mensual funcionaris'!H26),2)</f>
        <v>1217.19</v>
      </c>
      <c r="J22" s="104">
        <f>ROUND(('abril mensual funcionaris'!I26*0.24467%)+('abril mensual funcionaris'!I26),2)</f>
        <v>1197.6199999999999</v>
      </c>
      <c r="K22" s="192">
        <f>ROUND(('abril mensual funcionaris'!J26*0.24467%)+('abril mensual funcionaris'!J26),2)</f>
        <v>1178.17</v>
      </c>
      <c r="L22" s="7">
        <f>ROUND(('abril mensual funcionaris'!K26*0.24467%)+('abril mensual funcionaris'!K26),2)</f>
        <v>1152.0999999999999</v>
      </c>
      <c r="M22" s="7">
        <f>ROUND(('abril mensual funcionaris'!L26*0.24467%)+('abril mensual funcionaris'!L26),2)</f>
        <v>1123.76</v>
      </c>
      <c r="N22" s="150">
        <f>ROUND(('abril mensual funcionaris'!M26*0.24467%)+('abril mensual funcionaris'!M26),2)</f>
        <v>1107.1400000000001</v>
      </c>
      <c r="O22" s="7">
        <f>ROUND(('abril mensual funcionaris'!N26*0.24467%)+('abril mensual funcionaris'!N26),2)</f>
        <v>1021.38</v>
      </c>
      <c r="P22" s="150">
        <f>ROUND(('abril mensual funcionaris'!O26*0.24467%)+('abril mensual funcionaris'!O26),2)</f>
        <v>970.17</v>
      </c>
      <c r="Q22" s="7">
        <f>ROUND(('abril mensual funcionaris'!P26*0.24467%)+('abril mensual funcionaris'!P26),2)</f>
        <v>918.92</v>
      </c>
      <c r="R22" s="195">
        <f>ROUND(('abril mensual funcionaris'!Q26*0.24467%)+('abril mensual funcionaris'!Q26),2)</f>
        <v>796.09</v>
      </c>
    </row>
    <row r="23" spans="1:21" s="5" customFormat="1" x14ac:dyDescent="0.25">
      <c r="E23" s="58" t="s">
        <v>97</v>
      </c>
      <c r="F23" s="7">
        <v>1120.7583333333334</v>
      </c>
      <c r="G23" s="5">
        <v>826.4666666666667</v>
      </c>
      <c r="H23" s="5">
        <v>935.49166666666667</v>
      </c>
      <c r="I23" s="5">
        <v>771.27166666666665</v>
      </c>
      <c r="J23" s="5">
        <v>701.25999999999988</v>
      </c>
      <c r="K23" s="5">
        <v>687.82</v>
      </c>
      <c r="L23" s="7">
        <v>675.62833333333333</v>
      </c>
      <c r="M23" s="7">
        <v>665.16333333333341</v>
      </c>
      <c r="N23" s="5">
        <v>656.76333333333343</v>
      </c>
      <c r="O23" s="7">
        <v>613.24666666666667</v>
      </c>
      <c r="P23" s="5">
        <v>593.77499999999998</v>
      </c>
      <c r="Q23" s="7">
        <v>565.92666666666673</v>
      </c>
      <c r="R23" s="5">
        <v>561.77333333333331</v>
      </c>
    </row>
    <row r="24" spans="1:21" s="5" customFormat="1" hidden="1" x14ac:dyDescent="0.25">
      <c r="C24" s="261" t="s">
        <v>94</v>
      </c>
      <c r="D24" s="262"/>
      <c r="E24" s="191">
        <v>0.5</v>
      </c>
      <c r="F24" s="168">
        <f>F23*$E$24</f>
        <v>560.37916666666672</v>
      </c>
      <c r="G24" s="196">
        <f t="shared" ref="G24:R24" si="5">G23*$E$24</f>
        <v>413.23333333333335</v>
      </c>
      <c r="H24" s="169">
        <f t="shared" si="5"/>
        <v>467.74583333333334</v>
      </c>
      <c r="I24" s="169">
        <f t="shared" si="5"/>
        <v>385.63583333333332</v>
      </c>
      <c r="J24" s="169">
        <f t="shared" si="5"/>
        <v>350.62999999999994</v>
      </c>
      <c r="K24" s="193">
        <f t="shared" si="5"/>
        <v>343.91</v>
      </c>
      <c r="L24" s="168">
        <f t="shared" si="5"/>
        <v>337.81416666666667</v>
      </c>
      <c r="M24" s="168">
        <f t="shared" si="5"/>
        <v>332.58166666666671</v>
      </c>
      <c r="N24" s="197">
        <f t="shared" si="5"/>
        <v>328.38166666666672</v>
      </c>
      <c r="O24" s="168">
        <f t="shared" si="5"/>
        <v>306.62333333333333</v>
      </c>
      <c r="P24" s="197">
        <f t="shared" si="5"/>
        <v>296.88749999999999</v>
      </c>
      <c r="Q24" s="168">
        <f t="shared" si="5"/>
        <v>282.96333333333337</v>
      </c>
      <c r="R24" s="196">
        <f t="shared" si="5"/>
        <v>280.88666666666666</v>
      </c>
    </row>
    <row r="25" spans="1:21" s="5" customFormat="1" hidden="1" x14ac:dyDescent="0.25">
      <c r="C25" s="261" t="s">
        <v>95</v>
      </c>
      <c r="D25" s="262"/>
      <c r="E25" s="191">
        <v>0.3</v>
      </c>
      <c r="F25" s="168">
        <f>F23*$E$25</f>
        <v>336.22750000000002</v>
      </c>
      <c r="G25" s="196">
        <f t="shared" ref="G25:R25" si="6">G23*$E$25</f>
        <v>247.94</v>
      </c>
      <c r="H25" s="169">
        <f t="shared" si="6"/>
        <v>280.64749999999998</v>
      </c>
      <c r="I25" s="169">
        <f t="shared" si="6"/>
        <v>231.38149999999999</v>
      </c>
      <c r="J25" s="169">
        <f t="shared" si="6"/>
        <v>210.37799999999996</v>
      </c>
      <c r="K25" s="193">
        <f t="shared" si="6"/>
        <v>206.346</v>
      </c>
      <c r="L25" s="168">
        <f t="shared" si="6"/>
        <v>202.6885</v>
      </c>
      <c r="M25" s="168">
        <f t="shared" si="6"/>
        <v>199.54900000000001</v>
      </c>
      <c r="N25" s="197">
        <f t="shared" si="6"/>
        <v>197.02900000000002</v>
      </c>
      <c r="O25" s="168">
        <f t="shared" si="6"/>
        <v>183.97399999999999</v>
      </c>
      <c r="P25" s="197">
        <f t="shared" si="6"/>
        <v>178.13249999999999</v>
      </c>
      <c r="Q25" s="168">
        <f t="shared" si="6"/>
        <v>169.77800000000002</v>
      </c>
      <c r="R25" s="196">
        <f t="shared" si="6"/>
        <v>168.53199999999998</v>
      </c>
    </row>
    <row r="26" spans="1:21" s="5" customFormat="1" hidden="1" x14ac:dyDescent="0.25">
      <c r="C26" s="261" t="s">
        <v>96</v>
      </c>
      <c r="D26" s="262"/>
      <c r="E26" s="191">
        <v>0.2</v>
      </c>
      <c r="F26" s="168">
        <f>F23*$E$26</f>
        <v>224.1516666666667</v>
      </c>
      <c r="G26" s="196">
        <f t="shared" ref="G26:R26" si="7">G23*$E$26</f>
        <v>165.29333333333335</v>
      </c>
      <c r="H26" s="169">
        <f t="shared" si="7"/>
        <v>187.09833333333336</v>
      </c>
      <c r="I26" s="169">
        <f t="shared" si="7"/>
        <v>154.25433333333334</v>
      </c>
      <c r="J26" s="169">
        <f t="shared" si="7"/>
        <v>140.25199999999998</v>
      </c>
      <c r="K26" s="193">
        <f t="shared" si="7"/>
        <v>137.56400000000002</v>
      </c>
      <c r="L26" s="168">
        <f t="shared" si="7"/>
        <v>135.12566666666666</v>
      </c>
      <c r="M26" s="168">
        <f t="shared" si="7"/>
        <v>133.0326666666667</v>
      </c>
      <c r="N26" s="197">
        <f t="shared" si="7"/>
        <v>131.35266666666669</v>
      </c>
      <c r="O26" s="168">
        <f t="shared" si="7"/>
        <v>122.64933333333335</v>
      </c>
      <c r="P26" s="197">
        <f t="shared" si="7"/>
        <v>118.755</v>
      </c>
      <c r="Q26" s="168">
        <f t="shared" si="7"/>
        <v>113.18533333333335</v>
      </c>
      <c r="R26" s="196">
        <f t="shared" si="7"/>
        <v>112.35466666666667</v>
      </c>
    </row>
    <row r="27" spans="1:21" s="5" customFormat="1" x14ac:dyDescent="0.25">
      <c r="E27" s="15"/>
      <c r="F27" s="16">
        <f>F20+F21+F22+F23</f>
        <v>4437.5183333333334</v>
      </c>
      <c r="G27" s="139">
        <f t="shared" ref="G27:R27" si="8">G20+G21+G22+G23</f>
        <v>3890.1566666666663</v>
      </c>
      <c r="H27" s="139">
        <f t="shared" si="8"/>
        <v>3843.3316666666669</v>
      </c>
      <c r="I27" s="139">
        <f t="shared" si="8"/>
        <v>3628.9316666666664</v>
      </c>
      <c r="J27" s="139">
        <f t="shared" si="8"/>
        <v>3500.5199999999995</v>
      </c>
      <c r="K27" s="194">
        <f t="shared" si="8"/>
        <v>3428.7200000000003</v>
      </c>
      <c r="L27" s="16">
        <f t="shared" si="8"/>
        <v>3351.6383333333333</v>
      </c>
      <c r="M27" s="16">
        <f t="shared" si="8"/>
        <v>3277.0333333333333</v>
      </c>
      <c r="N27" s="198">
        <f t="shared" si="8"/>
        <v>3228.1333333333332</v>
      </c>
      <c r="O27" s="16">
        <f t="shared" si="8"/>
        <v>3074.9566666666669</v>
      </c>
      <c r="P27" s="198">
        <f t="shared" si="8"/>
        <v>2980.375</v>
      </c>
      <c r="Q27" s="16">
        <f t="shared" si="8"/>
        <v>2877.4466666666667</v>
      </c>
      <c r="R27" s="199">
        <f t="shared" si="8"/>
        <v>2749.5533333333333</v>
      </c>
    </row>
    <row r="28" spans="1:21" s="5" customFormat="1" x14ac:dyDescent="0.25">
      <c r="F28" s="200">
        <f>F27*0.3%</f>
        <v>13.312555</v>
      </c>
      <c r="G28" s="200">
        <f t="shared" ref="G28:R28" si="9">G27*0.3%</f>
        <v>11.67047</v>
      </c>
      <c r="H28" s="200">
        <f t="shared" si="9"/>
        <v>11.529995000000001</v>
      </c>
      <c r="I28" s="200">
        <f t="shared" si="9"/>
        <v>10.886794999999999</v>
      </c>
      <c r="J28" s="200">
        <f t="shared" si="9"/>
        <v>10.50156</v>
      </c>
      <c r="K28" s="200">
        <f t="shared" si="9"/>
        <v>10.286160000000001</v>
      </c>
      <c r="L28" s="200">
        <f t="shared" si="9"/>
        <v>10.054914999999999</v>
      </c>
      <c r="M28" s="200">
        <f t="shared" si="9"/>
        <v>9.8310999999999993</v>
      </c>
      <c r="N28" s="200">
        <f t="shared" si="9"/>
        <v>9.6844000000000001</v>
      </c>
      <c r="O28" s="200">
        <f t="shared" si="9"/>
        <v>9.224870000000001</v>
      </c>
      <c r="P28" s="200">
        <f t="shared" si="9"/>
        <v>8.9411249999999995</v>
      </c>
      <c r="Q28" s="200">
        <f t="shared" si="9"/>
        <v>8.632340000000001</v>
      </c>
      <c r="R28" s="200">
        <f t="shared" si="9"/>
        <v>8.2486599999999992</v>
      </c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4" s="5" customFormat="1" x14ac:dyDescent="0.25">
      <c r="P33" s="13"/>
      <c r="Q33" s="13"/>
      <c r="R33" s="13"/>
      <c r="T33" s="13"/>
    </row>
    <row r="34" spans="1:24" s="5" customFormat="1" x14ac:dyDescent="0.25">
      <c r="J34" s="6" t="s">
        <v>6</v>
      </c>
      <c r="K34" s="6"/>
      <c r="L34" s="6">
        <v>766.06</v>
      </c>
      <c r="M34" s="6">
        <v>766.06</v>
      </c>
      <c r="N34" s="6">
        <v>766.06</v>
      </c>
      <c r="O34" s="6">
        <v>766.06</v>
      </c>
      <c r="P34" s="7">
        <v>766.06</v>
      </c>
      <c r="Q34" s="7">
        <v>766.06</v>
      </c>
      <c r="R34" s="7">
        <v>766.06</v>
      </c>
      <c r="S34" s="6">
        <v>766.06</v>
      </c>
      <c r="T34" s="7">
        <v>766.06</v>
      </c>
      <c r="U34" s="6">
        <v>766.06</v>
      </c>
    </row>
    <row r="35" spans="1:24" s="5" customFormat="1" x14ac:dyDescent="0.25">
      <c r="J35" s="6" t="s">
        <v>7</v>
      </c>
      <c r="K35" s="6"/>
      <c r="L35" s="104">
        <v>503.63</v>
      </c>
      <c r="M35" s="104">
        <v>467.83</v>
      </c>
      <c r="N35" s="6">
        <v>443.95</v>
      </c>
      <c r="O35" s="104">
        <v>420.05</v>
      </c>
      <c r="P35" s="7">
        <v>396.15</v>
      </c>
      <c r="Q35" s="7">
        <v>372.32</v>
      </c>
      <c r="R35" s="7">
        <v>348.39</v>
      </c>
      <c r="S35" s="6">
        <v>324.54000000000002</v>
      </c>
      <c r="T35" s="7">
        <v>300.62</v>
      </c>
      <c r="U35" s="6">
        <v>276.72000000000003</v>
      </c>
    </row>
    <row r="36" spans="1:24" s="5" customFormat="1" x14ac:dyDescent="0.25">
      <c r="J36" s="6" t="s">
        <v>8</v>
      </c>
      <c r="K36" s="6"/>
      <c r="L36" s="104">
        <f>ROUND(('abril mensual funcionaris'!K40*0.24467%)+('abril mensual funcionaris'!K40),2)</f>
        <v>1293.22</v>
      </c>
      <c r="M36" s="104">
        <f>ROUND(('abril mensual funcionaris'!L40*0.24467%)+('abril mensual funcionaris'!L40),2)</f>
        <v>1274.2</v>
      </c>
      <c r="N36" s="104">
        <f>ROUND(('abril mensual funcionaris'!M40*0.24467%)+('abril mensual funcionaris'!M40),2)</f>
        <v>1216.58</v>
      </c>
      <c r="O36" s="104">
        <f>ROUND(('abril mensual funcionaris'!N40*0.24467%)+('abril mensual funcionaris'!N40),2)</f>
        <v>1173.97</v>
      </c>
      <c r="P36" s="7">
        <f>ROUND(('abril mensual funcionaris'!O40*0.24467%)+('abril mensual funcionaris'!O40),2)</f>
        <v>1055.8699999999999</v>
      </c>
      <c r="Q36" s="7">
        <f>ROUND(('abril mensual funcionaris'!P40*0.24467%)+('abril mensual funcionaris'!P40),2)</f>
        <v>973.24</v>
      </c>
      <c r="R36" s="7">
        <f>ROUND(('abril mensual funcionaris'!Q40*0.24467%)+('abril mensual funcionaris'!Q40),2)</f>
        <v>855.08</v>
      </c>
      <c r="S36" s="104">
        <f>ROUND(('abril mensual funcionaris'!R40*0.24467%)+('abril mensual funcionaris'!R40),2)</f>
        <v>786.89</v>
      </c>
      <c r="T36" s="7">
        <f>ROUND(('abril mensual funcionaris'!S40*0.24467%)+('abril mensual funcionaris'!S40),2)</f>
        <v>738.86</v>
      </c>
      <c r="U36" s="104">
        <f>ROUND(('abril mensual funcionaris'!T40*0.24467%)+('abril mensual funcionaris'!T40),2)</f>
        <v>646.99</v>
      </c>
    </row>
    <row r="37" spans="1:24" s="5" customFormat="1" x14ac:dyDescent="0.25">
      <c r="J37" s="58" t="s">
        <v>97</v>
      </c>
      <c r="K37" s="6"/>
      <c r="L37" s="104">
        <v>981.51666666666677</v>
      </c>
      <c r="M37" s="104">
        <v>955.62833333333344</v>
      </c>
      <c r="N37" s="104">
        <v>873.06333333333316</v>
      </c>
      <c r="O37" s="104">
        <v>678.07833333333338</v>
      </c>
      <c r="P37" s="7">
        <v>672.08166666666671</v>
      </c>
      <c r="Q37" s="7">
        <v>572.28499999999997</v>
      </c>
      <c r="R37" s="7">
        <v>570.78000000000009</v>
      </c>
      <c r="S37" s="104">
        <v>570.09166666666658</v>
      </c>
      <c r="T37" s="7">
        <v>539.56000000000006</v>
      </c>
      <c r="U37" s="104">
        <v>466.41</v>
      </c>
    </row>
    <row r="38" spans="1:24" s="5" customFormat="1" hidden="1" x14ac:dyDescent="0.25">
      <c r="I38" s="261" t="s">
        <v>94</v>
      </c>
      <c r="J38" s="262"/>
      <c r="K38" s="159">
        <v>0.5</v>
      </c>
      <c r="L38" s="158">
        <f>L37*$K$38</f>
        <v>490.75833333333338</v>
      </c>
      <c r="M38" s="158">
        <f t="shared" ref="M38:U38" si="10">M37*$K$38</f>
        <v>477.81416666666672</v>
      </c>
      <c r="N38" s="158">
        <f t="shared" si="10"/>
        <v>436.53166666666658</v>
      </c>
      <c r="O38" s="158">
        <f t="shared" si="10"/>
        <v>339.03916666666669</v>
      </c>
      <c r="P38" s="170">
        <f t="shared" si="10"/>
        <v>336.04083333333335</v>
      </c>
      <c r="Q38" s="170">
        <f t="shared" si="10"/>
        <v>286.14249999999998</v>
      </c>
      <c r="R38" s="170">
        <f t="shared" si="10"/>
        <v>285.39000000000004</v>
      </c>
      <c r="S38" s="158">
        <f t="shared" si="10"/>
        <v>285.04583333333329</v>
      </c>
      <c r="T38" s="170">
        <f t="shared" si="10"/>
        <v>269.78000000000003</v>
      </c>
      <c r="U38" s="158">
        <f t="shared" si="10"/>
        <v>233.20500000000001</v>
      </c>
    </row>
    <row r="39" spans="1:24" s="5" customFormat="1" hidden="1" x14ac:dyDescent="0.25">
      <c r="I39" s="261" t="s">
        <v>95</v>
      </c>
      <c r="J39" s="262"/>
      <c r="K39" s="159">
        <v>0.3</v>
      </c>
      <c r="L39" s="158">
        <f>$K$39*L37</f>
        <v>294.45500000000004</v>
      </c>
      <c r="M39" s="158">
        <f t="shared" ref="M39:U39" si="11">$K$39*M37</f>
        <v>286.68850000000003</v>
      </c>
      <c r="N39" s="158">
        <f t="shared" si="11"/>
        <v>261.91899999999993</v>
      </c>
      <c r="O39" s="158">
        <f t="shared" si="11"/>
        <v>203.42350000000002</v>
      </c>
      <c r="P39" s="170">
        <f t="shared" si="11"/>
        <v>201.62450000000001</v>
      </c>
      <c r="Q39" s="170">
        <f t="shared" si="11"/>
        <v>171.68549999999999</v>
      </c>
      <c r="R39" s="170">
        <f t="shared" si="11"/>
        <v>171.23400000000001</v>
      </c>
      <c r="S39" s="158">
        <f t="shared" si="11"/>
        <v>171.02749999999997</v>
      </c>
      <c r="T39" s="170">
        <f t="shared" si="11"/>
        <v>161.86800000000002</v>
      </c>
      <c r="U39" s="158">
        <f t="shared" si="11"/>
        <v>139.923</v>
      </c>
    </row>
    <row r="40" spans="1:24" s="5" customFormat="1" hidden="1" x14ac:dyDescent="0.25">
      <c r="I40" s="261" t="s">
        <v>96</v>
      </c>
      <c r="J40" s="262"/>
      <c r="K40" s="159">
        <v>0.2</v>
      </c>
      <c r="L40" s="158">
        <f>L37*$K$40</f>
        <v>196.30333333333337</v>
      </c>
      <c r="M40" s="158">
        <f t="shared" ref="M40:U40" si="12">M37*$K$40</f>
        <v>191.12566666666669</v>
      </c>
      <c r="N40" s="158">
        <f t="shared" si="12"/>
        <v>174.61266666666666</v>
      </c>
      <c r="O40" s="158">
        <f t="shared" si="12"/>
        <v>135.61566666666667</v>
      </c>
      <c r="P40" s="170">
        <f t="shared" si="12"/>
        <v>134.41633333333334</v>
      </c>
      <c r="Q40" s="170">
        <f t="shared" si="12"/>
        <v>114.45699999999999</v>
      </c>
      <c r="R40" s="170">
        <f t="shared" si="12"/>
        <v>114.15600000000002</v>
      </c>
      <c r="S40" s="158">
        <f t="shared" si="12"/>
        <v>114.01833333333332</v>
      </c>
      <c r="T40" s="170">
        <f t="shared" si="12"/>
        <v>107.91200000000002</v>
      </c>
      <c r="U40" s="158">
        <f t="shared" si="12"/>
        <v>93.282000000000011</v>
      </c>
    </row>
    <row r="41" spans="1:24" s="5" customFormat="1" x14ac:dyDescent="0.25">
      <c r="J41" s="15"/>
      <c r="K41" s="15"/>
      <c r="L41" s="17">
        <f>SUM(L34:L37)</f>
        <v>3544.4266666666667</v>
      </c>
      <c r="M41" s="17">
        <f t="shared" ref="M41:U41" si="13">SUM(M34:M37)</f>
        <v>3463.7183333333337</v>
      </c>
      <c r="N41" s="17">
        <f t="shared" si="13"/>
        <v>3299.6533333333332</v>
      </c>
      <c r="O41" s="17">
        <f t="shared" si="13"/>
        <v>3038.1583333333333</v>
      </c>
      <c r="P41" s="16">
        <f t="shared" si="13"/>
        <v>2890.1616666666669</v>
      </c>
      <c r="Q41" s="16">
        <f t="shared" si="13"/>
        <v>2683.9049999999997</v>
      </c>
      <c r="R41" s="16">
        <f t="shared" si="13"/>
        <v>2540.31</v>
      </c>
      <c r="S41" s="17">
        <f t="shared" si="13"/>
        <v>2447.5816666666665</v>
      </c>
      <c r="T41" s="16">
        <f t="shared" si="13"/>
        <v>2345.1</v>
      </c>
      <c r="U41" s="17">
        <f t="shared" si="13"/>
        <v>2156.1799999999998</v>
      </c>
    </row>
    <row r="42" spans="1:24" s="5" customFormat="1" x14ac:dyDescent="0.25">
      <c r="L42" s="200">
        <f>L41*0.3%</f>
        <v>10.633280000000001</v>
      </c>
      <c r="M42" s="200">
        <f t="shared" ref="M42:U42" si="14">M41*0.3%</f>
        <v>10.391155000000001</v>
      </c>
      <c r="N42" s="200">
        <f t="shared" si="14"/>
        <v>9.8989600000000006</v>
      </c>
      <c r="O42" s="200">
        <f t="shared" si="14"/>
        <v>9.1144750000000005</v>
      </c>
      <c r="P42" s="200">
        <f t="shared" si="14"/>
        <v>8.6704850000000011</v>
      </c>
      <c r="Q42" s="200">
        <f t="shared" si="14"/>
        <v>8.0517149999999997</v>
      </c>
      <c r="R42" s="200">
        <f t="shared" si="14"/>
        <v>7.6209300000000004</v>
      </c>
      <c r="S42" s="200">
        <f t="shared" si="14"/>
        <v>7.3427449999999999</v>
      </c>
      <c r="T42" s="200">
        <f>T41*0.3%</f>
        <v>7.0352999999999994</v>
      </c>
      <c r="U42" s="200">
        <f t="shared" si="14"/>
        <v>6.46854</v>
      </c>
    </row>
    <row r="43" spans="1:24" x14ac:dyDescent="0.25">
      <c r="A43" s="1" t="s">
        <v>18</v>
      </c>
      <c r="B43" s="1"/>
    </row>
    <row r="44" spans="1:24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4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4" s="5" customFormat="1" x14ac:dyDescent="0.25"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4" s="5" customFormat="1" x14ac:dyDescent="0.25"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4" s="5" customFormat="1" x14ac:dyDescent="0.25">
      <c r="N48" s="6" t="s">
        <v>6</v>
      </c>
      <c r="O48" s="104">
        <v>637.57000000000005</v>
      </c>
      <c r="P48" s="7">
        <v>637.57000000000005</v>
      </c>
      <c r="Q48" s="104">
        <v>637.57000000000005</v>
      </c>
      <c r="R48" s="104">
        <v>637.57000000000005</v>
      </c>
      <c r="S48" s="7">
        <v>637.57000000000005</v>
      </c>
      <c r="T48" s="7">
        <v>637.57000000000005</v>
      </c>
      <c r="U48" s="7">
        <v>637.57000000000005</v>
      </c>
      <c r="V48" s="7">
        <v>637.57000000000005</v>
      </c>
      <c r="W48" s="104">
        <v>637.57000000000005</v>
      </c>
      <c r="X48" s="7">
        <v>637.57000000000005</v>
      </c>
    </row>
    <row r="49" spans="1:24" s="5" customFormat="1" x14ac:dyDescent="0.25">
      <c r="N49" s="6" t="s">
        <v>7</v>
      </c>
      <c r="O49" s="104">
        <v>420.05</v>
      </c>
      <c r="P49" s="7">
        <v>396.15</v>
      </c>
      <c r="Q49" s="104">
        <v>372.32</v>
      </c>
      <c r="R49" s="104">
        <v>348.39</v>
      </c>
      <c r="S49" s="7">
        <v>324.54000000000002</v>
      </c>
      <c r="T49" s="7">
        <v>300.62</v>
      </c>
      <c r="U49" s="7">
        <v>276.72000000000003</v>
      </c>
      <c r="V49" s="7">
        <v>252.82</v>
      </c>
      <c r="W49" s="104">
        <v>228.97</v>
      </c>
      <c r="X49" s="7">
        <v>217.04</v>
      </c>
    </row>
    <row r="50" spans="1:24" s="5" customFormat="1" x14ac:dyDescent="0.25">
      <c r="N50" s="6" t="s">
        <v>8</v>
      </c>
      <c r="O50" s="104">
        <f>ROUND(('abril mensual funcionaris'!N54*0.24467%)+('abril mensual funcionaris'!N54),2)</f>
        <v>1007.99</v>
      </c>
      <c r="P50" s="7">
        <f>ROUND(('abril mensual funcionaris'!O54*0.24467%)+('abril mensual funcionaris'!O54),2)</f>
        <v>966.16</v>
      </c>
      <c r="Q50" s="104">
        <f>ROUND(('abril mensual funcionaris'!P54*0.24467%)+('abril mensual funcionaris'!P54),2)</f>
        <v>931.2</v>
      </c>
      <c r="R50" s="104">
        <f>ROUND(('abril mensual funcionaris'!Q54*0.24467%)+('abril mensual funcionaris'!Q54),2)</f>
        <v>831.24</v>
      </c>
      <c r="S50" s="7">
        <f>ROUND(('abril mensual funcionaris'!R54*0.24467%)+('abril mensual funcionaris'!R54),2)</f>
        <v>777.61</v>
      </c>
      <c r="T50" s="7">
        <f>ROUND(('abril mensual funcionaris'!S54*0.24467%)+('abril mensual funcionaris'!S54),2)</f>
        <v>677.35</v>
      </c>
      <c r="U50" s="7">
        <f>ROUND(('abril mensual funcionaris'!T54*0.24467%)+('abril mensual funcionaris'!T54),2)</f>
        <v>703.87</v>
      </c>
      <c r="V50" s="7">
        <f>ROUND(('abril mensual funcionaris'!U54*0.24467%)+('abril mensual funcionaris'!U54),2)</f>
        <v>707.2</v>
      </c>
      <c r="W50" s="104">
        <f>ROUND(('abril mensual funcionaris'!V54*0.24467%)+('abril mensual funcionaris'!V54),2)</f>
        <v>589.01</v>
      </c>
      <c r="X50" s="7">
        <f>ROUND(('abril mensual funcionaris'!W54*0.24467%)+('abril mensual funcionaris'!W54),2)</f>
        <v>499.12</v>
      </c>
    </row>
    <row r="51" spans="1:24" s="5" customFormat="1" x14ac:dyDescent="0.25">
      <c r="A51" s="38" t="s">
        <v>41</v>
      </c>
      <c r="B51" s="38"/>
      <c r="N51" s="58" t="s">
        <v>97</v>
      </c>
      <c r="O51" s="104">
        <v>636.2299999999999</v>
      </c>
      <c r="P51" s="7">
        <v>543.72500000000002</v>
      </c>
      <c r="Q51" s="104">
        <v>551.0866666666667</v>
      </c>
      <c r="R51" s="104">
        <v>580.42833333333328</v>
      </c>
      <c r="S51" s="7">
        <v>555.64833333333343</v>
      </c>
      <c r="T51" s="7">
        <v>585.31666666666672</v>
      </c>
      <c r="U51" s="7">
        <v>487.17666666666673</v>
      </c>
      <c r="V51" s="7">
        <v>504.61833333333334</v>
      </c>
      <c r="W51" s="104">
        <v>426.39333333333337</v>
      </c>
      <c r="X51" s="7">
        <v>382.935</v>
      </c>
    </row>
    <row r="52" spans="1:24" s="5" customFormat="1" hidden="1" x14ac:dyDescent="0.25">
      <c r="A52" s="38"/>
      <c r="B52" s="38"/>
      <c r="L52" s="261" t="s">
        <v>94</v>
      </c>
      <c r="M52" s="262"/>
      <c r="N52" s="159">
        <v>0.5</v>
      </c>
      <c r="O52" s="158">
        <f>O51*$N$52</f>
        <v>318.11499999999995</v>
      </c>
      <c r="P52" s="170">
        <f t="shared" ref="P52:X52" si="15">P51*$N$52</f>
        <v>271.86250000000001</v>
      </c>
      <c r="Q52" s="158">
        <f t="shared" si="15"/>
        <v>275.54333333333335</v>
      </c>
      <c r="R52" s="158">
        <f t="shared" si="15"/>
        <v>290.21416666666664</v>
      </c>
      <c r="S52" s="170">
        <f t="shared" si="15"/>
        <v>277.82416666666671</v>
      </c>
      <c r="T52" s="170">
        <f t="shared" si="15"/>
        <v>292.65833333333336</v>
      </c>
      <c r="U52" s="170">
        <f t="shared" si="15"/>
        <v>243.58833333333337</v>
      </c>
      <c r="V52" s="170">
        <f t="shared" si="15"/>
        <v>252.30916666666667</v>
      </c>
      <c r="W52" s="158">
        <f t="shared" si="15"/>
        <v>213.19666666666669</v>
      </c>
      <c r="X52" s="170">
        <f t="shared" si="15"/>
        <v>191.4675</v>
      </c>
    </row>
    <row r="53" spans="1:24" s="5" customFormat="1" hidden="1" x14ac:dyDescent="0.25">
      <c r="A53" s="38"/>
      <c r="B53" s="38"/>
      <c r="L53" s="261" t="s">
        <v>95</v>
      </c>
      <c r="M53" s="262"/>
      <c r="N53" s="159">
        <v>0.3</v>
      </c>
      <c r="O53" s="158">
        <f>O51*$N$53</f>
        <v>190.86899999999997</v>
      </c>
      <c r="P53" s="170">
        <f t="shared" ref="P53:X53" si="16">P51*$N$53</f>
        <v>163.11750000000001</v>
      </c>
      <c r="Q53" s="158">
        <f t="shared" si="16"/>
        <v>165.32599999999999</v>
      </c>
      <c r="R53" s="158">
        <f t="shared" si="16"/>
        <v>174.12849999999997</v>
      </c>
      <c r="S53" s="170">
        <f t="shared" si="16"/>
        <v>166.69450000000003</v>
      </c>
      <c r="T53" s="170">
        <f t="shared" si="16"/>
        <v>175.595</v>
      </c>
      <c r="U53" s="170">
        <f t="shared" si="16"/>
        <v>146.15300000000002</v>
      </c>
      <c r="V53" s="170">
        <f t="shared" si="16"/>
        <v>151.38550000000001</v>
      </c>
      <c r="W53" s="158">
        <f t="shared" si="16"/>
        <v>127.91800000000001</v>
      </c>
      <c r="X53" s="170">
        <f t="shared" si="16"/>
        <v>114.8805</v>
      </c>
    </row>
    <row r="54" spans="1:24" s="5" customFormat="1" hidden="1" x14ac:dyDescent="0.25">
      <c r="A54" s="34"/>
      <c r="B54" s="34"/>
      <c r="C54" s="34"/>
      <c r="D54" s="40"/>
      <c r="L54" s="261" t="s">
        <v>96</v>
      </c>
      <c r="M54" s="262"/>
      <c r="N54" s="159">
        <v>0.2</v>
      </c>
      <c r="O54" s="158">
        <f>O51*$N$54</f>
        <v>127.24599999999998</v>
      </c>
      <c r="P54" s="170">
        <f t="shared" ref="P54:X54" si="17">P51*$N$54</f>
        <v>108.745</v>
      </c>
      <c r="Q54" s="158">
        <f t="shared" si="17"/>
        <v>110.21733333333334</v>
      </c>
      <c r="R54" s="158">
        <f t="shared" si="17"/>
        <v>116.08566666666667</v>
      </c>
      <c r="S54" s="170">
        <f t="shared" si="17"/>
        <v>111.12966666666669</v>
      </c>
      <c r="T54" s="170">
        <f t="shared" si="17"/>
        <v>117.06333333333335</v>
      </c>
      <c r="U54" s="170">
        <f t="shared" si="17"/>
        <v>97.435333333333347</v>
      </c>
      <c r="V54" s="170">
        <f t="shared" si="17"/>
        <v>100.92366666666668</v>
      </c>
      <c r="W54" s="158">
        <f t="shared" si="17"/>
        <v>85.27866666666668</v>
      </c>
      <c r="X54" s="170">
        <f t="shared" si="17"/>
        <v>76.587000000000003</v>
      </c>
    </row>
    <row r="55" spans="1:24" s="5" customFormat="1" x14ac:dyDescent="0.25">
      <c r="A55" s="34" t="s">
        <v>26</v>
      </c>
      <c r="B55" s="34"/>
      <c r="C55" s="34"/>
      <c r="D55" s="40" t="s">
        <v>28</v>
      </c>
      <c r="N55" s="6"/>
      <c r="O55" s="139">
        <f>O51+O50+O49+O48</f>
        <v>2701.84</v>
      </c>
      <c r="P55" s="16">
        <f t="shared" ref="P55:X55" si="18">P51+P50+P49+P48</f>
        <v>2543.605</v>
      </c>
      <c r="Q55" s="139">
        <f t="shared" si="18"/>
        <v>2492.1766666666667</v>
      </c>
      <c r="R55" s="139">
        <f t="shared" si="18"/>
        <v>2397.6283333333336</v>
      </c>
      <c r="S55" s="16">
        <f t="shared" si="18"/>
        <v>2295.3683333333333</v>
      </c>
      <c r="T55" s="16">
        <f t="shared" si="18"/>
        <v>2200.856666666667</v>
      </c>
      <c r="U55" s="16">
        <f t="shared" si="18"/>
        <v>2105.3366666666666</v>
      </c>
      <c r="V55" s="16">
        <f t="shared" si="18"/>
        <v>2102.2083333333335</v>
      </c>
      <c r="W55" s="139">
        <f t="shared" si="18"/>
        <v>1881.9433333333336</v>
      </c>
      <c r="X55" s="16">
        <f t="shared" si="18"/>
        <v>1736.665</v>
      </c>
    </row>
    <row r="56" spans="1:24" x14ac:dyDescent="0.25">
      <c r="A56" s="5" t="s">
        <v>30</v>
      </c>
      <c r="B56" s="5"/>
      <c r="C56" s="5"/>
      <c r="D56" s="5">
        <v>45.41</v>
      </c>
      <c r="O56" s="200">
        <f>O55*0.3%</f>
        <v>8.1055200000000003</v>
      </c>
      <c r="P56" s="200">
        <f t="shared" ref="P56:X56" si="19">P55*0.3%</f>
        <v>7.6308150000000001</v>
      </c>
      <c r="Q56" s="200">
        <f t="shared" si="19"/>
        <v>7.4765300000000003</v>
      </c>
      <c r="R56" s="200">
        <f t="shared" si="19"/>
        <v>7.1928850000000004</v>
      </c>
      <c r="S56" s="200">
        <f t="shared" si="19"/>
        <v>6.8861050000000006</v>
      </c>
      <c r="T56" s="200">
        <f t="shared" si="19"/>
        <v>6.6025700000000009</v>
      </c>
      <c r="U56" s="200">
        <f t="shared" si="19"/>
        <v>6.3160099999999995</v>
      </c>
      <c r="V56" s="200">
        <f t="shared" si="19"/>
        <v>6.3066250000000004</v>
      </c>
      <c r="W56" s="200">
        <f t="shared" si="19"/>
        <v>5.645830000000001</v>
      </c>
      <c r="X56" s="200">
        <f t="shared" si="19"/>
        <v>5.2099950000000002</v>
      </c>
    </row>
    <row r="57" spans="1:24" x14ac:dyDescent="0.25">
      <c r="A57" s="5" t="s">
        <v>31</v>
      </c>
      <c r="B57" s="5"/>
      <c r="C57" s="5"/>
      <c r="D57" s="5">
        <v>37.03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5">
      <c r="A58" t="s">
        <v>19</v>
      </c>
      <c r="D58" s="5">
        <v>28.02</v>
      </c>
    </row>
    <row r="59" spans="1:24" s="5" customFormat="1" x14ac:dyDescent="0.25">
      <c r="A59" t="s">
        <v>20</v>
      </c>
      <c r="B59"/>
      <c r="C59"/>
      <c r="D59" s="5">
        <v>19.07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4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4" s="5" customFormat="1" x14ac:dyDescent="0.25">
      <c r="A61" s="38" t="s">
        <v>24</v>
      </c>
      <c r="B61" s="38"/>
      <c r="H61" s="35"/>
      <c r="I61" s="35"/>
      <c r="J61" s="41"/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4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41"/>
      <c r="K62" s="35"/>
      <c r="L62" s="35"/>
      <c r="M62" s="35"/>
      <c r="N62" s="35"/>
      <c r="O62" s="35"/>
      <c r="P62" s="35"/>
      <c r="Q62" s="35"/>
      <c r="R62" s="35"/>
    </row>
    <row r="63" spans="1:24" s="5" customFormat="1" x14ac:dyDescent="0.25">
      <c r="A63" s="5" t="s">
        <v>30</v>
      </c>
      <c r="C63" s="5">
        <v>728.13</v>
      </c>
      <c r="D63" s="5">
        <v>28.02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4" s="5" customFormat="1" x14ac:dyDescent="0.25">
      <c r="A64" s="5" t="s">
        <v>31</v>
      </c>
      <c r="C64" s="5">
        <v>744.11</v>
      </c>
      <c r="D64" s="5">
        <v>27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662.1</v>
      </c>
      <c r="D65" s="5">
        <v>24.2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631.76</v>
      </c>
      <c r="D66" s="5">
        <v>18.89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0.25569999999999998</v>
      </c>
      <c r="Q67" s="35">
        <v>0.19</v>
      </c>
      <c r="R67" s="44">
        <v>6.2199999999999998E-2</v>
      </c>
    </row>
    <row r="68" spans="1:18" s="5" customFormat="1" x14ac:dyDescent="0.25">
      <c r="H68" s="35"/>
      <c r="I68" s="35"/>
      <c r="J68" s="41" t="s">
        <v>38</v>
      </c>
      <c r="K68" s="35">
        <f>ROUND(('abril mensual funcionaris'!J72*0.24467%)+('abril mensual funcionaris'!J72),2)</f>
        <v>482.51</v>
      </c>
      <c r="L68" s="35"/>
      <c r="M68" s="35" t="s">
        <v>39</v>
      </c>
      <c r="N68" s="35"/>
      <c r="O68" s="35"/>
      <c r="P68" s="35">
        <v>9.1259999999999994</v>
      </c>
      <c r="Q68" s="35">
        <v>0</v>
      </c>
      <c r="R68" s="35">
        <v>9.1259999999999994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1">
    <mergeCell ref="I39:J39"/>
    <mergeCell ref="I40:J40"/>
    <mergeCell ref="L52:M52"/>
    <mergeCell ref="L53:M53"/>
    <mergeCell ref="L54:M54"/>
    <mergeCell ref="I38:J38"/>
    <mergeCell ref="A1:K1"/>
    <mergeCell ref="S3:Y3"/>
    <mergeCell ref="C24:D24"/>
    <mergeCell ref="C25:D25"/>
    <mergeCell ref="C26:D26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B4" workbookViewId="0">
      <selection activeCell="U56" sqref="U56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185" t="s">
        <v>123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122</v>
      </c>
      <c r="B2" s="1"/>
      <c r="S2" s="184"/>
      <c r="T2" s="184"/>
      <c r="U2" s="184"/>
      <c r="V2" s="184"/>
      <c r="W2" s="184"/>
      <c r="X2" s="184"/>
      <c r="Y2" s="184"/>
    </row>
    <row r="3" spans="1:25" x14ac:dyDescent="0.25">
      <c r="S3" s="184"/>
      <c r="T3" s="184"/>
      <c r="U3" s="184"/>
      <c r="V3" s="184"/>
      <c r="W3" s="184"/>
      <c r="X3" s="184"/>
      <c r="Y3" s="184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f>ROUND(('CE mes'!C8*12)+('CE any'!$C$63*2),2)</f>
        <v>15615.78</v>
      </c>
      <c r="D8" s="6">
        <f>ROUND(('CE mes'!D8*12)+('CE any'!$C$63*2),2)</f>
        <v>15615.78</v>
      </c>
      <c r="E8" s="6">
        <f>ROUND(('CE mes'!E8*12)+('CE any'!$C$63*2),2)</f>
        <v>15615.78</v>
      </c>
      <c r="F8" s="6">
        <f>ROUND(('CE mes'!F8*12)+('CE any'!$C$63*2),2)</f>
        <v>15615.78</v>
      </c>
      <c r="G8" s="7">
        <f>ROUND(('CE mes'!G8*12)+('CE any'!$C$63*2),2)</f>
        <v>15615.78</v>
      </c>
      <c r="H8" s="6">
        <f>ROUND(('CE mes'!H8*12)+('CE any'!$C$63*2),2)</f>
        <v>15615.78</v>
      </c>
      <c r="I8" s="6">
        <f>ROUND(('CE mes'!I8*12)+('CE any'!$C$63*2),2)</f>
        <v>15615.78</v>
      </c>
      <c r="J8" s="6">
        <f>ROUND(('CE mes'!J8*12)+('CE any'!$C$63*2),2)</f>
        <v>15615.78</v>
      </c>
      <c r="K8" s="6">
        <f>ROUND(('CE mes'!K8*12)+('CE any'!$C$63*2),2)</f>
        <v>15615.78</v>
      </c>
      <c r="L8" s="6">
        <f>ROUND(('CE mes'!L8*12)+('CE any'!$C$63*2),2)</f>
        <v>15615.78</v>
      </c>
      <c r="M8" s="7">
        <f>ROUND(('CE mes'!M8*12)+('CE any'!$C$63*2),2)</f>
        <v>15615.78</v>
      </c>
      <c r="N8" s="6">
        <f>ROUND(('CE mes'!N8*12)+('CE any'!$C$63*2),2)</f>
        <v>15615.78</v>
      </c>
      <c r="O8" s="6">
        <f>ROUND(('CE mes'!O8*12)+('CE any'!$C$63*2),2)</f>
        <v>15615.78</v>
      </c>
      <c r="P8" s="6">
        <f>ROUND(('CE mes'!P8*12)+('CE any'!$C$63*2),2)</f>
        <v>15615.78</v>
      </c>
    </row>
    <row r="9" spans="1:25" s="5" customFormat="1" x14ac:dyDescent="0.25">
      <c r="A9" s="58" t="s">
        <v>7</v>
      </c>
      <c r="B9" s="6"/>
      <c r="C9" s="6">
        <f>'CE mes'!C9*14</f>
        <v>14429.66</v>
      </c>
      <c r="D9" s="6">
        <f>'CE mes'!D9*14</f>
        <v>12942.720000000001</v>
      </c>
      <c r="E9" s="6">
        <f>'CE mes'!E9*14</f>
        <v>12398.82</v>
      </c>
      <c r="F9" s="6">
        <f>'CE mes'!F9*14</f>
        <v>11854.08</v>
      </c>
      <c r="G9" s="7">
        <f>'CE mes'!G9*14</f>
        <v>10400.040000000001</v>
      </c>
      <c r="H9" s="6">
        <f>'CE mes'!H9*14</f>
        <v>9226.9800000000014</v>
      </c>
      <c r="I9" s="6">
        <f>'CE mes'!I9*14</f>
        <v>8682.66</v>
      </c>
      <c r="J9" s="6">
        <f>'CE mes'!J9*14</f>
        <v>8139.04</v>
      </c>
      <c r="K9" s="6">
        <f>'CE mes'!K9*14</f>
        <v>7594.3000000000011</v>
      </c>
      <c r="L9" s="6">
        <f>'CE mes'!L9*14</f>
        <v>7050.82</v>
      </c>
      <c r="M9" s="7">
        <f>'CE mes'!M9*14</f>
        <v>6549.62</v>
      </c>
      <c r="N9" s="6">
        <f>'CE mes'!N9*14</f>
        <v>6549.62</v>
      </c>
      <c r="O9" s="6">
        <f>'CE mes'!O9*14</f>
        <v>6549.62</v>
      </c>
      <c r="P9" s="6">
        <f>'CE mes'!P9*14</f>
        <v>6549.62</v>
      </c>
    </row>
    <row r="10" spans="1:25" s="5" customFormat="1" x14ac:dyDescent="0.25">
      <c r="A10" s="58" t="s">
        <v>8</v>
      </c>
      <c r="B10" s="6"/>
      <c r="C10" s="6">
        <f>'CE mes'!C10*14</f>
        <v>34558.579999999994</v>
      </c>
      <c r="D10" s="6">
        <f>'CE mes'!D10*14</f>
        <v>32632.32</v>
      </c>
      <c r="E10" s="6">
        <f>'CE mes'!E10*14</f>
        <v>29999.200000000004</v>
      </c>
      <c r="F10" s="6">
        <f>'CE mes'!F10*14</f>
        <v>24263.960000000003</v>
      </c>
      <c r="G10" s="7">
        <f>'CE mes'!G10*14</f>
        <v>21224.42</v>
      </c>
      <c r="H10" s="6">
        <f>'CE mes'!H10*14</f>
        <v>21162.399999999998</v>
      </c>
      <c r="I10" s="6">
        <f>'CE mes'!I10*14</f>
        <v>20629</v>
      </c>
      <c r="J10" s="6">
        <f>'CE mes'!J10*14</f>
        <v>20265.28</v>
      </c>
      <c r="K10" s="6">
        <f>'CE mes'!K10*14</f>
        <v>19901.84</v>
      </c>
      <c r="L10" s="6">
        <f>'CE mes'!L10*14</f>
        <v>18373.039999999997</v>
      </c>
      <c r="M10" s="7">
        <f>'CE mes'!M10*14</f>
        <v>16813.16</v>
      </c>
      <c r="N10" s="6">
        <f>'CE mes'!N10*14</f>
        <v>14039.76</v>
      </c>
      <c r="O10" s="6">
        <f>'CE mes'!O10*14</f>
        <v>11100.6</v>
      </c>
      <c r="P10" s="6">
        <f>'CE mes'!P10*14</f>
        <v>7867.0199999999995</v>
      </c>
    </row>
    <row r="11" spans="1:25" s="5" customFormat="1" x14ac:dyDescent="0.25">
      <c r="A11" s="58" t="s">
        <v>97</v>
      </c>
      <c r="B11" s="6"/>
      <c r="C11" s="6">
        <f>'CE mes'!C11*12</f>
        <v>16505.16</v>
      </c>
      <c r="D11" s="6">
        <f>'CE mes'!D11*12</f>
        <v>15862.980000000003</v>
      </c>
      <c r="E11" s="6">
        <f>'CE mes'!E11*12</f>
        <v>13721.119999999999</v>
      </c>
      <c r="F11" s="6">
        <f>'CE mes'!F11*12</f>
        <v>11518.08</v>
      </c>
      <c r="G11" s="7">
        <f>'CE mes'!G11*12</f>
        <v>10236.380000000001</v>
      </c>
      <c r="H11" s="6">
        <f>'CE mes'!H11*12</f>
        <v>10239.880000000001</v>
      </c>
      <c r="I11" s="6">
        <f>'CE mes'!I11*12</f>
        <v>10017</v>
      </c>
      <c r="J11" s="6">
        <f>'CE mes'!J11*12</f>
        <v>9836.5400000000009</v>
      </c>
      <c r="K11" s="6">
        <f>'CE mes'!K11*12</f>
        <v>9700.0400000000009</v>
      </c>
      <c r="L11" s="6">
        <f>'CE mes'!L11*12</f>
        <v>9032.3799999999992</v>
      </c>
      <c r="M11" s="7">
        <f>'CE mes'!M11*12</f>
        <v>8426.18</v>
      </c>
      <c r="N11" s="6">
        <f>'CE mes'!N11*12</f>
        <v>8138.8999999999987</v>
      </c>
      <c r="O11" s="6">
        <f>'CE mes'!O11*12</f>
        <v>6938.4000000000005</v>
      </c>
      <c r="P11" s="6">
        <f>'CE mes'!P11*12</f>
        <v>5617.78</v>
      </c>
    </row>
    <row r="12" spans="1:25" s="38" customFormat="1" x14ac:dyDescent="0.25">
      <c r="A12" s="156">
        <v>0.5</v>
      </c>
      <c r="B12" s="157" t="s">
        <v>94</v>
      </c>
      <c r="C12" s="6">
        <f>'CE mes'!C12*12</f>
        <v>8252.58</v>
      </c>
      <c r="D12" s="6">
        <f>'CE mes'!D12*12</f>
        <v>7931.4900000000016</v>
      </c>
      <c r="E12" s="6">
        <f>'CE mes'!E12*12</f>
        <v>6860.5599999999995</v>
      </c>
      <c r="F12" s="6">
        <f>'CE mes'!F12*12</f>
        <v>5759.04</v>
      </c>
      <c r="G12" s="7">
        <f>'CE mes'!G12*12</f>
        <v>5118.1900000000005</v>
      </c>
      <c r="H12" s="6">
        <f>'CE mes'!H12*12</f>
        <v>5119.9400000000005</v>
      </c>
      <c r="I12" s="6">
        <f>'CE mes'!I12*12</f>
        <v>5008.5</v>
      </c>
      <c r="J12" s="6">
        <f>'CE mes'!J12*12</f>
        <v>4918.2700000000004</v>
      </c>
      <c r="K12" s="6">
        <f>'CE mes'!K12*12</f>
        <v>4850.0200000000004</v>
      </c>
      <c r="L12" s="6">
        <f>'CE mes'!L12*12</f>
        <v>4516.1899999999996</v>
      </c>
      <c r="M12" s="7">
        <f>'CE mes'!M12*12</f>
        <v>4213.09</v>
      </c>
      <c r="N12" s="6">
        <f>'CE mes'!N12*12</f>
        <v>4069.4499999999994</v>
      </c>
      <c r="O12" s="6">
        <f>'CE mes'!O12*12</f>
        <v>3469.2000000000003</v>
      </c>
      <c r="P12" s="6">
        <f>'CE mes'!P12*12</f>
        <v>2808.89</v>
      </c>
    </row>
    <row r="13" spans="1:25" s="38" customFormat="1" x14ac:dyDescent="0.25">
      <c r="A13" s="156">
        <v>0.3</v>
      </c>
      <c r="B13" s="157" t="s">
        <v>95</v>
      </c>
      <c r="C13" s="157">
        <f>C11*$A$12</f>
        <v>8252.58</v>
      </c>
      <c r="D13" s="157">
        <f t="shared" ref="D13:P13" si="0">D11*$A$12</f>
        <v>7931.4900000000016</v>
      </c>
      <c r="E13" s="157">
        <f t="shared" si="0"/>
        <v>6860.5599999999995</v>
      </c>
      <c r="F13" s="157">
        <f t="shared" si="0"/>
        <v>5759.04</v>
      </c>
      <c r="G13" s="170">
        <f t="shared" si="0"/>
        <v>5118.1900000000005</v>
      </c>
      <c r="H13" s="157">
        <f t="shared" si="0"/>
        <v>5119.9400000000005</v>
      </c>
      <c r="I13" s="157">
        <f t="shared" si="0"/>
        <v>5008.5</v>
      </c>
      <c r="J13" s="157">
        <f t="shared" si="0"/>
        <v>4918.2700000000004</v>
      </c>
      <c r="K13" s="157">
        <f t="shared" si="0"/>
        <v>4850.0200000000004</v>
      </c>
      <c r="L13" s="157">
        <f t="shared" si="0"/>
        <v>4516.1899999999996</v>
      </c>
      <c r="M13" s="170">
        <f t="shared" si="0"/>
        <v>4213.09</v>
      </c>
      <c r="N13" s="157">
        <f t="shared" si="0"/>
        <v>4069.4499999999994</v>
      </c>
      <c r="O13" s="157">
        <f t="shared" si="0"/>
        <v>3469.2000000000003</v>
      </c>
      <c r="P13" s="157">
        <f t="shared" si="0"/>
        <v>2808.89</v>
      </c>
    </row>
    <row r="14" spans="1:25" s="38" customFormat="1" x14ac:dyDescent="0.25">
      <c r="A14" s="156">
        <v>0.2</v>
      </c>
      <c r="B14" s="157" t="s">
        <v>96</v>
      </c>
      <c r="C14" s="157">
        <f>C11*$A$12</f>
        <v>8252.58</v>
      </c>
      <c r="D14" s="157">
        <f t="shared" ref="D14:P14" si="1">D11*$A$12</f>
        <v>7931.4900000000016</v>
      </c>
      <c r="E14" s="157">
        <f t="shared" si="1"/>
        <v>6860.5599999999995</v>
      </c>
      <c r="F14" s="157">
        <f t="shared" si="1"/>
        <v>5759.04</v>
      </c>
      <c r="G14" s="170">
        <f t="shared" si="1"/>
        <v>5118.1900000000005</v>
      </c>
      <c r="H14" s="157">
        <f t="shared" si="1"/>
        <v>5119.9400000000005</v>
      </c>
      <c r="I14" s="157">
        <f t="shared" si="1"/>
        <v>5008.5</v>
      </c>
      <c r="J14" s="157">
        <f t="shared" si="1"/>
        <v>4918.2700000000004</v>
      </c>
      <c r="K14" s="157">
        <f t="shared" si="1"/>
        <v>4850.0200000000004</v>
      </c>
      <c r="L14" s="157">
        <f t="shared" si="1"/>
        <v>4516.1899999999996</v>
      </c>
      <c r="M14" s="170">
        <f t="shared" si="1"/>
        <v>4213.09</v>
      </c>
      <c r="N14" s="157">
        <f t="shared" si="1"/>
        <v>4069.4499999999994</v>
      </c>
      <c r="O14" s="157">
        <f t="shared" si="1"/>
        <v>3469.2000000000003</v>
      </c>
      <c r="P14" s="157">
        <f t="shared" si="1"/>
        <v>2808.89</v>
      </c>
    </row>
    <row r="15" spans="1:25" s="5" customFormat="1" x14ac:dyDescent="0.25">
      <c r="A15" s="58"/>
      <c r="B15" s="6"/>
      <c r="C15" s="15">
        <f>C11+C10+C9+C8</f>
        <v>81109.179999999993</v>
      </c>
      <c r="D15" s="15">
        <f t="shared" ref="D15:P15" si="2">D11+D10+D9+D8</f>
        <v>77053.8</v>
      </c>
      <c r="E15" s="15">
        <f t="shared" si="2"/>
        <v>71734.920000000013</v>
      </c>
      <c r="F15" s="15">
        <f t="shared" si="2"/>
        <v>63251.9</v>
      </c>
      <c r="G15" s="16">
        <f t="shared" si="2"/>
        <v>57476.619999999995</v>
      </c>
      <c r="H15" s="15">
        <f t="shared" si="2"/>
        <v>56245.04</v>
      </c>
      <c r="I15" s="15">
        <f t="shared" si="2"/>
        <v>54944.44</v>
      </c>
      <c r="J15" s="15">
        <f t="shared" si="2"/>
        <v>53856.639999999999</v>
      </c>
      <c r="K15" s="15">
        <f t="shared" si="2"/>
        <v>52811.96</v>
      </c>
      <c r="L15" s="15">
        <f t="shared" si="2"/>
        <v>50072.02</v>
      </c>
      <c r="M15" s="16">
        <f t="shared" si="2"/>
        <v>47404.74</v>
      </c>
      <c r="N15" s="15">
        <f t="shared" si="2"/>
        <v>44344.06</v>
      </c>
      <c r="O15" s="15">
        <f t="shared" si="2"/>
        <v>40204.400000000001</v>
      </c>
      <c r="P15" s="15">
        <f t="shared" si="2"/>
        <v>35650.199999999997</v>
      </c>
    </row>
    <row r="16" spans="1:25" x14ac:dyDescent="0.25">
      <c r="C16" s="200">
        <f>C15*0.3%</f>
        <v>243.32753999999997</v>
      </c>
      <c r="D16" s="200">
        <f t="shared" ref="D16:P16" si="3">D15*0.3%</f>
        <v>231.16140000000001</v>
      </c>
      <c r="E16" s="200">
        <f t="shared" si="3"/>
        <v>215.20476000000005</v>
      </c>
      <c r="F16" s="200">
        <f t="shared" si="3"/>
        <v>189.75570000000002</v>
      </c>
      <c r="G16" s="200">
        <f t="shared" si="3"/>
        <v>172.42985999999999</v>
      </c>
      <c r="H16" s="200">
        <f t="shared" si="3"/>
        <v>168.73511999999999</v>
      </c>
      <c r="I16" s="200">
        <f t="shared" si="3"/>
        <v>164.83332000000001</v>
      </c>
      <c r="J16" s="200">
        <f t="shared" si="3"/>
        <v>161.56992</v>
      </c>
      <c r="K16" s="200">
        <f t="shared" si="3"/>
        <v>158.43588</v>
      </c>
      <c r="L16" s="200">
        <f t="shared" si="3"/>
        <v>150.21606</v>
      </c>
      <c r="M16" s="200">
        <f t="shared" si="3"/>
        <v>142.21421999999998</v>
      </c>
      <c r="N16" s="200">
        <f t="shared" si="3"/>
        <v>133.03217999999998</v>
      </c>
      <c r="O16" s="200">
        <f t="shared" si="3"/>
        <v>120.61320000000001</v>
      </c>
      <c r="P16" s="200">
        <f t="shared" si="3"/>
        <v>106.95059999999999</v>
      </c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19"/>
      <c r="H19" s="19"/>
      <c r="I19" s="19"/>
      <c r="J19" s="19"/>
      <c r="K19" s="19"/>
      <c r="L19" s="20"/>
      <c r="M19" s="20"/>
      <c r="N19" s="19"/>
      <c r="O19" s="20"/>
      <c r="P19" s="19"/>
      <c r="Q19" s="20"/>
      <c r="R19" s="19"/>
    </row>
    <row r="20" spans="1:21" s="5" customFormat="1" x14ac:dyDescent="0.25">
      <c r="E20" s="6" t="s">
        <v>6</v>
      </c>
      <c r="F20" s="7">
        <f>ROUND((1020.28*12)+($C$64*2),2)</f>
        <v>13731.58</v>
      </c>
      <c r="G20" s="104">
        <f t="shared" ref="G20:R20" si="4">ROUND((1020.28*12)+($C$64*2),2)</f>
        <v>13731.58</v>
      </c>
      <c r="H20" s="104">
        <f t="shared" si="4"/>
        <v>13731.58</v>
      </c>
      <c r="I20" s="104">
        <f t="shared" si="4"/>
        <v>13731.58</v>
      </c>
      <c r="J20" s="104">
        <f t="shared" si="4"/>
        <v>13731.58</v>
      </c>
      <c r="K20" s="104">
        <f t="shared" si="4"/>
        <v>13731.58</v>
      </c>
      <c r="L20" s="7">
        <f t="shared" si="4"/>
        <v>13731.58</v>
      </c>
      <c r="M20" s="7">
        <f t="shared" si="4"/>
        <v>13731.58</v>
      </c>
      <c r="N20" s="104">
        <f t="shared" si="4"/>
        <v>13731.58</v>
      </c>
      <c r="O20" s="7">
        <f t="shared" si="4"/>
        <v>13731.58</v>
      </c>
      <c r="P20" s="104">
        <f t="shared" si="4"/>
        <v>13731.58</v>
      </c>
      <c r="Q20" s="7">
        <f t="shared" si="4"/>
        <v>13731.58</v>
      </c>
      <c r="R20" s="104">
        <f t="shared" si="4"/>
        <v>13731.58</v>
      </c>
    </row>
    <row r="21" spans="1:21" s="5" customFormat="1" x14ac:dyDescent="0.25">
      <c r="E21" s="6" t="s">
        <v>7</v>
      </c>
      <c r="F21" s="7">
        <f>'CE mes'!F21*14</f>
        <v>10400.040000000001</v>
      </c>
      <c r="G21" s="104">
        <f>'CE mes'!G21*14</f>
        <v>10400.040000000001</v>
      </c>
      <c r="H21" s="104">
        <f>'CE mes'!H21*14</f>
        <v>9226.9800000000014</v>
      </c>
      <c r="I21" s="104">
        <f>'CE mes'!I21*14</f>
        <v>8682.66</v>
      </c>
      <c r="J21" s="104">
        <f>'CE mes'!J21*14</f>
        <v>8139.04</v>
      </c>
      <c r="K21" s="104">
        <f>'CE mes'!K21*14</f>
        <v>7594.3000000000011</v>
      </c>
      <c r="L21" s="7">
        <f>'CE mes'!L21*14</f>
        <v>7050.82</v>
      </c>
      <c r="M21" s="7">
        <f>'CE mes'!M21*14</f>
        <v>6549.62</v>
      </c>
      <c r="N21" s="104">
        <f>'CE mes'!N21*14</f>
        <v>6215.3</v>
      </c>
      <c r="O21" s="7">
        <f>'CE mes'!O21*14</f>
        <v>5880.7</v>
      </c>
      <c r="P21" s="104">
        <f>'CE mes'!P21*14</f>
        <v>5546.0999999999995</v>
      </c>
      <c r="Q21" s="7">
        <f>'CE mes'!Q21*14</f>
        <v>5212.4799999999996</v>
      </c>
      <c r="R21" s="104">
        <f>'CE mes'!R21*14</f>
        <v>5199.7400000000007</v>
      </c>
    </row>
    <row r="22" spans="1:21" s="5" customFormat="1" x14ac:dyDescent="0.25">
      <c r="E22" s="6" t="s">
        <v>8</v>
      </c>
      <c r="F22" s="7">
        <f>'CE mes'!F22*14</f>
        <v>21750.68</v>
      </c>
      <c r="G22" s="104">
        <f>'CE mes'!G22*14</f>
        <v>18207.7</v>
      </c>
      <c r="H22" s="104">
        <f>'CE mes'!H22*14</f>
        <v>17198.86</v>
      </c>
      <c r="I22" s="104">
        <f>'CE mes'!I22*14</f>
        <v>17040.66</v>
      </c>
      <c r="J22" s="104">
        <f>'CE mes'!J22*14</f>
        <v>16766.68</v>
      </c>
      <c r="K22" s="104">
        <f>'CE mes'!K22*14</f>
        <v>16494.38</v>
      </c>
      <c r="L22" s="7">
        <f>'CE mes'!L22*14</f>
        <v>16129.399999999998</v>
      </c>
      <c r="M22" s="7">
        <f>'CE mes'!M22*14</f>
        <v>15732.64</v>
      </c>
      <c r="N22" s="104">
        <f>'CE mes'!N22*14</f>
        <v>15499.960000000001</v>
      </c>
      <c r="O22" s="7">
        <f>'CE mes'!O22*14</f>
        <v>14299.32</v>
      </c>
      <c r="P22" s="104">
        <f>'CE mes'!P22*14</f>
        <v>13582.38</v>
      </c>
      <c r="Q22" s="7">
        <f>'CE mes'!Q22*14</f>
        <v>12864.88</v>
      </c>
      <c r="R22" s="104">
        <f>'CE mes'!R22*14</f>
        <v>11145.26</v>
      </c>
    </row>
    <row r="23" spans="1:21" s="5" customFormat="1" x14ac:dyDescent="0.25">
      <c r="E23" s="58" t="s">
        <v>97</v>
      </c>
      <c r="F23" s="7">
        <f>'CE mes'!F23*12</f>
        <v>13449.100000000002</v>
      </c>
      <c r="G23" s="104">
        <f>'CE mes'!G23*12</f>
        <v>9917.6</v>
      </c>
      <c r="H23" s="104">
        <f>'CE mes'!H23*12</f>
        <v>11225.9</v>
      </c>
      <c r="I23" s="104">
        <f>'CE mes'!I23*12</f>
        <v>9255.26</v>
      </c>
      <c r="J23" s="104">
        <f>'CE mes'!J23*12</f>
        <v>8415.119999999999</v>
      </c>
      <c r="K23" s="104">
        <f>'CE mes'!K23*12</f>
        <v>8253.84</v>
      </c>
      <c r="L23" s="7">
        <f>'CE mes'!L23*12</f>
        <v>8107.54</v>
      </c>
      <c r="M23" s="7">
        <f>'CE mes'!M23*12</f>
        <v>7981.9600000000009</v>
      </c>
      <c r="N23" s="104">
        <f>'CE mes'!N23*12</f>
        <v>7881.1600000000017</v>
      </c>
      <c r="O23" s="7">
        <f>'CE mes'!O23*12</f>
        <v>7358.96</v>
      </c>
      <c r="P23" s="104">
        <f>'CE mes'!P23*12</f>
        <v>7125.2999999999993</v>
      </c>
      <c r="Q23" s="7">
        <f>'CE mes'!Q23*12</f>
        <v>6791.1200000000008</v>
      </c>
      <c r="R23" s="104">
        <f>'CE mes'!R23*12</f>
        <v>6741.28</v>
      </c>
    </row>
    <row r="24" spans="1:21" s="5" customFormat="1" ht="15" hidden="1" customHeight="1" x14ac:dyDescent="0.25">
      <c r="C24" s="186" t="s">
        <v>94</v>
      </c>
      <c r="D24" s="187"/>
      <c r="E24" s="159">
        <v>0.5</v>
      </c>
      <c r="F24" s="168">
        <f>F23*$E$24</f>
        <v>6724.5500000000011</v>
      </c>
      <c r="G24" s="169">
        <f t="shared" ref="G24:R24" si="5">G23*$E$24</f>
        <v>4958.8</v>
      </c>
      <c r="H24" s="169">
        <f t="shared" si="5"/>
        <v>5612.95</v>
      </c>
      <c r="I24" s="169">
        <f t="shared" si="5"/>
        <v>4627.63</v>
      </c>
      <c r="J24" s="169">
        <f t="shared" si="5"/>
        <v>4207.5599999999995</v>
      </c>
      <c r="K24" s="169">
        <f t="shared" si="5"/>
        <v>4126.92</v>
      </c>
      <c r="L24" s="168">
        <f t="shared" si="5"/>
        <v>4053.77</v>
      </c>
      <c r="M24" s="168">
        <f t="shared" si="5"/>
        <v>3990.9800000000005</v>
      </c>
      <c r="N24" s="169">
        <f t="shared" si="5"/>
        <v>3940.5800000000008</v>
      </c>
      <c r="O24" s="168">
        <f t="shared" si="5"/>
        <v>3679.48</v>
      </c>
      <c r="P24" s="169">
        <f t="shared" si="5"/>
        <v>3562.6499999999996</v>
      </c>
      <c r="Q24" s="168">
        <f t="shared" si="5"/>
        <v>3395.5600000000004</v>
      </c>
      <c r="R24" s="169">
        <f t="shared" si="5"/>
        <v>3370.64</v>
      </c>
    </row>
    <row r="25" spans="1:21" s="5" customFormat="1" ht="15" hidden="1" customHeight="1" x14ac:dyDescent="0.25">
      <c r="C25" s="186" t="s">
        <v>95</v>
      </c>
      <c r="D25" s="187"/>
      <c r="E25" s="159">
        <v>0.3</v>
      </c>
      <c r="F25" s="168">
        <f>F23*$E$25</f>
        <v>4034.7300000000005</v>
      </c>
      <c r="G25" s="169">
        <f t="shared" ref="G25:R25" si="6">G23*$E$25</f>
        <v>2975.28</v>
      </c>
      <c r="H25" s="169">
        <f t="shared" si="6"/>
        <v>3367.77</v>
      </c>
      <c r="I25" s="169">
        <f t="shared" si="6"/>
        <v>2776.578</v>
      </c>
      <c r="J25" s="169">
        <f t="shared" si="6"/>
        <v>2524.5359999999996</v>
      </c>
      <c r="K25" s="169">
        <f t="shared" si="6"/>
        <v>2476.152</v>
      </c>
      <c r="L25" s="168">
        <f t="shared" si="6"/>
        <v>2432.2619999999997</v>
      </c>
      <c r="M25" s="168">
        <f t="shared" si="6"/>
        <v>2394.5880000000002</v>
      </c>
      <c r="N25" s="169">
        <f t="shared" si="6"/>
        <v>2364.3480000000004</v>
      </c>
      <c r="O25" s="168">
        <f t="shared" si="6"/>
        <v>2207.6880000000001</v>
      </c>
      <c r="P25" s="169">
        <f t="shared" si="6"/>
        <v>2137.5899999999997</v>
      </c>
      <c r="Q25" s="168">
        <f t="shared" si="6"/>
        <v>2037.3360000000002</v>
      </c>
      <c r="R25" s="169">
        <f t="shared" si="6"/>
        <v>2022.3839999999998</v>
      </c>
    </row>
    <row r="26" spans="1:21" s="5" customFormat="1" ht="15" hidden="1" customHeight="1" x14ac:dyDescent="0.25">
      <c r="C26" s="186" t="s">
        <v>96</v>
      </c>
      <c r="D26" s="187"/>
      <c r="E26" s="159">
        <v>0.2</v>
      </c>
      <c r="F26" s="168">
        <f>F23*$E$26</f>
        <v>2689.8200000000006</v>
      </c>
      <c r="G26" s="169">
        <f t="shared" ref="G26:R26" si="7">G23*$E$26</f>
        <v>1983.5200000000002</v>
      </c>
      <c r="H26" s="169">
        <f t="shared" si="7"/>
        <v>2245.1799999999998</v>
      </c>
      <c r="I26" s="169">
        <f t="shared" si="7"/>
        <v>1851.0520000000001</v>
      </c>
      <c r="J26" s="169">
        <f t="shared" si="7"/>
        <v>1683.0239999999999</v>
      </c>
      <c r="K26" s="169">
        <f t="shared" si="7"/>
        <v>1650.768</v>
      </c>
      <c r="L26" s="168">
        <f t="shared" si="7"/>
        <v>1621.508</v>
      </c>
      <c r="M26" s="168">
        <f t="shared" si="7"/>
        <v>1596.3920000000003</v>
      </c>
      <c r="N26" s="169">
        <f t="shared" si="7"/>
        <v>1576.2320000000004</v>
      </c>
      <c r="O26" s="168">
        <f t="shared" si="7"/>
        <v>1471.7920000000001</v>
      </c>
      <c r="P26" s="169">
        <f t="shared" si="7"/>
        <v>1425.06</v>
      </c>
      <c r="Q26" s="168">
        <f t="shared" si="7"/>
        <v>1358.2240000000002</v>
      </c>
      <c r="R26" s="169">
        <f t="shared" si="7"/>
        <v>1348.2560000000001</v>
      </c>
    </row>
    <row r="27" spans="1:21" s="5" customFormat="1" x14ac:dyDescent="0.25">
      <c r="E27" s="15"/>
      <c r="F27" s="16">
        <f>F20+F21+F22+F23</f>
        <v>59331.400000000009</v>
      </c>
      <c r="G27" s="139">
        <f t="shared" ref="G27:R27" si="8">G20+G21+G22+G23</f>
        <v>52256.920000000006</v>
      </c>
      <c r="H27" s="139">
        <f t="shared" si="8"/>
        <v>51383.32</v>
      </c>
      <c r="I27" s="139">
        <f t="shared" si="8"/>
        <v>48710.159999999996</v>
      </c>
      <c r="J27" s="139">
        <f t="shared" si="8"/>
        <v>47052.42</v>
      </c>
      <c r="K27" s="139">
        <f t="shared" si="8"/>
        <v>46074.100000000006</v>
      </c>
      <c r="L27" s="16">
        <f t="shared" si="8"/>
        <v>45019.340000000004</v>
      </c>
      <c r="M27" s="16">
        <f t="shared" si="8"/>
        <v>43995.799999999996</v>
      </c>
      <c r="N27" s="139">
        <f t="shared" si="8"/>
        <v>43328.000000000007</v>
      </c>
      <c r="O27" s="16">
        <f t="shared" si="8"/>
        <v>41270.559999999998</v>
      </c>
      <c r="P27" s="139">
        <f t="shared" si="8"/>
        <v>39985.360000000001</v>
      </c>
      <c r="Q27" s="16">
        <f t="shared" si="8"/>
        <v>38600.06</v>
      </c>
      <c r="R27" s="139">
        <f t="shared" si="8"/>
        <v>36817.86</v>
      </c>
    </row>
    <row r="28" spans="1:21" s="5" customFormat="1" x14ac:dyDescent="0.25">
      <c r="F28" s="200">
        <f>F27*0.3%</f>
        <v>177.99420000000003</v>
      </c>
      <c r="G28" s="200">
        <f t="shared" ref="G28:R28" si="9">G27*0.3%</f>
        <v>156.77076000000002</v>
      </c>
      <c r="H28" s="200">
        <f t="shared" si="9"/>
        <v>154.14995999999999</v>
      </c>
      <c r="I28" s="200">
        <f t="shared" si="9"/>
        <v>146.13048000000001</v>
      </c>
      <c r="J28" s="200">
        <f t="shared" si="9"/>
        <v>141.15726000000001</v>
      </c>
      <c r="K28" s="200">
        <f t="shared" si="9"/>
        <v>138.22230000000002</v>
      </c>
      <c r="L28" s="200">
        <f t="shared" si="9"/>
        <v>135.05802000000003</v>
      </c>
      <c r="M28" s="200">
        <f t="shared" si="9"/>
        <v>131.98739999999998</v>
      </c>
      <c r="N28" s="200">
        <f t="shared" si="9"/>
        <v>129.98400000000004</v>
      </c>
      <c r="O28" s="200">
        <f t="shared" si="9"/>
        <v>123.81168</v>
      </c>
      <c r="P28" s="200">
        <f t="shared" si="9"/>
        <v>119.95608</v>
      </c>
      <c r="Q28" s="200">
        <f t="shared" si="9"/>
        <v>115.80018</v>
      </c>
      <c r="R28" s="200">
        <f t="shared" si="9"/>
        <v>110.45358</v>
      </c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F31" s="5"/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4" s="5" customFormat="1" x14ac:dyDescent="0.25">
      <c r="P33" s="13"/>
      <c r="Q33" s="13"/>
      <c r="R33" s="13"/>
      <c r="T33" s="13"/>
    </row>
    <row r="34" spans="1:24" s="5" customFormat="1" x14ac:dyDescent="0.25">
      <c r="J34" s="6" t="s">
        <v>6</v>
      </c>
      <c r="K34" s="6"/>
      <c r="L34" s="6">
        <f>ROUND((766.06*12)+($C$65*2),2)</f>
        <v>10516.92</v>
      </c>
      <c r="M34" s="6">
        <f t="shared" ref="M34:U34" si="10">ROUND((766.06*12)+($C$65*2),2)</f>
        <v>10516.92</v>
      </c>
      <c r="N34" s="6">
        <f t="shared" si="10"/>
        <v>10516.92</v>
      </c>
      <c r="O34" s="6">
        <f t="shared" si="10"/>
        <v>10516.92</v>
      </c>
      <c r="P34" s="7">
        <f t="shared" si="10"/>
        <v>10516.92</v>
      </c>
      <c r="Q34" s="7">
        <f t="shared" si="10"/>
        <v>10516.92</v>
      </c>
      <c r="R34" s="7">
        <f t="shared" si="10"/>
        <v>10516.92</v>
      </c>
      <c r="S34" s="6">
        <f t="shared" si="10"/>
        <v>10516.92</v>
      </c>
      <c r="T34" s="7">
        <f t="shared" si="10"/>
        <v>10516.92</v>
      </c>
      <c r="U34" s="6">
        <f t="shared" si="10"/>
        <v>10516.92</v>
      </c>
    </row>
    <row r="35" spans="1:24" s="5" customFormat="1" x14ac:dyDescent="0.25">
      <c r="J35" s="6" t="s">
        <v>7</v>
      </c>
      <c r="K35" s="6"/>
      <c r="L35" s="104">
        <f>'CE mes'!L35*14</f>
        <v>7050.82</v>
      </c>
      <c r="M35" s="104">
        <f>'CE mes'!M35*14</f>
        <v>6549.62</v>
      </c>
      <c r="N35" s="104">
        <f>'CE mes'!N35*14</f>
        <v>6215.3</v>
      </c>
      <c r="O35" s="104">
        <f>'CE mes'!O35*14</f>
        <v>5880.7</v>
      </c>
      <c r="P35" s="7">
        <f>'CE mes'!P35*14</f>
        <v>5546.0999999999995</v>
      </c>
      <c r="Q35" s="7">
        <f>'CE mes'!Q35*14</f>
        <v>5212.4799999999996</v>
      </c>
      <c r="R35" s="7">
        <f>'CE mes'!R35*14</f>
        <v>4877.46</v>
      </c>
      <c r="S35" s="104">
        <f>'CE mes'!S35*14</f>
        <v>4543.5600000000004</v>
      </c>
      <c r="T35" s="7">
        <f>'CE mes'!T35*14</f>
        <v>4208.68</v>
      </c>
      <c r="U35" s="104">
        <f>'CE mes'!U35*14</f>
        <v>3874.0800000000004</v>
      </c>
    </row>
    <row r="36" spans="1:24" s="5" customFormat="1" x14ac:dyDescent="0.25">
      <c r="J36" s="6" t="s">
        <v>8</v>
      </c>
      <c r="K36" s="6"/>
      <c r="L36" s="104">
        <f>'CE mes'!L36*14</f>
        <v>18105.080000000002</v>
      </c>
      <c r="M36" s="104">
        <f>'CE mes'!M36*14</f>
        <v>17838.8</v>
      </c>
      <c r="N36" s="104">
        <f>'CE mes'!N36*14</f>
        <v>17032.12</v>
      </c>
      <c r="O36" s="104">
        <f>'CE mes'!O36*14</f>
        <v>16435.580000000002</v>
      </c>
      <c r="P36" s="7">
        <f>'CE mes'!P36*14</f>
        <v>14782.179999999998</v>
      </c>
      <c r="Q36" s="7">
        <f>'CE mes'!Q36*14</f>
        <v>13625.36</v>
      </c>
      <c r="R36" s="7">
        <f>'CE mes'!R36*14</f>
        <v>11971.12</v>
      </c>
      <c r="S36" s="104">
        <f>'CE mes'!S36*14</f>
        <v>11016.46</v>
      </c>
      <c r="T36" s="7">
        <f>'CE mes'!T36*14</f>
        <v>10344.040000000001</v>
      </c>
      <c r="U36" s="104">
        <f>'CE mes'!U36*14</f>
        <v>9057.86</v>
      </c>
    </row>
    <row r="37" spans="1:24" s="5" customFormat="1" x14ac:dyDescent="0.25">
      <c r="J37" s="58" t="s">
        <v>97</v>
      </c>
      <c r="K37" s="6"/>
      <c r="L37" s="104">
        <f>'CE mes'!L37*12</f>
        <v>11778.2</v>
      </c>
      <c r="M37" s="104">
        <f>'CE mes'!M37*12</f>
        <v>11467.54</v>
      </c>
      <c r="N37" s="104">
        <f>'CE mes'!N37*12</f>
        <v>10476.759999999998</v>
      </c>
      <c r="O37" s="104">
        <f>'CE mes'!O37*12</f>
        <v>8136.9400000000005</v>
      </c>
      <c r="P37" s="7">
        <f>'CE mes'!P37*12</f>
        <v>8064.9800000000005</v>
      </c>
      <c r="Q37" s="7">
        <f>'CE mes'!Q37*12</f>
        <v>6867.42</v>
      </c>
      <c r="R37" s="7">
        <f>'CE mes'!R37*12</f>
        <v>6849.3600000000006</v>
      </c>
      <c r="S37" s="104">
        <f>'CE mes'!S37*12</f>
        <v>6841.0999999999985</v>
      </c>
      <c r="T37" s="7">
        <f>'CE mes'!T37*12</f>
        <v>6474.7200000000012</v>
      </c>
      <c r="U37" s="104">
        <f>'CE mes'!U37*12</f>
        <v>5596.92</v>
      </c>
    </row>
    <row r="38" spans="1:24" s="5" customFormat="1" ht="15" hidden="1" customHeight="1" x14ac:dyDescent="0.25">
      <c r="I38" s="186" t="s">
        <v>94</v>
      </c>
      <c r="J38" s="187"/>
      <c r="K38" s="159">
        <v>0.5</v>
      </c>
      <c r="L38" s="158">
        <f>L37*$K$38</f>
        <v>5889.1</v>
      </c>
      <c r="M38" s="158">
        <f t="shared" ref="M38:U38" si="11">M37*$K$38</f>
        <v>5733.77</v>
      </c>
      <c r="N38" s="158">
        <f t="shared" si="11"/>
        <v>5238.3799999999992</v>
      </c>
      <c r="O38" s="158">
        <f t="shared" si="11"/>
        <v>4068.4700000000003</v>
      </c>
      <c r="P38" s="170">
        <f t="shared" si="11"/>
        <v>4032.4900000000002</v>
      </c>
      <c r="Q38" s="170">
        <f t="shared" si="11"/>
        <v>3433.71</v>
      </c>
      <c r="R38" s="170">
        <f t="shared" si="11"/>
        <v>3424.6800000000003</v>
      </c>
      <c r="S38" s="158">
        <f t="shared" si="11"/>
        <v>3420.5499999999993</v>
      </c>
      <c r="T38" s="170">
        <f t="shared" si="11"/>
        <v>3237.3600000000006</v>
      </c>
      <c r="U38" s="158">
        <f t="shared" si="11"/>
        <v>2798.46</v>
      </c>
    </row>
    <row r="39" spans="1:24" s="5" customFormat="1" ht="15" hidden="1" customHeight="1" x14ac:dyDescent="0.25">
      <c r="I39" s="186" t="s">
        <v>95</v>
      </c>
      <c r="J39" s="187"/>
      <c r="K39" s="159">
        <v>0.3</v>
      </c>
      <c r="L39" s="158">
        <f>$K$39*L37</f>
        <v>3533.46</v>
      </c>
      <c r="M39" s="158">
        <f t="shared" ref="M39:U39" si="12">$K$39*M37</f>
        <v>3440.2620000000002</v>
      </c>
      <c r="N39" s="158">
        <f t="shared" si="12"/>
        <v>3143.0279999999993</v>
      </c>
      <c r="O39" s="158">
        <f t="shared" si="12"/>
        <v>2441.0819999999999</v>
      </c>
      <c r="P39" s="170">
        <f t="shared" si="12"/>
        <v>2419.4940000000001</v>
      </c>
      <c r="Q39" s="170">
        <f t="shared" si="12"/>
        <v>2060.2260000000001</v>
      </c>
      <c r="R39" s="170">
        <f t="shared" si="12"/>
        <v>2054.808</v>
      </c>
      <c r="S39" s="158">
        <f t="shared" si="12"/>
        <v>2052.3299999999995</v>
      </c>
      <c r="T39" s="170">
        <f t="shared" si="12"/>
        <v>1942.4160000000002</v>
      </c>
      <c r="U39" s="158">
        <f t="shared" si="12"/>
        <v>1679.076</v>
      </c>
    </row>
    <row r="40" spans="1:24" s="5" customFormat="1" ht="15" hidden="1" customHeight="1" x14ac:dyDescent="0.25">
      <c r="I40" s="186" t="s">
        <v>96</v>
      </c>
      <c r="J40" s="187"/>
      <c r="K40" s="159">
        <v>0.2</v>
      </c>
      <c r="L40" s="158">
        <f>L37*$K$40</f>
        <v>2355.6400000000003</v>
      </c>
      <c r="M40" s="158">
        <f t="shared" ref="M40:U40" si="13">M37*$K$40</f>
        <v>2293.5080000000003</v>
      </c>
      <c r="N40" s="158">
        <f t="shared" si="13"/>
        <v>2095.3519999999999</v>
      </c>
      <c r="O40" s="158">
        <f t="shared" si="13"/>
        <v>1627.3880000000001</v>
      </c>
      <c r="P40" s="170">
        <f t="shared" si="13"/>
        <v>1612.9960000000001</v>
      </c>
      <c r="Q40" s="170">
        <f t="shared" si="13"/>
        <v>1373.4840000000002</v>
      </c>
      <c r="R40" s="170">
        <f t="shared" si="13"/>
        <v>1369.8720000000003</v>
      </c>
      <c r="S40" s="158">
        <f t="shared" si="13"/>
        <v>1368.2199999999998</v>
      </c>
      <c r="T40" s="170">
        <f t="shared" si="13"/>
        <v>1294.9440000000004</v>
      </c>
      <c r="U40" s="158">
        <f t="shared" si="13"/>
        <v>1119.384</v>
      </c>
    </row>
    <row r="41" spans="1:24" s="5" customFormat="1" x14ac:dyDescent="0.25">
      <c r="J41" s="15"/>
      <c r="K41" s="15"/>
      <c r="L41" s="17">
        <f>SUM(L34:L37)</f>
        <v>47451.020000000004</v>
      </c>
      <c r="M41" s="17">
        <f t="shared" ref="M41:U41" si="14">SUM(M34:M37)</f>
        <v>46372.88</v>
      </c>
      <c r="N41" s="17">
        <f t="shared" si="14"/>
        <v>44241.099999999991</v>
      </c>
      <c r="O41" s="17">
        <f t="shared" si="14"/>
        <v>40970.14</v>
      </c>
      <c r="P41" s="16">
        <f t="shared" si="14"/>
        <v>38910.18</v>
      </c>
      <c r="Q41" s="16">
        <f t="shared" si="14"/>
        <v>36222.18</v>
      </c>
      <c r="R41" s="16">
        <f t="shared" si="14"/>
        <v>34214.86</v>
      </c>
      <c r="S41" s="17">
        <f t="shared" si="14"/>
        <v>32918.039999999994</v>
      </c>
      <c r="T41" s="16">
        <f t="shared" si="14"/>
        <v>31544.36</v>
      </c>
      <c r="U41" s="17">
        <f t="shared" si="14"/>
        <v>29045.78</v>
      </c>
    </row>
    <row r="42" spans="1:24" s="5" customFormat="1" x14ac:dyDescent="0.25">
      <c r="L42" s="200">
        <f>L41*0.3%</f>
        <v>142.35306000000003</v>
      </c>
      <c r="M42" s="200">
        <f t="shared" ref="M42:U42" si="15">M41*0.3%</f>
        <v>139.11864</v>
      </c>
      <c r="N42" s="200">
        <f t="shared" si="15"/>
        <v>132.72329999999997</v>
      </c>
      <c r="O42" s="200">
        <f t="shared" si="15"/>
        <v>122.91042</v>
      </c>
      <c r="P42" s="200">
        <f t="shared" si="15"/>
        <v>116.73054</v>
      </c>
      <c r="Q42" s="200">
        <f t="shared" si="15"/>
        <v>108.66654</v>
      </c>
      <c r="R42" s="200">
        <f t="shared" si="15"/>
        <v>102.64458</v>
      </c>
      <c r="S42" s="200">
        <f t="shared" si="15"/>
        <v>98.754119999999986</v>
      </c>
      <c r="T42" s="200">
        <f t="shared" si="15"/>
        <v>94.633080000000007</v>
      </c>
      <c r="U42" s="200">
        <f t="shared" si="15"/>
        <v>87.137339999999995</v>
      </c>
    </row>
    <row r="43" spans="1:24" x14ac:dyDescent="0.25">
      <c r="A43" s="1" t="s">
        <v>18</v>
      </c>
      <c r="B43" s="1"/>
    </row>
    <row r="44" spans="1:24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4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4" s="5" customFormat="1" x14ac:dyDescent="0.25">
      <c r="L46" s="5">
        <f>O55+O56</f>
        <v>36651.305039999999</v>
      </c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4" s="5" customFormat="1" x14ac:dyDescent="0.25"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4" s="5" customFormat="1" x14ac:dyDescent="0.25">
      <c r="N48" s="6" t="s">
        <v>6</v>
      </c>
      <c r="O48" s="6">
        <f>ROUND((637.57*12)+($C$66*2),2)</f>
        <v>8914.36</v>
      </c>
      <c r="P48" s="7">
        <f t="shared" ref="P48:X48" si="16">ROUND((637.57*12)+($C$66*2),2)</f>
        <v>8914.36</v>
      </c>
      <c r="Q48" s="6">
        <f t="shared" si="16"/>
        <v>8914.36</v>
      </c>
      <c r="R48" s="6">
        <f t="shared" si="16"/>
        <v>8914.36</v>
      </c>
      <c r="S48" s="7">
        <f t="shared" si="16"/>
        <v>8914.36</v>
      </c>
      <c r="T48" s="7">
        <f t="shared" si="16"/>
        <v>8914.36</v>
      </c>
      <c r="U48" s="7">
        <f t="shared" si="16"/>
        <v>8914.36</v>
      </c>
      <c r="V48" s="7">
        <f t="shared" si="16"/>
        <v>8914.36</v>
      </c>
      <c r="W48" s="6">
        <f t="shared" si="16"/>
        <v>8914.36</v>
      </c>
      <c r="X48" s="7">
        <f t="shared" si="16"/>
        <v>8914.36</v>
      </c>
    </row>
    <row r="49" spans="1:24" s="5" customFormat="1" x14ac:dyDescent="0.25">
      <c r="N49" s="6" t="s">
        <v>7</v>
      </c>
      <c r="O49" s="104">
        <f>'CE mes'!O49*14</f>
        <v>5880.7</v>
      </c>
      <c r="P49" s="7">
        <f>'CE mes'!P49*14</f>
        <v>5546.0999999999995</v>
      </c>
      <c r="Q49" s="104">
        <f>'CE mes'!Q49*14</f>
        <v>5212.4799999999996</v>
      </c>
      <c r="R49" s="104">
        <f>'CE mes'!R49*14</f>
        <v>4877.46</v>
      </c>
      <c r="S49" s="7">
        <f>'CE mes'!S49*14</f>
        <v>4543.5600000000004</v>
      </c>
      <c r="T49" s="7">
        <f>'CE mes'!T49*14</f>
        <v>4208.68</v>
      </c>
      <c r="U49" s="7">
        <f>'CE mes'!U49*14</f>
        <v>3874.0800000000004</v>
      </c>
      <c r="V49" s="7">
        <f>'CE mes'!V49*14</f>
        <v>3539.48</v>
      </c>
      <c r="W49" s="104">
        <f>'CE mes'!W49*14</f>
        <v>3205.58</v>
      </c>
      <c r="X49" s="7">
        <f>'CE mes'!X49*14</f>
        <v>3038.56</v>
      </c>
    </row>
    <row r="50" spans="1:24" s="5" customFormat="1" x14ac:dyDescent="0.25">
      <c r="N50" s="6" t="s">
        <v>8</v>
      </c>
      <c r="O50" s="104">
        <f>'CE mes'!O50*14</f>
        <v>14111.86</v>
      </c>
      <c r="P50" s="7">
        <f>'CE mes'!P50*14</f>
        <v>13526.24</v>
      </c>
      <c r="Q50" s="104">
        <f>'CE mes'!Q50*14</f>
        <v>13036.800000000001</v>
      </c>
      <c r="R50" s="104">
        <f>'CE mes'!R50*14</f>
        <v>11637.36</v>
      </c>
      <c r="S50" s="7">
        <f>'CE mes'!S50*14</f>
        <v>10886.54</v>
      </c>
      <c r="T50" s="7">
        <f>'CE mes'!T50*14</f>
        <v>9482.9</v>
      </c>
      <c r="U50" s="7">
        <f>'CE mes'!U50*14</f>
        <v>9854.18</v>
      </c>
      <c r="V50" s="7">
        <f>'CE mes'!V50*14</f>
        <v>9900.8000000000011</v>
      </c>
      <c r="W50" s="104">
        <f>'CE mes'!W50*14</f>
        <v>8246.14</v>
      </c>
      <c r="X50" s="7">
        <f>'CE mes'!X50*14</f>
        <v>6987.68</v>
      </c>
    </row>
    <row r="51" spans="1:24" s="5" customFormat="1" x14ac:dyDescent="0.25">
      <c r="A51" s="38" t="s">
        <v>41</v>
      </c>
      <c r="B51" s="38"/>
      <c r="N51" s="58" t="s">
        <v>97</v>
      </c>
      <c r="O51" s="104">
        <f>'CE mes'!O51*12</f>
        <v>7634.7599999999984</v>
      </c>
      <c r="P51" s="7">
        <f>'CE mes'!P51*12</f>
        <v>6524.7000000000007</v>
      </c>
      <c r="Q51" s="104">
        <f>'CE mes'!Q51*12</f>
        <v>6613.0400000000009</v>
      </c>
      <c r="R51" s="104">
        <f>'CE mes'!R51*12</f>
        <v>6965.1399999999994</v>
      </c>
      <c r="S51" s="7">
        <f>'CE mes'!S51*12</f>
        <v>6667.7800000000007</v>
      </c>
      <c r="T51" s="7">
        <f>'CE mes'!T51*12</f>
        <v>7023.8000000000011</v>
      </c>
      <c r="U51" s="7">
        <f>'CE mes'!U51*12</f>
        <v>5846.1200000000008</v>
      </c>
      <c r="V51" s="7">
        <f>'CE mes'!V51*12</f>
        <v>6055.42</v>
      </c>
      <c r="W51" s="104">
        <f>'CE mes'!W51*12</f>
        <v>5116.72</v>
      </c>
      <c r="X51" s="7">
        <f>'CE mes'!X51*12</f>
        <v>4595.22</v>
      </c>
    </row>
    <row r="52" spans="1:24" s="5" customFormat="1" ht="15" hidden="1" customHeight="1" x14ac:dyDescent="0.25">
      <c r="A52" s="38"/>
      <c r="B52" s="38"/>
      <c r="L52" s="186" t="s">
        <v>94</v>
      </c>
      <c r="M52" s="187"/>
      <c r="N52" s="159">
        <v>0.5</v>
      </c>
      <c r="O52" s="158">
        <f>O51*$N$52</f>
        <v>3817.3799999999992</v>
      </c>
      <c r="P52" s="170">
        <f t="shared" ref="P52:X52" si="17">P51*$N$52</f>
        <v>3262.3500000000004</v>
      </c>
      <c r="Q52" s="158">
        <f t="shared" si="17"/>
        <v>3306.5200000000004</v>
      </c>
      <c r="R52" s="158">
        <f t="shared" si="17"/>
        <v>3482.5699999999997</v>
      </c>
      <c r="S52" s="170">
        <f t="shared" si="17"/>
        <v>3333.8900000000003</v>
      </c>
      <c r="T52" s="170">
        <f t="shared" si="17"/>
        <v>3511.9000000000005</v>
      </c>
      <c r="U52" s="170">
        <f t="shared" si="17"/>
        <v>2923.0600000000004</v>
      </c>
      <c r="V52" s="170">
        <f t="shared" si="17"/>
        <v>3027.71</v>
      </c>
      <c r="W52" s="158">
        <f t="shared" si="17"/>
        <v>2558.36</v>
      </c>
      <c r="X52" s="170">
        <f t="shared" si="17"/>
        <v>2297.61</v>
      </c>
    </row>
    <row r="53" spans="1:24" s="5" customFormat="1" ht="15" hidden="1" customHeight="1" x14ac:dyDescent="0.25">
      <c r="A53" s="38"/>
      <c r="B53" s="38"/>
      <c r="L53" s="186" t="s">
        <v>95</v>
      </c>
      <c r="M53" s="187"/>
      <c r="N53" s="159">
        <v>0.3</v>
      </c>
      <c r="O53" s="158">
        <f>O51*$N$53</f>
        <v>2290.4279999999994</v>
      </c>
      <c r="P53" s="170">
        <f t="shared" ref="P53:X53" si="18">P51*$N$53</f>
        <v>1957.41</v>
      </c>
      <c r="Q53" s="158">
        <f t="shared" si="18"/>
        <v>1983.9120000000003</v>
      </c>
      <c r="R53" s="158">
        <f t="shared" si="18"/>
        <v>2089.5419999999999</v>
      </c>
      <c r="S53" s="170">
        <f t="shared" si="18"/>
        <v>2000.3340000000001</v>
      </c>
      <c r="T53" s="170">
        <f t="shared" si="18"/>
        <v>2107.1400000000003</v>
      </c>
      <c r="U53" s="170">
        <f t="shared" si="18"/>
        <v>1753.8360000000002</v>
      </c>
      <c r="V53" s="170">
        <f t="shared" si="18"/>
        <v>1816.626</v>
      </c>
      <c r="W53" s="158">
        <f t="shared" si="18"/>
        <v>1535.0160000000001</v>
      </c>
      <c r="X53" s="170">
        <f t="shared" si="18"/>
        <v>1378.566</v>
      </c>
    </row>
    <row r="54" spans="1:24" s="5" customFormat="1" ht="15" hidden="1" customHeight="1" x14ac:dyDescent="0.25">
      <c r="A54" s="34"/>
      <c r="B54" s="34"/>
      <c r="C54" s="34"/>
      <c r="D54" s="40"/>
      <c r="L54" s="186" t="s">
        <v>96</v>
      </c>
      <c r="M54" s="187"/>
      <c r="N54" s="159">
        <v>0.2</v>
      </c>
      <c r="O54" s="158">
        <f>O51*$N$54</f>
        <v>1526.9519999999998</v>
      </c>
      <c r="P54" s="170">
        <f t="shared" ref="P54:X54" si="19">P51*$N$54</f>
        <v>1304.9400000000003</v>
      </c>
      <c r="Q54" s="158">
        <f t="shared" si="19"/>
        <v>1322.6080000000002</v>
      </c>
      <c r="R54" s="158">
        <f t="shared" si="19"/>
        <v>1393.028</v>
      </c>
      <c r="S54" s="170">
        <f t="shared" si="19"/>
        <v>1333.5560000000003</v>
      </c>
      <c r="T54" s="170">
        <f t="shared" si="19"/>
        <v>1404.7600000000002</v>
      </c>
      <c r="U54" s="170">
        <f t="shared" si="19"/>
        <v>1169.2240000000002</v>
      </c>
      <c r="V54" s="170">
        <f t="shared" si="19"/>
        <v>1211.0840000000001</v>
      </c>
      <c r="W54" s="158">
        <f t="shared" si="19"/>
        <v>1023.3440000000001</v>
      </c>
      <c r="X54" s="170">
        <f t="shared" si="19"/>
        <v>919.0440000000001</v>
      </c>
    </row>
    <row r="55" spans="1:24" s="5" customFormat="1" x14ac:dyDescent="0.25">
      <c r="A55" s="34" t="s">
        <v>26</v>
      </c>
      <c r="B55" s="34"/>
      <c r="C55" s="34"/>
      <c r="D55" s="40" t="s">
        <v>28</v>
      </c>
      <c r="N55" s="6"/>
      <c r="O55" s="139">
        <f>O51+O50+O49+O48</f>
        <v>36541.68</v>
      </c>
      <c r="P55" s="16">
        <f t="shared" ref="P55:X55" si="20">P51+P50+P49+P48</f>
        <v>34511.4</v>
      </c>
      <c r="Q55" s="139">
        <f t="shared" si="20"/>
        <v>33776.680000000008</v>
      </c>
      <c r="R55" s="139">
        <f t="shared" si="20"/>
        <v>32394.32</v>
      </c>
      <c r="S55" s="16">
        <f t="shared" si="20"/>
        <v>31012.240000000002</v>
      </c>
      <c r="T55" s="16">
        <f t="shared" si="20"/>
        <v>29629.74</v>
      </c>
      <c r="U55" s="16">
        <f t="shared" si="20"/>
        <v>28488.74</v>
      </c>
      <c r="V55" s="16">
        <f t="shared" si="20"/>
        <v>28410.06</v>
      </c>
      <c r="W55" s="139">
        <f t="shared" si="20"/>
        <v>25482.800000000003</v>
      </c>
      <c r="X55" s="16">
        <f t="shared" si="20"/>
        <v>23535.82</v>
      </c>
    </row>
    <row r="56" spans="1:24" x14ac:dyDescent="0.25">
      <c r="A56" s="5" t="s">
        <v>30</v>
      </c>
      <c r="B56" s="5"/>
      <c r="C56" s="5"/>
      <c r="D56" s="5">
        <v>45.41</v>
      </c>
      <c r="O56" s="200">
        <f>O55*0.3%</f>
        <v>109.62504</v>
      </c>
      <c r="P56" s="200">
        <f t="shared" ref="P56:X56" si="21">P55*0.3%</f>
        <v>103.53420000000001</v>
      </c>
      <c r="Q56" s="200">
        <f t="shared" si="21"/>
        <v>101.33004000000003</v>
      </c>
      <c r="R56" s="200">
        <f t="shared" si="21"/>
        <v>97.182959999999994</v>
      </c>
      <c r="S56" s="200">
        <f t="shared" si="21"/>
        <v>93.036720000000003</v>
      </c>
      <c r="T56" s="200">
        <f t="shared" si="21"/>
        <v>88.889220000000009</v>
      </c>
      <c r="U56" s="200">
        <f t="shared" si="21"/>
        <v>85.466220000000007</v>
      </c>
      <c r="V56" s="200">
        <f t="shared" si="21"/>
        <v>85.230180000000004</v>
      </c>
      <c r="W56" s="200">
        <f t="shared" si="21"/>
        <v>76.448400000000007</v>
      </c>
      <c r="X56" s="200">
        <f t="shared" si="21"/>
        <v>70.607460000000003</v>
      </c>
    </row>
    <row r="57" spans="1:24" x14ac:dyDescent="0.25">
      <c r="A57" s="5" t="s">
        <v>31</v>
      </c>
      <c r="B57" s="5"/>
      <c r="C57" s="5"/>
      <c r="D57" s="5">
        <v>37.03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5">
      <c r="A58" t="s">
        <v>19</v>
      </c>
      <c r="D58" s="5">
        <v>28.02</v>
      </c>
    </row>
    <row r="59" spans="1:24" s="5" customFormat="1" x14ac:dyDescent="0.25">
      <c r="A59" t="s">
        <v>20</v>
      </c>
      <c r="B59"/>
      <c r="C59"/>
      <c r="D59" s="5">
        <v>19.07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4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4" s="5" customFormat="1" x14ac:dyDescent="0.25">
      <c r="A61" s="38" t="s">
        <v>24</v>
      </c>
      <c r="B61" s="38"/>
      <c r="H61" s="35"/>
      <c r="I61" s="35"/>
      <c r="J61" s="41"/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4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41"/>
      <c r="K62" s="35"/>
      <c r="L62" s="35"/>
      <c r="M62" s="35"/>
      <c r="N62" s="35"/>
      <c r="O62" s="35"/>
      <c r="P62" s="35"/>
      <c r="Q62" s="35"/>
      <c r="R62" s="35"/>
    </row>
    <row r="63" spans="1:24" s="5" customFormat="1" x14ac:dyDescent="0.25">
      <c r="A63" s="5" t="s">
        <v>30</v>
      </c>
      <c r="C63" s="5">
        <v>728.13</v>
      </c>
      <c r="D63" s="5">
        <v>28.02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4" s="5" customFormat="1" x14ac:dyDescent="0.25">
      <c r="A64" s="5" t="s">
        <v>31</v>
      </c>
      <c r="C64" s="5">
        <v>744.11</v>
      </c>
      <c r="D64" s="5">
        <v>27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662.1</v>
      </c>
      <c r="D65" s="5">
        <v>24.2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631.76</v>
      </c>
      <c r="D66" s="5">
        <v>18.89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0.25569999999999998</v>
      </c>
      <c r="Q67" s="35">
        <v>0.19</v>
      </c>
      <c r="R67" s="44">
        <v>6.2199999999999998E-2</v>
      </c>
    </row>
    <row r="68" spans="1:18" s="5" customFormat="1" x14ac:dyDescent="0.25">
      <c r="H68" s="35"/>
      <c r="I68" s="35"/>
      <c r="J68" s="41" t="s">
        <v>38</v>
      </c>
      <c r="K68" s="35">
        <f>ROUND(('abril mensual funcionaris'!J72*0.24467%)+('abril mensual funcionaris'!J72),2)</f>
        <v>482.51</v>
      </c>
      <c r="L68" s="35"/>
      <c r="M68" s="35" t="s">
        <v>39</v>
      </c>
      <c r="N68" s="35"/>
      <c r="O68" s="35"/>
      <c r="P68" s="35">
        <v>9.1259999999999994</v>
      </c>
      <c r="Q68" s="35">
        <v>0</v>
      </c>
      <c r="R68" s="35">
        <v>9.1259999999999994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pageMargins left="0.70866141732283472" right="0.70866141732283472" top="0.74803149606299213" bottom="0.74803149606299213" header="0.31496062992125984" footer="0.31496062992125984"/>
  <pageSetup paperSize="8" scale="67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2"/>
  <sheetViews>
    <sheetView zoomScaleNormal="100" workbookViewId="0">
      <selection activeCell="V50" sqref="V50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122</v>
      </c>
      <c r="B2" s="1"/>
      <c r="S2" s="184"/>
      <c r="T2" s="184"/>
      <c r="U2" s="184"/>
      <c r="V2" s="184"/>
      <c r="W2" s="184"/>
      <c r="X2" s="184"/>
      <c r="Y2" s="184"/>
    </row>
    <row r="3" spans="1:25" x14ac:dyDescent="0.25">
      <c r="S3" s="260"/>
      <c r="T3" s="260"/>
      <c r="U3" s="260"/>
      <c r="V3" s="260"/>
      <c r="W3" s="260"/>
      <c r="X3" s="260"/>
      <c r="Y3" s="260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v>1179.96</v>
      </c>
      <c r="D8" s="6">
        <v>1179.96</v>
      </c>
      <c r="E8" s="6">
        <v>1179.96</v>
      </c>
      <c r="F8" s="6">
        <v>1179.96</v>
      </c>
      <c r="G8" s="7">
        <v>1179.96</v>
      </c>
      <c r="H8" s="6">
        <v>1179.96</v>
      </c>
      <c r="I8" s="6">
        <v>1179.96</v>
      </c>
      <c r="J8" s="6">
        <v>1179.96</v>
      </c>
      <c r="K8" s="6">
        <v>1179.96</v>
      </c>
      <c r="L8" s="6">
        <v>1179.96</v>
      </c>
      <c r="M8" s="7">
        <v>1179.96</v>
      </c>
      <c r="N8" s="6">
        <v>1179.96</v>
      </c>
      <c r="O8" s="6">
        <v>1179.96</v>
      </c>
      <c r="P8" s="6">
        <v>1179.96</v>
      </c>
    </row>
    <row r="9" spans="1:25" s="5" customFormat="1" x14ac:dyDescent="0.25">
      <c r="A9" s="58" t="s">
        <v>7</v>
      </c>
      <c r="B9" s="6"/>
      <c r="C9" s="6">
        <v>1030.69</v>
      </c>
      <c r="D9" s="6">
        <v>924.48</v>
      </c>
      <c r="E9" s="6">
        <v>885.63</v>
      </c>
      <c r="F9" s="6">
        <v>846.72</v>
      </c>
      <c r="G9" s="7">
        <v>742.86</v>
      </c>
      <c r="H9" s="6">
        <v>659.07</v>
      </c>
      <c r="I9" s="6">
        <v>620.19000000000005</v>
      </c>
      <c r="J9" s="6">
        <v>581.36</v>
      </c>
      <c r="K9" s="6">
        <v>542.45000000000005</v>
      </c>
      <c r="L9" s="6">
        <v>503.63</v>
      </c>
      <c r="M9" s="7">
        <v>467.83</v>
      </c>
      <c r="N9" s="6">
        <v>467.83</v>
      </c>
      <c r="O9" s="6">
        <v>467.83</v>
      </c>
      <c r="P9" s="6">
        <v>467.83</v>
      </c>
    </row>
    <row r="10" spans="1:25" s="5" customFormat="1" x14ac:dyDescent="0.25">
      <c r="A10" s="58" t="s">
        <v>8</v>
      </c>
      <c r="B10" s="6"/>
      <c r="C10" s="6">
        <f>'CE mes'!C10+'CE mes'!C16</f>
        <v>2486.6336499999998</v>
      </c>
      <c r="D10" s="6">
        <f>'CE mes'!D10+'CE mes'!D16</f>
        <v>2348.1517050000002</v>
      </c>
      <c r="E10" s="6">
        <f>'CE mes'!E10+'CE mes'!E16</f>
        <v>2158.85545</v>
      </c>
      <c r="F10" s="6">
        <f>'CE mes'!F10+'CE mes'!F16</f>
        <v>1747.29898</v>
      </c>
      <c r="G10" s="7">
        <f>'CE mes'!G10+'CE mes'!G16</f>
        <v>1528.905645</v>
      </c>
      <c r="H10" s="6">
        <f>'CE mes'!H10+'CE mes'!H16</f>
        <v>1524.2118599999999</v>
      </c>
      <c r="I10" s="6">
        <f>'CE mes'!I10+'CE mes'!I16</f>
        <v>1485.8252</v>
      </c>
      <c r="J10" s="6">
        <f>'CE mes'!J10+'CE mes'!J16</f>
        <v>1459.6056550000001</v>
      </c>
      <c r="K10" s="6">
        <f>'CE mes'!K10+'CE mes'!K16</f>
        <v>1433.4169199999999</v>
      </c>
      <c r="L10" s="6">
        <f>'CE mes'!L10+'CE mes'!L16</f>
        <v>1323.6059449999998</v>
      </c>
      <c r="M10" s="7">
        <f>'CE mes'!M10+'CE mes'!M16</f>
        <v>1211.5927349999999</v>
      </c>
      <c r="N10" s="6">
        <f>'CE mes'!N10+'CE mes'!N16</f>
        <v>1012.8266150000001</v>
      </c>
      <c r="O10" s="6">
        <f>'CE mes'!O10+'CE mes'!O16</f>
        <v>801.95667000000003</v>
      </c>
      <c r="P10" s="6">
        <f>'CE mes'!P10+'CE mes'!P16</f>
        <v>569.96360499999992</v>
      </c>
    </row>
    <row r="11" spans="1:25" s="5" customFormat="1" x14ac:dyDescent="0.25">
      <c r="A11" s="58" t="s">
        <v>97</v>
      </c>
      <c r="B11" s="6"/>
      <c r="C11" s="6">
        <v>1375.43</v>
      </c>
      <c r="D11" s="6">
        <v>1321.9150000000002</v>
      </c>
      <c r="E11" s="6">
        <v>1143.4266666666665</v>
      </c>
      <c r="F11" s="6">
        <v>959.84</v>
      </c>
      <c r="G11" s="7">
        <v>853.03166666666675</v>
      </c>
      <c r="H11" s="6">
        <v>853.32333333333338</v>
      </c>
      <c r="I11" s="6">
        <v>834.75</v>
      </c>
      <c r="J11" s="6">
        <v>819.7116666666667</v>
      </c>
      <c r="K11" s="6">
        <v>808.3366666666667</v>
      </c>
      <c r="L11" s="6">
        <v>752.69833333333327</v>
      </c>
      <c r="M11" s="7">
        <v>702.18166666666673</v>
      </c>
      <c r="N11" s="6">
        <v>678.24166666666656</v>
      </c>
      <c r="O11" s="6">
        <v>578.20000000000005</v>
      </c>
      <c r="P11" s="6">
        <v>468.14833333333331</v>
      </c>
    </row>
    <row r="12" spans="1:25" s="38" customFormat="1" x14ac:dyDescent="0.25">
      <c r="A12" s="156">
        <v>0.5</v>
      </c>
      <c r="B12" s="157" t="s">
        <v>94</v>
      </c>
      <c r="C12" s="157">
        <f>C11*$A$12</f>
        <v>687.71500000000003</v>
      </c>
      <c r="D12" s="157">
        <f t="shared" ref="D12:P12" si="0">D11*$A$12</f>
        <v>660.9575000000001</v>
      </c>
      <c r="E12" s="157">
        <f t="shared" si="0"/>
        <v>571.71333333333325</v>
      </c>
      <c r="F12" s="157">
        <f t="shared" si="0"/>
        <v>479.92</v>
      </c>
      <c r="G12" s="170">
        <f t="shared" si="0"/>
        <v>426.51583333333338</v>
      </c>
      <c r="H12" s="157">
        <f t="shared" si="0"/>
        <v>426.66166666666669</v>
      </c>
      <c r="I12" s="157">
        <f t="shared" si="0"/>
        <v>417.375</v>
      </c>
      <c r="J12" s="157">
        <f t="shared" si="0"/>
        <v>409.85583333333335</v>
      </c>
      <c r="K12" s="157">
        <f t="shared" si="0"/>
        <v>404.16833333333335</v>
      </c>
      <c r="L12" s="157">
        <f t="shared" si="0"/>
        <v>376.34916666666663</v>
      </c>
      <c r="M12" s="170">
        <f t="shared" si="0"/>
        <v>351.09083333333336</v>
      </c>
      <c r="N12" s="157">
        <f t="shared" si="0"/>
        <v>339.12083333333328</v>
      </c>
      <c r="O12" s="157">
        <f t="shared" si="0"/>
        <v>289.10000000000002</v>
      </c>
      <c r="P12" s="157">
        <f t="shared" si="0"/>
        <v>234.07416666666666</v>
      </c>
    </row>
    <row r="13" spans="1:25" s="38" customFormat="1" x14ac:dyDescent="0.25">
      <c r="A13" s="156">
        <v>0.3</v>
      </c>
      <c r="B13" s="157" t="s">
        <v>95</v>
      </c>
      <c r="C13" s="157">
        <f>C11*$A$13</f>
        <v>412.62900000000002</v>
      </c>
      <c r="D13" s="157">
        <f t="shared" ref="D13:P13" si="1">D11*$A$13</f>
        <v>396.57450000000006</v>
      </c>
      <c r="E13" s="157">
        <f t="shared" si="1"/>
        <v>343.02799999999996</v>
      </c>
      <c r="F13" s="157">
        <f t="shared" si="1"/>
        <v>287.952</v>
      </c>
      <c r="G13" s="170">
        <f t="shared" si="1"/>
        <v>255.90950000000001</v>
      </c>
      <c r="H13" s="157">
        <f t="shared" si="1"/>
        <v>255.99700000000001</v>
      </c>
      <c r="I13" s="157">
        <f t="shared" si="1"/>
        <v>250.42499999999998</v>
      </c>
      <c r="J13" s="157">
        <f t="shared" si="1"/>
        <v>245.9135</v>
      </c>
      <c r="K13" s="157">
        <f t="shared" si="1"/>
        <v>242.501</v>
      </c>
      <c r="L13" s="157">
        <f t="shared" si="1"/>
        <v>225.80949999999999</v>
      </c>
      <c r="M13" s="170">
        <f t="shared" si="1"/>
        <v>210.65450000000001</v>
      </c>
      <c r="N13" s="157">
        <f t="shared" si="1"/>
        <v>203.47249999999997</v>
      </c>
      <c r="O13" s="157">
        <f t="shared" si="1"/>
        <v>173.46</v>
      </c>
      <c r="P13" s="157">
        <f t="shared" si="1"/>
        <v>140.44449999999998</v>
      </c>
    </row>
    <row r="14" spans="1:25" s="38" customFormat="1" x14ac:dyDescent="0.25">
      <c r="A14" s="156">
        <v>0.2</v>
      </c>
      <c r="B14" s="157" t="s">
        <v>96</v>
      </c>
      <c r="C14" s="157">
        <f>C11*$A$14</f>
        <v>275.08600000000001</v>
      </c>
      <c r="D14" s="157">
        <f t="shared" ref="D14:P14" si="2">D11*$A$14</f>
        <v>264.38300000000004</v>
      </c>
      <c r="E14" s="157">
        <f t="shared" si="2"/>
        <v>228.68533333333332</v>
      </c>
      <c r="F14" s="157">
        <f t="shared" si="2"/>
        <v>191.96800000000002</v>
      </c>
      <c r="G14" s="170">
        <f t="shared" si="2"/>
        <v>170.60633333333337</v>
      </c>
      <c r="H14" s="157">
        <f t="shared" si="2"/>
        <v>170.66466666666668</v>
      </c>
      <c r="I14" s="157">
        <f t="shared" si="2"/>
        <v>166.95000000000002</v>
      </c>
      <c r="J14" s="157">
        <f t="shared" si="2"/>
        <v>163.94233333333335</v>
      </c>
      <c r="K14" s="157">
        <f t="shared" si="2"/>
        <v>161.66733333333335</v>
      </c>
      <c r="L14" s="157">
        <f t="shared" si="2"/>
        <v>150.53966666666665</v>
      </c>
      <c r="M14" s="170">
        <f t="shared" si="2"/>
        <v>140.43633333333335</v>
      </c>
      <c r="N14" s="157">
        <f t="shared" si="2"/>
        <v>135.64833333333331</v>
      </c>
      <c r="O14" s="157">
        <f t="shared" si="2"/>
        <v>115.64000000000001</v>
      </c>
      <c r="P14" s="157">
        <f t="shared" si="2"/>
        <v>93.629666666666665</v>
      </c>
    </row>
    <row r="15" spans="1:25" s="5" customFormat="1" x14ac:dyDescent="0.25">
      <c r="A15" s="58"/>
      <c r="B15" s="6"/>
      <c r="C15" s="15">
        <f>C11+C10+C9+C8</f>
        <v>6072.7136500000006</v>
      </c>
      <c r="D15" s="15">
        <f t="shared" ref="D15:P15" si="3">D11+D10+D9+D8</f>
        <v>5774.5067050000007</v>
      </c>
      <c r="E15" s="15">
        <f t="shared" si="3"/>
        <v>5367.8721166666664</v>
      </c>
      <c r="F15" s="15">
        <f t="shared" si="3"/>
        <v>4733.81898</v>
      </c>
      <c r="G15" s="16">
        <f t="shared" si="3"/>
        <v>4304.7573116666663</v>
      </c>
      <c r="H15" s="15">
        <f t="shared" si="3"/>
        <v>4216.5651933333338</v>
      </c>
      <c r="I15" s="15">
        <f t="shared" si="3"/>
        <v>4120.7252000000008</v>
      </c>
      <c r="J15" s="15">
        <f t="shared" si="3"/>
        <v>4040.637321666667</v>
      </c>
      <c r="K15" s="15">
        <f t="shared" si="3"/>
        <v>3964.1635866666666</v>
      </c>
      <c r="L15" s="15">
        <f t="shared" si="3"/>
        <v>3759.8942783333332</v>
      </c>
      <c r="M15" s="7">
        <f t="shared" si="3"/>
        <v>3561.5644016666665</v>
      </c>
      <c r="N15" s="15">
        <f t="shared" si="3"/>
        <v>3338.8582816666667</v>
      </c>
      <c r="O15" s="15">
        <f t="shared" si="3"/>
        <v>3027.9466700000003</v>
      </c>
      <c r="P15" s="15">
        <f t="shared" si="3"/>
        <v>2685.9019383333334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49"/>
      <c r="H19" s="19"/>
      <c r="I19" s="19"/>
      <c r="J19" s="19"/>
      <c r="K19" s="117"/>
      <c r="L19" s="20"/>
      <c r="M19" s="20"/>
      <c r="N19" s="48"/>
      <c r="O19" s="20"/>
      <c r="P19" s="48"/>
      <c r="Q19" s="20"/>
      <c r="R19" s="49"/>
    </row>
    <row r="20" spans="1:21" s="5" customFormat="1" x14ac:dyDescent="0.25">
      <c r="E20" s="58" t="s">
        <v>6</v>
      </c>
      <c r="F20" s="7">
        <v>1020.28</v>
      </c>
      <c r="G20" s="104">
        <v>1020.28</v>
      </c>
      <c r="H20" s="104">
        <v>1020.28</v>
      </c>
      <c r="I20" s="104">
        <v>1020.28</v>
      </c>
      <c r="J20" s="104">
        <v>1020.28</v>
      </c>
      <c r="K20" s="104">
        <v>1020.28</v>
      </c>
      <c r="L20" s="7">
        <v>1020.28</v>
      </c>
      <c r="M20" s="7">
        <v>1020.28</v>
      </c>
      <c r="N20" s="150">
        <v>1020.28</v>
      </c>
      <c r="O20" s="7">
        <v>1020.28</v>
      </c>
      <c r="P20" s="150">
        <v>1020.28</v>
      </c>
      <c r="Q20" s="7">
        <v>1020.28</v>
      </c>
      <c r="R20" s="195">
        <v>1020.28</v>
      </c>
    </row>
    <row r="21" spans="1:21" s="5" customFormat="1" x14ac:dyDescent="0.25">
      <c r="E21" s="58" t="s">
        <v>7</v>
      </c>
      <c r="F21" s="7">
        <v>742.86</v>
      </c>
      <c r="G21" s="6">
        <v>742.86</v>
      </c>
      <c r="H21" s="6">
        <v>659.07</v>
      </c>
      <c r="I21" s="6">
        <v>620.19000000000005</v>
      </c>
      <c r="J21" s="6">
        <v>581.36</v>
      </c>
      <c r="K21" s="6">
        <v>542.45000000000005</v>
      </c>
      <c r="L21" s="7">
        <v>503.63</v>
      </c>
      <c r="M21" s="7">
        <v>467.83</v>
      </c>
      <c r="N21" s="60">
        <v>443.95</v>
      </c>
      <c r="O21" s="7">
        <v>420.05</v>
      </c>
      <c r="P21" s="150">
        <v>396.15</v>
      </c>
      <c r="Q21" s="7">
        <v>372.32</v>
      </c>
      <c r="R21" s="59">
        <v>371.41</v>
      </c>
    </row>
    <row r="22" spans="1:21" s="5" customFormat="1" x14ac:dyDescent="0.25">
      <c r="E22" s="58" t="s">
        <v>8</v>
      </c>
      <c r="F22" s="7">
        <f>'CE mes'!F22+'CE mes'!F28</f>
        <v>1566.9325549999999</v>
      </c>
      <c r="G22" s="104">
        <f>'CE mes'!G22+'CE mes'!G28</f>
        <v>1312.22047</v>
      </c>
      <c r="H22" s="104">
        <f>'CE mes'!H22+'CE mes'!H28</f>
        <v>1240.0199950000001</v>
      </c>
      <c r="I22" s="104">
        <f>'CE mes'!I22+'CE mes'!I28</f>
        <v>1228.0767949999999</v>
      </c>
      <c r="J22" s="104">
        <f>'CE mes'!J22+'CE mes'!J28</f>
        <v>1208.1215599999998</v>
      </c>
      <c r="K22" s="104">
        <f>'CE mes'!K22+'CE mes'!K28</f>
        <v>1188.4561600000002</v>
      </c>
      <c r="L22" s="7">
        <f>'CE mes'!L22+'CE mes'!L28</f>
        <v>1162.1549149999998</v>
      </c>
      <c r="M22" s="7">
        <f>'CE mes'!M22+'CE mes'!M28</f>
        <v>1133.5911000000001</v>
      </c>
      <c r="N22" s="104">
        <f>'CE mes'!N22+'CE mes'!N28</f>
        <v>1116.8244000000002</v>
      </c>
      <c r="O22" s="7">
        <f>'CE mes'!O22+'CE mes'!O28</f>
        <v>1030.6048699999999</v>
      </c>
      <c r="P22" s="104">
        <f>'CE mes'!P22+'CE mes'!P28</f>
        <v>979.1111249999999</v>
      </c>
      <c r="Q22" s="7">
        <f>'CE mes'!Q22+'CE mes'!Q28</f>
        <v>927.55233999999996</v>
      </c>
      <c r="R22" s="104">
        <f>'CE mes'!R22+'CE mes'!R28</f>
        <v>804.33866</v>
      </c>
    </row>
    <row r="23" spans="1:21" s="5" customFormat="1" x14ac:dyDescent="0.25">
      <c r="E23" s="58" t="s">
        <v>97</v>
      </c>
      <c r="F23" s="7">
        <v>1120.7583333333334</v>
      </c>
      <c r="G23" s="6">
        <v>826.4666666666667</v>
      </c>
      <c r="H23" s="6">
        <v>935.49166666666667</v>
      </c>
      <c r="I23" s="6">
        <v>771.27166666666665</v>
      </c>
      <c r="J23" s="6">
        <v>701.25999999999988</v>
      </c>
      <c r="K23" s="6">
        <v>687.82</v>
      </c>
      <c r="L23" s="7">
        <v>675.62833333333333</v>
      </c>
      <c r="M23" s="7">
        <v>665.16333333333341</v>
      </c>
      <c r="N23" s="5">
        <v>656.76333333333343</v>
      </c>
      <c r="O23" s="7">
        <v>613.24666666666667</v>
      </c>
      <c r="P23" s="5">
        <v>593.77499999999998</v>
      </c>
      <c r="Q23" s="7">
        <v>565.92666666666673</v>
      </c>
      <c r="R23" s="5">
        <v>561.77333333333331</v>
      </c>
    </row>
    <row r="24" spans="1:21" s="5" customFormat="1" x14ac:dyDescent="0.25">
      <c r="C24" s="261" t="s">
        <v>94</v>
      </c>
      <c r="D24" s="262"/>
      <c r="E24" s="191">
        <v>0.5</v>
      </c>
      <c r="F24" s="168">
        <f>F23*$E$24</f>
        <v>560.37916666666672</v>
      </c>
      <c r="G24" s="169">
        <f t="shared" ref="G24:R24" si="4">G23*$E$24</f>
        <v>413.23333333333335</v>
      </c>
      <c r="H24" s="169">
        <f t="shared" si="4"/>
        <v>467.74583333333334</v>
      </c>
      <c r="I24" s="169">
        <f t="shared" si="4"/>
        <v>385.63583333333332</v>
      </c>
      <c r="J24" s="169">
        <f t="shared" si="4"/>
        <v>350.62999999999994</v>
      </c>
      <c r="K24" s="169">
        <f t="shared" si="4"/>
        <v>343.91</v>
      </c>
      <c r="L24" s="168">
        <f t="shared" si="4"/>
        <v>337.81416666666667</v>
      </c>
      <c r="M24" s="168">
        <f t="shared" si="4"/>
        <v>332.58166666666671</v>
      </c>
      <c r="N24" s="197">
        <f t="shared" si="4"/>
        <v>328.38166666666672</v>
      </c>
      <c r="O24" s="168">
        <f t="shared" si="4"/>
        <v>306.62333333333333</v>
      </c>
      <c r="P24" s="197">
        <f t="shared" si="4"/>
        <v>296.88749999999999</v>
      </c>
      <c r="Q24" s="168">
        <f t="shared" si="4"/>
        <v>282.96333333333337</v>
      </c>
      <c r="R24" s="196">
        <f t="shared" si="4"/>
        <v>280.88666666666666</v>
      </c>
    </row>
    <row r="25" spans="1:21" s="5" customFormat="1" x14ac:dyDescent="0.25">
      <c r="C25" s="261" t="s">
        <v>95</v>
      </c>
      <c r="D25" s="262"/>
      <c r="E25" s="191">
        <v>0.3</v>
      </c>
      <c r="F25" s="168">
        <f>F23*$E$25</f>
        <v>336.22750000000002</v>
      </c>
      <c r="G25" s="169">
        <f t="shared" ref="G25:R25" si="5">G23*$E$25</f>
        <v>247.94</v>
      </c>
      <c r="H25" s="169">
        <f t="shared" si="5"/>
        <v>280.64749999999998</v>
      </c>
      <c r="I25" s="169">
        <f t="shared" si="5"/>
        <v>231.38149999999999</v>
      </c>
      <c r="J25" s="169">
        <f t="shared" si="5"/>
        <v>210.37799999999996</v>
      </c>
      <c r="K25" s="169">
        <f t="shared" si="5"/>
        <v>206.346</v>
      </c>
      <c r="L25" s="168">
        <f t="shared" si="5"/>
        <v>202.6885</v>
      </c>
      <c r="M25" s="168">
        <f t="shared" si="5"/>
        <v>199.54900000000001</v>
      </c>
      <c r="N25" s="197">
        <f t="shared" si="5"/>
        <v>197.02900000000002</v>
      </c>
      <c r="O25" s="168">
        <f t="shared" si="5"/>
        <v>183.97399999999999</v>
      </c>
      <c r="P25" s="197">
        <f t="shared" si="5"/>
        <v>178.13249999999999</v>
      </c>
      <c r="Q25" s="168">
        <f t="shared" si="5"/>
        <v>169.77800000000002</v>
      </c>
      <c r="R25" s="196">
        <f t="shared" si="5"/>
        <v>168.53199999999998</v>
      </c>
    </row>
    <row r="26" spans="1:21" s="5" customFormat="1" x14ac:dyDescent="0.25">
      <c r="C26" s="261" t="s">
        <v>96</v>
      </c>
      <c r="D26" s="262"/>
      <c r="E26" s="191">
        <v>0.2</v>
      </c>
      <c r="F26" s="168">
        <f>F23*$E$26</f>
        <v>224.1516666666667</v>
      </c>
      <c r="G26" s="169">
        <f t="shared" ref="G26:R26" si="6">G23*$E$26</f>
        <v>165.29333333333335</v>
      </c>
      <c r="H26" s="169">
        <f t="shared" si="6"/>
        <v>187.09833333333336</v>
      </c>
      <c r="I26" s="169">
        <f t="shared" si="6"/>
        <v>154.25433333333334</v>
      </c>
      <c r="J26" s="169">
        <f t="shared" si="6"/>
        <v>140.25199999999998</v>
      </c>
      <c r="K26" s="169">
        <f t="shared" si="6"/>
        <v>137.56400000000002</v>
      </c>
      <c r="L26" s="168">
        <f t="shared" si="6"/>
        <v>135.12566666666666</v>
      </c>
      <c r="M26" s="168">
        <f t="shared" si="6"/>
        <v>133.0326666666667</v>
      </c>
      <c r="N26" s="197">
        <f t="shared" si="6"/>
        <v>131.35266666666669</v>
      </c>
      <c r="O26" s="168">
        <f t="shared" si="6"/>
        <v>122.64933333333335</v>
      </c>
      <c r="P26" s="197">
        <f t="shared" si="6"/>
        <v>118.755</v>
      </c>
      <c r="Q26" s="168">
        <f t="shared" si="6"/>
        <v>113.18533333333335</v>
      </c>
      <c r="R26" s="196">
        <f t="shared" si="6"/>
        <v>112.35466666666667</v>
      </c>
    </row>
    <row r="27" spans="1:21" s="5" customFormat="1" x14ac:dyDescent="0.25">
      <c r="E27" s="15"/>
      <c r="F27" s="16">
        <f>F20+F21+F22+F23</f>
        <v>4450.830888333333</v>
      </c>
      <c r="G27" s="139">
        <f t="shared" ref="G27:R27" si="7">G20+G21+G22+G23</f>
        <v>3901.8271366666663</v>
      </c>
      <c r="H27" s="139">
        <f t="shared" si="7"/>
        <v>3854.8616616666668</v>
      </c>
      <c r="I27" s="139">
        <f t="shared" si="7"/>
        <v>3639.8184616666667</v>
      </c>
      <c r="J27" s="139">
        <f t="shared" si="7"/>
        <v>3511.0215599999997</v>
      </c>
      <c r="K27" s="194">
        <f t="shared" si="7"/>
        <v>3439.0061600000004</v>
      </c>
      <c r="L27" s="16">
        <f t="shared" si="7"/>
        <v>3361.693248333333</v>
      </c>
      <c r="M27" s="16">
        <f t="shared" si="7"/>
        <v>3286.8644333333336</v>
      </c>
      <c r="N27" s="198">
        <f t="shared" si="7"/>
        <v>3237.8177333333333</v>
      </c>
      <c r="O27" s="16">
        <f t="shared" si="7"/>
        <v>3084.1815366666669</v>
      </c>
      <c r="P27" s="198">
        <f t="shared" si="7"/>
        <v>2989.3161249999998</v>
      </c>
      <c r="Q27" s="16">
        <f t="shared" si="7"/>
        <v>2886.0790066666664</v>
      </c>
      <c r="R27" s="199">
        <f t="shared" si="7"/>
        <v>2757.8019933333335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4" s="5" customFormat="1" x14ac:dyDescent="0.25">
      <c r="P33" s="13"/>
      <c r="Q33" s="13"/>
      <c r="R33" s="13"/>
      <c r="T33" s="13"/>
    </row>
    <row r="34" spans="1:24" s="5" customFormat="1" x14ac:dyDescent="0.25">
      <c r="J34" s="6" t="s">
        <v>6</v>
      </c>
      <c r="K34" s="6"/>
      <c r="L34" s="6">
        <v>766.06</v>
      </c>
      <c r="M34" s="6">
        <v>766.06</v>
      </c>
      <c r="N34" s="6">
        <v>766.06</v>
      </c>
      <c r="O34" s="6">
        <v>766.06</v>
      </c>
      <c r="P34" s="7">
        <v>766.06</v>
      </c>
      <c r="Q34" s="7">
        <v>766.06</v>
      </c>
      <c r="R34" s="7">
        <v>766.06</v>
      </c>
      <c r="S34" s="6">
        <v>766.06</v>
      </c>
      <c r="T34" s="7">
        <v>766.06</v>
      </c>
      <c r="U34" s="6">
        <v>766.06</v>
      </c>
    </row>
    <row r="35" spans="1:24" s="5" customFormat="1" x14ac:dyDescent="0.25">
      <c r="J35" s="6" t="s">
        <v>7</v>
      </c>
      <c r="K35" s="6"/>
      <c r="L35" s="104">
        <v>503.63</v>
      </c>
      <c r="M35" s="104">
        <v>467.83</v>
      </c>
      <c r="N35" s="6">
        <v>443.95</v>
      </c>
      <c r="O35" s="104">
        <v>420.05</v>
      </c>
      <c r="P35" s="7">
        <v>396.15</v>
      </c>
      <c r="Q35" s="7">
        <v>372.32</v>
      </c>
      <c r="R35" s="7">
        <v>348.39</v>
      </c>
      <c r="S35" s="6">
        <v>324.54000000000002</v>
      </c>
      <c r="T35" s="7">
        <v>300.62</v>
      </c>
      <c r="U35" s="6">
        <v>276.72000000000003</v>
      </c>
    </row>
    <row r="36" spans="1:24" s="5" customFormat="1" x14ac:dyDescent="0.25">
      <c r="J36" s="6" t="s">
        <v>8</v>
      </c>
      <c r="K36" s="6"/>
      <c r="L36" s="104">
        <f>'CE mes'!L36+'CE mes'!L42</f>
        <v>1303.85328</v>
      </c>
      <c r="M36" s="104">
        <f>'CE mes'!M36+'CE mes'!M42</f>
        <v>1284.5911550000001</v>
      </c>
      <c r="N36" s="104">
        <f>'CE mes'!N36+'CE mes'!N42</f>
        <v>1226.4789599999999</v>
      </c>
      <c r="O36" s="104">
        <f>'CE mes'!O36+'CE mes'!O42</f>
        <v>1183.0844750000001</v>
      </c>
      <c r="P36" s="7">
        <f>'CE mes'!P36+'CE mes'!P42</f>
        <v>1064.540485</v>
      </c>
      <c r="Q36" s="7">
        <f>'CE mes'!Q36+'CE mes'!Q42</f>
        <v>981.29171499999995</v>
      </c>
      <c r="R36" s="7">
        <f>'CE mes'!R36+'CE mes'!R42</f>
        <v>862.70093000000008</v>
      </c>
      <c r="S36" s="104">
        <f>'CE mes'!S36+'CE mes'!S42</f>
        <v>794.23274500000002</v>
      </c>
      <c r="T36" s="7">
        <f>'CE mes'!T36+'CE mes'!T42</f>
        <v>745.89530000000002</v>
      </c>
      <c r="U36" s="104">
        <f>'CE mes'!U36+'CE mes'!U42</f>
        <v>653.45853999999997</v>
      </c>
    </row>
    <row r="37" spans="1:24" s="5" customFormat="1" x14ac:dyDescent="0.25">
      <c r="J37" s="58" t="s">
        <v>97</v>
      </c>
      <c r="K37" s="6"/>
      <c r="L37" s="104">
        <v>981.51666666666677</v>
      </c>
      <c r="M37" s="104">
        <v>955.62833333333344</v>
      </c>
      <c r="N37" s="104">
        <v>873.06333333333316</v>
      </c>
      <c r="O37" s="104">
        <v>678.07833333333338</v>
      </c>
      <c r="P37" s="7">
        <v>672.08166666666671</v>
      </c>
      <c r="Q37" s="7">
        <v>572.28499999999997</v>
      </c>
      <c r="R37" s="7">
        <v>570.78000000000009</v>
      </c>
      <c r="S37" s="104">
        <v>570.09166666666658</v>
      </c>
      <c r="T37" s="7">
        <v>539.56000000000006</v>
      </c>
      <c r="U37" s="104">
        <v>466.41</v>
      </c>
    </row>
    <row r="38" spans="1:24" s="5" customFormat="1" hidden="1" x14ac:dyDescent="0.25">
      <c r="I38" s="261" t="s">
        <v>94</v>
      </c>
      <c r="J38" s="262"/>
      <c r="K38" s="159">
        <v>0.5</v>
      </c>
      <c r="L38" s="158">
        <f>L37*$K$38</f>
        <v>490.75833333333338</v>
      </c>
      <c r="M38" s="158">
        <f t="shared" ref="M38:U38" si="8">M37*$K$38</f>
        <v>477.81416666666672</v>
      </c>
      <c r="N38" s="158">
        <f t="shared" si="8"/>
        <v>436.53166666666658</v>
      </c>
      <c r="O38" s="158">
        <f t="shared" si="8"/>
        <v>339.03916666666669</v>
      </c>
      <c r="P38" s="170">
        <f t="shared" si="8"/>
        <v>336.04083333333335</v>
      </c>
      <c r="Q38" s="170">
        <f t="shared" si="8"/>
        <v>286.14249999999998</v>
      </c>
      <c r="R38" s="170">
        <f t="shared" si="8"/>
        <v>285.39000000000004</v>
      </c>
      <c r="S38" s="158">
        <f t="shared" si="8"/>
        <v>285.04583333333329</v>
      </c>
      <c r="T38" s="170">
        <f t="shared" si="8"/>
        <v>269.78000000000003</v>
      </c>
      <c r="U38" s="158">
        <f t="shared" si="8"/>
        <v>233.20500000000001</v>
      </c>
    </row>
    <row r="39" spans="1:24" s="5" customFormat="1" hidden="1" x14ac:dyDescent="0.25">
      <c r="I39" s="261" t="s">
        <v>95</v>
      </c>
      <c r="J39" s="262"/>
      <c r="K39" s="159">
        <v>0.3</v>
      </c>
      <c r="L39" s="158">
        <f>$K$39*L37</f>
        <v>294.45500000000004</v>
      </c>
      <c r="M39" s="158">
        <f t="shared" ref="M39:U39" si="9">$K$39*M37</f>
        <v>286.68850000000003</v>
      </c>
      <c r="N39" s="158">
        <f t="shared" si="9"/>
        <v>261.91899999999993</v>
      </c>
      <c r="O39" s="158">
        <f t="shared" si="9"/>
        <v>203.42350000000002</v>
      </c>
      <c r="P39" s="170">
        <f t="shared" si="9"/>
        <v>201.62450000000001</v>
      </c>
      <c r="Q39" s="170">
        <f t="shared" si="9"/>
        <v>171.68549999999999</v>
      </c>
      <c r="R39" s="170">
        <f t="shared" si="9"/>
        <v>171.23400000000001</v>
      </c>
      <c r="S39" s="158">
        <f t="shared" si="9"/>
        <v>171.02749999999997</v>
      </c>
      <c r="T39" s="170">
        <f t="shared" si="9"/>
        <v>161.86800000000002</v>
      </c>
      <c r="U39" s="158">
        <f t="shared" si="9"/>
        <v>139.923</v>
      </c>
    </row>
    <row r="40" spans="1:24" s="5" customFormat="1" hidden="1" x14ac:dyDescent="0.25">
      <c r="I40" s="261" t="s">
        <v>96</v>
      </c>
      <c r="J40" s="262"/>
      <c r="K40" s="159">
        <v>0.2</v>
      </c>
      <c r="L40" s="158">
        <f>L37*$K$40</f>
        <v>196.30333333333337</v>
      </c>
      <c r="M40" s="158">
        <f t="shared" ref="M40:U40" si="10">M37*$K$40</f>
        <v>191.12566666666669</v>
      </c>
      <c r="N40" s="158">
        <f t="shared" si="10"/>
        <v>174.61266666666666</v>
      </c>
      <c r="O40" s="158">
        <f t="shared" si="10"/>
        <v>135.61566666666667</v>
      </c>
      <c r="P40" s="170">
        <f t="shared" si="10"/>
        <v>134.41633333333334</v>
      </c>
      <c r="Q40" s="170">
        <f t="shared" si="10"/>
        <v>114.45699999999999</v>
      </c>
      <c r="R40" s="170">
        <f t="shared" si="10"/>
        <v>114.15600000000002</v>
      </c>
      <c r="S40" s="158">
        <f t="shared" si="10"/>
        <v>114.01833333333332</v>
      </c>
      <c r="T40" s="170">
        <f t="shared" si="10"/>
        <v>107.91200000000002</v>
      </c>
      <c r="U40" s="158">
        <f t="shared" si="10"/>
        <v>93.282000000000011</v>
      </c>
    </row>
    <row r="41" spans="1:24" s="5" customFormat="1" x14ac:dyDescent="0.25">
      <c r="J41" s="15"/>
      <c r="K41" s="15"/>
      <c r="L41" s="17">
        <f>SUM(L34:L37)</f>
        <v>3555.0599466666667</v>
      </c>
      <c r="M41" s="17">
        <f t="shared" ref="M41:U41" si="11">SUM(M34:M37)</f>
        <v>3474.1094883333335</v>
      </c>
      <c r="N41" s="17">
        <f t="shared" si="11"/>
        <v>3309.5522933333327</v>
      </c>
      <c r="O41" s="17">
        <f t="shared" si="11"/>
        <v>3047.2728083333336</v>
      </c>
      <c r="P41" s="16">
        <f t="shared" si="11"/>
        <v>2898.8321516666665</v>
      </c>
      <c r="Q41" s="16">
        <f t="shared" si="11"/>
        <v>2691.9567149999998</v>
      </c>
      <c r="R41" s="16">
        <f t="shared" si="11"/>
        <v>2547.93093</v>
      </c>
      <c r="S41" s="17">
        <f t="shared" si="11"/>
        <v>2454.9244116666664</v>
      </c>
      <c r="T41" s="16">
        <f t="shared" si="11"/>
        <v>2352.1352999999999</v>
      </c>
      <c r="U41" s="17">
        <f t="shared" si="11"/>
        <v>2162.6485399999997</v>
      </c>
    </row>
    <row r="42" spans="1:24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4" x14ac:dyDescent="0.25">
      <c r="A43" s="1" t="s">
        <v>18</v>
      </c>
      <c r="B43" s="1"/>
    </row>
    <row r="44" spans="1:24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4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4" s="5" customFormat="1" x14ac:dyDescent="0.25"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4" s="5" customFormat="1" x14ac:dyDescent="0.25"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4" s="5" customFormat="1" x14ac:dyDescent="0.25">
      <c r="N48" s="6" t="s">
        <v>6</v>
      </c>
      <c r="O48" s="104">
        <v>637.57000000000005</v>
      </c>
      <c r="P48" s="7">
        <v>637.57000000000005</v>
      </c>
      <c r="Q48" s="104">
        <v>637.57000000000005</v>
      </c>
      <c r="R48" s="104">
        <v>637.57000000000005</v>
      </c>
      <c r="S48" s="7">
        <v>637.57000000000005</v>
      </c>
      <c r="T48" s="7">
        <v>637.57000000000005</v>
      </c>
      <c r="U48" s="7">
        <v>637.57000000000005</v>
      </c>
      <c r="V48" s="7">
        <v>637.57000000000005</v>
      </c>
      <c r="W48" s="104">
        <v>637.57000000000005</v>
      </c>
      <c r="X48" s="7">
        <v>637.57000000000005</v>
      </c>
    </row>
    <row r="49" spans="1:25" s="5" customFormat="1" x14ac:dyDescent="0.25">
      <c r="N49" s="6" t="s">
        <v>7</v>
      </c>
      <c r="O49" s="104">
        <v>420.05</v>
      </c>
      <c r="P49" s="7">
        <v>396.15</v>
      </c>
      <c r="Q49" s="104">
        <v>372.32</v>
      </c>
      <c r="R49" s="104">
        <v>348.39</v>
      </c>
      <c r="S49" s="7">
        <v>324.54000000000002</v>
      </c>
      <c r="T49" s="7">
        <v>300.62</v>
      </c>
      <c r="U49" s="7">
        <v>276.72000000000003</v>
      </c>
      <c r="V49" s="7">
        <v>252.82</v>
      </c>
      <c r="W49" s="104">
        <v>228.97</v>
      </c>
      <c r="X49" s="7">
        <v>217.04</v>
      </c>
    </row>
    <row r="50" spans="1:25" s="5" customFormat="1" x14ac:dyDescent="0.25">
      <c r="N50" s="6" t="s">
        <v>8</v>
      </c>
      <c r="O50" s="104">
        <f>'CE mes'!O50+'CE mes'!O56</f>
        <v>1016.09552</v>
      </c>
      <c r="P50" s="7">
        <f>'CE mes'!P50+'CE mes'!P56</f>
        <v>973.79081499999995</v>
      </c>
      <c r="Q50" s="104">
        <f>'CE mes'!Q50+'CE mes'!Q56</f>
        <v>938.67653000000007</v>
      </c>
      <c r="R50" s="104">
        <f>'CE mes'!R50+'CE mes'!R56</f>
        <v>838.43288500000006</v>
      </c>
      <c r="S50" s="7">
        <f>'CE mes'!S50+'CE mes'!S56</f>
        <v>784.49610500000006</v>
      </c>
      <c r="T50" s="7">
        <f>'CE mes'!T50+'CE mes'!T56</f>
        <v>683.95257000000004</v>
      </c>
      <c r="U50" s="7">
        <f>'CE mes'!U50+'CE mes'!U56</f>
        <v>710.18601000000001</v>
      </c>
      <c r="V50" s="7">
        <f>'CE mes'!V50+'CE mes'!V56</f>
        <v>713.5066250000001</v>
      </c>
      <c r="W50" s="104">
        <f>'CE mes'!W50+'CE mes'!W56</f>
        <v>594.65583000000004</v>
      </c>
      <c r="X50" s="7">
        <f>'CE mes'!X50+'CE mes'!X56</f>
        <v>504.329995</v>
      </c>
    </row>
    <row r="51" spans="1:25" s="5" customFormat="1" x14ac:dyDescent="0.25">
      <c r="A51" s="38" t="s">
        <v>41</v>
      </c>
      <c r="B51" s="38"/>
      <c r="N51" s="58" t="s">
        <v>97</v>
      </c>
      <c r="O51" s="104">
        <v>636.2299999999999</v>
      </c>
      <c r="P51" s="7">
        <v>543.72500000000002</v>
      </c>
      <c r="Q51" s="104">
        <v>551.0866666666667</v>
      </c>
      <c r="R51" s="104">
        <v>580.42833333333328</v>
      </c>
      <c r="S51" s="7">
        <v>555.64833333333343</v>
      </c>
      <c r="T51" s="7">
        <v>585.31666666666672</v>
      </c>
      <c r="U51" s="7">
        <v>487.17666666666673</v>
      </c>
      <c r="V51" s="7">
        <v>504.61833333333334</v>
      </c>
      <c r="W51" s="104">
        <v>426.39333333333337</v>
      </c>
      <c r="X51" s="7">
        <v>382.935</v>
      </c>
    </row>
    <row r="52" spans="1:25" s="5" customFormat="1" hidden="1" x14ac:dyDescent="0.25">
      <c r="A52" s="38"/>
      <c r="B52" s="38"/>
      <c r="L52" s="261" t="s">
        <v>94</v>
      </c>
      <c r="M52" s="262"/>
      <c r="N52" s="159">
        <v>0.5</v>
      </c>
      <c r="O52" s="158">
        <f>O51*$N$52</f>
        <v>318.11499999999995</v>
      </c>
      <c r="P52" s="170">
        <f t="shared" ref="P52:X52" si="12">P51*$N$52</f>
        <v>271.86250000000001</v>
      </c>
      <c r="Q52" s="158">
        <f t="shared" si="12"/>
        <v>275.54333333333335</v>
      </c>
      <c r="R52" s="158">
        <f t="shared" si="12"/>
        <v>290.21416666666664</v>
      </c>
      <c r="S52" s="170">
        <f t="shared" si="12"/>
        <v>277.82416666666671</v>
      </c>
      <c r="T52" s="170">
        <f t="shared" si="12"/>
        <v>292.65833333333336</v>
      </c>
      <c r="U52" s="170">
        <f t="shared" si="12"/>
        <v>243.58833333333337</v>
      </c>
      <c r="V52" s="170">
        <f t="shared" si="12"/>
        <v>252.30916666666667</v>
      </c>
      <c r="W52" s="158">
        <f t="shared" si="12"/>
        <v>213.19666666666669</v>
      </c>
      <c r="X52" s="170">
        <f t="shared" si="12"/>
        <v>191.4675</v>
      </c>
    </row>
    <row r="53" spans="1:25" s="5" customFormat="1" hidden="1" x14ac:dyDescent="0.25">
      <c r="A53" s="38"/>
      <c r="B53" s="38"/>
      <c r="L53" s="261" t="s">
        <v>95</v>
      </c>
      <c r="M53" s="262"/>
      <c r="N53" s="159">
        <v>0.3</v>
      </c>
      <c r="O53" s="158">
        <f>O51*$N$53</f>
        <v>190.86899999999997</v>
      </c>
      <c r="P53" s="170">
        <f t="shared" ref="P53:X53" si="13">P51*$N$53</f>
        <v>163.11750000000001</v>
      </c>
      <c r="Q53" s="158">
        <f t="shared" si="13"/>
        <v>165.32599999999999</v>
      </c>
      <c r="R53" s="158">
        <f t="shared" si="13"/>
        <v>174.12849999999997</v>
      </c>
      <c r="S53" s="170">
        <f t="shared" si="13"/>
        <v>166.69450000000003</v>
      </c>
      <c r="T53" s="170">
        <f t="shared" si="13"/>
        <v>175.595</v>
      </c>
      <c r="U53" s="170">
        <f t="shared" si="13"/>
        <v>146.15300000000002</v>
      </c>
      <c r="V53" s="170">
        <f t="shared" si="13"/>
        <v>151.38550000000001</v>
      </c>
      <c r="W53" s="158">
        <f t="shared" si="13"/>
        <v>127.91800000000001</v>
      </c>
      <c r="X53" s="170">
        <f t="shared" si="13"/>
        <v>114.8805</v>
      </c>
    </row>
    <row r="54" spans="1:25" s="5" customFormat="1" hidden="1" x14ac:dyDescent="0.25">
      <c r="A54" s="34"/>
      <c r="B54" s="34"/>
      <c r="C54" s="34"/>
      <c r="D54" s="40"/>
      <c r="L54" s="261" t="s">
        <v>96</v>
      </c>
      <c r="M54" s="262"/>
      <c r="N54" s="159">
        <v>0.2</v>
      </c>
      <c r="O54" s="158">
        <f>O51*$N$54</f>
        <v>127.24599999999998</v>
      </c>
      <c r="P54" s="170">
        <f t="shared" ref="P54:X54" si="14">P51*$N$54</f>
        <v>108.745</v>
      </c>
      <c r="Q54" s="158">
        <f t="shared" si="14"/>
        <v>110.21733333333334</v>
      </c>
      <c r="R54" s="158">
        <f t="shared" si="14"/>
        <v>116.08566666666667</v>
      </c>
      <c r="S54" s="170">
        <f t="shared" si="14"/>
        <v>111.12966666666669</v>
      </c>
      <c r="T54" s="170">
        <f t="shared" si="14"/>
        <v>117.06333333333335</v>
      </c>
      <c r="U54" s="170">
        <f t="shared" si="14"/>
        <v>97.435333333333347</v>
      </c>
      <c r="V54" s="170">
        <f t="shared" si="14"/>
        <v>100.92366666666668</v>
      </c>
      <c r="W54" s="158">
        <f t="shared" si="14"/>
        <v>85.27866666666668</v>
      </c>
      <c r="X54" s="170">
        <f t="shared" si="14"/>
        <v>76.587000000000003</v>
      </c>
    </row>
    <row r="55" spans="1:25" s="5" customFormat="1" x14ac:dyDescent="0.25">
      <c r="A55" s="34" t="s">
        <v>26</v>
      </c>
      <c r="B55" s="34"/>
      <c r="C55" s="34"/>
      <c r="D55" s="40" t="s">
        <v>28</v>
      </c>
      <c r="N55" s="6"/>
      <c r="O55" s="139">
        <f>O51+O50+O49+O48</f>
        <v>2709.9455200000002</v>
      </c>
      <c r="P55" s="16">
        <f t="shared" ref="P55:X55" si="15">P51+P50+P49+P48</f>
        <v>2551.235815</v>
      </c>
      <c r="Q55" s="139">
        <f t="shared" si="15"/>
        <v>2499.6531966666666</v>
      </c>
      <c r="R55" s="139">
        <f t="shared" si="15"/>
        <v>2404.8212183333335</v>
      </c>
      <c r="S55" s="16">
        <f t="shared" si="15"/>
        <v>2302.2544383333334</v>
      </c>
      <c r="T55" s="16">
        <f t="shared" si="15"/>
        <v>2207.459236666667</v>
      </c>
      <c r="U55" s="16">
        <f t="shared" si="15"/>
        <v>2111.6526766666666</v>
      </c>
      <c r="V55" s="16">
        <f t="shared" si="15"/>
        <v>2108.5149583333332</v>
      </c>
      <c r="W55" s="139">
        <f t="shared" si="15"/>
        <v>1887.5891633333335</v>
      </c>
      <c r="X55" s="16">
        <f t="shared" si="15"/>
        <v>1741.8749950000001</v>
      </c>
    </row>
    <row r="56" spans="1:25" x14ac:dyDescent="0.25">
      <c r="A56" s="5" t="s">
        <v>30</v>
      </c>
      <c r="B56" s="5"/>
      <c r="C56" s="5"/>
      <c r="D56" s="5">
        <v>45.41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</row>
    <row r="57" spans="1:25" x14ac:dyDescent="0.25">
      <c r="A57" s="5" t="s">
        <v>31</v>
      </c>
      <c r="B57" s="5"/>
      <c r="C57" s="5"/>
      <c r="D57" s="5">
        <v>37.03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5" x14ac:dyDescent="0.25">
      <c r="A58" t="s">
        <v>19</v>
      </c>
      <c r="D58" s="5">
        <v>28.02</v>
      </c>
    </row>
    <row r="59" spans="1:25" s="5" customFormat="1" x14ac:dyDescent="0.25">
      <c r="A59" t="s">
        <v>20</v>
      </c>
      <c r="B59"/>
      <c r="C59"/>
      <c r="D59" s="5">
        <v>19.07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5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5" s="5" customFormat="1" x14ac:dyDescent="0.25">
      <c r="A61" s="38" t="s">
        <v>24</v>
      </c>
      <c r="B61" s="38"/>
      <c r="H61" s="35"/>
      <c r="I61" s="35"/>
      <c r="J61" s="41"/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5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41"/>
      <c r="K62" s="35"/>
      <c r="L62" s="35"/>
      <c r="M62" s="35"/>
      <c r="N62" s="35"/>
      <c r="O62" s="35"/>
      <c r="P62" s="35"/>
      <c r="Q62" s="35"/>
      <c r="R62" s="35"/>
    </row>
    <row r="63" spans="1:25" s="5" customFormat="1" x14ac:dyDescent="0.25">
      <c r="A63" s="5" t="s">
        <v>30</v>
      </c>
      <c r="C63" s="5">
        <v>728.13</v>
      </c>
      <c r="D63" s="5">
        <v>28.02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5" s="5" customFormat="1" x14ac:dyDescent="0.25">
      <c r="A64" s="5" t="s">
        <v>31</v>
      </c>
      <c r="C64" s="5">
        <v>744.11</v>
      </c>
      <c r="D64" s="5">
        <v>27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662.1</v>
      </c>
      <c r="D65" s="5">
        <v>24.2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631.76</v>
      </c>
      <c r="D66" s="5">
        <v>18.89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0.25569999999999998</v>
      </c>
      <c r="Q67" s="35">
        <v>0.19</v>
      </c>
      <c r="R67" s="44">
        <v>6.2199999999999998E-2</v>
      </c>
    </row>
    <row r="68" spans="1:18" s="5" customFormat="1" x14ac:dyDescent="0.25">
      <c r="H68" s="35"/>
      <c r="I68" s="35"/>
      <c r="J68" s="41" t="s">
        <v>38</v>
      </c>
      <c r="K68" s="35">
        <f>ROUND(('abril mensual funcionaris'!J72*0.24467%)+('abril mensual funcionaris'!J72),2)</f>
        <v>482.51</v>
      </c>
      <c r="L68" s="35"/>
      <c r="M68" s="35" t="s">
        <v>39</v>
      </c>
      <c r="N68" s="35"/>
      <c r="O68" s="35"/>
      <c r="P68" s="35">
        <v>9.1259999999999994</v>
      </c>
      <c r="Q68" s="35">
        <v>0</v>
      </c>
      <c r="R68" s="35">
        <v>9.1259999999999994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1">
    <mergeCell ref="I39:J39"/>
    <mergeCell ref="I40:J40"/>
    <mergeCell ref="L52:M52"/>
    <mergeCell ref="L53:M53"/>
    <mergeCell ref="L54:M54"/>
    <mergeCell ref="I38:J38"/>
    <mergeCell ref="A1:K1"/>
    <mergeCell ref="S3:Y3"/>
    <mergeCell ref="C24:D24"/>
    <mergeCell ref="C25:D25"/>
    <mergeCell ref="C26:D26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topLeftCell="A7" zoomScale="85" zoomScaleNormal="85" workbookViewId="0">
      <selection activeCell="S13" sqref="S13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122</v>
      </c>
      <c r="B2" s="1"/>
      <c r="S2" s="184"/>
      <c r="T2" s="184"/>
      <c r="U2" s="184"/>
      <c r="V2" s="184"/>
      <c r="W2" s="184"/>
      <c r="X2" s="184"/>
      <c r="Y2" s="184"/>
    </row>
    <row r="3" spans="1:25" x14ac:dyDescent="0.25">
      <c r="S3" s="260"/>
      <c r="T3" s="260"/>
      <c r="U3" s="260"/>
      <c r="V3" s="260"/>
      <c r="W3" s="260"/>
      <c r="X3" s="260"/>
      <c r="Y3" s="260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f>ROUND(('CE mes'!C8*12)+('CE any'!$C$63*2),2)</f>
        <v>15615.78</v>
      </c>
      <c r="D8" s="6">
        <f>ROUND(('CE mes'!D8*12)+('CE any'!$C$63*2),2)</f>
        <v>15615.78</v>
      </c>
      <c r="E8" s="6">
        <f>ROUND(('CE mes'!E8*12)+('CE any'!$C$63*2),2)</f>
        <v>15615.78</v>
      </c>
      <c r="F8" s="6">
        <f>ROUND(('CE mes'!F8*12)+('CE any'!$C$63*2),2)</f>
        <v>15615.78</v>
      </c>
      <c r="G8" s="7">
        <f>ROUND(('CE mes'!G8*12)+('CE any'!$C$63*2),2)</f>
        <v>15615.78</v>
      </c>
      <c r="H8" s="6">
        <f>ROUND(('CE mes'!H8*12)+('CE any'!$C$63*2),2)</f>
        <v>15615.78</v>
      </c>
      <c r="I8" s="6">
        <f>ROUND(('CE mes'!I8*12)+('CE any'!$C$63*2),2)</f>
        <v>15615.78</v>
      </c>
      <c r="J8" s="6">
        <f>ROUND(('CE mes'!J8*12)+('CE any'!$C$63*2),2)</f>
        <v>15615.78</v>
      </c>
      <c r="K8" s="6">
        <f>ROUND(('CE mes'!K8*12)+('CE any'!$C$63*2),2)</f>
        <v>15615.78</v>
      </c>
      <c r="L8" s="6">
        <f>ROUND(('CE mes'!L8*12)+('CE any'!$C$63*2),2)</f>
        <v>15615.78</v>
      </c>
      <c r="M8" s="7">
        <f>ROUND(('CE mes'!M8*12)+('CE any'!$C$63*2),2)</f>
        <v>15615.78</v>
      </c>
      <c r="N8" s="6">
        <f>ROUND(('CE mes'!N8*12)+('CE any'!$C$63*2),2)</f>
        <v>15615.78</v>
      </c>
      <c r="O8" s="6">
        <f>ROUND(('CE mes'!O8*12)+('CE any'!$C$63*2),2)</f>
        <v>15615.78</v>
      </c>
      <c r="P8" s="6">
        <f>ROUND(('CE mes'!P8*12)+('CE any'!$C$63*2),2)</f>
        <v>15615.78</v>
      </c>
    </row>
    <row r="9" spans="1:25" s="5" customFormat="1" x14ac:dyDescent="0.25">
      <c r="A9" s="58" t="s">
        <v>7</v>
      </c>
      <c r="B9" s="6"/>
      <c r="C9" s="6">
        <f>'CE mes'!C9*14</f>
        <v>14429.66</v>
      </c>
      <c r="D9" s="6">
        <f>'CE mes'!D9*14</f>
        <v>12942.720000000001</v>
      </c>
      <c r="E9" s="6">
        <f>'CE mes'!E9*14</f>
        <v>12398.82</v>
      </c>
      <c r="F9" s="6">
        <f>'CE mes'!F9*14</f>
        <v>11854.08</v>
      </c>
      <c r="G9" s="7">
        <f>'CE mes'!G9*14</f>
        <v>10400.040000000001</v>
      </c>
      <c r="H9" s="6">
        <f>'CE mes'!H9*14</f>
        <v>9226.9800000000014</v>
      </c>
      <c r="I9" s="6">
        <f>'CE mes'!I9*14</f>
        <v>8682.66</v>
      </c>
      <c r="J9" s="6">
        <f>'CE mes'!J9*14</f>
        <v>8139.04</v>
      </c>
      <c r="K9" s="6">
        <f>'CE mes'!K9*14</f>
        <v>7594.3000000000011</v>
      </c>
      <c r="L9" s="6">
        <f>'CE mes'!L9*14</f>
        <v>7050.82</v>
      </c>
      <c r="M9" s="7">
        <f>'CE mes'!M9*14</f>
        <v>6549.62</v>
      </c>
      <c r="N9" s="6">
        <f>'CE mes'!N9*14</f>
        <v>6549.62</v>
      </c>
      <c r="O9" s="6">
        <f>'CE mes'!O9*14</f>
        <v>6549.62</v>
      </c>
      <c r="P9" s="6">
        <f>'CE mes'!P9*14</f>
        <v>6549.62</v>
      </c>
    </row>
    <row r="10" spans="1:25" s="5" customFormat="1" x14ac:dyDescent="0.25">
      <c r="A10" s="58" t="s">
        <v>8</v>
      </c>
      <c r="B10" s="6"/>
      <c r="C10" s="6">
        <f>'0,3 Fun mes'!C10*14</f>
        <v>34812.871099999997</v>
      </c>
      <c r="D10" s="6">
        <f>'0,3 Fun mes'!D10*14</f>
        <v>32874.123870000003</v>
      </c>
      <c r="E10" s="6">
        <f>'0,3 Fun mes'!E10*14</f>
        <v>30223.976300000002</v>
      </c>
      <c r="F10" s="6">
        <f>'0,3 Fun mes'!F10*14</f>
        <v>24462.185720000001</v>
      </c>
      <c r="G10" s="7">
        <f>'0,3 Fun mes'!G10*14</f>
        <v>21404.679029999999</v>
      </c>
      <c r="H10" s="6">
        <f>'0,3 Fun mes'!H10*14</f>
        <v>21338.966039999999</v>
      </c>
      <c r="I10" s="6">
        <f>'0,3 Fun mes'!I10*14</f>
        <v>20801.552800000001</v>
      </c>
      <c r="J10" s="6">
        <f>'0,3 Fun mes'!J10*14</f>
        <v>20434.479170000002</v>
      </c>
      <c r="K10" s="6">
        <f>'0,3 Fun mes'!K10*14</f>
        <v>20067.836879999999</v>
      </c>
      <c r="L10" s="6">
        <f>'0,3 Fun mes'!L10*14</f>
        <v>18530.483229999998</v>
      </c>
      <c r="M10" s="7">
        <f>'0,3 Fun mes'!M10*14</f>
        <v>16962.298289999999</v>
      </c>
      <c r="N10" s="6">
        <f>'0,3 Fun mes'!N10*14</f>
        <v>14179.572610000001</v>
      </c>
      <c r="O10" s="6">
        <f>'0,3 Fun mes'!O10*14</f>
        <v>11227.393380000001</v>
      </c>
      <c r="P10" s="6">
        <f>'0,3 Fun mes'!P10*14</f>
        <v>7979.4904699999988</v>
      </c>
    </row>
    <row r="11" spans="1:25" s="5" customFormat="1" x14ac:dyDescent="0.25">
      <c r="A11" s="58" t="s">
        <v>97</v>
      </c>
      <c r="B11" s="6"/>
      <c r="C11" s="6">
        <f>'0,3 Fun mes'!C11*12</f>
        <v>16505.16</v>
      </c>
      <c r="D11" s="6">
        <f>'CE mes'!D11*12</f>
        <v>15862.980000000003</v>
      </c>
      <c r="E11" s="6">
        <f>'CE mes'!E11*12</f>
        <v>13721.119999999999</v>
      </c>
      <c r="F11" s="6">
        <f>'CE mes'!F11*12</f>
        <v>11518.08</v>
      </c>
      <c r="G11" s="7">
        <f>'CE mes'!G11*12</f>
        <v>10236.380000000001</v>
      </c>
      <c r="H11" s="6">
        <f>'CE mes'!H11*12</f>
        <v>10239.880000000001</v>
      </c>
      <c r="I11" s="6">
        <f>'CE mes'!I11*12</f>
        <v>10017</v>
      </c>
      <c r="J11" s="6">
        <f>'CE mes'!J11*12</f>
        <v>9836.5400000000009</v>
      </c>
      <c r="K11" s="6">
        <f>'CE mes'!K11*12</f>
        <v>9700.0400000000009</v>
      </c>
      <c r="L11" s="6">
        <f>'CE mes'!L11*12</f>
        <v>9032.3799999999992</v>
      </c>
      <c r="M11" s="7">
        <f>'CE mes'!M11*12</f>
        <v>8426.18</v>
      </c>
      <c r="N11" s="6">
        <f>'CE mes'!N11*12</f>
        <v>8138.8999999999987</v>
      </c>
      <c r="O11" s="6">
        <f>'CE mes'!O11*12</f>
        <v>6938.4000000000005</v>
      </c>
      <c r="P11" s="6">
        <f>'CE mes'!P11*12</f>
        <v>5617.78</v>
      </c>
    </row>
    <row r="12" spans="1:25" s="38" customFormat="1" x14ac:dyDescent="0.25">
      <c r="A12" s="156">
        <v>0.5</v>
      </c>
      <c r="B12" s="157" t="s">
        <v>94</v>
      </c>
      <c r="C12" s="6">
        <f>'CE mes'!C12*12</f>
        <v>8252.58</v>
      </c>
      <c r="D12" s="6">
        <f>'CE mes'!D12*12</f>
        <v>7931.4900000000016</v>
      </c>
      <c r="E12" s="6">
        <f>'CE mes'!E12*12</f>
        <v>6860.5599999999995</v>
      </c>
      <c r="F12" s="6">
        <f>'CE mes'!F12*12</f>
        <v>5759.04</v>
      </c>
      <c r="G12" s="7">
        <f>'CE mes'!G12*12</f>
        <v>5118.1900000000005</v>
      </c>
      <c r="H12" s="6">
        <f>'CE mes'!H12*12</f>
        <v>5119.9400000000005</v>
      </c>
      <c r="I12" s="6">
        <f>'CE mes'!I12*12</f>
        <v>5008.5</v>
      </c>
      <c r="J12" s="6">
        <f>'CE mes'!J12*12</f>
        <v>4918.2700000000004</v>
      </c>
      <c r="K12" s="6">
        <f>'CE mes'!K12*12</f>
        <v>4850.0200000000004</v>
      </c>
      <c r="L12" s="6">
        <f>'CE mes'!L12*12</f>
        <v>4516.1899999999996</v>
      </c>
      <c r="M12" s="7">
        <f>'CE mes'!M12*12</f>
        <v>4213.09</v>
      </c>
      <c r="N12" s="6">
        <f>'CE mes'!N12*12</f>
        <v>4069.4499999999994</v>
      </c>
      <c r="O12" s="6">
        <f>'CE mes'!O12*12</f>
        <v>3469.2000000000003</v>
      </c>
      <c r="P12" s="6">
        <f>'CE mes'!P12*12</f>
        <v>2808.89</v>
      </c>
    </row>
    <row r="13" spans="1:25" s="38" customFormat="1" x14ac:dyDescent="0.25">
      <c r="A13" s="156">
        <v>0.3</v>
      </c>
      <c r="B13" s="157" t="s">
        <v>95</v>
      </c>
      <c r="C13" s="157">
        <f>C11*$A$12</f>
        <v>8252.58</v>
      </c>
      <c r="D13" s="157">
        <f t="shared" ref="D13:P13" si="0">D11*$A$12</f>
        <v>7931.4900000000016</v>
      </c>
      <c r="E13" s="157">
        <f t="shared" si="0"/>
        <v>6860.5599999999995</v>
      </c>
      <c r="F13" s="157">
        <f t="shared" si="0"/>
        <v>5759.04</v>
      </c>
      <c r="G13" s="170">
        <f t="shared" si="0"/>
        <v>5118.1900000000005</v>
      </c>
      <c r="H13" s="157">
        <f t="shared" si="0"/>
        <v>5119.9400000000005</v>
      </c>
      <c r="I13" s="157">
        <f t="shared" si="0"/>
        <v>5008.5</v>
      </c>
      <c r="J13" s="157">
        <f t="shared" si="0"/>
        <v>4918.2700000000004</v>
      </c>
      <c r="K13" s="157">
        <f t="shared" si="0"/>
        <v>4850.0200000000004</v>
      </c>
      <c r="L13" s="157">
        <f t="shared" si="0"/>
        <v>4516.1899999999996</v>
      </c>
      <c r="M13" s="170">
        <f t="shared" si="0"/>
        <v>4213.09</v>
      </c>
      <c r="N13" s="157">
        <f t="shared" si="0"/>
        <v>4069.4499999999994</v>
      </c>
      <c r="O13" s="157">
        <f t="shared" si="0"/>
        <v>3469.2000000000003</v>
      </c>
      <c r="P13" s="157">
        <f t="shared" si="0"/>
        <v>2808.89</v>
      </c>
    </row>
    <row r="14" spans="1:25" s="38" customFormat="1" x14ac:dyDescent="0.25">
      <c r="A14" s="156">
        <v>0.2</v>
      </c>
      <c r="B14" s="157" t="s">
        <v>96</v>
      </c>
      <c r="C14" s="157">
        <f>C11*$A$12</f>
        <v>8252.58</v>
      </c>
      <c r="D14" s="157">
        <f t="shared" ref="D14:P14" si="1">D11*$A$12</f>
        <v>7931.4900000000016</v>
      </c>
      <c r="E14" s="157">
        <f t="shared" si="1"/>
        <v>6860.5599999999995</v>
      </c>
      <c r="F14" s="157">
        <f t="shared" si="1"/>
        <v>5759.04</v>
      </c>
      <c r="G14" s="170">
        <f t="shared" si="1"/>
        <v>5118.1900000000005</v>
      </c>
      <c r="H14" s="157">
        <f t="shared" si="1"/>
        <v>5119.9400000000005</v>
      </c>
      <c r="I14" s="157">
        <f t="shared" si="1"/>
        <v>5008.5</v>
      </c>
      <c r="J14" s="157">
        <f t="shared" si="1"/>
        <v>4918.2700000000004</v>
      </c>
      <c r="K14" s="157">
        <f t="shared" si="1"/>
        <v>4850.0200000000004</v>
      </c>
      <c r="L14" s="157">
        <f t="shared" si="1"/>
        <v>4516.1899999999996</v>
      </c>
      <c r="M14" s="170">
        <f t="shared" si="1"/>
        <v>4213.09</v>
      </c>
      <c r="N14" s="157">
        <f t="shared" si="1"/>
        <v>4069.4499999999994</v>
      </c>
      <c r="O14" s="157">
        <f t="shared" si="1"/>
        <v>3469.2000000000003</v>
      </c>
      <c r="P14" s="157">
        <f t="shared" si="1"/>
        <v>2808.89</v>
      </c>
    </row>
    <row r="15" spans="1:25" s="5" customFormat="1" x14ac:dyDescent="0.25">
      <c r="A15" s="58"/>
      <c r="B15" s="6"/>
      <c r="C15" s="15">
        <f>C11+C10+C9+C8</f>
        <v>81363.471099999995</v>
      </c>
      <c r="D15" s="15">
        <f t="shared" ref="D15:P15" si="2">D11+D10+D9+D8</f>
        <v>77295.603870000006</v>
      </c>
      <c r="E15" s="15">
        <f t="shared" si="2"/>
        <v>71959.696300000011</v>
      </c>
      <c r="F15" s="15">
        <f t="shared" si="2"/>
        <v>63450.125720000004</v>
      </c>
      <c r="G15" s="16">
        <f t="shared" si="2"/>
        <v>57656.879029999996</v>
      </c>
      <c r="H15" s="15">
        <f t="shared" si="2"/>
        <v>56421.606039999999</v>
      </c>
      <c r="I15" s="15">
        <f t="shared" si="2"/>
        <v>55116.9928</v>
      </c>
      <c r="J15" s="15">
        <f t="shared" si="2"/>
        <v>54025.839169999999</v>
      </c>
      <c r="K15" s="15">
        <f t="shared" si="2"/>
        <v>52977.956879999998</v>
      </c>
      <c r="L15" s="15">
        <f t="shared" si="2"/>
        <v>50229.463229999994</v>
      </c>
      <c r="M15" s="16">
        <f t="shared" si="2"/>
        <v>47553.878290000001</v>
      </c>
      <c r="N15" s="15">
        <f t="shared" si="2"/>
        <v>44483.872609999999</v>
      </c>
      <c r="O15" s="15">
        <f t="shared" si="2"/>
        <v>40331.193380000004</v>
      </c>
      <c r="P15" s="15">
        <f t="shared" si="2"/>
        <v>35762.670469999997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19"/>
      <c r="H19" s="19"/>
      <c r="I19" s="19"/>
      <c r="J19" s="19"/>
      <c r="K19" s="19"/>
      <c r="L19" s="20"/>
      <c r="M19" s="20"/>
      <c r="N19" s="19"/>
      <c r="O19" s="20"/>
      <c r="P19" s="19"/>
      <c r="Q19" s="20"/>
      <c r="R19" s="19"/>
    </row>
    <row r="20" spans="1:21" s="5" customFormat="1" x14ac:dyDescent="0.25">
      <c r="E20" s="6" t="s">
        <v>6</v>
      </c>
      <c r="F20" s="7">
        <f>ROUND((1020.28*12)+($C$64*2),2)</f>
        <v>13731.58</v>
      </c>
      <c r="G20" s="104">
        <f t="shared" ref="G20:R20" si="3">ROUND((1020.28*12)+($C$64*2),2)</f>
        <v>13731.58</v>
      </c>
      <c r="H20" s="104">
        <f t="shared" si="3"/>
        <v>13731.58</v>
      </c>
      <c r="I20" s="104">
        <f t="shared" si="3"/>
        <v>13731.58</v>
      </c>
      <c r="J20" s="104">
        <f t="shared" si="3"/>
        <v>13731.58</v>
      </c>
      <c r="K20" s="104">
        <f t="shared" si="3"/>
        <v>13731.58</v>
      </c>
      <c r="L20" s="7">
        <f t="shared" si="3"/>
        <v>13731.58</v>
      </c>
      <c r="M20" s="7">
        <f t="shared" si="3"/>
        <v>13731.58</v>
      </c>
      <c r="N20" s="104">
        <f t="shared" si="3"/>
        <v>13731.58</v>
      </c>
      <c r="O20" s="7">
        <f t="shared" si="3"/>
        <v>13731.58</v>
      </c>
      <c r="P20" s="104">
        <f t="shared" si="3"/>
        <v>13731.58</v>
      </c>
      <c r="Q20" s="7">
        <f t="shared" si="3"/>
        <v>13731.58</v>
      </c>
      <c r="R20" s="104">
        <f t="shared" si="3"/>
        <v>13731.58</v>
      </c>
    </row>
    <row r="21" spans="1:21" s="5" customFormat="1" x14ac:dyDescent="0.25">
      <c r="E21" s="6" t="s">
        <v>7</v>
      </c>
      <c r="F21" s="7">
        <f>'CE mes'!F21*14</f>
        <v>10400.040000000001</v>
      </c>
      <c r="G21" s="104">
        <f>'CE mes'!G21*14</f>
        <v>10400.040000000001</v>
      </c>
      <c r="H21" s="104">
        <f>'CE mes'!H21*14</f>
        <v>9226.9800000000014</v>
      </c>
      <c r="I21" s="104">
        <f>'CE mes'!I21*14</f>
        <v>8682.66</v>
      </c>
      <c r="J21" s="104">
        <f>'CE mes'!J21*14</f>
        <v>8139.04</v>
      </c>
      <c r="K21" s="104">
        <f>'CE mes'!K21*14</f>
        <v>7594.3000000000011</v>
      </c>
      <c r="L21" s="7">
        <f>'CE mes'!L21*14</f>
        <v>7050.82</v>
      </c>
      <c r="M21" s="7">
        <f>'CE mes'!M21*14</f>
        <v>6549.62</v>
      </c>
      <c r="N21" s="104">
        <f>'CE mes'!N21*14</f>
        <v>6215.3</v>
      </c>
      <c r="O21" s="7">
        <f>'CE mes'!O21*14</f>
        <v>5880.7</v>
      </c>
      <c r="P21" s="104">
        <f>'CE mes'!P21*14</f>
        <v>5546.0999999999995</v>
      </c>
      <c r="Q21" s="7">
        <f>'CE mes'!Q21*14</f>
        <v>5212.4799999999996</v>
      </c>
      <c r="R21" s="104">
        <f>'CE mes'!R21*14</f>
        <v>5199.7400000000007</v>
      </c>
    </row>
    <row r="22" spans="1:21" s="5" customFormat="1" x14ac:dyDescent="0.25">
      <c r="E22" s="6" t="s">
        <v>8</v>
      </c>
      <c r="F22" s="7">
        <f>'0,3 Fun mes'!F22*14</f>
        <v>21937.055769999999</v>
      </c>
      <c r="G22" s="6">
        <f>'0,3 Fun mes'!G22*14</f>
        <v>18371.086579999999</v>
      </c>
      <c r="H22" s="6">
        <f>'0,3 Fun mes'!H22*14</f>
        <v>17360.279930000001</v>
      </c>
      <c r="I22" s="6">
        <f>'0,3 Fun mes'!I22*14</f>
        <v>17193.075129999997</v>
      </c>
      <c r="J22" s="6">
        <f>'0,3 Fun mes'!J22*14</f>
        <v>16913.701839999998</v>
      </c>
      <c r="K22" s="6">
        <f>'0,3 Fun mes'!K22*14</f>
        <v>16638.386240000003</v>
      </c>
      <c r="L22" s="7">
        <f>'0,3 Fun mes'!L22*14</f>
        <v>16270.168809999997</v>
      </c>
      <c r="M22" s="7">
        <f>'0,3 Fun mes'!M22*14</f>
        <v>15870.275400000002</v>
      </c>
      <c r="N22" s="6">
        <f>'0,3 Fun mes'!N22*14</f>
        <v>15635.541600000002</v>
      </c>
      <c r="O22" s="7">
        <f>'0,3 Fun mes'!O22*14</f>
        <v>14428.468179999998</v>
      </c>
      <c r="P22" s="6">
        <f>'0,3 Fun mes'!P22*14</f>
        <v>13707.55575</v>
      </c>
      <c r="Q22" s="7">
        <f>'0,3 Fun mes'!Q22*14</f>
        <v>12985.732759999999</v>
      </c>
      <c r="R22" s="6">
        <f>'0,3 Fun mes'!R22*14</f>
        <v>11260.741239999999</v>
      </c>
    </row>
    <row r="23" spans="1:21" s="5" customFormat="1" x14ac:dyDescent="0.25">
      <c r="E23" s="58" t="s">
        <v>97</v>
      </c>
      <c r="F23" s="7">
        <f>'CE mes'!F23*12</f>
        <v>13449.100000000002</v>
      </c>
      <c r="G23" s="104">
        <f>'CE mes'!G23*12</f>
        <v>9917.6</v>
      </c>
      <c r="H23" s="104">
        <f>'CE mes'!H23*12</f>
        <v>11225.9</v>
      </c>
      <c r="I23" s="104">
        <f>'CE mes'!I23*12</f>
        <v>9255.26</v>
      </c>
      <c r="J23" s="104">
        <f>'CE mes'!J23*12</f>
        <v>8415.119999999999</v>
      </c>
      <c r="K23" s="104">
        <f>'CE mes'!K23*12</f>
        <v>8253.84</v>
      </c>
      <c r="L23" s="7">
        <f>'CE mes'!L23*12</f>
        <v>8107.54</v>
      </c>
      <c r="M23" s="7">
        <f>'CE mes'!M23*12</f>
        <v>7981.9600000000009</v>
      </c>
      <c r="N23" s="104">
        <f>'CE mes'!N23*12</f>
        <v>7881.1600000000017</v>
      </c>
      <c r="O23" s="7">
        <f>'CE mes'!O23*12</f>
        <v>7358.96</v>
      </c>
      <c r="P23" s="104">
        <f>'CE mes'!P23*12</f>
        <v>7125.2999999999993</v>
      </c>
      <c r="Q23" s="7">
        <f>'CE mes'!Q23*12</f>
        <v>6791.1200000000008</v>
      </c>
      <c r="R23" s="104">
        <f>'CE mes'!R23*12</f>
        <v>6741.28</v>
      </c>
    </row>
    <row r="24" spans="1:21" s="5" customFormat="1" hidden="1" x14ac:dyDescent="0.25">
      <c r="C24" s="261" t="s">
        <v>94</v>
      </c>
      <c r="D24" s="262"/>
      <c r="E24" s="159">
        <v>0.5</v>
      </c>
      <c r="F24" s="168">
        <f>F23*$E$24</f>
        <v>6724.5500000000011</v>
      </c>
      <c r="G24" s="169">
        <f t="shared" ref="G24:R24" si="4">G23*$E$24</f>
        <v>4958.8</v>
      </c>
      <c r="H24" s="169">
        <f t="shared" si="4"/>
        <v>5612.95</v>
      </c>
      <c r="I24" s="169">
        <f t="shared" si="4"/>
        <v>4627.63</v>
      </c>
      <c r="J24" s="169">
        <f t="shared" si="4"/>
        <v>4207.5599999999995</v>
      </c>
      <c r="K24" s="169">
        <f t="shared" si="4"/>
        <v>4126.92</v>
      </c>
      <c r="L24" s="168">
        <f t="shared" si="4"/>
        <v>4053.77</v>
      </c>
      <c r="M24" s="168">
        <f t="shared" si="4"/>
        <v>3990.9800000000005</v>
      </c>
      <c r="N24" s="169">
        <f t="shared" si="4"/>
        <v>3940.5800000000008</v>
      </c>
      <c r="O24" s="168">
        <f t="shared" si="4"/>
        <v>3679.48</v>
      </c>
      <c r="P24" s="169">
        <f t="shared" si="4"/>
        <v>3562.6499999999996</v>
      </c>
      <c r="Q24" s="168">
        <f t="shared" si="4"/>
        <v>3395.5600000000004</v>
      </c>
      <c r="R24" s="169">
        <f t="shared" si="4"/>
        <v>3370.64</v>
      </c>
    </row>
    <row r="25" spans="1:21" s="5" customFormat="1" hidden="1" x14ac:dyDescent="0.25">
      <c r="C25" s="261" t="s">
        <v>95</v>
      </c>
      <c r="D25" s="262"/>
      <c r="E25" s="159">
        <v>0.3</v>
      </c>
      <c r="F25" s="168">
        <f>F23*$E$25</f>
        <v>4034.7300000000005</v>
      </c>
      <c r="G25" s="169">
        <f t="shared" ref="G25:R25" si="5">G23*$E$25</f>
        <v>2975.28</v>
      </c>
      <c r="H25" s="169">
        <f t="shared" si="5"/>
        <v>3367.77</v>
      </c>
      <c r="I25" s="169">
        <f t="shared" si="5"/>
        <v>2776.578</v>
      </c>
      <c r="J25" s="169">
        <f t="shared" si="5"/>
        <v>2524.5359999999996</v>
      </c>
      <c r="K25" s="169">
        <f t="shared" si="5"/>
        <v>2476.152</v>
      </c>
      <c r="L25" s="168">
        <f t="shared" si="5"/>
        <v>2432.2619999999997</v>
      </c>
      <c r="M25" s="168">
        <f t="shared" si="5"/>
        <v>2394.5880000000002</v>
      </c>
      <c r="N25" s="169">
        <f t="shared" si="5"/>
        <v>2364.3480000000004</v>
      </c>
      <c r="O25" s="168">
        <f t="shared" si="5"/>
        <v>2207.6880000000001</v>
      </c>
      <c r="P25" s="169">
        <f t="shared" si="5"/>
        <v>2137.5899999999997</v>
      </c>
      <c r="Q25" s="168">
        <f t="shared" si="5"/>
        <v>2037.3360000000002</v>
      </c>
      <c r="R25" s="169">
        <f t="shared" si="5"/>
        <v>2022.3839999999998</v>
      </c>
    </row>
    <row r="26" spans="1:21" s="5" customFormat="1" hidden="1" x14ac:dyDescent="0.25">
      <c r="C26" s="261" t="s">
        <v>96</v>
      </c>
      <c r="D26" s="262"/>
      <c r="E26" s="159">
        <v>0.2</v>
      </c>
      <c r="F26" s="168">
        <f>F23*$E$26</f>
        <v>2689.8200000000006</v>
      </c>
      <c r="G26" s="169">
        <f t="shared" ref="G26:R26" si="6">G23*$E$26</f>
        <v>1983.5200000000002</v>
      </c>
      <c r="H26" s="169">
        <f t="shared" si="6"/>
        <v>2245.1799999999998</v>
      </c>
      <c r="I26" s="169">
        <f t="shared" si="6"/>
        <v>1851.0520000000001</v>
      </c>
      <c r="J26" s="169">
        <f t="shared" si="6"/>
        <v>1683.0239999999999</v>
      </c>
      <c r="K26" s="169">
        <f t="shared" si="6"/>
        <v>1650.768</v>
      </c>
      <c r="L26" s="168">
        <f t="shared" si="6"/>
        <v>1621.508</v>
      </c>
      <c r="M26" s="168">
        <f t="shared" si="6"/>
        <v>1596.3920000000003</v>
      </c>
      <c r="N26" s="169">
        <f t="shared" si="6"/>
        <v>1576.2320000000004</v>
      </c>
      <c r="O26" s="168">
        <f t="shared" si="6"/>
        <v>1471.7920000000001</v>
      </c>
      <c r="P26" s="169">
        <f t="shared" si="6"/>
        <v>1425.06</v>
      </c>
      <c r="Q26" s="168">
        <f t="shared" si="6"/>
        <v>1358.2240000000002</v>
      </c>
      <c r="R26" s="169">
        <f t="shared" si="6"/>
        <v>1348.2560000000001</v>
      </c>
    </row>
    <row r="27" spans="1:21" s="5" customFormat="1" x14ac:dyDescent="0.25">
      <c r="E27" s="15"/>
      <c r="F27" s="16">
        <f>F20+F21+F22+F23</f>
        <v>59517.775770000007</v>
      </c>
      <c r="G27" s="139">
        <f t="shared" ref="G27:R27" si="7">G20+G21+G22+G23</f>
        <v>52420.306579999997</v>
      </c>
      <c r="H27" s="139">
        <f t="shared" si="7"/>
        <v>51544.739930000003</v>
      </c>
      <c r="I27" s="139">
        <f t="shared" si="7"/>
        <v>48862.575129999997</v>
      </c>
      <c r="J27" s="139">
        <f t="shared" si="7"/>
        <v>47199.44184</v>
      </c>
      <c r="K27" s="139">
        <f t="shared" si="7"/>
        <v>46218.106240000008</v>
      </c>
      <c r="L27" s="16">
        <f t="shared" si="7"/>
        <v>45160.108809999998</v>
      </c>
      <c r="M27" s="16">
        <f t="shared" si="7"/>
        <v>44133.435400000002</v>
      </c>
      <c r="N27" s="139">
        <f t="shared" si="7"/>
        <v>43463.581600000005</v>
      </c>
      <c r="O27" s="16">
        <f t="shared" si="7"/>
        <v>41399.708179999994</v>
      </c>
      <c r="P27" s="139">
        <f t="shared" si="7"/>
        <v>40110.535749999995</v>
      </c>
      <c r="Q27" s="16">
        <f t="shared" si="7"/>
        <v>38720.912759999999</v>
      </c>
      <c r="R27" s="139">
        <f t="shared" si="7"/>
        <v>36933.341240000002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</row>
    <row r="29" spans="1:21" x14ac:dyDescent="0.25">
      <c r="A29" s="1" t="s">
        <v>16</v>
      </c>
      <c r="B29" s="1"/>
      <c r="D29" s="5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4" s="5" customFormat="1" x14ac:dyDescent="0.25">
      <c r="P33" s="13"/>
      <c r="Q33" s="13"/>
      <c r="R33" s="13"/>
      <c r="T33" s="13"/>
    </row>
    <row r="34" spans="1:24" s="5" customFormat="1" x14ac:dyDescent="0.25">
      <c r="J34" s="6" t="s">
        <v>6</v>
      </c>
      <c r="K34" s="6"/>
      <c r="L34" s="6">
        <f>ROUND((766.06*12)+($C$65*2),2)</f>
        <v>10516.92</v>
      </c>
      <c r="M34" s="6">
        <f t="shared" ref="M34:U34" si="8">ROUND((766.06*12)+($C$65*2),2)</f>
        <v>10516.92</v>
      </c>
      <c r="N34" s="6">
        <f t="shared" si="8"/>
        <v>10516.92</v>
      </c>
      <c r="O34" s="6">
        <f t="shared" si="8"/>
        <v>10516.92</v>
      </c>
      <c r="P34" s="7">
        <f t="shared" si="8"/>
        <v>10516.92</v>
      </c>
      <c r="Q34" s="7">
        <f t="shared" si="8"/>
        <v>10516.92</v>
      </c>
      <c r="R34" s="7">
        <f t="shared" si="8"/>
        <v>10516.92</v>
      </c>
      <c r="S34" s="6">
        <f t="shared" si="8"/>
        <v>10516.92</v>
      </c>
      <c r="T34" s="7">
        <f t="shared" si="8"/>
        <v>10516.92</v>
      </c>
      <c r="U34" s="6">
        <f t="shared" si="8"/>
        <v>10516.92</v>
      </c>
    </row>
    <row r="35" spans="1:24" s="5" customFormat="1" x14ac:dyDescent="0.25">
      <c r="J35" s="6" t="s">
        <v>7</v>
      </c>
      <c r="K35" s="6"/>
      <c r="L35" s="104">
        <f>'CE mes'!L35*14</f>
        <v>7050.82</v>
      </c>
      <c r="M35" s="104">
        <f>'CE mes'!M35*14</f>
        <v>6549.62</v>
      </c>
      <c r="N35" s="104">
        <f>'CE mes'!N35*14</f>
        <v>6215.3</v>
      </c>
      <c r="O35" s="104">
        <f>'CE mes'!O35*14</f>
        <v>5880.7</v>
      </c>
      <c r="P35" s="7">
        <f>'CE mes'!P35*14</f>
        <v>5546.0999999999995</v>
      </c>
      <c r="Q35" s="7">
        <f>'CE mes'!Q35*14</f>
        <v>5212.4799999999996</v>
      </c>
      <c r="R35" s="7">
        <f>'CE mes'!R35*14</f>
        <v>4877.46</v>
      </c>
      <c r="S35" s="104">
        <f>'CE mes'!S35*14</f>
        <v>4543.5600000000004</v>
      </c>
      <c r="T35" s="7">
        <f>'CE mes'!T35*14</f>
        <v>4208.68</v>
      </c>
      <c r="U35" s="104">
        <f>'CE mes'!U35*14</f>
        <v>3874.0800000000004</v>
      </c>
    </row>
    <row r="36" spans="1:24" s="5" customFormat="1" x14ac:dyDescent="0.25">
      <c r="J36" s="6" t="s">
        <v>8</v>
      </c>
      <c r="K36" s="6"/>
      <c r="L36" s="6">
        <f>'0,3 Fun mes'!L36*14</f>
        <v>18253.945920000002</v>
      </c>
      <c r="M36" s="6">
        <f>'0,3 Fun mes'!M36*14</f>
        <v>17984.276170000001</v>
      </c>
      <c r="N36" s="6">
        <f>'0,3 Fun mes'!N36*14</f>
        <v>17170.705439999998</v>
      </c>
      <c r="O36" s="6">
        <f>'0,3 Fun mes'!O36*14</f>
        <v>16563.182650000002</v>
      </c>
      <c r="P36" s="7">
        <f>'0,3 Fun mes'!P36*14</f>
        <v>14903.566790000001</v>
      </c>
      <c r="Q36" s="7">
        <f>'0,3 Fun mes'!Q36*14</f>
        <v>13738.084009999999</v>
      </c>
      <c r="R36" s="7">
        <f>'0,3 Fun mes'!R36*14</f>
        <v>12077.813020000001</v>
      </c>
      <c r="S36" s="6">
        <f>'0,3 Fun mes'!S36*14</f>
        <v>11119.25843</v>
      </c>
      <c r="T36" s="7">
        <f>'0,3 Fun mes'!T36*14</f>
        <v>10442.5342</v>
      </c>
      <c r="U36" s="6">
        <f>'0,3 Fun mes'!U36*14</f>
        <v>9148.4195600000003</v>
      </c>
    </row>
    <row r="37" spans="1:24" s="5" customFormat="1" x14ac:dyDescent="0.25">
      <c r="J37" s="58" t="s">
        <v>97</v>
      </c>
      <c r="K37" s="6"/>
      <c r="L37" s="104">
        <f>'CE mes'!L37*12</f>
        <v>11778.2</v>
      </c>
      <c r="M37" s="104">
        <f>'CE mes'!M37*12</f>
        <v>11467.54</v>
      </c>
      <c r="N37" s="104">
        <f>'CE mes'!N37*12</f>
        <v>10476.759999999998</v>
      </c>
      <c r="O37" s="104">
        <f>'CE mes'!O37*12</f>
        <v>8136.9400000000005</v>
      </c>
      <c r="P37" s="7">
        <f>'CE mes'!P37*12</f>
        <v>8064.9800000000005</v>
      </c>
      <c r="Q37" s="7">
        <f>'CE mes'!Q37*12</f>
        <v>6867.42</v>
      </c>
      <c r="R37" s="7">
        <f>'CE mes'!R37*12</f>
        <v>6849.3600000000006</v>
      </c>
      <c r="S37" s="104">
        <f>'CE mes'!S37*12</f>
        <v>6841.0999999999985</v>
      </c>
      <c r="T37" s="7">
        <f>'CE mes'!T37*12</f>
        <v>6474.7200000000012</v>
      </c>
      <c r="U37" s="104">
        <f>'CE mes'!U37*12</f>
        <v>5596.92</v>
      </c>
    </row>
    <row r="38" spans="1:24" s="5" customFormat="1" hidden="1" x14ac:dyDescent="0.25">
      <c r="I38" s="261" t="s">
        <v>94</v>
      </c>
      <c r="J38" s="262"/>
      <c r="K38" s="159">
        <v>0.5</v>
      </c>
      <c r="L38" s="158">
        <f>L37*$K$38</f>
        <v>5889.1</v>
      </c>
      <c r="M38" s="158">
        <f t="shared" ref="M38:U38" si="9">M37*$K$38</f>
        <v>5733.77</v>
      </c>
      <c r="N38" s="158">
        <f t="shared" si="9"/>
        <v>5238.3799999999992</v>
      </c>
      <c r="O38" s="158">
        <f t="shared" si="9"/>
        <v>4068.4700000000003</v>
      </c>
      <c r="P38" s="170">
        <f t="shared" si="9"/>
        <v>4032.4900000000002</v>
      </c>
      <c r="Q38" s="170">
        <f t="shared" si="9"/>
        <v>3433.71</v>
      </c>
      <c r="R38" s="170">
        <f t="shared" si="9"/>
        <v>3424.6800000000003</v>
      </c>
      <c r="S38" s="158">
        <f t="shared" si="9"/>
        <v>3420.5499999999993</v>
      </c>
      <c r="T38" s="170">
        <f t="shared" si="9"/>
        <v>3237.3600000000006</v>
      </c>
      <c r="U38" s="158">
        <f t="shared" si="9"/>
        <v>2798.46</v>
      </c>
    </row>
    <row r="39" spans="1:24" s="5" customFormat="1" hidden="1" x14ac:dyDescent="0.25">
      <c r="I39" s="261" t="s">
        <v>95</v>
      </c>
      <c r="J39" s="262"/>
      <c r="K39" s="159">
        <v>0.3</v>
      </c>
      <c r="L39" s="158">
        <f>$K$39*L37</f>
        <v>3533.46</v>
      </c>
      <c r="M39" s="158">
        <f t="shared" ref="M39:U39" si="10">$K$39*M37</f>
        <v>3440.2620000000002</v>
      </c>
      <c r="N39" s="158">
        <f t="shared" si="10"/>
        <v>3143.0279999999993</v>
      </c>
      <c r="O39" s="158">
        <f t="shared" si="10"/>
        <v>2441.0819999999999</v>
      </c>
      <c r="P39" s="170">
        <f t="shared" si="10"/>
        <v>2419.4940000000001</v>
      </c>
      <c r="Q39" s="170">
        <f t="shared" si="10"/>
        <v>2060.2260000000001</v>
      </c>
      <c r="R39" s="170">
        <f t="shared" si="10"/>
        <v>2054.808</v>
      </c>
      <c r="S39" s="158">
        <f t="shared" si="10"/>
        <v>2052.3299999999995</v>
      </c>
      <c r="T39" s="170">
        <f t="shared" si="10"/>
        <v>1942.4160000000002</v>
      </c>
      <c r="U39" s="158">
        <f t="shared" si="10"/>
        <v>1679.076</v>
      </c>
    </row>
    <row r="40" spans="1:24" s="5" customFormat="1" hidden="1" x14ac:dyDescent="0.25">
      <c r="I40" s="261" t="s">
        <v>96</v>
      </c>
      <c r="J40" s="262"/>
      <c r="K40" s="159">
        <v>0.2</v>
      </c>
      <c r="L40" s="158">
        <f>L37*$K$40</f>
        <v>2355.6400000000003</v>
      </c>
      <c r="M40" s="158">
        <f t="shared" ref="M40:U40" si="11">M37*$K$40</f>
        <v>2293.5080000000003</v>
      </c>
      <c r="N40" s="158">
        <f t="shared" si="11"/>
        <v>2095.3519999999999</v>
      </c>
      <c r="O40" s="158">
        <f t="shared" si="11"/>
        <v>1627.3880000000001</v>
      </c>
      <c r="P40" s="170">
        <f t="shared" si="11"/>
        <v>1612.9960000000001</v>
      </c>
      <c r="Q40" s="170">
        <f t="shared" si="11"/>
        <v>1373.4840000000002</v>
      </c>
      <c r="R40" s="170">
        <f t="shared" si="11"/>
        <v>1369.8720000000003</v>
      </c>
      <c r="S40" s="158">
        <f t="shared" si="11"/>
        <v>1368.2199999999998</v>
      </c>
      <c r="T40" s="170">
        <f t="shared" si="11"/>
        <v>1294.9440000000004</v>
      </c>
      <c r="U40" s="158">
        <f t="shared" si="11"/>
        <v>1119.384</v>
      </c>
    </row>
    <row r="41" spans="1:24" s="5" customFormat="1" x14ac:dyDescent="0.25">
      <c r="J41" s="15"/>
      <c r="K41" s="15"/>
      <c r="L41" s="17">
        <f>SUM(L34:L37)</f>
        <v>47599.885920000001</v>
      </c>
      <c r="M41" s="17">
        <f t="shared" ref="M41:U41" si="12">SUM(M34:M37)</f>
        <v>46518.356170000006</v>
      </c>
      <c r="N41" s="17">
        <f t="shared" si="12"/>
        <v>44379.685440000001</v>
      </c>
      <c r="O41" s="17">
        <f t="shared" si="12"/>
        <v>41097.74265</v>
      </c>
      <c r="P41" s="16">
        <f t="shared" si="12"/>
        <v>39031.566790000004</v>
      </c>
      <c r="Q41" s="16">
        <f t="shared" si="12"/>
        <v>36334.904009999998</v>
      </c>
      <c r="R41" s="16">
        <f t="shared" si="12"/>
        <v>34321.553020000007</v>
      </c>
      <c r="S41" s="17">
        <f t="shared" si="12"/>
        <v>33020.838429999996</v>
      </c>
      <c r="T41" s="16">
        <f t="shared" si="12"/>
        <v>31642.854200000002</v>
      </c>
      <c r="U41" s="17">
        <f t="shared" si="12"/>
        <v>29136.33956</v>
      </c>
    </row>
    <row r="42" spans="1:24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</row>
    <row r="43" spans="1:24" x14ac:dyDescent="0.25">
      <c r="A43" s="1" t="s">
        <v>18</v>
      </c>
      <c r="B43" s="1"/>
    </row>
    <row r="44" spans="1:24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4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4" s="5" customFormat="1" x14ac:dyDescent="0.25"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4" s="5" customFormat="1" x14ac:dyDescent="0.25"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4" s="5" customFormat="1" x14ac:dyDescent="0.25">
      <c r="N48" s="6" t="s">
        <v>6</v>
      </c>
      <c r="O48" s="6">
        <f>ROUND((637.57*12)+($C$66*2),2)</f>
        <v>8914.36</v>
      </c>
      <c r="P48" s="7">
        <f t="shared" ref="P48:X48" si="13">ROUND((637.57*12)+($C$66*2),2)</f>
        <v>8914.36</v>
      </c>
      <c r="Q48" s="6">
        <f t="shared" si="13"/>
        <v>8914.36</v>
      </c>
      <c r="R48" s="6">
        <f t="shared" si="13"/>
        <v>8914.36</v>
      </c>
      <c r="S48" s="7">
        <f t="shared" si="13"/>
        <v>8914.36</v>
      </c>
      <c r="T48" s="7">
        <f t="shared" si="13"/>
        <v>8914.36</v>
      </c>
      <c r="U48" s="7">
        <f t="shared" si="13"/>
        <v>8914.36</v>
      </c>
      <c r="V48" s="7">
        <f t="shared" si="13"/>
        <v>8914.36</v>
      </c>
      <c r="W48" s="6">
        <f t="shared" si="13"/>
        <v>8914.36</v>
      </c>
      <c r="X48" s="7">
        <f t="shared" si="13"/>
        <v>8914.36</v>
      </c>
    </row>
    <row r="49" spans="1:26" s="5" customFormat="1" x14ac:dyDescent="0.25">
      <c r="N49" s="6" t="s">
        <v>7</v>
      </c>
      <c r="O49" s="104">
        <f>'CE mes'!O49*14</f>
        <v>5880.7</v>
      </c>
      <c r="P49" s="7">
        <f>'CE mes'!P49*14</f>
        <v>5546.0999999999995</v>
      </c>
      <c r="Q49" s="104">
        <f>'CE mes'!Q49*14</f>
        <v>5212.4799999999996</v>
      </c>
      <c r="R49" s="104">
        <f>'CE mes'!R49*14</f>
        <v>4877.46</v>
      </c>
      <c r="S49" s="7">
        <f>'CE mes'!S49*14</f>
        <v>4543.5600000000004</v>
      </c>
      <c r="T49" s="7">
        <f>'CE mes'!T49*14</f>
        <v>4208.68</v>
      </c>
      <c r="U49" s="7">
        <f>'CE mes'!U49*14</f>
        <v>3874.0800000000004</v>
      </c>
      <c r="V49" s="7">
        <f>'CE mes'!V49*14</f>
        <v>3539.48</v>
      </c>
      <c r="W49" s="104">
        <f>'CE mes'!W49*14</f>
        <v>3205.58</v>
      </c>
      <c r="X49" s="7">
        <f>'CE mes'!X49*14</f>
        <v>3038.56</v>
      </c>
    </row>
    <row r="50" spans="1:26" s="5" customFormat="1" x14ac:dyDescent="0.25">
      <c r="N50" s="6" t="s">
        <v>8</v>
      </c>
      <c r="O50" s="6">
        <f>'0,3 Fun mes'!O50*14</f>
        <v>14225.33728</v>
      </c>
      <c r="P50" s="7">
        <f>'0,3 Fun mes'!P50*14</f>
        <v>13633.071409999999</v>
      </c>
      <c r="Q50" s="6">
        <f>'0,3 Fun mes'!Q50*14</f>
        <v>13141.471420000002</v>
      </c>
      <c r="R50" s="6">
        <f>'0,3 Fun mes'!R50*14</f>
        <v>11738.060390000001</v>
      </c>
      <c r="S50" s="7">
        <f>'0,3 Fun mes'!S50*14</f>
        <v>10982.945470000001</v>
      </c>
      <c r="T50" s="7">
        <f>'0,3 Fun mes'!T50*14</f>
        <v>9575.3359799999998</v>
      </c>
      <c r="U50" s="7">
        <f>'0,3 Fun mes'!U50*14</f>
        <v>9942.6041399999995</v>
      </c>
      <c r="V50" s="7">
        <f>'0,3 Fun mes'!V50*14</f>
        <v>9989.0927500000016</v>
      </c>
      <c r="W50" s="6">
        <f>'0,3 Fun mes'!W50*14</f>
        <v>8325.1816200000012</v>
      </c>
      <c r="X50" s="7">
        <f>'0,3 Fun mes'!X50*14</f>
        <v>7060.6199299999998</v>
      </c>
    </row>
    <row r="51" spans="1:26" s="5" customFormat="1" x14ac:dyDescent="0.25">
      <c r="A51" s="38" t="s">
        <v>41</v>
      </c>
      <c r="B51" s="38"/>
      <c r="N51" s="58" t="s">
        <v>97</v>
      </c>
      <c r="O51" s="104">
        <f>'CE mes'!O51*12</f>
        <v>7634.7599999999984</v>
      </c>
      <c r="P51" s="7">
        <f>'CE mes'!P51*12</f>
        <v>6524.7000000000007</v>
      </c>
      <c r="Q51" s="104">
        <f>'CE mes'!Q51*12</f>
        <v>6613.0400000000009</v>
      </c>
      <c r="R51" s="104">
        <f>'CE mes'!R51*12</f>
        <v>6965.1399999999994</v>
      </c>
      <c r="S51" s="7">
        <f>'CE mes'!S51*12</f>
        <v>6667.7800000000007</v>
      </c>
      <c r="T51" s="7">
        <f>'CE mes'!T51*12</f>
        <v>7023.8000000000011</v>
      </c>
      <c r="U51" s="7">
        <f>'CE mes'!U51*12</f>
        <v>5846.1200000000008</v>
      </c>
      <c r="V51" s="7">
        <f>'CE mes'!V51*12</f>
        <v>6055.42</v>
      </c>
      <c r="W51" s="104">
        <f>'CE mes'!W51*12</f>
        <v>5116.72</v>
      </c>
      <c r="X51" s="7">
        <f>'CE mes'!X51*12</f>
        <v>4595.22</v>
      </c>
    </row>
    <row r="52" spans="1:26" s="5" customFormat="1" hidden="1" x14ac:dyDescent="0.25">
      <c r="A52" s="38"/>
      <c r="B52" s="38"/>
      <c r="L52" s="261" t="s">
        <v>94</v>
      </c>
      <c r="M52" s="262"/>
      <c r="N52" s="159">
        <v>0.5</v>
      </c>
      <c r="O52" s="158">
        <f>O51*$N$52</f>
        <v>3817.3799999999992</v>
      </c>
      <c r="P52" s="170">
        <f t="shared" ref="P52:X52" si="14">P51*$N$52</f>
        <v>3262.3500000000004</v>
      </c>
      <c r="Q52" s="158">
        <f t="shared" si="14"/>
        <v>3306.5200000000004</v>
      </c>
      <c r="R52" s="158">
        <f t="shared" si="14"/>
        <v>3482.5699999999997</v>
      </c>
      <c r="S52" s="170">
        <f t="shared" si="14"/>
        <v>3333.8900000000003</v>
      </c>
      <c r="T52" s="170">
        <f t="shared" si="14"/>
        <v>3511.9000000000005</v>
      </c>
      <c r="U52" s="170">
        <f t="shared" si="14"/>
        <v>2923.0600000000004</v>
      </c>
      <c r="V52" s="170">
        <f t="shared" si="14"/>
        <v>3027.71</v>
      </c>
      <c r="W52" s="158">
        <f t="shared" si="14"/>
        <v>2558.36</v>
      </c>
      <c r="X52" s="170">
        <f t="shared" si="14"/>
        <v>2297.61</v>
      </c>
    </row>
    <row r="53" spans="1:26" s="5" customFormat="1" hidden="1" x14ac:dyDescent="0.25">
      <c r="A53" s="38"/>
      <c r="B53" s="38"/>
      <c r="L53" s="261" t="s">
        <v>95</v>
      </c>
      <c r="M53" s="262"/>
      <c r="N53" s="159">
        <v>0.3</v>
      </c>
      <c r="O53" s="158">
        <f>O51*$N$53</f>
        <v>2290.4279999999994</v>
      </c>
      <c r="P53" s="170">
        <f t="shared" ref="P53:X53" si="15">P51*$N$53</f>
        <v>1957.41</v>
      </c>
      <c r="Q53" s="158">
        <f t="shared" si="15"/>
        <v>1983.9120000000003</v>
      </c>
      <c r="R53" s="158">
        <f t="shared" si="15"/>
        <v>2089.5419999999999</v>
      </c>
      <c r="S53" s="170">
        <f t="shared" si="15"/>
        <v>2000.3340000000001</v>
      </c>
      <c r="T53" s="170">
        <f t="shared" si="15"/>
        <v>2107.1400000000003</v>
      </c>
      <c r="U53" s="170">
        <f t="shared" si="15"/>
        <v>1753.8360000000002</v>
      </c>
      <c r="V53" s="170">
        <f t="shared" si="15"/>
        <v>1816.626</v>
      </c>
      <c r="W53" s="158">
        <f t="shared" si="15"/>
        <v>1535.0160000000001</v>
      </c>
      <c r="X53" s="170">
        <f t="shared" si="15"/>
        <v>1378.566</v>
      </c>
    </row>
    <row r="54" spans="1:26" s="5" customFormat="1" hidden="1" x14ac:dyDescent="0.25">
      <c r="A54" s="34"/>
      <c r="B54" s="34"/>
      <c r="C54" s="34"/>
      <c r="D54" s="40"/>
      <c r="L54" s="261" t="s">
        <v>96</v>
      </c>
      <c r="M54" s="262"/>
      <c r="N54" s="159">
        <v>0.2</v>
      </c>
      <c r="O54" s="158">
        <f>O51*$N$54</f>
        <v>1526.9519999999998</v>
      </c>
      <c r="P54" s="170">
        <f t="shared" ref="P54:X54" si="16">P51*$N$54</f>
        <v>1304.9400000000003</v>
      </c>
      <c r="Q54" s="158">
        <f t="shared" si="16"/>
        <v>1322.6080000000002</v>
      </c>
      <c r="R54" s="158">
        <f t="shared" si="16"/>
        <v>1393.028</v>
      </c>
      <c r="S54" s="170">
        <f t="shared" si="16"/>
        <v>1333.5560000000003</v>
      </c>
      <c r="T54" s="170">
        <f t="shared" si="16"/>
        <v>1404.7600000000002</v>
      </c>
      <c r="U54" s="170">
        <f t="shared" si="16"/>
        <v>1169.2240000000002</v>
      </c>
      <c r="V54" s="170">
        <f t="shared" si="16"/>
        <v>1211.0840000000001</v>
      </c>
      <c r="W54" s="158">
        <f t="shared" si="16"/>
        <v>1023.3440000000001</v>
      </c>
      <c r="X54" s="170">
        <f t="shared" si="16"/>
        <v>919.0440000000001</v>
      </c>
    </row>
    <row r="55" spans="1:26" s="5" customFormat="1" x14ac:dyDescent="0.25">
      <c r="A55" s="34" t="s">
        <v>26</v>
      </c>
      <c r="B55" s="34"/>
      <c r="C55" s="34"/>
      <c r="D55" s="40" t="s">
        <v>28</v>
      </c>
      <c r="N55" s="6"/>
      <c r="O55" s="139">
        <f>O51+O50+O49+O48</f>
        <v>36655.157279999999</v>
      </c>
      <c r="P55" s="16">
        <f t="shared" ref="P55:X55" si="17">P51+P50+P49+P48</f>
        <v>34618.23141</v>
      </c>
      <c r="Q55" s="139">
        <f t="shared" si="17"/>
        <v>33881.351420000006</v>
      </c>
      <c r="R55" s="139">
        <f t="shared" si="17"/>
        <v>32495.020389999998</v>
      </c>
      <c r="S55" s="16">
        <f t="shared" si="17"/>
        <v>31108.645470000003</v>
      </c>
      <c r="T55" s="16">
        <f t="shared" si="17"/>
        <v>29722.17598</v>
      </c>
      <c r="U55" s="16">
        <f t="shared" si="17"/>
        <v>28577.164140000001</v>
      </c>
      <c r="V55" s="16">
        <f t="shared" si="17"/>
        <v>28498.352750000002</v>
      </c>
      <c r="W55" s="139">
        <f t="shared" si="17"/>
        <v>25561.841619999999</v>
      </c>
      <c r="X55" s="16">
        <f t="shared" si="17"/>
        <v>23608.75993</v>
      </c>
    </row>
    <row r="56" spans="1:26" x14ac:dyDescent="0.25">
      <c r="A56" s="5" t="s">
        <v>30</v>
      </c>
      <c r="B56" s="5"/>
      <c r="C56" s="5"/>
      <c r="D56" s="5">
        <v>45.41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  <c r="Z56" s="142"/>
    </row>
    <row r="57" spans="1:26" x14ac:dyDescent="0.25">
      <c r="A57" s="5" t="s">
        <v>31</v>
      </c>
      <c r="B57" s="5"/>
      <c r="C57" s="5"/>
      <c r="D57" s="5">
        <v>37.03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6" x14ac:dyDescent="0.25">
      <c r="A58" t="s">
        <v>19</v>
      </c>
      <c r="D58" s="5">
        <v>28.02</v>
      </c>
    </row>
    <row r="59" spans="1:26" s="5" customFormat="1" x14ac:dyDescent="0.25">
      <c r="A59" t="s">
        <v>20</v>
      </c>
      <c r="B59"/>
      <c r="C59"/>
      <c r="D59" s="5">
        <v>19.07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6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6" s="5" customFormat="1" x14ac:dyDescent="0.25">
      <c r="A61" s="38" t="s">
        <v>24</v>
      </c>
      <c r="B61" s="38"/>
      <c r="H61" s="35"/>
      <c r="I61" s="35"/>
      <c r="J61" s="41"/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6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41"/>
      <c r="K62" s="35"/>
      <c r="L62" s="35"/>
      <c r="M62" s="35"/>
      <c r="N62" s="35"/>
      <c r="O62" s="35"/>
      <c r="P62" s="35"/>
      <c r="Q62" s="35"/>
      <c r="R62" s="35"/>
    </row>
    <row r="63" spans="1:26" s="5" customFormat="1" x14ac:dyDescent="0.25">
      <c r="A63" s="5" t="s">
        <v>30</v>
      </c>
      <c r="C63" s="5">
        <v>728.13</v>
      </c>
      <c r="D63" s="5">
        <v>28.02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6" s="5" customFormat="1" x14ac:dyDescent="0.25">
      <c r="A64" s="5" t="s">
        <v>31</v>
      </c>
      <c r="C64" s="5">
        <v>744.11</v>
      </c>
      <c r="D64" s="5">
        <v>27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662.1</v>
      </c>
      <c r="D65" s="5">
        <v>24.2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631.76</v>
      </c>
      <c r="D66" s="5">
        <v>18.89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0.25569999999999998</v>
      </c>
      <c r="Q67" s="35">
        <v>0.19</v>
      </c>
      <c r="R67" s="44">
        <v>6.2199999999999998E-2</v>
      </c>
    </row>
    <row r="68" spans="1:18" s="5" customFormat="1" x14ac:dyDescent="0.25">
      <c r="H68" s="35"/>
      <c r="I68" s="35"/>
      <c r="J68" s="41" t="s">
        <v>38</v>
      </c>
      <c r="K68" s="35">
        <f>ROUND(('abril mensual funcionaris'!J72*0.24467%)+('abril mensual funcionaris'!J72),2)</f>
        <v>482.51</v>
      </c>
      <c r="L68" s="35"/>
      <c r="M68" s="35" t="s">
        <v>39</v>
      </c>
      <c r="N68" s="35"/>
      <c r="O68" s="35"/>
      <c r="P68" s="35">
        <v>9.1259999999999994</v>
      </c>
      <c r="Q68" s="35">
        <v>0</v>
      </c>
      <c r="R68" s="35">
        <v>9.1259999999999994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1">
    <mergeCell ref="I39:J39"/>
    <mergeCell ref="I40:J40"/>
    <mergeCell ref="L52:M52"/>
    <mergeCell ref="L53:M53"/>
    <mergeCell ref="L54:M54"/>
    <mergeCell ref="I38:J38"/>
    <mergeCell ref="A1:K1"/>
    <mergeCell ref="S3:Y3"/>
    <mergeCell ref="C24:D24"/>
    <mergeCell ref="C25:D25"/>
    <mergeCell ref="C26:D2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selection activeCell="C13" sqref="C13:C18"/>
    </sheetView>
  </sheetViews>
  <sheetFormatPr baseColWidth="10" defaultRowHeight="15" x14ac:dyDescent="0.25"/>
  <cols>
    <col min="1" max="1" width="40.140625" customWidth="1"/>
    <col min="4" max="4" width="0" hidden="1" customWidth="1"/>
  </cols>
  <sheetData>
    <row r="1" spans="1:6" x14ac:dyDescent="0.25">
      <c r="A1" s="230" t="s">
        <v>142</v>
      </c>
    </row>
    <row r="2" spans="1:6" ht="36.75" customHeight="1" x14ac:dyDescent="0.25"/>
    <row r="3" spans="1:6" x14ac:dyDescent="0.25">
      <c r="A3" s="2" t="s">
        <v>136</v>
      </c>
    </row>
    <row r="4" spans="1:6" ht="33.75" x14ac:dyDescent="0.25">
      <c r="A4" s="209" t="s">
        <v>125</v>
      </c>
      <c r="B4" s="204" t="s">
        <v>126</v>
      </c>
      <c r="C4" s="210" t="s">
        <v>127</v>
      </c>
      <c r="E4" t="s">
        <v>141</v>
      </c>
      <c r="F4" s="215" t="s">
        <v>140</v>
      </c>
    </row>
    <row r="5" spans="1:6" x14ac:dyDescent="0.25">
      <c r="A5" s="206" t="s">
        <v>128</v>
      </c>
      <c r="B5" s="201">
        <v>14442.72</v>
      </c>
      <c r="C5" s="202">
        <v>555.84</v>
      </c>
      <c r="E5" s="5">
        <f t="shared" ref="E5:E10" si="0">B5/12</f>
        <v>1203.56</v>
      </c>
      <c r="F5">
        <f>C5/12</f>
        <v>46.32</v>
      </c>
    </row>
    <row r="6" spans="1:6" x14ac:dyDescent="0.25">
      <c r="A6" s="206" t="s">
        <v>129</v>
      </c>
      <c r="B6" s="201">
        <v>12488.28</v>
      </c>
      <c r="C6" s="202">
        <v>453.36</v>
      </c>
      <c r="E6" s="5">
        <f t="shared" si="0"/>
        <v>1040.69</v>
      </c>
      <c r="F6">
        <f t="shared" ref="F6:F10" si="1">C6/12</f>
        <v>37.78</v>
      </c>
    </row>
    <row r="7" spans="1:6" x14ac:dyDescent="0.25">
      <c r="A7" s="206" t="s">
        <v>130</v>
      </c>
      <c r="B7" s="201">
        <v>10916.4</v>
      </c>
      <c r="C7" s="202">
        <v>397.68</v>
      </c>
      <c r="E7" s="5">
        <f t="shared" si="0"/>
        <v>909.69999999999993</v>
      </c>
      <c r="F7">
        <f t="shared" si="1"/>
        <v>33.14</v>
      </c>
    </row>
    <row r="8" spans="1:6" x14ac:dyDescent="0.25">
      <c r="A8" s="206" t="s">
        <v>131</v>
      </c>
      <c r="B8" s="201">
        <v>9376.68</v>
      </c>
      <c r="C8" s="202">
        <v>343.08</v>
      </c>
      <c r="E8" s="5">
        <f t="shared" si="0"/>
        <v>781.39</v>
      </c>
      <c r="F8">
        <f t="shared" si="1"/>
        <v>28.59</v>
      </c>
    </row>
    <row r="9" spans="1:6" x14ac:dyDescent="0.25">
      <c r="A9" s="206" t="s">
        <v>132</v>
      </c>
      <c r="B9" s="201">
        <v>7803.96</v>
      </c>
      <c r="C9" s="202">
        <v>233.52</v>
      </c>
      <c r="E9" s="5">
        <f t="shared" si="0"/>
        <v>650.33000000000004</v>
      </c>
      <c r="F9">
        <f t="shared" si="1"/>
        <v>19.46</v>
      </c>
    </row>
    <row r="10" spans="1:6" ht="39" customHeight="1" x14ac:dyDescent="0.25">
      <c r="A10" s="206" t="s">
        <v>133</v>
      </c>
      <c r="B10" s="201">
        <v>7142.64</v>
      </c>
      <c r="C10" s="202">
        <v>175.8</v>
      </c>
      <c r="E10" s="5">
        <f t="shared" si="0"/>
        <v>595.22</v>
      </c>
      <c r="F10">
        <f t="shared" si="1"/>
        <v>14.65</v>
      </c>
    </row>
    <row r="11" spans="1:6" x14ac:dyDescent="0.25">
      <c r="A11" s="216" t="s">
        <v>137</v>
      </c>
    </row>
    <row r="12" spans="1:6" ht="33.75" x14ac:dyDescent="0.25">
      <c r="A12" s="203" t="s">
        <v>125</v>
      </c>
      <c r="B12" s="204" t="s">
        <v>126</v>
      </c>
      <c r="C12" s="205" t="s">
        <v>127</v>
      </c>
    </row>
    <row r="13" spans="1:6" x14ac:dyDescent="0.25">
      <c r="A13" s="206" t="s">
        <v>128</v>
      </c>
      <c r="B13" s="207">
        <v>742.7</v>
      </c>
      <c r="C13" s="208">
        <v>28.59</v>
      </c>
    </row>
    <row r="14" spans="1:6" x14ac:dyDescent="0.25">
      <c r="A14" s="206" t="s">
        <v>129</v>
      </c>
      <c r="B14" s="207">
        <v>759</v>
      </c>
      <c r="C14" s="208">
        <v>27.54</v>
      </c>
    </row>
    <row r="15" spans="1:6" x14ac:dyDescent="0.25">
      <c r="A15" s="206" t="s">
        <v>130</v>
      </c>
      <c r="B15" s="207">
        <v>786.25</v>
      </c>
      <c r="C15" s="208">
        <v>28.66</v>
      </c>
    </row>
    <row r="16" spans="1:6" x14ac:dyDescent="0.25">
      <c r="A16" s="206" t="s">
        <v>131</v>
      </c>
      <c r="B16" s="207">
        <v>675.35</v>
      </c>
      <c r="C16" s="208">
        <v>24.69</v>
      </c>
    </row>
    <row r="17" spans="1:5" x14ac:dyDescent="0.25">
      <c r="A17" s="206" t="s">
        <v>132</v>
      </c>
      <c r="B17" s="207">
        <v>644.4</v>
      </c>
      <c r="C17" s="208">
        <v>19.27</v>
      </c>
    </row>
    <row r="18" spans="1:5" ht="24" x14ac:dyDescent="0.25">
      <c r="A18" s="206" t="s">
        <v>133</v>
      </c>
      <c r="B18" s="207">
        <v>595.22</v>
      </c>
      <c r="C18" s="208">
        <v>14.65</v>
      </c>
    </row>
    <row r="19" spans="1:5" ht="24" customHeight="1" x14ac:dyDescent="0.25">
      <c r="A19" s="217" t="s">
        <v>138</v>
      </c>
      <c r="B19" s="217"/>
    </row>
    <row r="20" spans="1:5" ht="33.75" x14ac:dyDescent="0.25">
      <c r="A20" s="209" t="s">
        <v>134</v>
      </c>
      <c r="B20" s="210" t="s">
        <v>135</v>
      </c>
      <c r="C20" t="s">
        <v>141</v>
      </c>
      <c r="E20" t="s">
        <v>139</v>
      </c>
    </row>
    <row r="21" spans="1:5" x14ac:dyDescent="0.25">
      <c r="A21" s="211">
        <v>30</v>
      </c>
      <c r="B21" s="212">
        <v>12615.72</v>
      </c>
      <c r="C21">
        <f>B21/12</f>
        <v>1051.31</v>
      </c>
      <c r="D21" s="5">
        <f>B21/12</f>
        <v>1051.31</v>
      </c>
      <c r="E21" s="5">
        <f>B21*14/12</f>
        <v>14718.339999999998</v>
      </c>
    </row>
    <row r="22" spans="1:5" x14ac:dyDescent="0.25">
      <c r="A22" s="211">
        <v>29</v>
      </c>
      <c r="B22" s="212">
        <v>11315.64</v>
      </c>
      <c r="C22">
        <f t="shared" ref="C22:C50" si="2">B22/12</f>
        <v>942.96999999999991</v>
      </c>
      <c r="D22" s="5">
        <f t="shared" ref="D22:D50" si="3">B22/12</f>
        <v>942.96999999999991</v>
      </c>
      <c r="E22" s="5">
        <f t="shared" ref="E22:E50" si="4">B22*14/12</f>
        <v>13201.58</v>
      </c>
    </row>
    <row r="23" spans="1:5" x14ac:dyDescent="0.25">
      <c r="A23" s="211">
        <v>28</v>
      </c>
      <c r="B23" s="212">
        <v>10840.2</v>
      </c>
      <c r="C23">
        <f t="shared" si="2"/>
        <v>903.35</v>
      </c>
      <c r="D23" s="5">
        <f t="shared" si="3"/>
        <v>903.35</v>
      </c>
      <c r="E23" s="5">
        <f t="shared" si="4"/>
        <v>12646.900000000001</v>
      </c>
    </row>
    <row r="24" spans="1:5" x14ac:dyDescent="0.25">
      <c r="A24" s="211">
        <v>27</v>
      </c>
      <c r="B24" s="212">
        <v>10363.92</v>
      </c>
      <c r="C24">
        <f t="shared" si="2"/>
        <v>863.66</v>
      </c>
      <c r="D24" s="5">
        <f t="shared" si="3"/>
        <v>863.66</v>
      </c>
      <c r="E24" s="5">
        <f t="shared" si="4"/>
        <v>12091.24</v>
      </c>
    </row>
    <row r="25" spans="1:5" x14ac:dyDescent="0.25">
      <c r="A25" s="211">
        <v>26</v>
      </c>
      <c r="B25" s="212">
        <v>9092.64</v>
      </c>
      <c r="C25">
        <f t="shared" si="2"/>
        <v>757.71999999999991</v>
      </c>
      <c r="D25" s="5">
        <f t="shared" si="3"/>
        <v>757.71999999999991</v>
      </c>
      <c r="E25" s="5">
        <f t="shared" si="4"/>
        <v>10608.08</v>
      </c>
    </row>
    <row r="26" spans="1:5" x14ac:dyDescent="0.25">
      <c r="A26" s="211">
        <v>25</v>
      </c>
      <c r="B26" s="212">
        <v>8067.12</v>
      </c>
      <c r="C26">
        <f t="shared" si="2"/>
        <v>672.26</v>
      </c>
      <c r="D26" s="5">
        <f t="shared" si="3"/>
        <v>672.26</v>
      </c>
      <c r="E26" s="5">
        <f t="shared" si="4"/>
        <v>9411.64</v>
      </c>
    </row>
    <row r="27" spans="1:5" x14ac:dyDescent="0.25">
      <c r="A27" s="211">
        <v>24</v>
      </c>
      <c r="B27" s="212">
        <v>7591.2</v>
      </c>
      <c r="C27">
        <f t="shared" si="2"/>
        <v>632.6</v>
      </c>
      <c r="D27" s="5">
        <f t="shared" si="3"/>
        <v>632.6</v>
      </c>
      <c r="E27" s="5">
        <f t="shared" si="4"/>
        <v>8856.4</v>
      </c>
    </row>
    <row r="28" spans="1:5" x14ac:dyDescent="0.25">
      <c r="A28" s="211">
        <v>23</v>
      </c>
      <c r="B28" s="212">
        <v>7115.88</v>
      </c>
      <c r="C28">
        <f t="shared" si="2"/>
        <v>592.99</v>
      </c>
      <c r="D28" s="5">
        <f t="shared" si="3"/>
        <v>592.99</v>
      </c>
      <c r="E28" s="5">
        <f t="shared" si="4"/>
        <v>8301.86</v>
      </c>
    </row>
    <row r="29" spans="1:5" x14ac:dyDescent="0.25">
      <c r="A29" s="211">
        <v>22</v>
      </c>
      <c r="B29" s="212">
        <v>6639.6</v>
      </c>
      <c r="C29">
        <f t="shared" si="2"/>
        <v>553.30000000000007</v>
      </c>
      <c r="D29" s="5">
        <f t="shared" si="3"/>
        <v>553.30000000000007</v>
      </c>
      <c r="E29" s="5">
        <f t="shared" si="4"/>
        <v>7746.2000000000007</v>
      </c>
    </row>
    <row r="30" spans="1:5" x14ac:dyDescent="0.25">
      <c r="A30" s="211">
        <v>21</v>
      </c>
      <c r="B30" s="212">
        <v>6164.52</v>
      </c>
      <c r="C30">
        <f t="shared" si="2"/>
        <v>513.71</v>
      </c>
      <c r="D30" s="5">
        <f t="shared" si="3"/>
        <v>513.71</v>
      </c>
      <c r="E30" s="5">
        <f t="shared" si="4"/>
        <v>7191.94</v>
      </c>
    </row>
    <row r="31" spans="1:5" x14ac:dyDescent="0.25">
      <c r="A31" s="211">
        <v>20</v>
      </c>
      <c r="B31" s="212">
        <v>5726.28</v>
      </c>
      <c r="C31">
        <f t="shared" si="2"/>
        <v>477.19</v>
      </c>
      <c r="D31" s="5">
        <f t="shared" si="3"/>
        <v>477.19</v>
      </c>
      <c r="E31" s="5">
        <f t="shared" si="4"/>
        <v>6680.66</v>
      </c>
    </row>
    <row r="32" spans="1:5" x14ac:dyDescent="0.25">
      <c r="A32" s="211">
        <v>19</v>
      </c>
      <c r="B32" s="212">
        <v>5433.96</v>
      </c>
      <c r="C32">
        <f t="shared" si="2"/>
        <v>452.83</v>
      </c>
      <c r="D32" s="5">
        <f t="shared" si="3"/>
        <v>452.83</v>
      </c>
      <c r="E32" s="5">
        <f t="shared" si="4"/>
        <v>6339.62</v>
      </c>
    </row>
    <row r="33" spans="1:5" x14ac:dyDescent="0.25">
      <c r="A33" s="211">
        <v>18</v>
      </c>
      <c r="B33" s="212">
        <v>5141.5200000000004</v>
      </c>
      <c r="C33">
        <f t="shared" si="2"/>
        <v>428.46000000000004</v>
      </c>
      <c r="D33" s="5">
        <f t="shared" si="3"/>
        <v>428.46000000000004</v>
      </c>
      <c r="E33" s="5">
        <f t="shared" si="4"/>
        <v>5998.44</v>
      </c>
    </row>
    <row r="34" spans="1:5" x14ac:dyDescent="0.25">
      <c r="A34" s="211">
        <v>17</v>
      </c>
      <c r="B34" s="212">
        <v>4848.96</v>
      </c>
      <c r="C34">
        <f t="shared" si="2"/>
        <v>404.08</v>
      </c>
      <c r="D34" s="5">
        <f t="shared" si="3"/>
        <v>404.08</v>
      </c>
      <c r="E34" s="5">
        <f t="shared" si="4"/>
        <v>5657.12</v>
      </c>
    </row>
    <row r="35" spans="1:5" x14ac:dyDescent="0.25">
      <c r="A35" s="211">
        <v>16</v>
      </c>
      <c r="B35" s="212">
        <v>4557.24</v>
      </c>
      <c r="C35">
        <f t="shared" si="2"/>
        <v>379.77</v>
      </c>
      <c r="D35" s="5">
        <f t="shared" si="3"/>
        <v>379.77</v>
      </c>
      <c r="E35" s="5">
        <f t="shared" si="4"/>
        <v>5316.78</v>
      </c>
    </row>
    <row r="36" spans="1:5" x14ac:dyDescent="0.25">
      <c r="A36" s="211">
        <v>15</v>
      </c>
      <c r="B36" s="212">
        <v>4264.32</v>
      </c>
      <c r="C36">
        <f t="shared" si="2"/>
        <v>355.35999999999996</v>
      </c>
      <c r="D36" s="5">
        <f t="shared" si="3"/>
        <v>355.35999999999996</v>
      </c>
      <c r="E36" s="5">
        <f t="shared" si="4"/>
        <v>4975.04</v>
      </c>
    </row>
    <row r="37" spans="1:5" x14ac:dyDescent="0.25">
      <c r="A37" s="211">
        <v>14</v>
      </c>
      <c r="B37" s="212">
        <v>3972.48</v>
      </c>
      <c r="C37">
        <f t="shared" si="2"/>
        <v>331.04</v>
      </c>
      <c r="D37" s="5">
        <f t="shared" si="3"/>
        <v>331.04</v>
      </c>
      <c r="E37" s="5">
        <f t="shared" si="4"/>
        <v>4634.5600000000004</v>
      </c>
    </row>
    <row r="38" spans="1:5" x14ac:dyDescent="0.25">
      <c r="A38" s="211">
        <v>13</v>
      </c>
      <c r="B38" s="212">
        <v>3679.68</v>
      </c>
      <c r="C38">
        <f t="shared" si="2"/>
        <v>306.64</v>
      </c>
      <c r="D38" s="5">
        <f t="shared" si="3"/>
        <v>306.64</v>
      </c>
      <c r="E38" s="5">
        <f t="shared" si="4"/>
        <v>4292.96</v>
      </c>
    </row>
    <row r="39" spans="1:5" x14ac:dyDescent="0.25">
      <c r="A39" s="211">
        <v>12</v>
      </c>
      <c r="B39" s="212">
        <v>3387.12</v>
      </c>
      <c r="C39">
        <f t="shared" si="2"/>
        <v>282.26</v>
      </c>
      <c r="D39" s="5">
        <f t="shared" si="3"/>
        <v>282.26</v>
      </c>
      <c r="E39" s="5">
        <f t="shared" si="4"/>
        <v>3951.64</v>
      </c>
    </row>
    <row r="40" spans="1:5" x14ac:dyDescent="0.25">
      <c r="A40" s="211">
        <v>11</v>
      </c>
      <c r="B40" s="212">
        <v>3094.56</v>
      </c>
      <c r="C40">
        <f t="shared" si="2"/>
        <v>257.88</v>
      </c>
      <c r="D40" s="5">
        <f t="shared" si="3"/>
        <v>257.88</v>
      </c>
      <c r="E40" s="5">
        <f t="shared" si="4"/>
        <v>3610.3199999999997</v>
      </c>
    </row>
    <row r="41" spans="1:5" x14ac:dyDescent="0.25">
      <c r="A41" s="211">
        <v>10</v>
      </c>
      <c r="B41" s="212">
        <v>2802.6</v>
      </c>
      <c r="C41">
        <f t="shared" si="2"/>
        <v>233.54999999999998</v>
      </c>
      <c r="D41" s="5">
        <f t="shared" si="3"/>
        <v>233.54999999999998</v>
      </c>
      <c r="E41" s="5">
        <f t="shared" si="4"/>
        <v>3269.7000000000003</v>
      </c>
    </row>
    <row r="42" spans="1:5" x14ac:dyDescent="0.25">
      <c r="A42" s="211">
        <v>9</v>
      </c>
      <c r="B42" s="212">
        <v>2656.68</v>
      </c>
      <c r="C42">
        <f t="shared" si="2"/>
        <v>221.39</v>
      </c>
      <c r="D42" s="5">
        <f t="shared" si="3"/>
        <v>221.39</v>
      </c>
      <c r="E42" s="5">
        <f t="shared" si="4"/>
        <v>3099.4599999999996</v>
      </c>
    </row>
    <row r="43" spans="1:5" x14ac:dyDescent="0.25">
      <c r="A43" s="211">
        <v>8</v>
      </c>
      <c r="B43" s="212">
        <v>2510.04</v>
      </c>
      <c r="C43">
        <f t="shared" si="2"/>
        <v>209.17</v>
      </c>
      <c r="D43" s="5">
        <f t="shared" si="3"/>
        <v>209.17</v>
      </c>
      <c r="E43" s="5">
        <f t="shared" si="4"/>
        <v>2928.3799999999997</v>
      </c>
    </row>
    <row r="44" spans="1:5" x14ac:dyDescent="0.25">
      <c r="A44" s="211">
        <v>7</v>
      </c>
      <c r="B44" s="212">
        <v>2364</v>
      </c>
      <c r="C44">
        <f t="shared" si="2"/>
        <v>197</v>
      </c>
      <c r="D44" s="5">
        <f t="shared" si="3"/>
        <v>197</v>
      </c>
      <c r="E44" s="5">
        <f t="shared" si="4"/>
        <v>2758</v>
      </c>
    </row>
    <row r="45" spans="1:5" x14ac:dyDescent="0.25">
      <c r="A45" s="211">
        <v>6</v>
      </c>
      <c r="B45" s="212">
        <v>2217.7199999999998</v>
      </c>
      <c r="C45">
        <f t="shared" si="2"/>
        <v>184.80999999999997</v>
      </c>
      <c r="D45" s="5">
        <f t="shared" si="3"/>
        <v>184.80999999999997</v>
      </c>
      <c r="E45" s="5">
        <f t="shared" si="4"/>
        <v>2587.3399999999997</v>
      </c>
    </row>
    <row r="46" spans="1:5" x14ac:dyDescent="0.25">
      <c r="A46" s="211">
        <v>5</v>
      </c>
      <c r="B46" s="212">
        <v>2071.56</v>
      </c>
      <c r="C46">
        <f t="shared" si="2"/>
        <v>172.63</v>
      </c>
      <c r="D46" s="5">
        <f t="shared" si="3"/>
        <v>172.63</v>
      </c>
      <c r="E46" s="5">
        <f t="shared" si="4"/>
        <v>2416.8200000000002</v>
      </c>
    </row>
    <row r="47" spans="1:5" x14ac:dyDescent="0.25">
      <c r="A47" s="211">
        <v>4</v>
      </c>
      <c r="B47" s="212">
        <v>1852.32</v>
      </c>
      <c r="C47">
        <f t="shared" si="2"/>
        <v>154.35999999999999</v>
      </c>
      <c r="D47" s="5">
        <f t="shared" si="3"/>
        <v>154.35999999999999</v>
      </c>
      <c r="E47" s="5">
        <f t="shared" si="4"/>
        <v>2161.04</v>
      </c>
    </row>
    <row r="48" spans="1:5" x14ac:dyDescent="0.25">
      <c r="A48" s="211">
        <v>3</v>
      </c>
      <c r="B48" s="212">
        <v>1633.44</v>
      </c>
      <c r="C48">
        <f t="shared" si="2"/>
        <v>136.12</v>
      </c>
      <c r="D48" s="5">
        <f t="shared" si="3"/>
        <v>136.12</v>
      </c>
      <c r="E48" s="5">
        <f t="shared" si="4"/>
        <v>1905.68</v>
      </c>
    </row>
    <row r="49" spans="1:5" x14ac:dyDescent="0.25">
      <c r="A49" s="211">
        <v>2</v>
      </c>
      <c r="B49" s="212">
        <v>1414.32</v>
      </c>
      <c r="C49">
        <f t="shared" si="2"/>
        <v>117.86</v>
      </c>
      <c r="D49" s="5">
        <f t="shared" si="3"/>
        <v>117.86</v>
      </c>
      <c r="E49" s="5">
        <f t="shared" si="4"/>
        <v>1650.04</v>
      </c>
    </row>
    <row r="50" spans="1:5" x14ac:dyDescent="0.25">
      <c r="A50" s="213">
        <v>1</v>
      </c>
      <c r="B50" s="214">
        <v>1195.2</v>
      </c>
      <c r="C50">
        <f t="shared" si="2"/>
        <v>99.600000000000009</v>
      </c>
      <c r="D50" s="5">
        <f t="shared" si="3"/>
        <v>99.600000000000009</v>
      </c>
      <c r="E50" s="5">
        <f t="shared" si="4"/>
        <v>1394.3999999999999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2"/>
  <sheetViews>
    <sheetView topLeftCell="C16" workbookViewId="0">
      <selection activeCell="F34" sqref="F34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124</v>
      </c>
      <c r="B2" s="1"/>
      <c r="S2" s="222"/>
      <c r="T2" s="222"/>
      <c r="U2" s="222"/>
      <c r="V2" s="222"/>
      <c r="W2" s="222"/>
      <c r="X2" s="222"/>
      <c r="Y2" s="222"/>
    </row>
    <row r="3" spans="1:25" x14ac:dyDescent="0.25">
      <c r="S3" s="222"/>
      <c r="T3" s="222"/>
      <c r="U3" s="222"/>
      <c r="V3" s="222"/>
      <c r="W3" s="222"/>
      <c r="X3" s="222"/>
      <c r="Y3" s="222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f>('0,3+2% ESBOR'!C8*12)+('0,3+2% ESBOR'!$C$63*2)</f>
        <v>15928.119999999999</v>
      </c>
      <c r="D8" s="6">
        <f>('0,3+2% ESBOR'!D8*12)+('0,3+2% ESBOR'!$C$63*2)</f>
        <v>15928.119999999999</v>
      </c>
      <c r="E8" s="6">
        <f>('0,3+2% ESBOR'!E8*12)+('0,3+2% ESBOR'!$C$63*2)</f>
        <v>15928.119999999999</v>
      </c>
      <c r="F8" s="6">
        <f>('0,3+2% ESBOR'!F8*12)+('0,3+2% ESBOR'!$C$63*2)</f>
        <v>15928.119999999999</v>
      </c>
      <c r="G8" s="7">
        <f>('0,3+2% ESBOR'!G8*12)+('0,3+2% ESBOR'!$C$63*2)</f>
        <v>15928.119999999999</v>
      </c>
      <c r="H8" s="6">
        <f>('0,3+2% ESBOR'!H8*12)+('0,3+2% ESBOR'!$C$63*2)</f>
        <v>15928.119999999999</v>
      </c>
      <c r="I8" s="6">
        <f>('0,3+2% ESBOR'!I8*12)+('0,3+2% ESBOR'!$C$63*2)</f>
        <v>15928.119999999999</v>
      </c>
      <c r="J8" s="6">
        <f>('0,3+2% ESBOR'!J8*12)+('0,3+2% ESBOR'!$C$63*2)</f>
        <v>15928.119999999999</v>
      </c>
      <c r="K8" s="6">
        <f>('0,3+2% ESBOR'!K8*12)+('0,3+2% ESBOR'!$C$63*2)</f>
        <v>15928.119999999999</v>
      </c>
      <c r="L8" s="6">
        <f>('0,3+2% ESBOR'!L8*12)+('0,3+2% ESBOR'!$C$63*2)</f>
        <v>15928.119999999999</v>
      </c>
      <c r="M8" s="7">
        <f>('0,3+2% ESBOR'!M8*12)+('0,3+2% ESBOR'!$C$63*2)</f>
        <v>15928.119999999999</v>
      </c>
      <c r="N8" s="6">
        <f>('0,3+2% ESBOR'!N8*12)+('0,3+2% ESBOR'!$C$63*2)</f>
        <v>15928.119999999999</v>
      </c>
      <c r="O8" s="6">
        <f>('0,3+2% ESBOR'!O8*12)+('0,3+2% ESBOR'!$C$63*2)</f>
        <v>15928.119999999999</v>
      </c>
      <c r="P8" s="6">
        <f>('0,3+2% ESBOR'!P8*12)+('0,3+2% ESBOR'!$C$63*2)</f>
        <v>15928.119999999999</v>
      </c>
    </row>
    <row r="9" spans="1:25" s="5" customFormat="1" x14ac:dyDescent="0.25">
      <c r="A9" s="58" t="s">
        <v>7</v>
      </c>
      <c r="B9" s="6"/>
      <c r="C9" s="6">
        <f>'0,3+2% ESBOR'!C9*14</f>
        <v>14718.34</v>
      </c>
      <c r="D9" s="6">
        <f>'0,3+2% ESBOR'!D9*14</f>
        <v>13201.58</v>
      </c>
      <c r="E9" s="6">
        <f>'0,3+2% ESBOR'!E9*14</f>
        <v>12646.9</v>
      </c>
      <c r="F9" s="6">
        <f>'0,3+2% ESBOR'!F9*14</f>
        <v>12091.24</v>
      </c>
      <c r="G9" s="7">
        <f>'0,3+2% ESBOR'!G9*14</f>
        <v>10608.08</v>
      </c>
      <c r="H9" s="6">
        <f>'0,3+2% ESBOR'!H9*14</f>
        <v>9411.64</v>
      </c>
      <c r="I9" s="6">
        <f>'0,3+2% ESBOR'!I9*14</f>
        <v>8856.4</v>
      </c>
      <c r="J9" s="6">
        <f>'0,3+2% ESBOR'!J9*14</f>
        <v>8301.86</v>
      </c>
      <c r="K9" s="6">
        <f>'0,3+2% ESBOR'!K9*14</f>
        <v>7746.1999999999989</v>
      </c>
      <c r="L9" s="6">
        <f>'0,3+2% ESBOR'!L9*14</f>
        <v>7191.9400000000005</v>
      </c>
      <c r="M9" s="7">
        <f>'0,3+2% ESBOR'!M9*14</f>
        <v>6680.66</v>
      </c>
      <c r="N9" s="6">
        <f>'0,3+2% ESBOR'!N9*14</f>
        <v>6680.66</v>
      </c>
      <c r="O9" s="6">
        <f>'0,3+2% ESBOR'!O9*14</f>
        <v>6680.66</v>
      </c>
      <c r="P9" s="6">
        <f>'0,3+2% ESBOR'!P9*14</f>
        <v>6680.66</v>
      </c>
    </row>
    <row r="10" spans="1:25" s="5" customFormat="1" x14ac:dyDescent="0.25">
      <c r="A10" s="58" t="s">
        <v>8</v>
      </c>
      <c r="B10" s="6"/>
      <c r="C10" s="6">
        <f>'0,3+2% MES FUN'!C10*14</f>
        <v>35509.128521999999</v>
      </c>
      <c r="D10" s="6">
        <f>'0,3+2% MES FUN'!D10*14</f>
        <v>33531.606347400004</v>
      </c>
      <c r="E10" s="6">
        <f>'0,3+2% MES FUN'!E10*14</f>
        <v>30828.455826000005</v>
      </c>
      <c r="F10" s="6">
        <f>'0,3+2% MES FUN'!F10*14</f>
        <v>24951.429434400001</v>
      </c>
      <c r="G10" s="7">
        <f>'0,3+2% MES FUN'!G10*14</f>
        <v>21832.772610600001</v>
      </c>
      <c r="H10" s="6">
        <f>'0,3+2% MES FUN'!H10*14</f>
        <v>21765.7453608</v>
      </c>
      <c r="I10" s="6">
        <f>'0,3+2% MES FUN'!I10*14</f>
        <v>21217.583856000001</v>
      </c>
      <c r="J10" s="6">
        <f>'0,3+2% MES FUN'!J10*14</f>
        <v>20843.168753400001</v>
      </c>
      <c r="K10" s="6">
        <f>'0,3+2% MES FUN'!K10*14</f>
        <v>20469.193617599998</v>
      </c>
      <c r="L10" s="6">
        <f>'0,3+2% MES FUN'!L10*14</f>
        <v>18901.092894599995</v>
      </c>
      <c r="M10" s="7">
        <f>'0,3+2% MES FUN'!M10*14</f>
        <v>17301.5442558</v>
      </c>
      <c r="N10" s="6">
        <f>'0,3+2% MES FUN'!N10*14</f>
        <v>14463.164062200001</v>
      </c>
      <c r="O10" s="6">
        <f>'0,3+2% MES FUN'!O10*14</f>
        <v>11451.9412476</v>
      </c>
      <c r="P10" s="6">
        <f>'0,3+2% MES FUN'!P10*14</f>
        <v>8139.0802793999983</v>
      </c>
    </row>
    <row r="11" spans="1:25" s="5" customFormat="1" x14ac:dyDescent="0.25">
      <c r="A11" s="58" t="s">
        <v>97</v>
      </c>
      <c r="B11" s="6"/>
      <c r="C11" s="6">
        <f>'0,3+2% MES FUN'!C11*12</f>
        <v>16835.263200000001</v>
      </c>
      <c r="D11" s="6">
        <f>'0,3+2% MES FUN'!D11*12</f>
        <v>16180.239600000003</v>
      </c>
      <c r="E11" s="6">
        <f>'0,3+2% MES FUN'!E11*12</f>
        <v>13995.542399999998</v>
      </c>
      <c r="F11" s="6">
        <f>'0,3+2% MES FUN'!F11*12</f>
        <v>11748.441600000002</v>
      </c>
      <c r="G11" s="7">
        <f>'0,3+2% MES FUN'!G11*12</f>
        <v>10441.107600000001</v>
      </c>
      <c r="H11" s="6">
        <f>'0,3+2% MES FUN'!H11*12</f>
        <v>10444.677600000001</v>
      </c>
      <c r="I11" s="6">
        <f>'0,3+2% MES FUN'!I11*12</f>
        <v>10217.34</v>
      </c>
      <c r="J11" s="6">
        <f>'0,3+2% MES FUN'!J11*12</f>
        <v>10033.2708</v>
      </c>
      <c r="K11" s="6">
        <f>'0,3+2% MES FUN'!K11*12</f>
        <v>9894.0408000000007</v>
      </c>
      <c r="L11" s="6">
        <f>'0,3+2% MES FUN'!L11*12</f>
        <v>9213.0275999999976</v>
      </c>
      <c r="M11" s="7">
        <f>'0,3+2% MES FUN'!M11*12</f>
        <v>8594.7036000000007</v>
      </c>
      <c r="N11" s="6">
        <f>'0,3+2% MES FUN'!N11*12</f>
        <v>8301.6779999999999</v>
      </c>
      <c r="O11" s="6">
        <f>'0,3+2% MES FUN'!O11*12</f>
        <v>7077.1679999999997</v>
      </c>
      <c r="P11" s="6">
        <f>'0,3+2% MES FUN'!P11*12</f>
        <v>5730.1355999999996</v>
      </c>
    </row>
    <row r="12" spans="1:25" s="38" customFormat="1" x14ac:dyDescent="0.25">
      <c r="A12" s="156">
        <v>0.5</v>
      </c>
      <c r="B12" s="157" t="s">
        <v>94</v>
      </c>
      <c r="C12" s="6">
        <f>('0,3 Fun mes'!C12*2%)+'0,3 Fun mes'!C12</f>
        <v>701.46929999999998</v>
      </c>
      <c r="D12" s="6">
        <f>('0,3 Fun mes'!D12*2%)+'0,3 Fun mes'!D12</f>
        <v>674.17665000000011</v>
      </c>
      <c r="E12" s="6">
        <f>('0,3 Fun mes'!E12*2%)+'0,3 Fun mes'!E12</f>
        <v>583.1475999999999</v>
      </c>
      <c r="F12" s="6">
        <f>('0,3 Fun mes'!F12*2%)+'0,3 Fun mes'!F12</f>
        <v>489.51840000000004</v>
      </c>
      <c r="G12" s="7">
        <f>('0,3 Fun mes'!G12*2%)+'0,3 Fun mes'!G12</f>
        <v>435.04615000000007</v>
      </c>
      <c r="H12" s="6">
        <f>('0,3 Fun mes'!H12*2%)+'0,3 Fun mes'!H12</f>
        <v>435.19490000000002</v>
      </c>
      <c r="I12" s="6">
        <f>('0,3 Fun mes'!I12*2%)+'0,3 Fun mes'!I12</f>
        <v>425.72250000000003</v>
      </c>
      <c r="J12" s="6">
        <f>('0,3 Fun mes'!J12*2%)+'0,3 Fun mes'!J12</f>
        <v>418.05295000000001</v>
      </c>
      <c r="K12" s="6">
        <f>('0,3 Fun mes'!K12*2%)+'0,3 Fun mes'!K12</f>
        <v>412.25170000000003</v>
      </c>
      <c r="L12" s="6">
        <f>('0,3 Fun mes'!L12*2%)+'0,3 Fun mes'!L12</f>
        <v>383.87614999999994</v>
      </c>
      <c r="M12" s="7">
        <f>('0,3 Fun mes'!M12*2%)+'0,3 Fun mes'!M12</f>
        <v>358.11265000000003</v>
      </c>
      <c r="N12" s="6">
        <f>('0,3 Fun mes'!N12*2%)+'0,3 Fun mes'!N12</f>
        <v>345.90324999999996</v>
      </c>
      <c r="O12" s="6">
        <f>('0,3 Fun mes'!O12*2%)+'0,3 Fun mes'!O12</f>
        <v>294.88200000000001</v>
      </c>
      <c r="P12" s="6">
        <f>('0,3 Fun mes'!P12*2%)+'0,3 Fun mes'!P12</f>
        <v>238.75565</v>
      </c>
    </row>
    <row r="13" spans="1:25" s="38" customFormat="1" x14ac:dyDescent="0.25">
      <c r="A13" s="156">
        <v>0.3</v>
      </c>
      <c r="B13" s="157" t="s">
        <v>95</v>
      </c>
      <c r="C13" s="6">
        <f>('0,3 Fun mes'!C13*2%)+'0,3 Fun mes'!C13</f>
        <v>420.88158000000004</v>
      </c>
      <c r="D13" s="6">
        <f>('0,3 Fun mes'!D13*2%)+'0,3 Fun mes'!D13</f>
        <v>404.50599000000005</v>
      </c>
      <c r="E13" s="6">
        <f>('0,3 Fun mes'!E13*2%)+'0,3 Fun mes'!E13</f>
        <v>349.88855999999998</v>
      </c>
      <c r="F13" s="6">
        <f>('0,3 Fun mes'!F13*2%)+'0,3 Fun mes'!F13</f>
        <v>293.71104000000003</v>
      </c>
      <c r="G13" s="7">
        <f>('0,3 Fun mes'!G13*2%)+'0,3 Fun mes'!G13</f>
        <v>261.02769000000001</v>
      </c>
      <c r="H13" s="6">
        <f>('0,3 Fun mes'!H13*2%)+'0,3 Fun mes'!H13</f>
        <v>261.11694</v>
      </c>
      <c r="I13" s="6">
        <f>('0,3 Fun mes'!I13*2%)+'0,3 Fun mes'!I13</f>
        <v>255.43349999999998</v>
      </c>
      <c r="J13" s="6">
        <f>('0,3 Fun mes'!J13*2%)+'0,3 Fun mes'!J13</f>
        <v>250.83177000000001</v>
      </c>
      <c r="K13" s="6">
        <f>('0,3 Fun mes'!K13*2%)+'0,3 Fun mes'!K13</f>
        <v>247.35102000000001</v>
      </c>
      <c r="L13" s="6">
        <f>('0,3 Fun mes'!L13*2%)+'0,3 Fun mes'!L13</f>
        <v>230.32568999999998</v>
      </c>
      <c r="M13" s="7">
        <f>('0,3 Fun mes'!M13*2%)+'0,3 Fun mes'!M13</f>
        <v>214.86759000000001</v>
      </c>
      <c r="N13" s="6">
        <f>('0,3 Fun mes'!N13*2%)+'0,3 Fun mes'!N13</f>
        <v>207.54194999999996</v>
      </c>
      <c r="O13" s="6">
        <f>('0,3 Fun mes'!O13*2%)+'0,3 Fun mes'!O13</f>
        <v>176.92920000000001</v>
      </c>
      <c r="P13" s="6">
        <f>('0,3 Fun mes'!P13*2%)+'0,3 Fun mes'!P13</f>
        <v>143.25338999999997</v>
      </c>
    </row>
    <row r="14" spans="1:25" s="38" customFormat="1" x14ac:dyDescent="0.25">
      <c r="A14" s="156">
        <v>0.2</v>
      </c>
      <c r="B14" s="157" t="s">
        <v>96</v>
      </c>
      <c r="C14" s="6">
        <f>('0,3 Fun mes'!C14*2%)+'0,3 Fun mes'!C14</f>
        <v>280.58771999999999</v>
      </c>
      <c r="D14" s="6">
        <f>('0,3 Fun mes'!D14*2%)+'0,3 Fun mes'!D14</f>
        <v>269.67066000000005</v>
      </c>
      <c r="E14" s="6">
        <f>('0,3 Fun mes'!E14*2%)+'0,3 Fun mes'!E14</f>
        <v>233.25903999999997</v>
      </c>
      <c r="F14" s="6">
        <f>('0,3 Fun mes'!F14*2%)+'0,3 Fun mes'!F14</f>
        <v>195.80736000000002</v>
      </c>
      <c r="G14" s="7">
        <f>('0,3 Fun mes'!G14*2%)+'0,3 Fun mes'!G14</f>
        <v>174.01846000000003</v>
      </c>
      <c r="H14" s="6">
        <f>('0,3 Fun mes'!H14*2%)+'0,3 Fun mes'!H14</f>
        <v>174.07796000000002</v>
      </c>
      <c r="I14" s="6">
        <f>('0,3 Fun mes'!I14*2%)+'0,3 Fun mes'!I14</f>
        <v>170.28900000000002</v>
      </c>
      <c r="J14" s="6">
        <f>('0,3 Fun mes'!J14*2%)+'0,3 Fun mes'!J14</f>
        <v>167.22118000000003</v>
      </c>
      <c r="K14" s="6">
        <f>('0,3 Fun mes'!K14*2%)+'0,3 Fun mes'!K14</f>
        <v>164.90068000000002</v>
      </c>
      <c r="L14" s="6">
        <f>('0,3 Fun mes'!L14*2%)+'0,3 Fun mes'!L14</f>
        <v>153.55045999999999</v>
      </c>
      <c r="M14" s="7">
        <f>('0,3 Fun mes'!M14*2%)+'0,3 Fun mes'!M14</f>
        <v>143.24506000000002</v>
      </c>
      <c r="N14" s="6">
        <f>('0,3 Fun mes'!N14*2%)+'0,3 Fun mes'!N14</f>
        <v>138.36129999999997</v>
      </c>
      <c r="O14" s="6">
        <f>('0,3 Fun mes'!O14*2%)+'0,3 Fun mes'!O14</f>
        <v>117.95280000000001</v>
      </c>
      <c r="P14" s="6">
        <f>('0,3 Fun mes'!P14*2%)+'0,3 Fun mes'!P14</f>
        <v>95.502259999999993</v>
      </c>
    </row>
    <row r="15" spans="1:25" s="5" customFormat="1" x14ac:dyDescent="0.25">
      <c r="A15" s="58"/>
      <c r="B15" s="6"/>
      <c r="C15" s="16">
        <f>C11+C10+C9+C8</f>
        <v>82990.851721999992</v>
      </c>
      <c r="D15" s="16">
        <f t="shared" ref="D15:P15" si="0">D11+D10+D9+D8</f>
        <v>78841.545947400009</v>
      </c>
      <c r="E15" s="16">
        <f t="shared" si="0"/>
        <v>73399.018226</v>
      </c>
      <c r="F15" s="16">
        <f t="shared" si="0"/>
        <v>64719.2310344</v>
      </c>
      <c r="G15" s="16">
        <f t="shared" si="0"/>
        <v>58810.080210600005</v>
      </c>
      <c r="H15" s="16">
        <f t="shared" si="0"/>
        <v>57550.182960799997</v>
      </c>
      <c r="I15" s="16">
        <f t="shared" si="0"/>
        <v>56219.443855999998</v>
      </c>
      <c r="J15" s="16">
        <f t="shared" si="0"/>
        <v>55106.419553400003</v>
      </c>
      <c r="K15" s="16">
        <f t="shared" si="0"/>
        <v>54037.554417599997</v>
      </c>
      <c r="L15" s="16">
        <f t="shared" si="0"/>
        <v>51234.18049459999</v>
      </c>
      <c r="M15" s="16">
        <f t="shared" si="0"/>
        <v>48505.027855799999</v>
      </c>
      <c r="N15" s="16">
        <f t="shared" si="0"/>
        <v>45373.622062199996</v>
      </c>
      <c r="O15" s="16">
        <f t="shared" si="0"/>
        <v>41137.889247599996</v>
      </c>
      <c r="P15" s="16">
        <f t="shared" si="0"/>
        <v>36477.995879399998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49"/>
      <c r="H19" s="19"/>
      <c r="I19" s="19"/>
      <c r="J19" s="19"/>
      <c r="K19" s="117"/>
      <c r="L19" s="20"/>
      <c r="M19" s="20"/>
      <c r="N19" s="48"/>
      <c r="O19" s="20"/>
      <c r="P19" s="48"/>
      <c r="Q19" s="20"/>
      <c r="R19" s="49"/>
    </row>
    <row r="20" spans="1:21" s="5" customFormat="1" x14ac:dyDescent="0.25">
      <c r="E20" s="58" t="s">
        <v>6</v>
      </c>
      <c r="F20" s="7">
        <f>('0,3+2% ESBOR'!F20*12)+('0,3+2% ESBOR'!$C$64*2)</f>
        <v>14006.28</v>
      </c>
      <c r="G20" s="6">
        <f>('0,3+2% ESBOR'!G20*12)+('0,3+2% ESBOR'!$C$64*2)</f>
        <v>14006.28</v>
      </c>
      <c r="H20" s="6">
        <f>('0,3+2% ESBOR'!H20*12)+('0,3+2% ESBOR'!$C$64*2)</f>
        <v>14006.28</v>
      </c>
      <c r="I20" s="6">
        <f>('0,3+2% ESBOR'!I20*12)+('0,3+2% ESBOR'!$C$64*2)</f>
        <v>14006.28</v>
      </c>
      <c r="J20" s="6">
        <f>('0,3+2% ESBOR'!J20*12)+('0,3+2% ESBOR'!$C$64*2)</f>
        <v>14006.28</v>
      </c>
      <c r="K20" s="6">
        <f>('0,3+2% ESBOR'!K20*12)+('0,3+2% ESBOR'!$C$64*2)</f>
        <v>14006.28</v>
      </c>
      <c r="L20" s="7">
        <f>('0,3+2% ESBOR'!L20*12)+('0,3+2% ESBOR'!$C$64*2)</f>
        <v>14006.28</v>
      </c>
      <c r="M20" s="7">
        <f>('0,3+2% ESBOR'!M20*12)+('0,3+2% ESBOR'!$C$64*2)</f>
        <v>14006.28</v>
      </c>
      <c r="N20" s="6">
        <f>('0,3+2% ESBOR'!N20*12)+('0,3+2% ESBOR'!$C$64*2)</f>
        <v>14006.28</v>
      </c>
      <c r="O20" s="7">
        <f>('0,3+2% ESBOR'!O20*12)+('0,3+2% ESBOR'!$C$64*2)</f>
        <v>14006.28</v>
      </c>
      <c r="P20" s="6">
        <f>('0,3+2% ESBOR'!P20*12)+('0,3+2% ESBOR'!$C$64*2)</f>
        <v>14006.28</v>
      </c>
      <c r="Q20" s="7">
        <f>('0,3+2% ESBOR'!Q20*12)+('0,3+2% ESBOR'!$C$64*2)</f>
        <v>14006.28</v>
      </c>
      <c r="R20" s="6">
        <f>('0,3+2% ESBOR'!R20*12)+('0,3+2% ESBOR'!$C$64*2)</f>
        <v>14006.28</v>
      </c>
      <c r="S20" s="146"/>
    </row>
    <row r="21" spans="1:21" s="5" customFormat="1" x14ac:dyDescent="0.25">
      <c r="E21" s="58" t="s">
        <v>7</v>
      </c>
      <c r="F21" s="7">
        <f>'0,3+2% ESBOR'!F21*14</f>
        <v>10608.08</v>
      </c>
      <c r="G21" s="104">
        <f>'0,3+2% ESBOR'!G21*14</f>
        <v>10608.08</v>
      </c>
      <c r="H21" s="104">
        <f>'0,3+2% ESBOR'!H21*14</f>
        <v>9411.64</v>
      </c>
      <c r="I21" s="104">
        <f>'0,3+2% ESBOR'!I21*14</f>
        <v>8856.4</v>
      </c>
      <c r="J21" s="104">
        <f>'0,3+2% ESBOR'!J21*14</f>
        <v>8301.86</v>
      </c>
      <c r="K21" s="104">
        <f>'0,3+2% ESBOR'!K21*14</f>
        <v>7746.1999999999989</v>
      </c>
      <c r="L21" s="7">
        <f>'0,3+2% ESBOR'!L21*14</f>
        <v>7191.9400000000005</v>
      </c>
      <c r="M21" s="7">
        <f>'0,3+2% ESBOR'!M21*14</f>
        <v>6680.66</v>
      </c>
      <c r="N21" s="104">
        <f>'0,3+2% ESBOR'!N21*14</f>
        <v>6339.62</v>
      </c>
      <c r="O21" s="7">
        <f>'0,3+2% ESBOR'!O21*14</f>
        <v>5998.44</v>
      </c>
      <c r="P21" s="104">
        <f>'0,3+2% ESBOR'!P21*14</f>
        <v>5657.12</v>
      </c>
      <c r="Q21" s="7">
        <f>'0,3+2% ESBOR'!Q21*14</f>
        <v>5316.78</v>
      </c>
      <c r="R21" s="104">
        <f>'0,3+2% ESBOR'!R21*14</f>
        <v>5316.78</v>
      </c>
      <c r="S21" s="146"/>
    </row>
    <row r="22" spans="1:21" s="5" customFormat="1" x14ac:dyDescent="0.25">
      <c r="E22" s="58" t="s">
        <v>8</v>
      </c>
      <c r="F22" s="7">
        <f>'0,3+2% MES FUN'!F22*14</f>
        <v>22375.796885399999</v>
      </c>
      <c r="G22" s="6">
        <f>'0,3+2% MES FUN'!G22*14</f>
        <v>18738.508311599999</v>
      </c>
      <c r="H22" s="6">
        <f>'0,3+2% MES FUN'!H22*14</f>
        <v>17707.485528600002</v>
      </c>
      <c r="I22" s="6">
        <f>'0,3+2% MES FUN'!I22*14</f>
        <v>17536.936632600002</v>
      </c>
      <c r="J22" s="6">
        <f>'0,3+2% MES FUN'!J22*14</f>
        <v>17251.975876799996</v>
      </c>
      <c r="K22" s="6">
        <f>'0,3+2% MES FUN'!K22*14</f>
        <v>16971.153964800003</v>
      </c>
      <c r="L22" s="7">
        <f>'0,3+2% MES FUN'!L22*14</f>
        <v>16595.572186199995</v>
      </c>
      <c r="M22" s="7">
        <f>'0,3+2% MES FUN'!M22*14</f>
        <v>16187.680908000002</v>
      </c>
      <c r="N22" s="6">
        <f>'0,3+2% MES FUN'!N22*14</f>
        <v>15948.252432000001</v>
      </c>
      <c r="O22" s="7">
        <f>'0,3+2% MES FUN'!O22*14</f>
        <v>14717.037543599999</v>
      </c>
      <c r="P22" s="6">
        <f>'0,3+2% MES FUN'!P22*14</f>
        <v>13981.706864999998</v>
      </c>
      <c r="Q22" s="7">
        <f>'0,3+2% MES FUN'!Q22*14</f>
        <v>13245.4474152</v>
      </c>
      <c r="R22" s="6">
        <f>'0,3+2% MES FUN'!R22*14</f>
        <v>11485.956064800001</v>
      </c>
      <c r="S22" s="90"/>
    </row>
    <row r="23" spans="1:21" s="5" customFormat="1" x14ac:dyDescent="0.25">
      <c r="E23" s="58" t="s">
        <v>97</v>
      </c>
      <c r="F23" s="7">
        <f>'0,3+2% MES FUN'!F23*12</f>
        <v>13718.082000000002</v>
      </c>
      <c r="G23" s="6">
        <f>'0,3+2% MES FUN'!G23*12</f>
        <v>10115.951999999999</v>
      </c>
      <c r="H23" s="6">
        <f>'0,3+2% MES FUN'!H23*12</f>
        <v>11450.418</v>
      </c>
      <c r="I23" s="6">
        <f>'0,3+2% MES FUN'!I23*12</f>
        <v>9440.3652000000002</v>
      </c>
      <c r="J23" s="6">
        <f>'0,3+2% MES FUN'!J23*12</f>
        <v>8583.4223999999995</v>
      </c>
      <c r="K23" s="6">
        <f>'0,3+2% MES FUN'!K23*12</f>
        <v>8418.9168000000009</v>
      </c>
      <c r="L23" s="7">
        <f>'0,3+2% MES FUN'!L23*12</f>
        <v>8269.6908000000003</v>
      </c>
      <c r="M23" s="7">
        <f>'0,3+2% MES FUN'!M23*12</f>
        <v>8141.5992000000006</v>
      </c>
      <c r="N23" s="6">
        <f>'0,3+2% MES FUN'!N23*12</f>
        <v>8038.7832000000017</v>
      </c>
      <c r="O23" s="7"/>
      <c r="P23" s="6">
        <f>'0,3+2% MES FUN'!P23*12</f>
        <v>7267.8059999999996</v>
      </c>
      <c r="Q23" s="7">
        <f>'0,3+2% MES FUN'!Q23*12</f>
        <v>6926.9424000000008</v>
      </c>
      <c r="R23" s="6">
        <f>'0,3+2% MES FUN'!R23*12</f>
        <v>6876.105599999999</v>
      </c>
      <c r="S23" s="146"/>
    </row>
    <row r="24" spans="1:21" s="5" customFormat="1" hidden="1" x14ac:dyDescent="0.25">
      <c r="C24" s="223" t="s">
        <v>94</v>
      </c>
      <c r="D24" s="224"/>
      <c r="E24" s="191">
        <v>0.5</v>
      </c>
      <c r="F24" s="7">
        <f>('0,3 Fun mes'!F24*2%)+'0,3 Fun mes'!F24</f>
        <v>571.58675000000005</v>
      </c>
      <c r="G24" s="6">
        <f>('0,3 Fun mes'!G24*2%)+'0,3 Fun mes'!G24</f>
        <v>421.49799999999999</v>
      </c>
      <c r="H24" s="6">
        <f>('0,3 Fun mes'!H24*2%)+'0,3 Fun mes'!H24</f>
        <v>477.10075000000001</v>
      </c>
      <c r="I24" s="6">
        <f>('0,3 Fun mes'!I24*2%)+'0,3 Fun mes'!I24</f>
        <v>393.34854999999999</v>
      </c>
      <c r="J24" s="6">
        <f>('0,3 Fun mes'!J24*2%)+'0,3 Fun mes'!J24</f>
        <v>357.64259999999996</v>
      </c>
      <c r="K24" s="6">
        <f>('0,3 Fun mes'!K24*2%)+'0,3 Fun mes'!K24</f>
        <v>350.78820000000002</v>
      </c>
      <c r="L24" s="7">
        <f>('0,3 Fun mes'!L24*2%)+'0,3 Fun mes'!L24</f>
        <v>344.57044999999999</v>
      </c>
      <c r="M24" s="7">
        <f>('0,3 Fun mes'!M24*2%)+'0,3 Fun mes'!M24</f>
        <v>339.23330000000004</v>
      </c>
      <c r="N24" s="6">
        <f>('0,3 Fun mes'!N24*2%)+'0,3 Fun mes'!N24</f>
        <v>334.94930000000005</v>
      </c>
      <c r="O24" s="7">
        <f>('0,3 Fun mes'!O24*2%)+'0,3 Fun mes'!O24</f>
        <v>312.75580000000002</v>
      </c>
      <c r="P24" s="6">
        <f>('0,3 Fun mes'!P24*2%)+'0,3 Fun mes'!P24</f>
        <v>302.82524999999998</v>
      </c>
      <c r="Q24" s="7">
        <f>('0,3 Fun mes'!Q24*2%)+'0,3 Fun mes'!Q24</f>
        <v>288.62260000000003</v>
      </c>
      <c r="R24" s="6">
        <f>('0,3 Fun mes'!R24*2%)+'0,3 Fun mes'!R24</f>
        <v>286.50439999999998</v>
      </c>
      <c r="S24" s="146"/>
    </row>
    <row r="25" spans="1:21" s="5" customFormat="1" hidden="1" x14ac:dyDescent="0.25">
      <c r="C25" s="223" t="s">
        <v>95</v>
      </c>
      <c r="D25" s="224"/>
      <c r="E25" s="191">
        <v>0.3</v>
      </c>
      <c r="F25" s="7">
        <f>('0,3 Fun mes'!F25*2%)+'0,3 Fun mes'!F25</f>
        <v>342.95205000000004</v>
      </c>
      <c r="G25" s="6">
        <f>('0,3 Fun mes'!G25*2%)+'0,3 Fun mes'!G25</f>
        <v>252.89879999999999</v>
      </c>
      <c r="H25" s="6">
        <f>('0,3 Fun mes'!H25*2%)+'0,3 Fun mes'!H25</f>
        <v>286.26044999999999</v>
      </c>
      <c r="I25" s="6">
        <f>('0,3 Fun mes'!I25*2%)+'0,3 Fun mes'!I25</f>
        <v>236.00913</v>
      </c>
      <c r="J25" s="6">
        <f>('0,3 Fun mes'!J25*2%)+'0,3 Fun mes'!J25</f>
        <v>214.58555999999996</v>
      </c>
      <c r="K25" s="6">
        <f>('0,3 Fun mes'!K25*2%)+'0,3 Fun mes'!K25</f>
        <v>210.47292000000002</v>
      </c>
      <c r="L25" s="7">
        <f>('0,3 Fun mes'!L25*2%)+'0,3 Fun mes'!L25</f>
        <v>206.74227000000002</v>
      </c>
      <c r="M25" s="7">
        <f>('0,3 Fun mes'!M25*2%)+'0,3 Fun mes'!M25</f>
        <v>203.53998000000001</v>
      </c>
      <c r="N25" s="6">
        <f>('0,3 Fun mes'!N25*2%)+'0,3 Fun mes'!N25</f>
        <v>200.96958000000004</v>
      </c>
      <c r="O25" s="7">
        <f>('0,3 Fun mes'!O25*2%)+'0,3 Fun mes'!O25</f>
        <v>187.65348</v>
      </c>
      <c r="P25" s="6">
        <f>('0,3 Fun mes'!P25*2%)+'0,3 Fun mes'!P25</f>
        <v>181.69514999999998</v>
      </c>
      <c r="Q25" s="7">
        <f>('0,3 Fun mes'!Q25*2%)+'0,3 Fun mes'!Q25</f>
        <v>173.17356000000001</v>
      </c>
      <c r="R25" s="6">
        <f>('0,3 Fun mes'!R25*2%)+'0,3 Fun mes'!R25</f>
        <v>171.90263999999999</v>
      </c>
      <c r="S25" s="146"/>
    </row>
    <row r="26" spans="1:21" s="5" customFormat="1" hidden="1" x14ac:dyDescent="0.25">
      <c r="C26" s="223" t="s">
        <v>96</v>
      </c>
      <c r="D26" s="224"/>
      <c r="E26" s="191">
        <v>0.2</v>
      </c>
      <c r="F26" s="7">
        <f>('0,3 Fun mes'!F26*2%)+'0,3 Fun mes'!F26</f>
        <v>228.63470000000004</v>
      </c>
      <c r="G26" s="6">
        <f>('0,3 Fun mes'!G26*2%)+'0,3 Fun mes'!G26</f>
        <v>168.59920000000002</v>
      </c>
      <c r="H26" s="6">
        <f>('0,3 Fun mes'!H26*2%)+'0,3 Fun mes'!H26</f>
        <v>190.84030000000001</v>
      </c>
      <c r="I26" s="6">
        <f>('0,3 Fun mes'!I26*2%)+'0,3 Fun mes'!I26</f>
        <v>157.33941999999999</v>
      </c>
      <c r="J26" s="6">
        <f>('0,3 Fun mes'!J26*2%)+'0,3 Fun mes'!J26</f>
        <v>143.05703999999997</v>
      </c>
      <c r="K26" s="6">
        <f>('0,3 Fun mes'!K26*2%)+'0,3 Fun mes'!K26</f>
        <v>140.31528000000003</v>
      </c>
      <c r="L26" s="7">
        <f>('0,3 Fun mes'!L26*2%)+'0,3 Fun mes'!L26</f>
        <v>137.82818</v>
      </c>
      <c r="M26" s="7">
        <f>('0,3 Fun mes'!M26*2%)+'0,3 Fun mes'!M26</f>
        <v>135.69332000000003</v>
      </c>
      <c r="N26" s="6">
        <f>('0,3 Fun mes'!N26*2%)+'0,3 Fun mes'!N26</f>
        <v>133.97972000000001</v>
      </c>
      <c r="O26" s="7">
        <f>('0,3 Fun mes'!O26*2%)+'0,3 Fun mes'!O26</f>
        <v>125.10232000000001</v>
      </c>
      <c r="P26" s="6">
        <f>('0,3 Fun mes'!P26*2%)+'0,3 Fun mes'!P26</f>
        <v>121.1301</v>
      </c>
      <c r="Q26" s="7">
        <f>('0,3 Fun mes'!Q26*2%)+'0,3 Fun mes'!Q26</f>
        <v>115.44904000000001</v>
      </c>
      <c r="R26" s="6">
        <f>('0,3 Fun mes'!R26*2%)+'0,3 Fun mes'!R26</f>
        <v>114.60176000000001</v>
      </c>
      <c r="S26" s="146"/>
    </row>
    <row r="27" spans="1:21" s="5" customFormat="1" x14ac:dyDescent="0.25">
      <c r="E27" s="15"/>
      <c r="F27" s="16">
        <f>F23+F22+F21+F20</f>
        <v>60708.238885400002</v>
      </c>
      <c r="G27" s="16">
        <f t="shared" ref="G27:R27" si="1">G23+G22+G21+G20</f>
        <v>53468.8203116</v>
      </c>
      <c r="H27" s="16">
        <f t="shared" si="1"/>
        <v>52575.823528599998</v>
      </c>
      <c r="I27" s="16">
        <f t="shared" si="1"/>
        <v>49839.981832600002</v>
      </c>
      <c r="J27" s="16">
        <f t="shared" si="1"/>
        <v>48143.538276799998</v>
      </c>
      <c r="K27" s="16">
        <f t="shared" si="1"/>
        <v>47142.550764799998</v>
      </c>
      <c r="L27" s="16">
        <f t="shared" si="1"/>
        <v>46063.482986199997</v>
      </c>
      <c r="M27" s="16">
        <f t="shared" si="1"/>
        <v>45016.220108000001</v>
      </c>
      <c r="N27" s="16">
        <f t="shared" si="1"/>
        <v>44332.935632000001</v>
      </c>
      <c r="O27" s="16">
        <f t="shared" si="1"/>
        <v>34721.757543599997</v>
      </c>
      <c r="P27" s="16">
        <f t="shared" si="1"/>
        <v>40912.912864999998</v>
      </c>
      <c r="Q27" s="16">
        <f t="shared" si="1"/>
        <v>39495.449815200001</v>
      </c>
      <c r="R27" s="16">
        <f t="shared" si="1"/>
        <v>37685.121664799997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8" s="5" customFormat="1" x14ac:dyDescent="0.25">
      <c r="P33" s="13"/>
      <c r="Q33" s="13"/>
      <c r="R33" s="13"/>
      <c r="T33" s="13"/>
    </row>
    <row r="34" spans="1:28" s="5" customFormat="1" x14ac:dyDescent="0.25">
      <c r="J34" s="6" t="s">
        <v>6</v>
      </c>
      <c r="K34" s="6"/>
      <c r="L34" s="6">
        <f>('0,3+2% ESBOR'!L34*12)+('0,3+2% ESBOR'!$C$65*2)</f>
        <v>10727.380000000001</v>
      </c>
      <c r="M34" s="6">
        <f>('0,3+2% ESBOR'!M34*12)+('0,3+2% ESBOR'!$C$65*2)</f>
        <v>10727.380000000001</v>
      </c>
      <c r="N34" s="6">
        <f>('0,3+2% ESBOR'!N34*12)+('0,3+2% ESBOR'!$C$65*2)</f>
        <v>10727.380000000001</v>
      </c>
      <c r="O34" s="6">
        <f>('0,3+2% ESBOR'!O34*12)+('0,3+2% ESBOR'!$C$65*2)</f>
        <v>10727.380000000001</v>
      </c>
      <c r="P34" s="7">
        <f>('0,3+2% ESBOR'!P34*12)+('0,3+2% ESBOR'!$C$65*2)</f>
        <v>10727.380000000001</v>
      </c>
      <c r="Q34" s="7">
        <f>('0,3+2% ESBOR'!Q34*12)+('0,3+2% ESBOR'!$C$65*2)</f>
        <v>10727.380000000001</v>
      </c>
      <c r="R34" s="7">
        <f>('0,3+2% ESBOR'!R34*12)+('0,3+2% ESBOR'!$C$65*2)</f>
        <v>10727.380000000001</v>
      </c>
      <c r="S34" s="6">
        <f>('0,3+2% ESBOR'!S34*12)+('0,3+2% ESBOR'!$C$65*2)</f>
        <v>10727.380000000001</v>
      </c>
      <c r="T34" s="7">
        <f>('0,3+2% ESBOR'!T34*12)+('0,3+2% ESBOR'!$C$65*2)</f>
        <v>10727.380000000001</v>
      </c>
      <c r="U34" s="6">
        <f>('0,3+2% ESBOR'!U34*12)+('0,3+2% ESBOR'!$C$65*2)</f>
        <v>10727.380000000001</v>
      </c>
      <c r="V34" s="90"/>
      <c r="W34" s="90"/>
      <c r="X34" s="90"/>
      <c r="Y34" s="90"/>
    </row>
    <row r="35" spans="1:28" s="5" customFormat="1" x14ac:dyDescent="0.25">
      <c r="J35" s="6" t="s">
        <v>7</v>
      </c>
      <c r="K35" s="6"/>
      <c r="L35" s="104">
        <f>'0,3+2% ESBOR'!L35*14</f>
        <v>7191.9400000000005</v>
      </c>
      <c r="M35" s="104">
        <f>'0,3+2% ESBOR'!M35*14</f>
        <v>6680.66</v>
      </c>
      <c r="N35" s="104">
        <f>'0,3+2% ESBOR'!N35*14</f>
        <v>6339.62</v>
      </c>
      <c r="O35" s="104">
        <f>'0,3+2% ESBOR'!O35*14</f>
        <v>5998.44</v>
      </c>
      <c r="P35" s="7">
        <f>'0,3+2% ESBOR'!P35*14</f>
        <v>5657.12</v>
      </c>
      <c r="Q35" s="7">
        <f>'0,3+2% ESBOR'!Q35*14</f>
        <v>5316.78</v>
      </c>
      <c r="R35" s="7">
        <f>'0,3+2% ESBOR'!R35*14</f>
        <v>4975.04</v>
      </c>
      <c r="S35" s="104">
        <f>'0,3+2% ESBOR'!S35*14</f>
        <v>4634.5600000000004</v>
      </c>
      <c r="T35" s="7">
        <f>'0,3+2% ESBOR'!T35*14</f>
        <v>4292.96</v>
      </c>
      <c r="U35" s="104">
        <f>'0,3+2% ESBOR'!U35*14</f>
        <v>3951.64</v>
      </c>
      <c r="V35" s="90"/>
      <c r="W35" s="90"/>
      <c r="X35" s="90"/>
      <c r="Y35" s="90"/>
    </row>
    <row r="36" spans="1:28" s="5" customFormat="1" x14ac:dyDescent="0.25">
      <c r="J36" s="6" t="s">
        <v>8</v>
      </c>
      <c r="K36" s="6"/>
      <c r="L36" s="6">
        <f>'0,3+2% MES FUN'!L36*14</f>
        <v>18619.024838400001</v>
      </c>
      <c r="M36" s="6">
        <f>'0,3+2% MES FUN'!M36*14</f>
        <v>18343.961693400001</v>
      </c>
      <c r="N36" s="6">
        <f>'0,3+2% MES FUN'!N36*14</f>
        <v>17514.119548799998</v>
      </c>
      <c r="O36" s="6">
        <f>'0,3+2% MES FUN'!O36*14</f>
        <v>16894.446303000001</v>
      </c>
      <c r="P36" s="7">
        <f>'0,3+2% MES FUN'!P36*14</f>
        <v>15201.6381258</v>
      </c>
      <c r="Q36" s="7">
        <f>'0,3+2% MES FUN'!Q36*14</f>
        <v>14012.845690199998</v>
      </c>
      <c r="R36" s="7">
        <f>'0,3+2% MES FUN'!R36*14</f>
        <v>12319.369280400002</v>
      </c>
      <c r="S36" s="6">
        <f>'0,3+2% MES FUN'!S36*14</f>
        <v>11341.6435986</v>
      </c>
      <c r="T36" s="7">
        <f>'0,3+2% MES FUN'!T36*14</f>
        <v>10651.384884000001</v>
      </c>
      <c r="U36" s="6">
        <f>'0,3+2% MES FUN'!U36*14</f>
        <v>9331.3879512000003</v>
      </c>
      <c r="V36" s="90"/>
      <c r="W36" s="90"/>
      <c r="X36" s="90"/>
      <c r="Y36" s="90"/>
    </row>
    <row r="37" spans="1:28" s="5" customFormat="1" x14ac:dyDescent="0.25">
      <c r="J37" s="58" t="s">
        <v>97</v>
      </c>
      <c r="K37" s="6"/>
      <c r="L37" s="6">
        <f>'0,3+2% MES FUN'!L37*12</f>
        <v>12013.764000000001</v>
      </c>
      <c r="M37" s="6">
        <f>'0,3+2% MES FUN'!M37*12</f>
        <v>11696.890800000001</v>
      </c>
      <c r="N37" s="6">
        <f>'0,3+2% MES FUN'!N37*12</f>
        <v>10686.295199999999</v>
      </c>
      <c r="O37" s="6">
        <f>'0,3+2% MES FUN'!O37*12</f>
        <v>8299.6787999999997</v>
      </c>
      <c r="P37" s="7">
        <f>'0,3+2% MES FUN'!P37*12</f>
        <v>8226.2796000000017</v>
      </c>
      <c r="Q37" s="7">
        <f>'0,3+2% MES FUN'!Q37*12</f>
        <v>7004.768399999999</v>
      </c>
      <c r="R37" s="7">
        <f>'0,3+2% MES FUN'!R37*12</f>
        <v>6986.347200000002</v>
      </c>
      <c r="S37" s="6">
        <f>'0,3+2% MES FUN'!S37*12</f>
        <v>6977.9219999999987</v>
      </c>
      <c r="T37" s="7">
        <f>'0,3+2% MES FUN'!T37*12</f>
        <v>6604.2144000000008</v>
      </c>
      <c r="U37" s="6">
        <f>'0,3+2% MES FUN'!U37*12</f>
        <v>5708.8584000000001</v>
      </c>
      <c r="V37" s="90"/>
      <c r="W37" s="90"/>
      <c r="X37" s="90"/>
      <c r="Y37" s="90"/>
    </row>
    <row r="38" spans="1:28" s="5" customFormat="1" ht="15" hidden="1" customHeight="1" x14ac:dyDescent="0.25">
      <c r="I38" s="223" t="s">
        <v>94</v>
      </c>
      <c r="J38" s="224"/>
      <c r="K38" s="159">
        <v>0.5</v>
      </c>
      <c r="L38" s="6">
        <f>('0,3 Fun mes'!L38*2%)+'0,3 Fun mes'!L38</f>
        <v>500.57350000000002</v>
      </c>
      <c r="M38" s="6">
        <f>('0,3 Fun mes'!M38*2%)+'0,3 Fun mes'!M38</f>
        <v>487.37045000000006</v>
      </c>
      <c r="N38" s="6">
        <f>('0,3 Fun mes'!N38*2%)+'0,3 Fun mes'!N38</f>
        <v>445.26229999999993</v>
      </c>
      <c r="O38" s="6">
        <f>('0,3 Fun mes'!O38*2%)+'0,3 Fun mes'!O38</f>
        <v>345.81995000000001</v>
      </c>
      <c r="P38" s="6">
        <f>('0,3 Fun mes'!P38*2%)+'0,3 Fun mes'!P38</f>
        <v>342.76165000000003</v>
      </c>
      <c r="Q38" s="6">
        <f>('0,3 Fun mes'!Q38*2%)+'0,3 Fun mes'!Q38</f>
        <v>291.86534999999998</v>
      </c>
      <c r="R38" s="6">
        <f>('0,3 Fun mes'!R38*2%)+'0,3 Fun mes'!R38</f>
        <v>291.09780000000006</v>
      </c>
      <c r="S38" s="6">
        <f>('0,3 Fun mes'!S38*2%)+'0,3 Fun mes'!S38</f>
        <v>290.74674999999996</v>
      </c>
      <c r="T38" s="7">
        <f>('0,3 Fun mes'!T38*2%)+'0,3 Fun mes'!T38</f>
        <v>275.17560000000003</v>
      </c>
      <c r="U38" s="6">
        <f>('0,3 Fun mes'!U38*2%)+'0,3 Fun mes'!U38</f>
        <v>237.8691</v>
      </c>
      <c r="V38" s="90"/>
      <c r="W38" s="90"/>
      <c r="X38" s="90"/>
    </row>
    <row r="39" spans="1:28" s="5" customFormat="1" ht="15" hidden="1" customHeight="1" x14ac:dyDescent="0.25">
      <c r="I39" s="223" t="s">
        <v>95</v>
      </c>
      <c r="J39" s="224"/>
      <c r="K39" s="159">
        <v>0.3</v>
      </c>
      <c r="L39" s="6">
        <f>('0,3 Fun mes'!L39*2%)+'0,3 Fun mes'!L39</f>
        <v>300.34410000000003</v>
      </c>
      <c r="M39" s="6">
        <f>('0,3 Fun mes'!M39*2%)+'0,3 Fun mes'!M39</f>
        <v>292.42227000000003</v>
      </c>
      <c r="N39" s="6">
        <f>('0,3 Fun mes'!N39*2%)+'0,3 Fun mes'!N39</f>
        <v>267.15737999999993</v>
      </c>
      <c r="O39" s="6">
        <f>('0,3 Fun mes'!O39*2%)+'0,3 Fun mes'!O39</f>
        <v>207.49197000000001</v>
      </c>
      <c r="P39" s="6">
        <f>('0,3 Fun mes'!P39*2%)+'0,3 Fun mes'!P39</f>
        <v>205.65699000000001</v>
      </c>
      <c r="Q39" s="6">
        <f>('0,3 Fun mes'!Q39*2%)+'0,3 Fun mes'!Q39</f>
        <v>175.11920999999998</v>
      </c>
      <c r="R39" s="6">
        <f>('0,3 Fun mes'!R39*2%)+'0,3 Fun mes'!R39</f>
        <v>174.65868</v>
      </c>
      <c r="S39" s="6">
        <f>('0,3 Fun mes'!S39*2%)+'0,3 Fun mes'!S39</f>
        <v>174.44804999999997</v>
      </c>
      <c r="T39" s="7">
        <f>('0,3 Fun mes'!T39*2%)+'0,3 Fun mes'!T39</f>
        <v>165.10536000000002</v>
      </c>
      <c r="U39" s="6">
        <f>('0,3 Fun mes'!U39*2%)+'0,3 Fun mes'!U39</f>
        <v>142.72146000000001</v>
      </c>
      <c r="V39" s="90"/>
      <c r="W39" s="90"/>
      <c r="X39" s="90"/>
    </row>
    <row r="40" spans="1:28" s="5" customFormat="1" ht="15" hidden="1" customHeight="1" x14ac:dyDescent="0.25">
      <c r="I40" s="223" t="s">
        <v>96</v>
      </c>
      <c r="J40" s="224"/>
      <c r="K40" s="159">
        <v>0.2</v>
      </c>
      <c r="L40" s="6">
        <f>('0,3 Fun mes'!L40*2%)+'0,3 Fun mes'!L40</f>
        <v>200.22940000000003</v>
      </c>
      <c r="M40" s="6">
        <f>('0,3 Fun mes'!M40*2%)+'0,3 Fun mes'!M40</f>
        <v>194.94818000000004</v>
      </c>
      <c r="N40" s="6">
        <f>('0,3 Fun mes'!N40*2%)+'0,3 Fun mes'!N40</f>
        <v>178.10491999999999</v>
      </c>
      <c r="O40" s="6">
        <f>('0,3 Fun mes'!O40*2%)+'0,3 Fun mes'!O40</f>
        <v>138.32798</v>
      </c>
      <c r="P40" s="6">
        <f>('0,3 Fun mes'!P40*2%)+'0,3 Fun mes'!P40</f>
        <v>137.10466</v>
      </c>
      <c r="Q40" s="6">
        <f>('0,3 Fun mes'!Q40*2%)+'0,3 Fun mes'!Q40</f>
        <v>116.74614</v>
      </c>
      <c r="R40" s="6">
        <f>('0,3 Fun mes'!R40*2%)+'0,3 Fun mes'!R40</f>
        <v>116.43912000000002</v>
      </c>
      <c r="S40" s="6">
        <f>('0,3 Fun mes'!S40*2%)+'0,3 Fun mes'!S40</f>
        <v>116.29869999999998</v>
      </c>
      <c r="T40" s="7">
        <f>('0,3 Fun mes'!T40*2%)+'0,3 Fun mes'!T40</f>
        <v>110.07024000000003</v>
      </c>
      <c r="U40" s="6">
        <f>('0,3 Fun mes'!U40*2%)+'0,3 Fun mes'!U40</f>
        <v>95.14764000000001</v>
      </c>
      <c r="V40" s="90"/>
      <c r="W40" s="90"/>
      <c r="X40" s="90"/>
    </row>
    <row r="41" spans="1:28" s="5" customFormat="1" x14ac:dyDescent="0.25">
      <c r="J41" s="15"/>
      <c r="K41" s="15"/>
      <c r="L41" s="16">
        <f>L37+L36+L35+L34</f>
        <v>48552.108838400003</v>
      </c>
      <c r="M41" s="16">
        <f t="shared" ref="M41:U41" si="2">M37+M36+M35+M34</f>
        <v>47448.89249340001</v>
      </c>
      <c r="N41" s="16">
        <f t="shared" si="2"/>
        <v>45267.414748800002</v>
      </c>
      <c r="O41" s="16">
        <f t="shared" si="2"/>
        <v>41919.945102999998</v>
      </c>
      <c r="P41" s="16">
        <f t="shared" si="2"/>
        <v>39812.417725799998</v>
      </c>
      <c r="Q41" s="16">
        <f t="shared" si="2"/>
        <v>37061.774090199993</v>
      </c>
      <c r="R41" s="16">
        <f t="shared" si="2"/>
        <v>35008.136480400004</v>
      </c>
      <c r="S41" s="16">
        <f t="shared" si="2"/>
        <v>33681.505598600001</v>
      </c>
      <c r="T41" s="16">
        <f t="shared" si="2"/>
        <v>32275.939284000004</v>
      </c>
      <c r="U41" s="120">
        <f t="shared" si="2"/>
        <v>29719.2663512</v>
      </c>
      <c r="V41" s="90"/>
      <c r="W41" s="90"/>
      <c r="X41" s="90"/>
    </row>
    <row r="42" spans="1:28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8" x14ac:dyDescent="0.25">
      <c r="A43" s="1" t="s">
        <v>18</v>
      </c>
      <c r="B43" s="1"/>
    </row>
    <row r="44" spans="1:28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8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8" s="5" customFormat="1" x14ac:dyDescent="0.25">
      <c r="G46"/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8" s="5" customFormat="1" x14ac:dyDescent="0.25">
      <c r="G47"/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8" s="5" customFormat="1" x14ac:dyDescent="0.25">
      <c r="G48"/>
      <c r="N48" s="6" t="s">
        <v>6</v>
      </c>
      <c r="O48" s="6">
        <f>('0,3+2% ESBOR'!O48*12)+('0,3+2% ESBOR'!$C$66*2)</f>
        <v>9092.76</v>
      </c>
      <c r="P48" s="7">
        <f>('0,3+2% ESBOR'!P48*12)+('0,3+2% ESBOR'!$C$66*2)</f>
        <v>9092.76</v>
      </c>
      <c r="Q48" s="6">
        <f>('0,3+2% ESBOR'!Q48*12)+('0,3+2% ESBOR'!$C$66*2)</f>
        <v>9092.76</v>
      </c>
      <c r="R48" s="6">
        <f>('0,3+2% ESBOR'!R48*12)+('0,3+2% ESBOR'!$C$66*2)</f>
        <v>9092.76</v>
      </c>
      <c r="S48" s="7">
        <f>('0,3+2% ESBOR'!S48*12)+('0,3+2% ESBOR'!$C$66*2)</f>
        <v>9092.76</v>
      </c>
      <c r="T48" s="7">
        <f>('0,3+2% ESBOR'!T48*12)+('0,3+2% ESBOR'!$C$66*2)</f>
        <v>9092.76</v>
      </c>
      <c r="U48" s="7">
        <f>('0,3+2% ESBOR'!U48*12)+('0,3+2% ESBOR'!$C$66*2)</f>
        <v>9092.76</v>
      </c>
      <c r="V48" s="7">
        <f>('0,3+2% ESBOR'!V48*12)+('0,3+2% ESBOR'!$C$66*2)</f>
        <v>9092.76</v>
      </c>
      <c r="W48" s="6">
        <f>('0,3+2% ESBOR'!W48*12)+('0,3+2% ESBOR'!$C$66*2)</f>
        <v>9092.76</v>
      </c>
      <c r="X48" s="7">
        <f>('0,3+2% ESBOR'!X48*12)+('0,3+2% ESBOR'!$C$66*2)</f>
        <v>9092.76</v>
      </c>
      <c r="Y48" s="90"/>
      <c r="Z48" s="90"/>
      <c r="AA48" s="90"/>
      <c r="AB48" s="90"/>
    </row>
    <row r="49" spans="1:29" s="5" customFormat="1" x14ac:dyDescent="0.25">
      <c r="G49"/>
      <c r="N49" s="6" t="s">
        <v>7</v>
      </c>
      <c r="O49" s="104">
        <f>'0,3+2% ESBOR'!O49*14</f>
        <v>5998.44</v>
      </c>
      <c r="P49" s="7">
        <f>'0,3+2% ESBOR'!P49*14</f>
        <v>5657.12</v>
      </c>
      <c r="Q49" s="104">
        <f>'0,3+2% ESBOR'!Q49*14</f>
        <v>5316.78</v>
      </c>
      <c r="R49" s="104">
        <f>'0,3+2% ESBOR'!R49*14</f>
        <v>4975.04</v>
      </c>
      <c r="S49" s="7">
        <f>'0,3+2% ESBOR'!S49*14</f>
        <v>4634.5600000000004</v>
      </c>
      <c r="T49" s="7">
        <f>'0,3+2% ESBOR'!T49*14</f>
        <v>4292.96</v>
      </c>
      <c r="U49" s="7">
        <f>'0,3+2% ESBOR'!U49*14</f>
        <v>3951.64</v>
      </c>
      <c r="V49" s="7">
        <f>'0,3+2% ESBOR'!V49*14</f>
        <v>3610.3199999999997</v>
      </c>
      <c r="W49" s="104">
        <f>'0,3+2% ESBOR'!W49*14</f>
        <v>3269.7000000000003</v>
      </c>
      <c r="X49" s="7">
        <f>'0,3+2% ESBOR'!X49*14</f>
        <v>3099.46</v>
      </c>
      <c r="Y49" s="90"/>
      <c r="Z49" s="90"/>
      <c r="AA49" s="90"/>
      <c r="AB49" s="90"/>
    </row>
    <row r="50" spans="1:29" s="5" customFormat="1" x14ac:dyDescent="0.25">
      <c r="N50" s="6" t="s">
        <v>8</v>
      </c>
      <c r="O50" s="6">
        <f>'0,3+2% MES FUN'!O50*14</f>
        <v>14509.844025600001</v>
      </c>
      <c r="P50" s="7">
        <f>'0,3+2% MES FUN'!P50*14</f>
        <v>13905.7328382</v>
      </c>
      <c r="Q50" s="6">
        <f>'0,3+2% MES FUN'!Q50*14</f>
        <v>13404.3008484</v>
      </c>
      <c r="R50" s="6">
        <f>'0,3+2% MES FUN'!R50*14</f>
        <v>11972.821597800001</v>
      </c>
      <c r="S50" s="7">
        <f>'0,3+2% MES FUN'!S50*14</f>
        <v>11202.6043794</v>
      </c>
      <c r="T50" s="7">
        <f>'0,3+2% MES FUN'!T50*14</f>
        <v>9766.8426996000017</v>
      </c>
      <c r="U50" s="7">
        <f>'0,3+2% MES FUN'!U50*14</f>
        <v>10141.4562228</v>
      </c>
      <c r="V50" s="7">
        <f>'0,3+2% MES FUN'!V50*14</f>
        <v>10188.874605000003</v>
      </c>
      <c r="W50" s="6">
        <f>'0,3+2% MES FUN'!W50*14</f>
        <v>8491.6852524000005</v>
      </c>
      <c r="X50" s="7">
        <f>'0,3+2% MES FUN'!X50*14</f>
        <v>7201.8323285999995</v>
      </c>
      <c r="Y50" s="90"/>
      <c r="Z50" s="90"/>
      <c r="AA50" s="90"/>
      <c r="AB50" s="90"/>
    </row>
    <row r="51" spans="1:29" s="5" customFormat="1" x14ac:dyDescent="0.25">
      <c r="A51" s="38" t="s">
        <v>41</v>
      </c>
      <c r="B51" s="38"/>
      <c r="N51" s="58" t="s">
        <v>97</v>
      </c>
      <c r="O51" s="6">
        <f>'0,3+2% MES FUN'!O51*12</f>
        <v>7787.4551999999985</v>
      </c>
      <c r="P51" s="7">
        <f>'0,3+2% MES FUN'!P51*12</f>
        <v>6655.1940000000004</v>
      </c>
      <c r="Q51" s="6">
        <f>'0,3+2% MES FUN'!Q51*12</f>
        <v>6745.3008000000009</v>
      </c>
      <c r="R51" s="6">
        <f>'0,3+2% MES FUN'!R51*12</f>
        <v>7104.4427999999989</v>
      </c>
      <c r="S51" s="7">
        <f>'0,3+2% MES FUN'!S51*12</f>
        <v>6801.1356000000014</v>
      </c>
      <c r="T51" s="7">
        <f>'0,3+2% MES FUN'!T51*12</f>
        <v>7164.2759999999998</v>
      </c>
      <c r="U51" s="7">
        <f>'0,3+2% MES FUN'!U51*12</f>
        <v>5963.0424000000012</v>
      </c>
      <c r="V51" s="7">
        <f>'0,3+2% MES FUN'!V51*12</f>
        <v>6176.5283999999992</v>
      </c>
      <c r="W51" s="6">
        <f>'0,3+2% MES FUN'!W51*12</f>
        <v>5219.0544000000009</v>
      </c>
      <c r="X51" s="7">
        <f>'0,3+2% MES FUN'!X51*12</f>
        <v>4687.1244000000006</v>
      </c>
      <c r="Y51" s="90"/>
      <c r="Z51" s="90"/>
      <c r="AA51" s="90"/>
      <c r="AB51" s="90"/>
    </row>
    <row r="52" spans="1:29" s="5" customFormat="1" ht="15" hidden="1" customHeight="1" x14ac:dyDescent="0.25">
      <c r="A52" s="38"/>
      <c r="B52" s="38"/>
      <c r="L52" s="223" t="s">
        <v>94</v>
      </c>
      <c r="M52" s="224"/>
      <c r="N52" s="159">
        <v>0.5</v>
      </c>
      <c r="O52" s="6">
        <f>('0,3 Fun mes'!O52*2%)+'0,3 Fun mes'!O52</f>
        <v>324.47729999999996</v>
      </c>
      <c r="P52" s="7">
        <f>('0,3 Fun mes'!P52*2%)+'0,3 Fun mes'!P52</f>
        <v>277.29975000000002</v>
      </c>
      <c r="Q52" s="6">
        <f>('0,3 Fun mes'!Q52*2%)+'0,3 Fun mes'!Q52</f>
        <v>281.05420000000004</v>
      </c>
      <c r="R52" s="6">
        <f>('0,3 Fun mes'!R52*2%)+'0,3 Fun mes'!R52</f>
        <v>296.01844999999997</v>
      </c>
      <c r="S52" s="7">
        <f>('0,3 Fun mes'!S52*2%)+'0,3 Fun mes'!S52</f>
        <v>283.38065000000006</v>
      </c>
      <c r="T52" s="7">
        <f>('0,3 Fun mes'!T52*2%)+'0,3 Fun mes'!T52</f>
        <v>298.51150000000001</v>
      </c>
      <c r="U52" s="7">
        <f>('0,3 Fun mes'!U52*2%)+'0,3 Fun mes'!U52</f>
        <v>248.46010000000004</v>
      </c>
      <c r="V52" s="7">
        <f>('0,3 Fun mes'!V52*2%)+'0,3 Fun mes'!V52</f>
        <v>257.35534999999999</v>
      </c>
      <c r="W52" s="6">
        <f>('0,3 Fun mes'!W52*2%)+'0,3 Fun mes'!W52</f>
        <v>217.46060000000003</v>
      </c>
      <c r="X52" s="7">
        <f>('0,3 Fun mes'!X52*2%)+'0,3 Fun mes'!X52</f>
        <v>195.29685000000001</v>
      </c>
      <c r="Y52" s="90"/>
      <c r="Z52" s="90"/>
      <c r="AA52" s="90"/>
      <c r="AB52" s="90"/>
    </row>
    <row r="53" spans="1:29" s="5" customFormat="1" ht="15" hidden="1" customHeight="1" x14ac:dyDescent="0.25">
      <c r="A53" s="38"/>
      <c r="B53" s="38"/>
      <c r="L53" s="223" t="s">
        <v>95</v>
      </c>
      <c r="M53" s="224"/>
      <c r="N53" s="159">
        <v>0.3</v>
      </c>
      <c r="O53" s="6">
        <f>('0,3 Fun mes'!O53*2%)+'0,3 Fun mes'!O53</f>
        <v>194.68637999999996</v>
      </c>
      <c r="P53" s="7">
        <f>('0,3 Fun mes'!P53*2%)+'0,3 Fun mes'!P53</f>
        <v>166.37985</v>
      </c>
      <c r="Q53" s="6">
        <f>('0,3 Fun mes'!Q53*2%)+'0,3 Fun mes'!Q53</f>
        <v>168.63252</v>
      </c>
      <c r="R53" s="6">
        <f>('0,3 Fun mes'!R53*2%)+'0,3 Fun mes'!R53</f>
        <v>177.61106999999998</v>
      </c>
      <c r="S53" s="7">
        <f>('0,3 Fun mes'!S53*2%)+'0,3 Fun mes'!S53</f>
        <v>170.02839000000003</v>
      </c>
      <c r="T53" s="7">
        <f>('0,3 Fun mes'!T53*2%)+'0,3 Fun mes'!T53</f>
        <v>179.1069</v>
      </c>
      <c r="U53" s="7">
        <f>('0,3 Fun mes'!U53*2%)+'0,3 Fun mes'!U53</f>
        <v>149.07606000000001</v>
      </c>
      <c r="V53" s="7">
        <f>('0,3 Fun mes'!V53*2%)+'0,3 Fun mes'!V53</f>
        <v>154.41321000000002</v>
      </c>
      <c r="W53" s="6">
        <f>('0,3 Fun mes'!W53*2%)+'0,3 Fun mes'!W53</f>
        <v>130.47636</v>
      </c>
      <c r="X53" s="7">
        <f>('0,3 Fun mes'!X53*2%)+'0,3 Fun mes'!X53</f>
        <v>117.17811</v>
      </c>
      <c r="Y53" s="90"/>
      <c r="Z53" s="90"/>
      <c r="AA53" s="90"/>
      <c r="AB53" s="90"/>
    </row>
    <row r="54" spans="1:29" s="5" customFormat="1" ht="15" hidden="1" customHeight="1" x14ac:dyDescent="0.25">
      <c r="A54" s="34"/>
      <c r="B54" s="34"/>
      <c r="C54" s="34"/>
      <c r="D54" s="40"/>
      <c r="L54" s="223" t="s">
        <v>96</v>
      </c>
      <c r="M54" s="224"/>
      <c r="N54" s="159">
        <v>0.2</v>
      </c>
      <c r="O54" s="6">
        <f>('0,3 Fun mes'!O54*2%)+'0,3 Fun mes'!O54</f>
        <v>129.79091999999997</v>
      </c>
      <c r="P54" s="7">
        <f>('0,3 Fun mes'!P54*2%)+'0,3 Fun mes'!P54</f>
        <v>110.9199</v>
      </c>
      <c r="Q54" s="6">
        <f>('0,3 Fun mes'!Q54*2%)+'0,3 Fun mes'!Q54</f>
        <v>112.42168000000001</v>
      </c>
      <c r="R54" s="6">
        <f>('0,3 Fun mes'!R54*2%)+'0,3 Fun mes'!R54</f>
        <v>118.40738</v>
      </c>
      <c r="S54" s="7">
        <f>('0,3 Fun mes'!S54*2%)+'0,3 Fun mes'!S54</f>
        <v>113.35226000000003</v>
      </c>
      <c r="T54" s="7">
        <f>('0,3 Fun mes'!T54*2%)+'0,3 Fun mes'!T54</f>
        <v>119.40460000000002</v>
      </c>
      <c r="U54" s="7">
        <f>('0,3 Fun mes'!U54*2%)+'0,3 Fun mes'!U54</f>
        <v>99.384040000000013</v>
      </c>
      <c r="V54" s="7">
        <f>('0,3 Fun mes'!V54*2%)+'0,3 Fun mes'!V54</f>
        <v>102.94214000000001</v>
      </c>
      <c r="W54" s="6">
        <f>('0,3 Fun mes'!W54*2%)+'0,3 Fun mes'!W54</f>
        <v>86.984240000000014</v>
      </c>
      <c r="X54" s="7">
        <f>('0,3 Fun mes'!X54*2%)+'0,3 Fun mes'!X54</f>
        <v>78.118740000000003</v>
      </c>
      <c r="Y54" s="90"/>
      <c r="Z54" s="90"/>
      <c r="AA54" s="90"/>
      <c r="AB54" s="90"/>
    </row>
    <row r="55" spans="1:29" s="5" customFormat="1" x14ac:dyDescent="0.25">
      <c r="A55" s="34" t="s">
        <v>26</v>
      </c>
      <c r="B55" s="34"/>
      <c r="C55" s="34"/>
      <c r="D55" s="40" t="s">
        <v>28</v>
      </c>
      <c r="N55" s="6"/>
      <c r="O55" s="16">
        <f>O48+O49+O50+O51</f>
        <v>37388.499225599997</v>
      </c>
      <c r="P55" s="16">
        <f t="shared" ref="P55:X55" si="3">P48+P49+P50+P51</f>
        <v>35310.806838200006</v>
      </c>
      <c r="Q55" s="16">
        <f t="shared" si="3"/>
        <v>34559.141648400007</v>
      </c>
      <c r="R55" s="16">
        <f t="shared" si="3"/>
        <v>33145.064397800001</v>
      </c>
      <c r="S55" s="16">
        <f t="shared" si="3"/>
        <v>31731.059979400001</v>
      </c>
      <c r="T55" s="16">
        <f t="shared" si="3"/>
        <v>30316.838699600004</v>
      </c>
      <c r="U55" s="16">
        <f t="shared" si="3"/>
        <v>29148.898622800003</v>
      </c>
      <c r="V55" s="16">
        <f t="shared" si="3"/>
        <v>29068.483005000002</v>
      </c>
      <c r="W55" s="16">
        <f t="shared" si="3"/>
        <v>26073.199652400002</v>
      </c>
      <c r="X55" s="16">
        <f t="shared" si="3"/>
        <v>24081.176728600003</v>
      </c>
      <c r="Y55" s="90"/>
      <c r="Z55" s="90"/>
      <c r="AA55" s="90"/>
      <c r="AB55" s="90"/>
    </row>
    <row r="56" spans="1:29" x14ac:dyDescent="0.25">
      <c r="A56" s="5" t="s">
        <v>30</v>
      </c>
      <c r="B56" s="5"/>
      <c r="C56" s="5"/>
      <c r="D56" s="5">
        <v>46.32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226"/>
      <c r="Z56" s="125"/>
      <c r="AA56" s="125"/>
      <c r="AB56" s="125"/>
    </row>
    <row r="57" spans="1:29" x14ac:dyDescent="0.25">
      <c r="A57" s="5" t="s">
        <v>31</v>
      </c>
      <c r="B57" s="5"/>
      <c r="C57" s="5"/>
      <c r="D57" s="5">
        <v>37.78</v>
      </c>
      <c r="O57" s="5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125"/>
      <c r="AC57" s="125"/>
    </row>
    <row r="58" spans="1:29" x14ac:dyDescent="0.25">
      <c r="A58" t="s">
        <v>19</v>
      </c>
      <c r="D58" s="5">
        <v>28.59</v>
      </c>
    </row>
    <row r="59" spans="1:29" s="5" customFormat="1" x14ac:dyDescent="0.25">
      <c r="A59" t="s">
        <v>20</v>
      </c>
      <c r="B59"/>
      <c r="C59"/>
      <c r="D59" s="5">
        <v>19.46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9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9" s="5" customFormat="1" x14ac:dyDescent="0.25">
      <c r="A61" s="38" t="s">
        <v>24</v>
      </c>
      <c r="B61" s="38"/>
      <c r="H61" s="35"/>
      <c r="I61" s="35"/>
      <c r="J61" s="246" t="s">
        <v>147</v>
      </c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9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246" t="s">
        <v>148</v>
      </c>
      <c r="K62" s="35"/>
      <c r="L62" s="35"/>
      <c r="M62" s="35"/>
      <c r="N62" s="35"/>
      <c r="O62" s="35"/>
      <c r="P62" s="35"/>
      <c r="Q62" s="35"/>
      <c r="R62" s="35"/>
    </row>
    <row r="63" spans="1:29" s="5" customFormat="1" x14ac:dyDescent="0.25">
      <c r="A63" s="5" t="s">
        <v>30</v>
      </c>
      <c r="C63" s="5">
        <v>742.7</v>
      </c>
      <c r="D63" s="5">
        <v>28.59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9" s="5" customFormat="1" x14ac:dyDescent="0.25">
      <c r="A64" s="5" t="s">
        <v>31</v>
      </c>
      <c r="C64" s="5">
        <v>759</v>
      </c>
      <c r="D64" s="5">
        <v>27.54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675.35</v>
      </c>
      <c r="D65" s="5">
        <v>24.69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644.4</v>
      </c>
      <c r="D66" s="5">
        <v>19.27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D67" s="208"/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0.25800000000000001</v>
      </c>
      <c r="Q67" s="35">
        <v>0.19</v>
      </c>
      <c r="R67" s="44">
        <v>6.7000000000000004E-2</v>
      </c>
    </row>
    <row r="68" spans="1:18" s="5" customFormat="1" x14ac:dyDescent="0.25">
      <c r="H68" s="35"/>
      <c r="I68" s="35"/>
      <c r="J68" s="41"/>
      <c r="K68" s="35"/>
      <c r="L68" s="35"/>
      <c r="M68" s="35" t="s">
        <v>39</v>
      </c>
      <c r="N68" s="35"/>
      <c r="O68" s="35"/>
      <c r="P68" s="35">
        <v>9.2100000000000009</v>
      </c>
      <c r="Q68" s="35">
        <v>0</v>
      </c>
      <c r="R68" s="35">
        <v>9.2100000000000009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tabSelected="1" topLeftCell="H22" workbookViewId="0">
      <selection activeCell="H52" sqref="A52:XFD54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124</v>
      </c>
      <c r="B2" s="1"/>
      <c r="S2" s="222"/>
      <c r="T2" s="222"/>
      <c r="U2" s="222"/>
      <c r="V2" s="222"/>
      <c r="W2" s="222"/>
      <c r="X2" s="222"/>
      <c r="Y2" s="222"/>
    </row>
    <row r="3" spans="1:25" x14ac:dyDescent="0.25">
      <c r="S3" s="222"/>
      <c r="T3" s="222"/>
      <c r="U3" s="222"/>
      <c r="V3" s="222"/>
      <c r="W3" s="222"/>
      <c r="X3" s="222"/>
      <c r="Y3" s="222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f>('0,3 Fun mes'!C8*2%)+'0,3 Fun mes'!C8</f>
        <v>1203.5592000000001</v>
      </c>
      <c r="D8" s="6">
        <f>('0,3 Fun mes'!D8*2%)+'0,3 Fun mes'!D8</f>
        <v>1203.5592000000001</v>
      </c>
      <c r="E8" s="6">
        <f>('0,3 Fun mes'!E8*2%)+'0,3 Fun mes'!E8</f>
        <v>1203.5592000000001</v>
      </c>
      <c r="F8" s="6">
        <f>('0,3 Fun mes'!F8*2%)+'0,3 Fun mes'!F8</f>
        <v>1203.5592000000001</v>
      </c>
      <c r="G8" s="7">
        <f>('0,3 Fun mes'!G8*2%)+'0,3 Fun mes'!G8</f>
        <v>1203.5592000000001</v>
      </c>
      <c r="H8" s="6">
        <f>('0,3 Fun mes'!H8*2%)+'0,3 Fun mes'!H8</f>
        <v>1203.5592000000001</v>
      </c>
      <c r="I8" s="6">
        <f>('0,3 Fun mes'!I8*2%)+'0,3 Fun mes'!I8</f>
        <v>1203.5592000000001</v>
      </c>
      <c r="J8" s="6">
        <f>('0,3 Fun mes'!J8*2%)+'0,3 Fun mes'!J8</f>
        <v>1203.5592000000001</v>
      </c>
      <c r="K8" s="6">
        <f>('0,3 Fun mes'!K8*2%)+'0,3 Fun mes'!K8</f>
        <v>1203.5592000000001</v>
      </c>
      <c r="L8" s="6">
        <f>('0,3 Fun mes'!L8*2%)+'0,3 Fun mes'!L8</f>
        <v>1203.5592000000001</v>
      </c>
      <c r="M8" s="7">
        <f>('0,3 Fun mes'!M8*2%)+'0,3 Fun mes'!M8</f>
        <v>1203.5592000000001</v>
      </c>
      <c r="N8" s="6">
        <f>('0,3 Fun mes'!N8*2%)+'0,3 Fun mes'!N8</f>
        <v>1203.5592000000001</v>
      </c>
      <c r="O8" s="6">
        <f>('0,3 Fun mes'!O8*2%)+'0,3 Fun mes'!O8</f>
        <v>1203.5592000000001</v>
      </c>
      <c r="P8" s="6">
        <f>('0,3 Fun mes'!P8*2%)+'0,3 Fun mes'!P8</f>
        <v>1203.5592000000001</v>
      </c>
    </row>
    <row r="9" spans="1:25" s="5" customFormat="1" x14ac:dyDescent="0.25">
      <c r="A9" s="58" t="s">
        <v>7</v>
      </c>
      <c r="B9" s="6"/>
      <c r="C9" s="6">
        <f>('0,3 Fun mes'!C9*2%)+'0,3 Fun mes'!C9</f>
        <v>1051.3038000000001</v>
      </c>
      <c r="D9" s="6">
        <f>('0,3 Fun mes'!D9*2%)+'0,3 Fun mes'!D9</f>
        <v>942.96960000000001</v>
      </c>
      <c r="E9" s="6">
        <f>('0,3 Fun mes'!E9*2%)+'0,3 Fun mes'!E9</f>
        <v>903.34259999999995</v>
      </c>
      <c r="F9" s="6">
        <f>('0,3 Fun mes'!F9*2%)+'0,3 Fun mes'!F9</f>
        <v>863.65440000000001</v>
      </c>
      <c r="G9" s="7">
        <f>('0,3 Fun mes'!G9*2%)+'0,3 Fun mes'!G9</f>
        <v>757.71720000000005</v>
      </c>
      <c r="H9" s="6">
        <f>('0,3 Fun mes'!H9*2%)+'0,3 Fun mes'!H9</f>
        <v>672.2514000000001</v>
      </c>
      <c r="I9" s="6">
        <f>('0,3 Fun mes'!I9*2%)+'0,3 Fun mes'!I9</f>
        <v>632.5938000000001</v>
      </c>
      <c r="J9" s="6">
        <f>('0,3 Fun mes'!J9*2%)+'0,3 Fun mes'!J9</f>
        <v>592.98720000000003</v>
      </c>
      <c r="K9" s="6">
        <f>('0,3 Fun mes'!K9*2%)+'0,3 Fun mes'!K9</f>
        <v>553.29900000000009</v>
      </c>
      <c r="L9" s="6">
        <f>('0,3 Fun mes'!L9*2%)+'0,3 Fun mes'!L9</f>
        <v>513.70259999999996</v>
      </c>
      <c r="M9" s="7">
        <f>('0,3 Fun mes'!M9*2%)+'0,3 Fun mes'!M9</f>
        <v>477.1866</v>
      </c>
      <c r="N9" s="6">
        <f>('0,3 Fun mes'!N9*2%)+'0,3 Fun mes'!N9</f>
        <v>477.1866</v>
      </c>
      <c r="O9" s="6">
        <f>('0,3 Fun mes'!O9*2%)+'0,3 Fun mes'!O9</f>
        <v>477.1866</v>
      </c>
      <c r="P9" s="6">
        <f>('0,3 Fun mes'!P9*2%)+'0,3 Fun mes'!P9</f>
        <v>477.1866</v>
      </c>
    </row>
    <row r="10" spans="1:25" s="5" customFormat="1" x14ac:dyDescent="0.25">
      <c r="A10" s="58" t="s">
        <v>8</v>
      </c>
      <c r="B10" s="6"/>
      <c r="C10" s="6">
        <f>('0,3 Fun mes'!C10*2%)+'0,3 Fun mes'!C10</f>
        <v>2536.3663229999997</v>
      </c>
      <c r="D10" s="6">
        <f>('0,3 Fun mes'!D10*2%)+'0,3 Fun mes'!D10</f>
        <v>2395.1147391000004</v>
      </c>
      <c r="E10" s="6">
        <f>('0,3 Fun mes'!E10*2%)+'0,3 Fun mes'!E10</f>
        <v>2202.0325590000002</v>
      </c>
      <c r="F10" s="6">
        <f>('0,3 Fun mes'!F10*2%)+'0,3 Fun mes'!F10</f>
        <v>1782.2449596000001</v>
      </c>
      <c r="G10" s="7">
        <f>('0,3 Fun mes'!G10*2%)+'0,3 Fun mes'!G10</f>
        <v>1559.4837579</v>
      </c>
      <c r="H10" s="6">
        <f>('0,3 Fun mes'!H10*2%)+'0,3 Fun mes'!H10</f>
        <v>1554.6960971999999</v>
      </c>
      <c r="I10" s="6">
        <f>('0,3 Fun mes'!I10*2%)+'0,3 Fun mes'!I10</f>
        <v>1515.541704</v>
      </c>
      <c r="J10" s="6">
        <f>('0,3 Fun mes'!J10*2%)+'0,3 Fun mes'!J10</f>
        <v>1488.7977681</v>
      </c>
      <c r="K10" s="6">
        <f>('0,3 Fun mes'!K10*2%)+'0,3 Fun mes'!K10</f>
        <v>1462.0852583999999</v>
      </c>
      <c r="L10" s="6">
        <f>('0,3 Fun mes'!L10*2%)+'0,3 Fun mes'!L10</f>
        <v>1350.0780638999997</v>
      </c>
      <c r="M10" s="7">
        <f>('0,3 Fun mes'!M10*2%)+'0,3 Fun mes'!M10</f>
        <v>1235.8245896999999</v>
      </c>
      <c r="N10" s="6">
        <f>('0,3 Fun mes'!N10*2%)+'0,3 Fun mes'!N10</f>
        <v>1033.0831473000001</v>
      </c>
      <c r="O10" s="6">
        <f>('0,3 Fun mes'!O10*2%)+'0,3 Fun mes'!O10</f>
        <v>817.9958034</v>
      </c>
      <c r="P10" s="6">
        <f>('0,3 Fun mes'!P10*2%)+'0,3 Fun mes'!P10</f>
        <v>581.36287709999988</v>
      </c>
    </row>
    <row r="11" spans="1:25" s="5" customFormat="1" x14ac:dyDescent="0.25">
      <c r="A11" s="58" t="s">
        <v>97</v>
      </c>
      <c r="B11" s="6"/>
      <c r="C11" s="6">
        <f>('0,3 Fun mes'!C11*2%)+'0,3 Fun mes'!C11</f>
        <v>1402.9386</v>
      </c>
      <c r="D11" s="6">
        <f>('0,3 Fun mes'!D11*2%)+'0,3 Fun mes'!D11</f>
        <v>1348.3533000000002</v>
      </c>
      <c r="E11" s="6">
        <f>('0,3 Fun mes'!E11*2%)+'0,3 Fun mes'!E11</f>
        <v>1166.2951999999998</v>
      </c>
      <c r="F11" s="6">
        <f>('0,3 Fun mes'!F11*2%)+'0,3 Fun mes'!F11</f>
        <v>979.03680000000008</v>
      </c>
      <c r="G11" s="7">
        <f>('0,3 Fun mes'!G11*2%)+'0,3 Fun mes'!G11</f>
        <v>870.09230000000014</v>
      </c>
      <c r="H11" s="6">
        <f>('0,3 Fun mes'!H11*2%)+'0,3 Fun mes'!H11</f>
        <v>870.38980000000004</v>
      </c>
      <c r="I11" s="6">
        <f>('0,3 Fun mes'!I11*2%)+'0,3 Fun mes'!I11</f>
        <v>851.44500000000005</v>
      </c>
      <c r="J11" s="6">
        <f>('0,3 Fun mes'!J11*2%)+'0,3 Fun mes'!J11</f>
        <v>836.10590000000002</v>
      </c>
      <c r="K11" s="6">
        <f>('0,3 Fun mes'!K11*2%)+'0,3 Fun mes'!K11</f>
        <v>824.50340000000006</v>
      </c>
      <c r="L11" s="6">
        <f>('0,3 Fun mes'!L11*2%)+'0,3 Fun mes'!L11</f>
        <v>767.75229999999988</v>
      </c>
      <c r="M11" s="7">
        <f>('0,3 Fun mes'!M11*2%)+'0,3 Fun mes'!M11</f>
        <v>716.22530000000006</v>
      </c>
      <c r="N11" s="6">
        <f>('0,3 Fun mes'!N11*2%)+'0,3 Fun mes'!N11</f>
        <v>691.80649999999991</v>
      </c>
      <c r="O11" s="6">
        <f>('0,3 Fun mes'!O11*2%)+'0,3 Fun mes'!O11</f>
        <v>589.76400000000001</v>
      </c>
      <c r="P11" s="6">
        <f>('0,3 Fun mes'!P11*2%)+'0,3 Fun mes'!P11</f>
        <v>477.51130000000001</v>
      </c>
    </row>
    <row r="12" spans="1:25" s="38" customFormat="1" x14ac:dyDescent="0.25">
      <c r="A12" s="156">
        <v>0.5</v>
      </c>
      <c r="B12" s="157" t="s">
        <v>94</v>
      </c>
      <c r="C12" s="6">
        <f>('0,3 Fun mes'!C12*2%)+'0,3 Fun mes'!C12</f>
        <v>701.46929999999998</v>
      </c>
      <c r="D12" s="6">
        <f>('0,3 Fun mes'!D12*2%)+'0,3 Fun mes'!D12</f>
        <v>674.17665000000011</v>
      </c>
      <c r="E12" s="6">
        <f>('0,3 Fun mes'!E12*2%)+'0,3 Fun mes'!E12</f>
        <v>583.1475999999999</v>
      </c>
      <c r="F12" s="6">
        <f>('0,3 Fun mes'!F12*2%)+'0,3 Fun mes'!F12</f>
        <v>489.51840000000004</v>
      </c>
      <c r="G12" s="7">
        <f>('0,3 Fun mes'!G12*2%)+'0,3 Fun mes'!G12</f>
        <v>435.04615000000007</v>
      </c>
      <c r="H12" s="6">
        <f>('0,3 Fun mes'!H12*2%)+'0,3 Fun mes'!H12</f>
        <v>435.19490000000002</v>
      </c>
      <c r="I12" s="6">
        <f>('0,3 Fun mes'!I12*2%)+'0,3 Fun mes'!I12</f>
        <v>425.72250000000003</v>
      </c>
      <c r="J12" s="6">
        <f>('0,3 Fun mes'!J12*2%)+'0,3 Fun mes'!J12</f>
        <v>418.05295000000001</v>
      </c>
      <c r="K12" s="6">
        <f>('0,3 Fun mes'!K12*2%)+'0,3 Fun mes'!K12</f>
        <v>412.25170000000003</v>
      </c>
      <c r="L12" s="6">
        <f>('0,3 Fun mes'!L12*2%)+'0,3 Fun mes'!L12</f>
        <v>383.87614999999994</v>
      </c>
      <c r="M12" s="7">
        <f>('0,3 Fun mes'!M12*2%)+'0,3 Fun mes'!M12</f>
        <v>358.11265000000003</v>
      </c>
      <c r="N12" s="6">
        <f>('0,3 Fun mes'!N12*2%)+'0,3 Fun mes'!N12</f>
        <v>345.90324999999996</v>
      </c>
      <c r="O12" s="6">
        <f>('0,3 Fun mes'!O12*2%)+'0,3 Fun mes'!O12</f>
        <v>294.88200000000001</v>
      </c>
      <c r="P12" s="6">
        <f>('0,3 Fun mes'!P12*2%)+'0,3 Fun mes'!P12</f>
        <v>238.75565</v>
      </c>
    </row>
    <row r="13" spans="1:25" s="38" customFormat="1" x14ac:dyDescent="0.25">
      <c r="A13" s="156">
        <v>0.3</v>
      </c>
      <c r="B13" s="157" t="s">
        <v>95</v>
      </c>
      <c r="C13" s="6">
        <f>('0,3 Fun mes'!C13*2%)+'0,3 Fun mes'!C13</f>
        <v>420.88158000000004</v>
      </c>
      <c r="D13" s="6">
        <f>('0,3 Fun mes'!D13*2%)+'0,3 Fun mes'!D13</f>
        <v>404.50599000000005</v>
      </c>
      <c r="E13" s="6">
        <f>('0,3 Fun mes'!E13*2%)+'0,3 Fun mes'!E13</f>
        <v>349.88855999999998</v>
      </c>
      <c r="F13" s="6">
        <f>('0,3 Fun mes'!F13*2%)+'0,3 Fun mes'!F13</f>
        <v>293.71104000000003</v>
      </c>
      <c r="G13" s="7">
        <f>('0,3 Fun mes'!G13*2%)+'0,3 Fun mes'!G13</f>
        <v>261.02769000000001</v>
      </c>
      <c r="H13" s="6">
        <f>('0,3 Fun mes'!H13*2%)+'0,3 Fun mes'!H13</f>
        <v>261.11694</v>
      </c>
      <c r="I13" s="6">
        <f>('0,3 Fun mes'!I13*2%)+'0,3 Fun mes'!I13</f>
        <v>255.43349999999998</v>
      </c>
      <c r="J13" s="6">
        <f>('0,3 Fun mes'!J13*2%)+'0,3 Fun mes'!J13</f>
        <v>250.83177000000001</v>
      </c>
      <c r="K13" s="6">
        <f>('0,3 Fun mes'!K13*2%)+'0,3 Fun mes'!K13</f>
        <v>247.35102000000001</v>
      </c>
      <c r="L13" s="6">
        <f>('0,3 Fun mes'!L13*2%)+'0,3 Fun mes'!L13</f>
        <v>230.32568999999998</v>
      </c>
      <c r="M13" s="7">
        <f>('0,3 Fun mes'!M13*2%)+'0,3 Fun mes'!M13</f>
        <v>214.86759000000001</v>
      </c>
      <c r="N13" s="6">
        <f>('0,3 Fun mes'!N13*2%)+'0,3 Fun mes'!N13</f>
        <v>207.54194999999996</v>
      </c>
      <c r="O13" s="6">
        <f>('0,3 Fun mes'!O13*2%)+'0,3 Fun mes'!O13</f>
        <v>176.92920000000001</v>
      </c>
      <c r="P13" s="6">
        <f>('0,3 Fun mes'!P13*2%)+'0,3 Fun mes'!P13</f>
        <v>143.25338999999997</v>
      </c>
    </row>
    <row r="14" spans="1:25" s="38" customFormat="1" x14ac:dyDescent="0.25">
      <c r="A14" s="156">
        <v>0.2</v>
      </c>
      <c r="B14" s="157" t="s">
        <v>96</v>
      </c>
      <c r="C14" s="6">
        <f>('0,3 Fun mes'!C14*2%)+'0,3 Fun mes'!C14</f>
        <v>280.58771999999999</v>
      </c>
      <c r="D14" s="6">
        <f>('0,3 Fun mes'!D14*2%)+'0,3 Fun mes'!D14</f>
        <v>269.67066000000005</v>
      </c>
      <c r="E14" s="6">
        <f>('0,3 Fun mes'!E14*2%)+'0,3 Fun mes'!E14</f>
        <v>233.25903999999997</v>
      </c>
      <c r="F14" s="6">
        <f>('0,3 Fun mes'!F14*2%)+'0,3 Fun mes'!F14</f>
        <v>195.80736000000002</v>
      </c>
      <c r="G14" s="7">
        <f>('0,3 Fun mes'!G14*2%)+'0,3 Fun mes'!G14</f>
        <v>174.01846000000003</v>
      </c>
      <c r="H14" s="6">
        <f>('0,3 Fun mes'!H14*2%)+'0,3 Fun mes'!H14</f>
        <v>174.07796000000002</v>
      </c>
      <c r="I14" s="6">
        <f>('0,3 Fun mes'!I14*2%)+'0,3 Fun mes'!I14</f>
        <v>170.28900000000002</v>
      </c>
      <c r="J14" s="6">
        <f>('0,3 Fun mes'!J14*2%)+'0,3 Fun mes'!J14</f>
        <v>167.22118000000003</v>
      </c>
      <c r="K14" s="6">
        <f>('0,3 Fun mes'!K14*2%)+'0,3 Fun mes'!K14</f>
        <v>164.90068000000002</v>
      </c>
      <c r="L14" s="6">
        <f>('0,3 Fun mes'!L14*2%)+'0,3 Fun mes'!L14</f>
        <v>153.55045999999999</v>
      </c>
      <c r="M14" s="7">
        <f>('0,3 Fun mes'!M14*2%)+'0,3 Fun mes'!M14</f>
        <v>143.24506000000002</v>
      </c>
      <c r="N14" s="6">
        <f>('0,3 Fun mes'!N14*2%)+'0,3 Fun mes'!N14</f>
        <v>138.36129999999997</v>
      </c>
      <c r="O14" s="6">
        <f>('0,3 Fun mes'!O14*2%)+'0,3 Fun mes'!O14</f>
        <v>117.95280000000001</v>
      </c>
      <c r="P14" s="6">
        <f>('0,3 Fun mes'!P14*2%)+'0,3 Fun mes'!P14</f>
        <v>95.502259999999993</v>
      </c>
    </row>
    <row r="15" spans="1:25" s="5" customFormat="1" x14ac:dyDescent="0.25">
      <c r="A15" s="58"/>
      <c r="B15" s="6"/>
      <c r="C15" s="16">
        <f>(ROUND('0,3 Fun mes'!C15*2%,2)+('0,3 Fun mes'!C15))</f>
        <v>6194.1636500000004</v>
      </c>
      <c r="D15" s="16">
        <f>(ROUND('0,3 Fun mes'!D15*2%,2)+('0,3 Fun mes'!D15))</f>
        <v>5889.9967050000005</v>
      </c>
      <c r="E15" s="16">
        <f>(ROUND('0,3 Fun mes'!E15*2%,2)+('0,3 Fun mes'!E15))</f>
        <v>5475.2321166666661</v>
      </c>
      <c r="F15" s="16">
        <f>(ROUND('0,3 Fun mes'!F15*2%,2)+('0,3 Fun mes'!F15))</f>
        <v>4828.4989800000003</v>
      </c>
      <c r="G15" s="16">
        <f>(ROUND('0,3 Fun mes'!G15*2%,2)+('0,3 Fun mes'!G15))</f>
        <v>4390.8573116666666</v>
      </c>
      <c r="H15" s="16">
        <f>(ROUND('0,3 Fun mes'!H15*2%,2)+('0,3 Fun mes'!H15))</f>
        <v>4300.8951933333337</v>
      </c>
      <c r="I15" s="16">
        <f>(ROUND('0,3 Fun mes'!I15*2%,2)+('0,3 Fun mes'!I15))</f>
        <v>4203.1352000000006</v>
      </c>
      <c r="J15" s="16">
        <f>(ROUND('0,3 Fun mes'!J15*2%,2)+('0,3 Fun mes'!J15))</f>
        <v>4121.4473216666674</v>
      </c>
      <c r="K15" s="16">
        <f>(ROUND('0,3 Fun mes'!K15*2%,2)+('0,3 Fun mes'!K15))</f>
        <v>4043.4435866666668</v>
      </c>
      <c r="L15" s="16">
        <f>(ROUND('0,3 Fun mes'!L15*2%,2)+('0,3 Fun mes'!L15))</f>
        <v>3835.094278333333</v>
      </c>
      <c r="M15" s="16">
        <f>(ROUND('0,3 Fun mes'!M15*2%,2)+('0,3 Fun mes'!M15))</f>
        <v>3632.7944016666665</v>
      </c>
      <c r="N15" s="16">
        <f>(ROUND('0,3 Fun mes'!N15*2%,2)+('0,3 Fun mes'!N15))</f>
        <v>3405.6382816666669</v>
      </c>
      <c r="O15" s="16">
        <f>(ROUND('0,3 Fun mes'!O15*2%,2)+('0,3 Fun mes'!O15))</f>
        <v>3088.5066700000002</v>
      </c>
      <c r="P15" s="16">
        <f>(ROUND('0,3 Fun mes'!P15*2%,2)+('0,3 Fun mes'!P15))</f>
        <v>2739.6219383333332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49"/>
      <c r="H19" s="19"/>
      <c r="I19" s="19"/>
      <c r="J19" s="19"/>
      <c r="K19" s="117"/>
      <c r="L19" s="20"/>
      <c r="M19" s="20"/>
      <c r="N19" s="48"/>
      <c r="O19" s="20"/>
      <c r="P19" s="48"/>
      <c r="Q19" s="20"/>
      <c r="R19" s="49"/>
    </row>
    <row r="20" spans="1:21" s="5" customFormat="1" x14ac:dyDescent="0.25">
      <c r="E20" s="58" t="s">
        <v>6</v>
      </c>
      <c r="F20" s="7">
        <f>('0,3 Fun mes'!F20*2%)+'0,3 Fun mes'!F20</f>
        <v>1040.6856</v>
      </c>
      <c r="G20" s="6">
        <f>('0,3 Fun mes'!G20*2%)+'0,3 Fun mes'!G20</f>
        <v>1040.6856</v>
      </c>
      <c r="H20" s="6">
        <f>('0,3 Fun mes'!H20*2%)+'0,3 Fun mes'!H20</f>
        <v>1040.6856</v>
      </c>
      <c r="I20" s="6">
        <f>('0,3 Fun mes'!I20*2%)+'0,3 Fun mes'!I20</f>
        <v>1040.6856</v>
      </c>
      <c r="J20" s="6">
        <f>('0,3 Fun mes'!J20*2%)+'0,3 Fun mes'!J20</f>
        <v>1040.6856</v>
      </c>
      <c r="K20" s="6">
        <f>('0,3 Fun mes'!K20*2%)+'0,3 Fun mes'!K20</f>
        <v>1040.6856</v>
      </c>
      <c r="L20" s="7">
        <f>('0,3 Fun mes'!L20*2%)+'0,3 Fun mes'!L20</f>
        <v>1040.6856</v>
      </c>
      <c r="M20" s="7">
        <f>('0,3 Fun mes'!M20*2%)+'0,3 Fun mes'!M20</f>
        <v>1040.6856</v>
      </c>
      <c r="N20" s="6">
        <f>('0,3 Fun mes'!N20*2%)+'0,3 Fun mes'!N20</f>
        <v>1040.6856</v>
      </c>
      <c r="O20" s="7">
        <f>('0,3 Fun mes'!O20*2%)+'0,3 Fun mes'!O20</f>
        <v>1040.6856</v>
      </c>
      <c r="P20" s="6">
        <f>('0,3 Fun mes'!P20*2%)+'0,3 Fun mes'!P20</f>
        <v>1040.6856</v>
      </c>
      <c r="Q20" s="7">
        <f>('0,3 Fun mes'!Q20*2%)+'0,3 Fun mes'!Q20</f>
        <v>1040.6856</v>
      </c>
      <c r="R20" s="6">
        <f>('0,3 Fun mes'!R20*2%)+'0,3 Fun mes'!R20</f>
        <v>1040.6856</v>
      </c>
      <c r="S20" s="146"/>
    </row>
    <row r="21" spans="1:21" s="5" customFormat="1" x14ac:dyDescent="0.25">
      <c r="E21" s="58" t="s">
        <v>7</v>
      </c>
      <c r="F21" s="7">
        <f>('0,3 Fun mes'!F21*2%)+'0,3 Fun mes'!F21</f>
        <v>757.71720000000005</v>
      </c>
      <c r="G21" s="6">
        <f>('0,3 Fun mes'!G21*2%)+'0,3 Fun mes'!G21</f>
        <v>757.71720000000005</v>
      </c>
      <c r="H21" s="6">
        <f>('0,3 Fun mes'!H21*2%)+'0,3 Fun mes'!H21</f>
        <v>672.2514000000001</v>
      </c>
      <c r="I21" s="6">
        <f>('0,3 Fun mes'!I21*2%)+'0,3 Fun mes'!I21</f>
        <v>632.5938000000001</v>
      </c>
      <c r="J21" s="6">
        <f>('0,3 Fun mes'!J21*2%)+'0,3 Fun mes'!J21</f>
        <v>592.98720000000003</v>
      </c>
      <c r="K21" s="6">
        <f>('0,3 Fun mes'!K21*2%)+'0,3 Fun mes'!K21</f>
        <v>553.29900000000009</v>
      </c>
      <c r="L21" s="7">
        <f>('0,3 Fun mes'!L21*2%)+'0,3 Fun mes'!L21</f>
        <v>513.70259999999996</v>
      </c>
      <c r="M21" s="7">
        <f>('0,3 Fun mes'!M21*2%)+'0,3 Fun mes'!M21</f>
        <v>477.1866</v>
      </c>
      <c r="N21" s="6">
        <f>('0,3 Fun mes'!N21*2%)+'0,3 Fun mes'!N21</f>
        <v>452.82900000000001</v>
      </c>
      <c r="O21" s="7">
        <f>('0,3 Fun mes'!O21*2%)+'0,3 Fun mes'!O21</f>
        <v>428.45100000000002</v>
      </c>
      <c r="P21" s="6">
        <f>('0,3 Fun mes'!P21*2%)+'0,3 Fun mes'!P21</f>
        <v>404.07299999999998</v>
      </c>
      <c r="Q21" s="7">
        <f>('0,3 Fun mes'!Q21*2%)+'0,3 Fun mes'!Q21</f>
        <v>379.76639999999998</v>
      </c>
      <c r="R21" s="6">
        <f>('0,3 Fun mes'!R21*2%)+'0,3 Fun mes'!R21</f>
        <v>378.83820000000003</v>
      </c>
      <c r="S21" s="146"/>
    </row>
    <row r="22" spans="1:21" s="5" customFormat="1" x14ac:dyDescent="0.25">
      <c r="E22" s="58" t="s">
        <v>8</v>
      </c>
      <c r="F22" s="7">
        <f>('0,3 Fun mes'!F22*2%)+'0,3 Fun mes'!F22</f>
        <v>1598.2712061</v>
      </c>
      <c r="G22" s="6">
        <f>('0,3 Fun mes'!G22*2%)+'0,3 Fun mes'!G22</f>
        <v>1338.4648794</v>
      </c>
      <c r="H22" s="6">
        <f>('0,3 Fun mes'!H22*2%)+'0,3 Fun mes'!H22</f>
        <v>1264.8203949000001</v>
      </c>
      <c r="I22" s="6">
        <f>('0,3 Fun mes'!I22*2%)+'0,3 Fun mes'!I22</f>
        <v>1252.6383309</v>
      </c>
      <c r="J22" s="6">
        <f>('0,3 Fun mes'!J22*2%)+'0,3 Fun mes'!J22</f>
        <v>1232.2839911999997</v>
      </c>
      <c r="K22" s="6">
        <f>('0,3 Fun mes'!K22*2%)+'0,3 Fun mes'!K22</f>
        <v>1212.2252832000001</v>
      </c>
      <c r="L22" s="7">
        <f>('0,3 Fun mes'!L22*2%)+'0,3 Fun mes'!L22</f>
        <v>1185.3980132999998</v>
      </c>
      <c r="M22" s="7">
        <f>('0,3 Fun mes'!M22*2%)+'0,3 Fun mes'!M22</f>
        <v>1156.2629220000001</v>
      </c>
      <c r="N22" s="6">
        <f>('0,3 Fun mes'!N22*2%)+'0,3 Fun mes'!N22</f>
        <v>1139.1608880000001</v>
      </c>
      <c r="O22" s="7">
        <f>('0,3 Fun mes'!O22*2%)+'0,3 Fun mes'!O22</f>
        <v>1051.2169673999999</v>
      </c>
      <c r="P22" s="6">
        <f>('0,3 Fun mes'!P22*2%)+'0,3 Fun mes'!P22</f>
        <v>998.69334749999985</v>
      </c>
      <c r="Q22" s="7">
        <f>('0,3 Fun mes'!Q22*2%)+'0,3 Fun mes'!Q22</f>
        <v>946.10338679999995</v>
      </c>
      <c r="R22" s="6">
        <f>('0,3 Fun mes'!R22*2%)+'0,3 Fun mes'!R22</f>
        <v>820.42543320000004</v>
      </c>
      <c r="S22" s="146"/>
    </row>
    <row r="23" spans="1:21" s="5" customFormat="1" x14ac:dyDescent="0.25">
      <c r="E23" s="58" t="s">
        <v>97</v>
      </c>
      <c r="F23" s="7">
        <f>('0,3 Fun mes'!F23*2%)+'0,3 Fun mes'!F23</f>
        <v>1143.1735000000001</v>
      </c>
      <c r="G23" s="6">
        <f>('0,3 Fun mes'!G23*2%)+'0,3 Fun mes'!G23</f>
        <v>842.99599999999998</v>
      </c>
      <c r="H23" s="6">
        <f>('0,3 Fun mes'!H23*2%)+'0,3 Fun mes'!H23</f>
        <v>954.20150000000001</v>
      </c>
      <c r="I23" s="6">
        <f>('0,3 Fun mes'!I23*2%)+'0,3 Fun mes'!I23</f>
        <v>786.69709999999998</v>
      </c>
      <c r="J23" s="6">
        <f>('0,3 Fun mes'!J23*2%)+'0,3 Fun mes'!J23</f>
        <v>715.28519999999992</v>
      </c>
      <c r="K23" s="6">
        <f>('0,3 Fun mes'!K23*2%)+'0,3 Fun mes'!K23</f>
        <v>701.57640000000004</v>
      </c>
      <c r="L23" s="7">
        <f>('0,3 Fun mes'!L23*2%)+'0,3 Fun mes'!L23</f>
        <v>689.14089999999999</v>
      </c>
      <c r="M23" s="7">
        <f>('0,3 Fun mes'!M23*2%)+'0,3 Fun mes'!M23</f>
        <v>678.46660000000008</v>
      </c>
      <c r="N23" s="6">
        <f>('0,3 Fun mes'!N23*2%)+'0,3 Fun mes'!N23</f>
        <v>669.8986000000001</v>
      </c>
      <c r="O23" s="7">
        <f>('0,3 Fun mes'!O23*2%)+'0,3 Fun mes'!O23</f>
        <v>625.51160000000004</v>
      </c>
      <c r="P23" s="6">
        <f>('0,3 Fun mes'!P23*2%)+'0,3 Fun mes'!P23</f>
        <v>605.65049999999997</v>
      </c>
      <c r="Q23" s="7">
        <f>('0,3 Fun mes'!Q23*2%)+'0,3 Fun mes'!Q23</f>
        <v>577.24520000000007</v>
      </c>
      <c r="R23" s="6">
        <f>('0,3 Fun mes'!R23*2%)+'0,3 Fun mes'!R23</f>
        <v>573.00879999999995</v>
      </c>
      <c r="S23" s="146"/>
    </row>
    <row r="24" spans="1:21" s="5" customFormat="1" x14ac:dyDescent="0.25">
      <c r="C24" s="223" t="s">
        <v>94</v>
      </c>
      <c r="D24" s="224"/>
      <c r="E24" s="191">
        <v>0.5</v>
      </c>
      <c r="F24" s="7">
        <f>('0,3 Fun mes'!F24*2%)+'0,3 Fun mes'!F24</f>
        <v>571.58675000000005</v>
      </c>
      <c r="G24" s="6">
        <f>('0,3 Fun mes'!G24*2%)+'0,3 Fun mes'!G24</f>
        <v>421.49799999999999</v>
      </c>
      <c r="H24" s="6">
        <f>('0,3 Fun mes'!H24*2%)+'0,3 Fun mes'!H24</f>
        <v>477.10075000000001</v>
      </c>
      <c r="I24" s="6">
        <f>('0,3 Fun mes'!I24*2%)+'0,3 Fun mes'!I24</f>
        <v>393.34854999999999</v>
      </c>
      <c r="J24" s="6">
        <f>('0,3 Fun mes'!J24*2%)+'0,3 Fun mes'!J24</f>
        <v>357.64259999999996</v>
      </c>
      <c r="K24" s="6">
        <f>('0,3 Fun mes'!K24*2%)+'0,3 Fun mes'!K24</f>
        <v>350.78820000000002</v>
      </c>
      <c r="L24" s="7">
        <f>('0,3 Fun mes'!L24*2%)+'0,3 Fun mes'!L24</f>
        <v>344.57044999999999</v>
      </c>
      <c r="M24" s="7">
        <f>('0,3 Fun mes'!M24*2%)+'0,3 Fun mes'!M24</f>
        <v>339.23330000000004</v>
      </c>
      <c r="N24" s="6">
        <f>('0,3 Fun mes'!N24*2%)+'0,3 Fun mes'!N24</f>
        <v>334.94930000000005</v>
      </c>
      <c r="O24" s="7">
        <f>('0,3 Fun mes'!O24*2%)+'0,3 Fun mes'!O24</f>
        <v>312.75580000000002</v>
      </c>
      <c r="P24" s="6">
        <f>('0,3 Fun mes'!P24*2%)+'0,3 Fun mes'!P24</f>
        <v>302.82524999999998</v>
      </c>
      <c r="Q24" s="7">
        <f>('0,3 Fun mes'!Q24*2%)+'0,3 Fun mes'!Q24</f>
        <v>288.62260000000003</v>
      </c>
      <c r="R24" s="6">
        <f>('0,3 Fun mes'!R24*2%)+'0,3 Fun mes'!R24</f>
        <v>286.50439999999998</v>
      </c>
      <c r="S24" s="146"/>
    </row>
    <row r="25" spans="1:21" s="5" customFormat="1" x14ac:dyDescent="0.25">
      <c r="C25" s="223" t="s">
        <v>95</v>
      </c>
      <c r="D25" s="224"/>
      <c r="E25" s="191">
        <v>0.3</v>
      </c>
      <c r="F25" s="7">
        <f>('0,3 Fun mes'!F25*2%)+'0,3 Fun mes'!F25</f>
        <v>342.95205000000004</v>
      </c>
      <c r="G25" s="6">
        <f>('0,3 Fun mes'!G25*2%)+'0,3 Fun mes'!G25</f>
        <v>252.89879999999999</v>
      </c>
      <c r="H25" s="6">
        <f>('0,3 Fun mes'!H25*2%)+'0,3 Fun mes'!H25</f>
        <v>286.26044999999999</v>
      </c>
      <c r="I25" s="6">
        <f>('0,3 Fun mes'!I25*2%)+'0,3 Fun mes'!I25</f>
        <v>236.00913</v>
      </c>
      <c r="J25" s="6">
        <f>('0,3 Fun mes'!J25*2%)+'0,3 Fun mes'!J25</f>
        <v>214.58555999999996</v>
      </c>
      <c r="K25" s="6">
        <f>('0,3 Fun mes'!K25*2%)+'0,3 Fun mes'!K25</f>
        <v>210.47292000000002</v>
      </c>
      <c r="L25" s="7">
        <f>('0,3 Fun mes'!L25*2%)+'0,3 Fun mes'!L25</f>
        <v>206.74227000000002</v>
      </c>
      <c r="M25" s="7">
        <f>('0,3 Fun mes'!M25*2%)+'0,3 Fun mes'!M25</f>
        <v>203.53998000000001</v>
      </c>
      <c r="N25" s="6">
        <f>('0,3 Fun mes'!N25*2%)+'0,3 Fun mes'!N25</f>
        <v>200.96958000000004</v>
      </c>
      <c r="O25" s="7">
        <f>('0,3 Fun mes'!O25*2%)+'0,3 Fun mes'!O25</f>
        <v>187.65348</v>
      </c>
      <c r="P25" s="6">
        <f>('0,3 Fun mes'!P25*2%)+'0,3 Fun mes'!P25</f>
        <v>181.69514999999998</v>
      </c>
      <c r="Q25" s="7">
        <f>('0,3 Fun mes'!Q25*2%)+'0,3 Fun mes'!Q25</f>
        <v>173.17356000000001</v>
      </c>
      <c r="R25" s="6">
        <f>('0,3 Fun mes'!R25*2%)+'0,3 Fun mes'!R25</f>
        <v>171.90263999999999</v>
      </c>
      <c r="S25" s="146"/>
    </row>
    <row r="26" spans="1:21" s="5" customFormat="1" x14ac:dyDescent="0.25">
      <c r="C26" s="223" t="s">
        <v>96</v>
      </c>
      <c r="D26" s="224"/>
      <c r="E26" s="191">
        <v>0.2</v>
      </c>
      <c r="F26" s="7">
        <f>('0,3 Fun mes'!F26*2%)+'0,3 Fun mes'!F26</f>
        <v>228.63470000000004</v>
      </c>
      <c r="G26" s="6">
        <f>('0,3 Fun mes'!G26*2%)+'0,3 Fun mes'!G26</f>
        <v>168.59920000000002</v>
      </c>
      <c r="H26" s="6">
        <f>('0,3 Fun mes'!H26*2%)+'0,3 Fun mes'!H26</f>
        <v>190.84030000000001</v>
      </c>
      <c r="I26" s="6">
        <f>('0,3 Fun mes'!I26*2%)+'0,3 Fun mes'!I26</f>
        <v>157.33941999999999</v>
      </c>
      <c r="J26" s="6">
        <f>('0,3 Fun mes'!J26*2%)+'0,3 Fun mes'!J26</f>
        <v>143.05703999999997</v>
      </c>
      <c r="K26" s="6">
        <f>('0,3 Fun mes'!K26*2%)+'0,3 Fun mes'!K26</f>
        <v>140.31528000000003</v>
      </c>
      <c r="L26" s="7">
        <f>('0,3 Fun mes'!L26*2%)+'0,3 Fun mes'!L26</f>
        <v>137.82818</v>
      </c>
      <c r="M26" s="7">
        <f>('0,3 Fun mes'!M26*2%)+'0,3 Fun mes'!M26</f>
        <v>135.69332000000003</v>
      </c>
      <c r="N26" s="6">
        <f>('0,3 Fun mes'!N26*2%)+'0,3 Fun mes'!N26</f>
        <v>133.97972000000001</v>
      </c>
      <c r="O26" s="7">
        <f>('0,3 Fun mes'!O26*2%)+'0,3 Fun mes'!O26</f>
        <v>125.10232000000001</v>
      </c>
      <c r="P26" s="6">
        <f>('0,3 Fun mes'!P26*2%)+'0,3 Fun mes'!P26</f>
        <v>121.1301</v>
      </c>
      <c r="Q26" s="7">
        <f>('0,3 Fun mes'!Q26*2%)+'0,3 Fun mes'!Q26</f>
        <v>115.44904000000001</v>
      </c>
      <c r="R26" s="6">
        <f>('0,3 Fun mes'!R26*2%)+'0,3 Fun mes'!R26</f>
        <v>114.60176000000001</v>
      </c>
      <c r="S26" s="146"/>
    </row>
    <row r="27" spans="1:21" s="5" customFormat="1" x14ac:dyDescent="0.25">
      <c r="E27" s="15"/>
      <c r="F27" s="16">
        <f>F20+F21+F22+F23</f>
        <v>4539.8475060999999</v>
      </c>
      <c r="G27" s="16">
        <f t="shared" ref="G27:R27" si="0">G20+G21+G22+G23</f>
        <v>3979.8636794000004</v>
      </c>
      <c r="H27" s="16">
        <f t="shared" si="0"/>
        <v>3931.9588949000004</v>
      </c>
      <c r="I27" s="16">
        <f t="shared" si="0"/>
        <v>3712.6148309</v>
      </c>
      <c r="J27" s="16">
        <f t="shared" si="0"/>
        <v>3581.2419911999996</v>
      </c>
      <c r="K27" s="16">
        <f t="shared" si="0"/>
        <v>3507.7862832000001</v>
      </c>
      <c r="L27" s="16">
        <f t="shared" si="0"/>
        <v>3428.9271132999997</v>
      </c>
      <c r="M27" s="16">
        <f t="shared" si="0"/>
        <v>3352.6017220000003</v>
      </c>
      <c r="N27" s="16">
        <f t="shared" si="0"/>
        <v>3302.5740879999998</v>
      </c>
      <c r="O27" s="16">
        <f t="shared" si="0"/>
        <v>3145.8651674000002</v>
      </c>
      <c r="P27" s="16">
        <f t="shared" si="0"/>
        <v>3049.1024474999995</v>
      </c>
      <c r="Q27" s="16">
        <f t="shared" si="0"/>
        <v>2943.8005868</v>
      </c>
      <c r="R27" s="16">
        <f t="shared" si="0"/>
        <v>2812.9580332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 s="2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20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1"/>
      <c r="P32" s="11"/>
      <c r="Q32" s="11"/>
      <c r="R32" s="11"/>
      <c r="S32" s="10"/>
      <c r="T32" s="11"/>
      <c r="U32" s="10"/>
    </row>
    <row r="33" spans="1:28" s="5" customFormat="1" x14ac:dyDescent="0.25">
      <c r="O33" s="13"/>
      <c r="P33" s="13"/>
      <c r="Q33" s="13"/>
      <c r="R33" s="13"/>
      <c r="T33" s="13"/>
    </row>
    <row r="34" spans="1:28" s="5" customFormat="1" x14ac:dyDescent="0.25">
      <c r="J34" s="6" t="s">
        <v>6</v>
      </c>
      <c r="K34" s="6"/>
      <c r="L34" s="6">
        <f>('0,3 Fun mes'!L34*2%)+'0,3 Fun mes'!L34</f>
        <v>781.38119999999992</v>
      </c>
      <c r="M34" s="6">
        <f>('0,3 Fun mes'!M34*2%)+'0,3 Fun mes'!M34</f>
        <v>781.38119999999992</v>
      </c>
      <c r="N34" s="6">
        <f>('0,3 Fun mes'!N34*2%)+'0,3 Fun mes'!N34</f>
        <v>781.38119999999992</v>
      </c>
      <c r="O34" s="7">
        <f>('0,3 Fun mes'!O34*2%)+'0,3 Fun mes'!O34</f>
        <v>781.38119999999992</v>
      </c>
      <c r="P34" s="7">
        <f>('0,3 Fun mes'!P34*2%)+'0,3 Fun mes'!P34</f>
        <v>781.38119999999992</v>
      </c>
      <c r="Q34" s="7">
        <f>('0,3 Fun mes'!Q34*2%)+'0,3 Fun mes'!Q34</f>
        <v>781.38119999999992</v>
      </c>
      <c r="R34" s="7">
        <f>('0,3 Fun mes'!R34*2%)+'0,3 Fun mes'!R34</f>
        <v>781.38119999999992</v>
      </c>
      <c r="S34" s="6">
        <f>('0,3 Fun mes'!S34*2%)+'0,3 Fun mes'!S34</f>
        <v>781.38119999999992</v>
      </c>
      <c r="T34" s="7">
        <f>('0,3 Fun mes'!T34*2%)+'0,3 Fun mes'!T34</f>
        <v>781.38119999999992</v>
      </c>
      <c r="U34" s="6">
        <f>('0,3 Fun mes'!U34*2%)+'0,3 Fun mes'!U34</f>
        <v>781.38119999999992</v>
      </c>
      <c r="V34" s="90"/>
      <c r="W34" s="90"/>
      <c r="X34" s="90"/>
      <c r="Y34" s="90"/>
    </row>
    <row r="35" spans="1:28" s="5" customFormat="1" x14ac:dyDescent="0.25">
      <c r="J35" s="6" t="s">
        <v>7</v>
      </c>
      <c r="K35" s="6"/>
      <c r="L35" s="6">
        <f>('0,3 Fun mes'!L35*2%)+'0,3 Fun mes'!L35</f>
        <v>513.70259999999996</v>
      </c>
      <c r="M35" s="6">
        <f>('0,3 Fun mes'!M35*2%)+'0,3 Fun mes'!M35</f>
        <v>477.1866</v>
      </c>
      <c r="N35" s="6">
        <f>('0,3 Fun mes'!N35*2%)+'0,3 Fun mes'!N35</f>
        <v>452.82900000000001</v>
      </c>
      <c r="O35" s="7">
        <f>('0,3 Fun mes'!O35*2%)+'0,3 Fun mes'!O35</f>
        <v>428.45100000000002</v>
      </c>
      <c r="P35" s="7">
        <f>('0,3 Fun mes'!P35*2%)+'0,3 Fun mes'!P35</f>
        <v>404.07299999999998</v>
      </c>
      <c r="Q35" s="7">
        <f>('0,3 Fun mes'!Q35*2%)+'0,3 Fun mes'!Q35</f>
        <v>379.76639999999998</v>
      </c>
      <c r="R35" s="7">
        <f>('0,3 Fun mes'!R35*2%)+'0,3 Fun mes'!R35</f>
        <v>355.3578</v>
      </c>
      <c r="S35" s="6">
        <f>('0,3 Fun mes'!S35*2%)+'0,3 Fun mes'!S35</f>
        <v>331.0308</v>
      </c>
      <c r="T35" s="7">
        <f>('0,3 Fun mes'!T35*2%)+'0,3 Fun mes'!T35</f>
        <v>306.63240000000002</v>
      </c>
      <c r="U35" s="6">
        <f>('0,3 Fun mes'!U35*2%)+'0,3 Fun mes'!U35</f>
        <v>282.25440000000003</v>
      </c>
      <c r="V35" s="90"/>
      <c r="W35" s="90"/>
      <c r="X35" s="90"/>
      <c r="Y35" s="90"/>
    </row>
    <row r="36" spans="1:28" s="5" customFormat="1" x14ac:dyDescent="0.25">
      <c r="J36" s="6" t="s">
        <v>8</v>
      </c>
      <c r="K36" s="6"/>
      <c r="L36" s="6">
        <f>('0,3 Fun mes'!L36*2%)+'0,3 Fun mes'!L36</f>
        <v>1329.9303456</v>
      </c>
      <c r="M36" s="6">
        <f>('0,3 Fun mes'!M36*2%)+'0,3 Fun mes'!M36</f>
        <v>1310.2829781</v>
      </c>
      <c r="N36" s="6">
        <f>('0,3 Fun mes'!N36*2%)+'0,3 Fun mes'!N36</f>
        <v>1251.0085391999999</v>
      </c>
      <c r="O36" s="7">
        <f>('0,3 Fun mes'!O36*2%)+'0,3 Fun mes'!O36</f>
        <v>1206.7461645000001</v>
      </c>
      <c r="P36" s="7">
        <f>('0,3 Fun mes'!P36*2%)+'0,3 Fun mes'!P36</f>
        <v>1085.8312946999999</v>
      </c>
      <c r="Q36" s="7">
        <f>('0,3 Fun mes'!Q36*2%)+'0,3 Fun mes'!Q36</f>
        <v>1000.9175492999999</v>
      </c>
      <c r="R36" s="7">
        <f>('0,3 Fun mes'!R36*2%)+'0,3 Fun mes'!R36</f>
        <v>879.95494860000008</v>
      </c>
      <c r="S36" s="6">
        <f>('0,3 Fun mes'!S36*2%)+'0,3 Fun mes'!S36</f>
        <v>810.11739990000001</v>
      </c>
      <c r="T36" s="7">
        <f>('0,3 Fun mes'!T36*2%)+'0,3 Fun mes'!T36</f>
        <v>760.81320600000004</v>
      </c>
      <c r="U36" s="6">
        <f>('0,3 Fun mes'!U36*2%)+'0,3 Fun mes'!U36</f>
        <v>666.52771080000002</v>
      </c>
      <c r="V36" s="90"/>
      <c r="W36" s="90"/>
      <c r="X36" s="90"/>
      <c r="Y36" s="90"/>
    </row>
    <row r="37" spans="1:28" s="5" customFormat="1" x14ac:dyDescent="0.25">
      <c r="J37" s="58" t="s">
        <v>97</v>
      </c>
      <c r="K37" s="6"/>
      <c r="L37" s="6">
        <f>('0,3 Fun mes'!L37*2%)+'0,3 Fun mes'!L37</f>
        <v>1001.147</v>
      </c>
      <c r="M37" s="6">
        <f>('0,3 Fun mes'!M37*2%)+'0,3 Fun mes'!M37</f>
        <v>974.74090000000012</v>
      </c>
      <c r="N37" s="6">
        <f>('0,3 Fun mes'!N37*2%)+'0,3 Fun mes'!N37</f>
        <v>890.52459999999985</v>
      </c>
      <c r="O37" s="7">
        <f>('0,3 Fun mes'!O37*2%)+'0,3 Fun mes'!O37</f>
        <v>691.63990000000001</v>
      </c>
      <c r="P37" s="7">
        <f>('0,3 Fun mes'!P37*2%)+'0,3 Fun mes'!P37</f>
        <v>685.52330000000006</v>
      </c>
      <c r="Q37" s="7">
        <f>('0,3 Fun mes'!Q37*2%)+'0,3 Fun mes'!Q37</f>
        <v>583.73069999999996</v>
      </c>
      <c r="R37" s="7">
        <f>('0,3 Fun mes'!R37*2%)+'0,3 Fun mes'!R37</f>
        <v>582.19560000000013</v>
      </c>
      <c r="S37" s="6">
        <f>('0,3 Fun mes'!S37*2%)+'0,3 Fun mes'!S37</f>
        <v>581.49349999999993</v>
      </c>
      <c r="T37" s="7">
        <f>('0,3 Fun mes'!T37*2%)+'0,3 Fun mes'!T37</f>
        <v>550.35120000000006</v>
      </c>
      <c r="U37" s="6">
        <f>('0,3 Fun mes'!U37*2%)+'0,3 Fun mes'!U37</f>
        <v>475.73820000000001</v>
      </c>
      <c r="V37" s="90"/>
      <c r="W37" s="90"/>
      <c r="X37" s="90"/>
      <c r="Y37" s="90"/>
    </row>
    <row r="38" spans="1:28" s="5" customFormat="1" ht="15" customHeight="1" x14ac:dyDescent="0.25">
      <c r="I38" s="223" t="s">
        <v>94</v>
      </c>
      <c r="J38" s="224"/>
      <c r="K38" s="159">
        <v>0.5</v>
      </c>
      <c r="L38" s="6">
        <f>('0,3 Fun mes'!L38*2%)+'0,3 Fun mes'!L38</f>
        <v>500.57350000000002</v>
      </c>
      <c r="M38" s="6">
        <f>('0,3 Fun mes'!M38*2%)+'0,3 Fun mes'!M38</f>
        <v>487.37045000000006</v>
      </c>
      <c r="N38" s="6">
        <f>('0,3 Fun mes'!N38*2%)+'0,3 Fun mes'!N38</f>
        <v>445.26229999999993</v>
      </c>
      <c r="O38" s="7">
        <f>('0,3 Fun mes'!O38*2%)+'0,3 Fun mes'!O38</f>
        <v>345.81995000000001</v>
      </c>
      <c r="P38" s="7">
        <f>('0,3 Fun mes'!P38*2%)+'0,3 Fun mes'!P38</f>
        <v>342.76165000000003</v>
      </c>
      <c r="Q38" s="7">
        <f>('0,3 Fun mes'!Q38*2%)+'0,3 Fun mes'!Q38</f>
        <v>291.86534999999998</v>
      </c>
      <c r="R38" s="7">
        <f>('0,3 Fun mes'!R38*2%)+'0,3 Fun mes'!R38</f>
        <v>291.09780000000006</v>
      </c>
      <c r="S38" s="6">
        <f>('0,3 Fun mes'!S38*2%)+'0,3 Fun mes'!S38</f>
        <v>290.74674999999996</v>
      </c>
      <c r="T38" s="7">
        <f>('0,3 Fun mes'!T38*2%)+'0,3 Fun mes'!T38</f>
        <v>275.17560000000003</v>
      </c>
      <c r="U38" s="6">
        <f>('0,3 Fun mes'!U38*2%)+'0,3 Fun mes'!U38</f>
        <v>237.8691</v>
      </c>
      <c r="V38" s="90"/>
      <c r="W38" s="90"/>
      <c r="X38" s="90"/>
      <c r="Y38" s="90"/>
    </row>
    <row r="39" spans="1:28" s="5" customFormat="1" ht="15" customHeight="1" x14ac:dyDescent="0.25">
      <c r="I39" s="223" t="s">
        <v>95</v>
      </c>
      <c r="J39" s="224"/>
      <c r="K39" s="159">
        <v>0.3</v>
      </c>
      <c r="L39" s="6">
        <f>('0,3 Fun mes'!L39*2%)+'0,3 Fun mes'!L39</f>
        <v>300.34410000000003</v>
      </c>
      <c r="M39" s="6">
        <f>('0,3 Fun mes'!M39*2%)+'0,3 Fun mes'!M39</f>
        <v>292.42227000000003</v>
      </c>
      <c r="N39" s="6">
        <f>('0,3 Fun mes'!N39*2%)+'0,3 Fun mes'!N39</f>
        <v>267.15737999999993</v>
      </c>
      <c r="O39" s="7">
        <f>('0,3 Fun mes'!O39*2%)+'0,3 Fun mes'!O39</f>
        <v>207.49197000000001</v>
      </c>
      <c r="P39" s="7">
        <f>('0,3 Fun mes'!P39*2%)+'0,3 Fun mes'!P39</f>
        <v>205.65699000000001</v>
      </c>
      <c r="Q39" s="7">
        <f>('0,3 Fun mes'!Q39*2%)+'0,3 Fun mes'!Q39</f>
        <v>175.11920999999998</v>
      </c>
      <c r="R39" s="7">
        <f>('0,3 Fun mes'!R39*2%)+'0,3 Fun mes'!R39</f>
        <v>174.65868</v>
      </c>
      <c r="S39" s="6">
        <f>('0,3 Fun mes'!S39*2%)+'0,3 Fun mes'!S39</f>
        <v>174.44804999999997</v>
      </c>
      <c r="T39" s="7">
        <f>('0,3 Fun mes'!T39*2%)+'0,3 Fun mes'!T39</f>
        <v>165.10536000000002</v>
      </c>
      <c r="U39" s="6">
        <f>('0,3 Fun mes'!U39*2%)+'0,3 Fun mes'!U39</f>
        <v>142.72146000000001</v>
      </c>
      <c r="V39" s="90"/>
      <c r="W39" s="90"/>
      <c r="X39" s="90"/>
      <c r="Y39" s="90"/>
    </row>
    <row r="40" spans="1:28" s="5" customFormat="1" ht="15" customHeight="1" x14ac:dyDescent="0.25">
      <c r="I40" s="223" t="s">
        <v>96</v>
      </c>
      <c r="J40" s="224"/>
      <c r="K40" s="159">
        <v>0.2</v>
      </c>
      <c r="L40" s="6">
        <f>('0,3 Fun mes'!L40*2%)+'0,3 Fun mes'!L40</f>
        <v>200.22940000000003</v>
      </c>
      <c r="M40" s="6">
        <f>('0,3 Fun mes'!M40*2%)+'0,3 Fun mes'!M40</f>
        <v>194.94818000000004</v>
      </c>
      <c r="N40" s="6">
        <f>('0,3 Fun mes'!N40*2%)+'0,3 Fun mes'!N40</f>
        <v>178.10491999999999</v>
      </c>
      <c r="O40" s="7">
        <f>('0,3 Fun mes'!O40*2%)+'0,3 Fun mes'!O40</f>
        <v>138.32798</v>
      </c>
      <c r="P40" s="7">
        <f>('0,3 Fun mes'!P40*2%)+'0,3 Fun mes'!P40</f>
        <v>137.10466</v>
      </c>
      <c r="Q40" s="7">
        <f>('0,3 Fun mes'!Q40*2%)+'0,3 Fun mes'!Q40</f>
        <v>116.74614</v>
      </c>
      <c r="R40" s="7">
        <f>('0,3 Fun mes'!R40*2%)+'0,3 Fun mes'!R40</f>
        <v>116.43912000000002</v>
      </c>
      <c r="S40" s="6">
        <f>('0,3 Fun mes'!S40*2%)+'0,3 Fun mes'!S40</f>
        <v>116.29869999999998</v>
      </c>
      <c r="T40" s="7">
        <f>('0,3 Fun mes'!T40*2%)+'0,3 Fun mes'!T40</f>
        <v>110.07024000000003</v>
      </c>
      <c r="U40" s="6">
        <f>('0,3 Fun mes'!U40*2%)+'0,3 Fun mes'!U40</f>
        <v>95.14764000000001</v>
      </c>
      <c r="V40" s="90"/>
      <c r="W40" s="90"/>
      <c r="X40" s="90"/>
      <c r="Y40" s="90"/>
    </row>
    <row r="41" spans="1:28" s="5" customFormat="1" x14ac:dyDescent="0.25">
      <c r="J41" s="15"/>
      <c r="K41" s="15"/>
      <c r="L41" s="16">
        <f>(ROUND('0,3 Fun mes'!L41*2%,2)+('0,3 Fun mes'!L41))</f>
        <v>3626.1599466666667</v>
      </c>
      <c r="M41" s="16">
        <f>(ROUND('0,3 Fun mes'!M41*2%,2)+('0,3 Fun mes'!M41))</f>
        <v>3543.5894883333335</v>
      </c>
      <c r="N41" s="16">
        <f>(ROUND('0,3 Fun mes'!N41*2%,2)+('0,3 Fun mes'!N41))</f>
        <v>3375.7422933333328</v>
      </c>
      <c r="O41" s="16">
        <f>(ROUND('0,3 Fun mes'!O41*2%,2)+('0,3 Fun mes'!O41))</f>
        <v>3108.2228083333334</v>
      </c>
      <c r="P41" s="16">
        <f>(ROUND('0,3 Fun mes'!P41*2%,2)+('0,3 Fun mes'!P41))</f>
        <v>2956.8121516666665</v>
      </c>
      <c r="Q41" s="16">
        <f>(ROUND('0,3 Fun mes'!Q41*2%,2)+('0,3 Fun mes'!Q41))</f>
        <v>2745.7967149999999</v>
      </c>
      <c r="R41" s="16">
        <f>(ROUND('0,3 Fun mes'!R41*2%,2)+('0,3 Fun mes'!R41))</f>
        <v>2598.89093</v>
      </c>
      <c r="S41" s="16">
        <f>(ROUND('0,3 Fun mes'!S41*2%,2)+('0,3 Fun mes'!S41))</f>
        <v>2504.0244116666663</v>
      </c>
      <c r="T41" s="16">
        <f>(ROUND('0,3 Fun mes'!T41*2%,2)+('0,3 Fun mes'!T41))</f>
        <v>2399.1752999999999</v>
      </c>
      <c r="U41" s="16">
        <f>(ROUND('0,3 Fun mes'!U41*2%,2)+('0,3 Fun mes'!U41))</f>
        <v>2205.8985399999997</v>
      </c>
      <c r="V41" s="90"/>
      <c r="W41" s="90"/>
      <c r="X41" s="90"/>
      <c r="Y41" s="90"/>
    </row>
    <row r="42" spans="1:28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8" x14ac:dyDescent="0.25">
      <c r="A43" s="1" t="s">
        <v>18</v>
      </c>
      <c r="B43" s="1"/>
    </row>
    <row r="44" spans="1:28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8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8" s="5" customFormat="1" x14ac:dyDescent="0.25">
      <c r="G46"/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8" s="5" customFormat="1" x14ac:dyDescent="0.25">
      <c r="G47"/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8" s="5" customFormat="1" x14ac:dyDescent="0.25">
      <c r="G48"/>
      <c r="N48" s="6" t="s">
        <v>6</v>
      </c>
      <c r="O48" s="6">
        <f>('0,3 Fun mes'!O48*2%)+'0,3 Fun mes'!O48</f>
        <v>650.32140000000004</v>
      </c>
      <c r="P48" s="7">
        <f>('0,3 Fun mes'!P48*2%)+'0,3 Fun mes'!P48</f>
        <v>650.32140000000004</v>
      </c>
      <c r="Q48" s="6">
        <f>('0,3 Fun mes'!Q48*2%)+'0,3 Fun mes'!Q48</f>
        <v>650.32140000000004</v>
      </c>
      <c r="R48" s="6">
        <f>('0,3 Fun mes'!R48*2%)+'0,3 Fun mes'!R48</f>
        <v>650.32140000000004</v>
      </c>
      <c r="S48" s="7">
        <f>('0,3 Fun mes'!S48*2%)+'0,3 Fun mes'!S48</f>
        <v>650.32140000000004</v>
      </c>
      <c r="T48" s="7">
        <f>('0,3 Fun mes'!T48*2%)+'0,3 Fun mes'!T48</f>
        <v>650.32140000000004</v>
      </c>
      <c r="U48" s="7">
        <f>('0,3 Fun mes'!U48*2%)+'0,3 Fun mes'!U48</f>
        <v>650.32140000000004</v>
      </c>
      <c r="V48" s="7">
        <f>('0,3 Fun mes'!V48*2%)+'0,3 Fun mes'!V48</f>
        <v>650.32140000000004</v>
      </c>
      <c r="W48" s="6">
        <f>('0,3 Fun mes'!W48*2%)+'0,3 Fun mes'!W48</f>
        <v>650.32140000000004</v>
      </c>
      <c r="X48" s="7">
        <f>('0,3 Fun mes'!X48*2%)+'0,3 Fun mes'!X48</f>
        <v>650.32140000000004</v>
      </c>
      <c r="Y48" s="90"/>
      <c r="Z48" s="90"/>
      <c r="AA48" s="90"/>
      <c r="AB48" s="90"/>
    </row>
    <row r="49" spans="1:28" s="5" customFormat="1" x14ac:dyDescent="0.25">
      <c r="G49"/>
      <c r="N49" s="6" t="s">
        <v>7</v>
      </c>
      <c r="O49" s="6">
        <f>('0,3 Fun mes'!O49*2%)+'0,3 Fun mes'!O49</f>
        <v>428.45100000000002</v>
      </c>
      <c r="P49" s="7">
        <f>('0,3 Fun mes'!P49*2%)+'0,3 Fun mes'!P49</f>
        <v>404.07299999999998</v>
      </c>
      <c r="Q49" s="6">
        <f>('0,3 Fun mes'!Q49*2%)+'0,3 Fun mes'!Q49</f>
        <v>379.76639999999998</v>
      </c>
      <c r="R49" s="6">
        <f>('0,3 Fun mes'!R49*2%)+'0,3 Fun mes'!R49</f>
        <v>355.3578</v>
      </c>
      <c r="S49" s="7">
        <f>('0,3 Fun mes'!S49*2%)+'0,3 Fun mes'!S49</f>
        <v>331.0308</v>
      </c>
      <c r="T49" s="7">
        <f>('0,3 Fun mes'!T49*2%)+'0,3 Fun mes'!T49</f>
        <v>306.63240000000002</v>
      </c>
      <c r="U49" s="7">
        <f>('0,3 Fun mes'!U49*2%)+'0,3 Fun mes'!U49</f>
        <v>282.25440000000003</v>
      </c>
      <c r="V49" s="7">
        <f>('0,3 Fun mes'!V49*2%)+'0,3 Fun mes'!V49</f>
        <v>257.87639999999999</v>
      </c>
      <c r="W49" s="6">
        <f>('0,3 Fun mes'!W49*2%)+'0,3 Fun mes'!W49</f>
        <v>233.54939999999999</v>
      </c>
      <c r="X49" s="7">
        <f>('0,3 Fun mes'!X49*2%)+'0,3 Fun mes'!X49</f>
        <v>221.38079999999999</v>
      </c>
      <c r="Y49" s="90"/>
      <c r="Z49" s="90"/>
      <c r="AA49" s="90"/>
      <c r="AB49" s="90"/>
    </row>
    <row r="50" spans="1:28" s="5" customFormat="1" x14ac:dyDescent="0.25">
      <c r="N50" s="6" t="s">
        <v>8</v>
      </c>
      <c r="O50" s="6">
        <f>('0,3 Fun mes'!O50*2%)+'0,3 Fun mes'!O50</f>
        <v>1036.4174304000001</v>
      </c>
      <c r="P50" s="7">
        <f>('0,3 Fun mes'!P50*2%)+'0,3 Fun mes'!P50</f>
        <v>993.26663129999997</v>
      </c>
      <c r="Q50" s="6">
        <f>('0,3 Fun mes'!Q50*2%)+'0,3 Fun mes'!Q50</f>
        <v>957.45006060000003</v>
      </c>
      <c r="R50" s="6">
        <f>('0,3 Fun mes'!R50*2%)+'0,3 Fun mes'!R50</f>
        <v>855.2015427</v>
      </c>
      <c r="S50" s="7">
        <f>('0,3 Fun mes'!S50*2%)+'0,3 Fun mes'!S50</f>
        <v>800.18602710000005</v>
      </c>
      <c r="T50" s="7">
        <f>('0,3 Fun mes'!T50*2%)+'0,3 Fun mes'!T50</f>
        <v>697.63162140000009</v>
      </c>
      <c r="U50" s="7">
        <f>('0,3 Fun mes'!U50*2%)+'0,3 Fun mes'!U50</f>
        <v>724.38973020000003</v>
      </c>
      <c r="V50" s="7">
        <f>('0,3 Fun mes'!V50*2%)+'0,3 Fun mes'!V50</f>
        <v>727.77675750000014</v>
      </c>
      <c r="W50" s="6">
        <f>('0,3 Fun mes'!W50*2%)+'0,3 Fun mes'!W50</f>
        <v>606.54894660000002</v>
      </c>
      <c r="X50" s="7">
        <f>('0,3 Fun mes'!X50*2%)+'0,3 Fun mes'!X50</f>
        <v>514.41659489999995</v>
      </c>
      <c r="Y50" s="90"/>
      <c r="Z50" s="90"/>
      <c r="AA50" s="90"/>
      <c r="AB50" s="90"/>
    </row>
    <row r="51" spans="1:28" s="5" customFormat="1" x14ac:dyDescent="0.25">
      <c r="A51" s="38" t="s">
        <v>41</v>
      </c>
      <c r="B51" s="38"/>
      <c r="N51" s="58" t="s">
        <v>97</v>
      </c>
      <c r="O51" s="6">
        <f>('0,3 Fun mes'!O51*2%)+'0,3 Fun mes'!O51</f>
        <v>648.95459999999991</v>
      </c>
      <c r="P51" s="7">
        <f>('0,3 Fun mes'!P51*2%)+'0,3 Fun mes'!P51</f>
        <v>554.59950000000003</v>
      </c>
      <c r="Q51" s="6">
        <f>('0,3 Fun mes'!Q51*2%)+'0,3 Fun mes'!Q51</f>
        <v>562.10840000000007</v>
      </c>
      <c r="R51" s="6">
        <f>('0,3 Fun mes'!R51*2%)+'0,3 Fun mes'!R51</f>
        <v>592.03689999999995</v>
      </c>
      <c r="S51" s="7">
        <f>('0,3 Fun mes'!S51*2%)+'0,3 Fun mes'!S51</f>
        <v>566.76130000000012</v>
      </c>
      <c r="T51" s="7">
        <f>('0,3 Fun mes'!T51*2%)+'0,3 Fun mes'!T51</f>
        <v>597.02300000000002</v>
      </c>
      <c r="U51" s="7">
        <f>('0,3 Fun mes'!U51*2%)+'0,3 Fun mes'!U51</f>
        <v>496.92020000000008</v>
      </c>
      <c r="V51" s="7">
        <f>('0,3 Fun mes'!V51*2%)+'0,3 Fun mes'!V51</f>
        <v>514.71069999999997</v>
      </c>
      <c r="W51" s="6">
        <f>('0,3 Fun mes'!W51*2%)+'0,3 Fun mes'!W51</f>
        <v>434.92120000000006</v>
      </c>
      <c r="X51" s="7">
        <f>('0,3 Fun mes'!X51*2%)+'0,3 Fun mes'!X51</f>
        <v>390.59370000000001</v>
      </c>
      <c r="Y51" s="90"/>
      <c r="Z51" s="90"/>
      <c r="AA51" s="90"/>
      <c r="AB51" s="90"/>
    </row>
    <row r="52" spans="1:28" s="5" customFormat="1" ht="14.25" customHeight="1" x14ac:dyDescent="0.25">
      <c r="A52" s="38"/>
      <c r="B52" s="38"/>
      <c r="L52" s="223" t="s">
        <v>94</v>
      </c>
      <c r="M52" s="224"/>
      <c r="N52" s="159">
        <v>0.5</v>
      </c>
      <c r="O52" s="6">
        <f>('0,3 Fun mes'!O52*2%)+'0,3 Fun mes'!O52</f>
        <v>324.47729999999996</v>
      </c>
      <c r="P52" s="7">
        <f>('0,3 Fun mes'!P52*2%)+'0,3 Fun mes'!P52</f>
        <v>277.29975000000002</v>
      </c>
      <c r="Q52" s="6">
        <f>('0,3 Fun mes'!Q52*2%)+'0,3 Fun mes'!Q52</f>
        <v>281.05420000000004</v>
      </c>
      <c r="R52" s="6">
        <f>('0,3 Fun mes'!R52*2%)+'0,3 Fun mes'!R52</f>
        <v>296.01844999999997</v>
      </c>
      <c r="S52" s="7">
        <f>('0,3 Fun mes'!S52*2%)+'0,3 Fun mes'!S52</f>
        <v>283.38065000000006</v>
      </c>
      <c r="T52" s="7">
        <f>('0,3 Fun mes'!T52*2%)+'0,3 Fun mes'!T52</f>
        <v>298.51150000000001</v>
      </c>
      <c r="U52" s="7">
        <f>('0,3 Fun mes'!U52*2%)+'0,3 Fun mes'!U52</f>
        <v>248.46010000000004</v>
      </c>
      <c r="V52" s="7">
        <f>('0,3 Fun mes'!V52*2%)+'0,3 Fun mes'!V52</f>
        <v>257.35534999999999</v>
      </c>
      <c r="W52" s="6">
        <f>('0,3 Fun mes'!W52*2%)+'0,3 Fun mes'!W52</f>
        <v>217.46060000000003</v>
      </c>
      <c r="X52" s="7">
        <f>('0,3 Fun mes'!X52*2%)+'0,3 Fun mes'!X52</f>
        <v>195.29685000000001</v>
      </c>
      <c r="Y52" s="90"/>
      <c r="Z52" s="90"/>
      <c r="AA52" s="90"/>
      <c r="AB52" s="90"/>
    </row>
    <row r="53" spans="1:28" s="5" customFormat="1" ht="14.25" customHeight="1" x14ac:dyDescent="0.25">
      <c r="A53" s="38"/>
      <c r="B53" s="38"/>
      <c r="L53" s="223" t="s">
        <v>95</v>
      </c>
      <c r="M53" s="224"/>
      <c r="N53" s="159">
        <v>0.3</v>
      </c>
      <c r="O53" s="6">
        <f>('0,3 Fun mes'!O53*2%)+'0,3 Fun mes'!O53</f>
        <v>194.68637999999996</v>
      </c>
      <c r="P53" s="7">
        <f>('0,3 Fun mes'!P53*2%)+'0,3 Fun mes'!P53</f>
        <v>166.37985</v>
      </c>
      <c r="Q53" s="6">
        <f>('0,3 Fun mes'!Q53*2%)+'0,3 Fun mes'!Q53</f>
        <v>168.63252</v>
      </c>
      <c r="R53" s="6">
        <f>('0,3 Fun mes'!R53*2%)+'0,3 Fun mes'!R53</f>
        <v>177.61106999999998</v>
      </c>
      <c r="S53" s="7">
        <f>('0,3 Fun mes'!S53*2%)+'0,3 Fun mes'!S53</f>
        <v>170.02839000000003</v>
      </c>
      <c r="T53" s="7">
        <f>('0,3 Fun mes'!T53*2%)+'0,3 Fun mes'!T53</f>
        <v>179.1069</v>
      </c>
      <c r="U53" s="7">
        <f>('0,3 Fun mes'!U53*2%)+'0,3 Fun mes'!U53</f>
        <v>149.07606000000001</v>
      </c>
      <c r="V53" s="7">
        <f>('0,3 Fun mes'!V53*2%)+'0,3 Fun mes'!V53</f>
        <v>154.41321000000002</v>
      </c>
      <c r="W53" s="6">
        <f>('0,3 Fun mes'!W53*2%)+'0,3 Fun mes'!W53</f>
        <v>130.47636</v>
      </c>
      <c r="X53" s="7">
        <f>('0,3 Fun mes'!X53*2%)+'0,3 Fun mes'!X53</f>
        <v>117.17811</v>
      </c>
      <c r="Y53" s="90"/>
      <c r="Z53" s="90"/>
      <c r="AA53" s="90"/>
      <c r="AB53" s="90"/>
    </row>
    <row r="54" spans="1:28" s="5" customFormat="1" ht="14.25" customHeight="1" x14ac:dyDescent="0.25">
      <c r="A54" s="34"/>
      <c r="B54" s="34"/>
      <c r="C54" s="34"/>
      <c r="D54" s="40"/>
      <c r="L54" s="223" t="s">
        <v>96</v>
      </c>
      <c r="M54" s="224"/>
      <c r="N54" s="159">
        <v>0.2</v>
      </c>
      <c r="O54" s="6">
        <f>('0,3 Fun mes'!O54*2%)+'0,3 Fun mes'!O54</f>
        <v>129.79091999999997</v>
      </c>
      <c r="P54" s="7">
        <f>('0,3 Fun mes'!P54*2%)+'0,3 Fun mes'!P54</f>
        <v>110.9199</v>
      </c>
      <c r="Q54" s="6">
        <f>('0,3 Fun mes'!Q54*2%)+'0,3 Fun mes'!Q54</f>
        <v>112.42168000000001</v>
      </c>
      <c r="R54" s="6">
        <f>('0,3 Fun mes'!R54*2%)+'0,3 Fun mes'!R54</f>
        <v>118.40738</v>
      </c>
      <c r="S54" s="7">
        <f>('0,3 Fun mes'!S54*2%)+'0,3 Fun mes'!S54</f>
        <v>113.35226000000003</v>
      </c>
      <c r="T54" s="7">
        <f>('0,3 Fun mes'!T54*2%)+'0,3 Fun mes'!T54</f>
        <v>119.40460000000002</v>
      </c>
      <c r="U54" s="7">
        <f>('0,3 Fun mes'!U54*2%)+'0,3 Fun mes'!U54</f>
        <v>99.384040000000013</v>
      </c>
      <c r="V54" s="7">
        <f>('0,3 Fun mes'!V54*2%)+'0,3 Fun mes'!V54</f>
        <v>102.94214000000001</v>
      </c>
      <c r="W54" s="6">
        <f>('0,3 Fun mes'!W54*2%)+'0,3 Fun mes'!W54</f>
        <v>86.984240000000014</v>
      </c>
      <c r="X54" s="7">
        <f>('0,3 Fun mes'!X54*2%)+'0,3 Fun mes'!X54</f>
        <v>78.118740000000003</v>
      </c>
      <c r="Y54" s="90"/>
      <c r="Z54" s="90"/>
      <c r="AA54" s="90"/>
      <c r="AB54" s="90"/>
    </row>
    <row r="55" spans="1:28" s="5" customFormat="1" x14ac:dyDescent="0.25">
      <c r="A55" s="34" t="s">
        <v>26</v>
      </c>
      <c r="B55" s="34"/>
      <c r="C55" s="34"/>
      <c r="D55" s="40" t="s">
        <v>28</v>
      </c>
      <c r="N55" s="6"/>
      <c r="O55" s="16">
        <f>O51+O50+O49+O48</f>
        <v>2764.1444303999997</v>
      </c>
      <c r="P55" s="16">
        <f t="shared" ref="P55:X55" si="1">P51+P50+P49+P48</f>
        <v>2602.2605313000004</v>
      </c>
      <c r="Q55" s="16">
        <f t="shared" si="1"/>
        <v>2549.6462606000005</v>
      </c>
      <c r="R55" s="16">
        <f t="shared" si="1"/>
        <v>2452.9176427000002</v>
      </c>
      <c r="S55" s="16">
        <f t="shared" si="1"/>
        <v>2348.2995271</v>
      </c>
      <c r="T55" s="16">
        <f t="shared" si="1"/>
        <v>2251.6084214000002</v>
      </c>
      <c r="U55" s="16">
        <f t="shared" si="1"/>
        <v>2153.8857302000001</v>
      </c>
      <c r="V55" s="16">
        <f t="shared" si="1"/>
        <v>2150.6852575000003</v>
      </c>
      <c r="W55" s="16">
        <f t="shared" si="1"/>
        <v>1925.3409466000001</v>
      </c>
      <c r="X55" s="16">
        <f t="shared" si="1"/>
        <v>1776.7124948999999</v>
      </c>
      <c r="Y55" s="90"/>
      <c r="Z55" s="90"/>
      <c r="AA55" s="90"/>
      <c r="AB55" s="90"/>
    </row>
    <row r="56" spans="1:28" x14ac:dyDescent="0.25">
      <c r="A56" s="5" t="s">
        <v>30</v>
      </c>
      <c r="B56" s="5"/>
      <c r="C56" s="5"/>
      <c r="D56" s="5">
        <v>46.32</v>
      </c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226"/>
      <c r="Z56" s="125"/>
      <c r="AA56" s="125"/>
      <c r="AB56" s="125"/>
    </row>
    <row r="57" spans="1:28" x14ac:dyDescent="0.25">
      <c r="A57" s="5" t="s">
        <v>31</v>
      </c>
      <c r="B57" s="5"/>
      <c r="C57" s="5"/>
      <c r="D57" s="5">
        <v>37.78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8" x14ac:dyDescent="0.25">
      <c r="A58" t="s">
        <v>19</v>
      </c>
      <c r="D58" s="5">
        <v>28.59</v>
      </c>
      <c r="O58" s="100"/>
      <c r="P58" s="100"/>
      <c r="Q58" s="100"/>
      <c r="R58" s="100"/>
      <c r="S58" s="100"/>
      <c r="T58" s="100"/>
      <c r="U58" s="100"/>
      <c r="V58" s="100"/>
      <c r="W58" s="100"/>
      <c r="X58" s="100"/>
    </row>
    <row r="59" spans="1:28" s="5" customFormat="1" x14ac:dyDescent="0.25">
      <c r="A59" t="s">
        <v>20</v>
      </c>
      <c r="B59"/>
      <c r="C59"/>
      <c r="D59" s="5">
        <v>19.46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8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8" s="5" customFormat="1" x14ac:dyDescent="0.25">
      <c r="A61" s="38" t="s">
        <v>24</v>
      </c>
      <c r="B61" s="38"/>
      <c r="H61" s="35"/>
      <c r="I61" s="35"/>
      <c r="J61" s="246" t="s">
        <v>147</v>
      </c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8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246" t="s">
        <v>148</v>
      </c>
      <c r="K62" s="35"/>
      <c r="L62" s="35"/>
      <c r="M62" s="35"/>
      <c r="N62" s="35"/>
      <c r="O62" s="35"/>
      <c r="P62" s="35"/>
      <c r="Q62" s="35"/>
      <c r="R62" s="35"/>
    </row>
    <row r="63" spans="1:28" s="5" customFormat="1" x14ac:dyDescent="0.25">
      <c r="A63" s="5" t="s">
        <v>30</v>
      </c>
      <c r="C63" s="5">
        <v>742.7</v>
      </c>
      <c r="D63" s="5">
        <v>28.59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8" s="5" customFormat="1" x14ac:dyDescent="0.25">
      <c r="A64" s="5" t="s">
        <v>31</v>
      </c>
      <c r="C64" s="5">
        <v>759</v>
      </c>
      <c r="D64" s="5">
        <v>27.54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675.35</v>
      </c>
      <c r="D65" s="5">
        <v>24.69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644.4</v>
      </c>
      <c r="D66" s="5">
        <v>19.27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D67" s="208"/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0.25800000000000001</v>
      </c>
      <c r="Q67" s="35">
        <v>0.19</v>
      </c>
      <c r="R67" s="44">
        <v>6.7000000000000004E-2</v>
      </c>
    </row>
    <row r="68" spans="1:18" s="5" customFormat="1" x14ac:dyDescent="0.25">
      <c r="H68" s="35"/>
      <c r="I68" s="35"/>
      <c r="J68" s="41"/>
      <c r="K68" s="35"/>
      <c r="L68" s="35"/>
      <c r="M68" s="35" t="s">
        <v>39</v>
      </c>
      <c r="N68" s="35"/>
      <c r="O68" s="35"/>
      <c r="P68" s="35">
        <v>9.2100000000000009</v>
      </c>
      <c r="Q68" s="35">
        <v>0</v>
      </c>
      <c r="R68" s="35">
        <v>9.2100000000000009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2"/>
  <sheetViews>
    <sheetView workbookViewId="0">
      <selection activeCell="W6" sqref="W6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124</v>
      </c>
      <c r="B2" s="1"/>
      <c r="S2" s="218"/>
      <c r="T2" s="218"/>
      <c r="U2" s="218"/>
      <c r="V2" s="218"/>
      <c r="W2" s="218"/>
      <c r="X2" s="218"/>
      <c r="Y2" s="218"/>
    </row>
    <row r="3" spans="1:25" x14ac:dyDescent="0.25">
      <c r="S3" s="218"/>
      <c r="T3" s="218"/>
      <c r="U3" s="218"/>
      <c r="V3" s="218"/>
      <c r="W3" s="218"/>
      <c r="X3" s="218"/>
      <c r="Y3" s="218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x14ac:dyDescent="0.25">
      <c r="A8" s="58" t="s">
        <v>6</v>
      </c>
      <c r="B8" s="6"/>
      <c r="C8" s="6">
        <f>('0,3+2% ESBOR'!C8*12)+('0,3+2% ESBOR'!$C$63*2)</f>
        <v>15928.119999999999</v>
      </c>
      <c r="D8" s="6">
        <f>('0,3+2% ESBOR'!D8*12)+('0,3+2% ESBOR'!$C$63*2)</f>
        <v>15928.119999999999</v>
      </c>
      <c r="E8" s="6">
        <f>('0,3+2% ESBOR'!E8*12)+('0,3+2% ESBOR'!$C$63*2)</f>
        <v>15928.119999999999</v>
      </c>
      <c r="F8" s="6">
        <f>('0,3+2% ESBOR'!F8*12)+('0,3+2% ESBOR'!$C$63*2)</f>
        <v>15928.119999999999</v>
      </c>
      <c r="G8" s="7">
        <f>('0,3+2% ESBOR'!G8*12)+('0,3+2% ESBOR'!$C$63*2)</f>
        <v>15928.119999999999</v>
      </c>
      <c r="H8" s="6">
        <f>('0,3+2% ESBOR'!H8*12)+('0,3+2% ESBOR'!$C$63*2)</f>
        <v>15928.119999999999</v>
      </c>
      <c r="I8" s="6">
        <f>('0,3+2% ESBOR'!I8*12)+('0,3+2% ESBOR'!$C$63*2)</f>
        <v>15928.119999999999</v>
      </c>
      <c r="J8" s="6">
        <f>('0,3+2% ESBOR'!J8*12)+('0,3+2% ESBOR'!$C$63*2)</f>
        <v>15928.119999999999</v>
      </c>
      <c r="K8" s="6">
        <f>('0,3+2% ESBOR'!K8*12)+('0,3+2% ESBOR'!$C$63*2)</f>
        <v>15928.119999999999</v>
      </c>
      <c r="L8" s="6">
        <f>('0,3+2% ESBOR'!L8*12)+('0,3+2% ESBOR'!$C$63*2)</f>
        <v>15928.119999999999</v>
      </c>
      <c r="M8" s="7">
        <f>('0,3+2% ESBOR'!M8*12)+('0,3+2% ESBOR'!$C$63*2)</f>
        <v>15928.119999999999</v>
      </c>
      <c r="N8" s="6">
        <f>('0,3+2% ESBOR'!N8*12)+('0,3+2% ESBOR'!$C$63*2)</f>
        <v>15928.119999999999</v>
      </c>
      <c r="O8" s="6">
        <f>('0,3+2% ESBOR'!O8*12)+('0,3+2% ESBOR'!$C$63*2)</f>
        <v>15928.119999999999</v>
      </c>
      <c r="P8" s="6">
        <f>('0,3+2% ESBOR'!P8*12)+('0,3+2% ESBOR'!$C$63*2)</f>
        <v>15928.119999999999</v>
      </c>
    </row>
    <row r="9" spans="1:25" s="5" customFormat="1" x14ac:dyDescent="0.25">
      <c r="A9" s="58" t="s">
        <v>7</v>
      </c>
      <c r="B9" s="6"/>
      <c r="C9" s="6">
        <f>'0,3+2% ESBOR'!C9*14</f>
        <v>14718.34</v>
      </c>
      <c r="D9" s="6">
        <f>'0,3+2% ESBOR'!D9*14</f>
        <v>13201.58</v>
      </c>
      <c r="E9" s="6">
        <f>'0,3+2% ESBOR'!E9*14</f>
        <v>12646.9</v>
      </c>
      <c r="F9" s="6">
        <f>'0,3+2% ESBOR'!F9*14</f>
        <v>12091.24</v>
      </c>
      <c r="G9" s="7">
        <f>'0,3+2% ESBOR'!G9*14</f>
        <v>10608.08</v>
      </c>
      <c r="H9" s="6">
        <f>'0,3+2% ESBOR'!H9*14</f>
        <v>9411.64</v>
      </c>
      <c r="I9" s="6">
        <f>'0,3+2% ESBOR'!I9*14</f>
        <v>8856.4</v>
      </c>
      <c r="J9" s="6">
        <f>'0,3+2% ESBOR'!J9*14</f>
        <v>8301.86</v>
      </c>
      <c r="K9" s="6">
        <f>'0,3+2% ESBOR'!K9*14</f>
        <v>7746.1999999999989</v>
      </c>
      <c r="L9" s="6">
        <f>'0,3+2% ESBOR'!L9*14</f>
        <v>7191.9400000000005</v>
      </c>
      <c r="M9" s="7">
        <f>'0,3+2% ESBOR'!M9*14</f>
        <v>6680.66</v>
      </c>
      <c r="N9" s="6">
        <f>'0,3+2% ESBOR'!N9*14</f>
        <v>6680.66</v>
      </c>
      <c r="O9" s="6">
        <f>'0,3+2% ESBOR'!O9*14</f>
        <v>6680.66</v>
      </c>
      <c r="P9" s="6">
        <f>'0,3+2% ESBOR'!P9*14</f>
        <v>6680.66</v>
      </c>
    </row>
    <row r="10" spans="1:25" s="5" customFormat="1" x14ac:dyDescent="0.25">
      <c r="A10" s="58" t="s">
        <v>8</v>
      </c>
      <c r="B10" s="6"/>
      <c r="C10" s="6">
        <f>'CE any'!C10+'CE any'!C16</f>
        <v>34801.907539999993</v>
      </c>
      <c r="D10" s="6">
        <f>'CE any'!D10+'CE any'!D16</f>
        <v>32863.481399999997</v>
      </c>
      <c r="E10" s="6">
        <f>'CE any'!E10+'CE any'!E16</f>
        <v>30214.404760000005</v>
      </c>
      <c r="F10" s="6">
        <f>'CE any'!F10+'CE any'!F16</f>
        <v>24453.715700000004</v>
      </c>
      <c r="G10" s="7">
        <f>'CE any'!G10+'CE any'!G16</f>
        <v>21396.849859999998</v>
      </c>
      <c r="H10" s="6">
        <f>'CE any'!H10+'CE any'!H16</f>
        <v>21331.135119999999</v>
      </c>
      <c r="I10" s="6">
        <f>'CE any'!I10+'CE any'!I16</f>
        <v>20793.833320000002</v>
      </c>
      <c r="J10" s="6">
        <f>'CE any'!J10+'CE any'!J16</f>
        <v>20426.849920000001</v>
      </c>
      <c r="K10" s="6">
        <f>'CE any'!K10+'CE any'!K16</f>
        <v>20060.275880000001</v>
      </c>
      <c r="L10" s="6">
        <f>'CE any'!L10+'CE any'!L16</f>
        <v>18523.256059999996</v>
      </c>
      <c r="M10" s="7">
        <f>'CE any'!M10+'CE any'!M16</f>
        <v>16955.374220000002</v>
      </c>
      <c r="N10" s="6">
        <f>'CE any'!N10+'CE any'!N16</f>
        <v>14172.79218</v>
      </c>
      <c r="O10" s="6">
        <f>'CE any'!O10+'CE any'!O16</f>
        <v>11221.2132</v>
      </c>
      <c r="P10" s="6">
        <f>'CE any'!P10+'CE any'!P16</f>
        <v>7973.9705999999996</v>
      </c>
    </row>
    <row r="11" spans="1:25" s="5" customFormat="1" x14ac:dyDescent="0.25">
      <c r="A11" s="58" t="s">
        <v>97</v>
      </c>
      <c r="B11" s="6"/>
      <c r="C11" s="6">
        <f>'CE mes'!C11*12</f>
        <v>16505.16</v>
      </c>
      <c r="D11" s="6">
        <f>'CE mes'!D11*12</f>
        <v>15862.980000000003</v>
      </c>
      <c r="E11" s="6">
        <f>'CE mes'!E11*12</f>
        <v>13721.119999999999</v>
      </c>
      <c r="F11" s="6">
        <f>'CE mes'!F11*12</f>
        <v>11518.08</v>
      </c>
      <c r="G11" s="7">
        <f>'CE mes'!G11*12</f>
        <v>10236.380000000001</v>
      </c>
      <c r="H11" s="6">
        <f>'CE mes'!H11*12</f>
        <v>10239.880000000001</v>
      </c>
      <c r="I11" s="6">
        <f>'CE mes'!I11*12</f>
        <v>10017</v>
      </c>
      <c r="J11" s="6">
        <f>'CE mes'!J11*12</f>
        <v>9836.5400000000009</v>
      </c>
      <c r="K11" s="6">
        <f>'CE mes'!K11*12</f>
        <v>9700.0400000000009</v>
      </c>
      <c r="L11" s="6">
        <f>'CE mes'!L11*12</f>
        <v>9032.3799999999992</v>
      </c>
      <c r="M11" s="7">
        <f>'CE mes'!M11*12</f>
        <v>8426.18</v>
      </c>
      <c r="N11" s="6">
        <f>'CE mes'!N11*12</f>
        <v>8138.8999999999987</v>
      </c>
      <c r="O11" s="6">
        <f>'CE mes'!O11*12</f>
        <v>6938.4000000000005</v>
      </c>
      <c r="P11" s="6">
        <f>'CE mes'!P11*12</f>
        <v>5617.78</v>
      </c>
    </row>
    <row r="12" spans="1:25" s="38" customFormat="1" ht="15" hidden="1" customHeight="1" x14ac:dyDescent="0.25">
      <c r="A12" s="156">
        <v>0.5</v>
      </c>
      <c r="B12" s="157" t="s">
        <v>94</v>
      </c>
      <c r="C12" s="157">
        <f>C11*$A$12</f>
        <v>8252.58</v>
      </c>
      <c r="D12" s="157">
        <f t="shared" ref="D12:P12" si="0">D11*$A$12</f>
        <v>7931.4900000000016</v>
      </c>
      <c r="E12" s="157">
        <f t="shared" si="0"/>
        <v>6860.5599999999995</v>
      </c>
      <c r="F12" s="157">
        <f t="shared" si="0"/>
        <v>5759.04</v>
      </c>
      <c r="G12" s="170">
        <f t="shared" si="0"/>
        <v>5118.1900000000005</v>
      </c>
      <c r="H12" s="157">
        <f t="shared" si="0"/>
        <v>5119.9400000000005</v>
      </c>
      <c r="I12" s="157">
        <f t="shared" si="0"/>
        <v>5008.5</v>
      </c>
      <c r="J12" s="157">
        <f t="shared" si="0"/>
        <v>4918.2700000000004</v>
      </c>
      <c r="K12" s="157">
        <f t="shared" si="0"/>
        <v>4850.0200000000004</v>
      </c>
      <c r="L12" s="157">
        <f t="shared" si="0"/>
        <v>4516.1899999999996</v>
      </c>
      <c r="M12" s="170">
        <f t="shared" si="0"/>
        <v>4213.09</v>
      </c>
      <c r="N12" s="157">
        <f t="shared" si="0"/>
        <v>4069.4499999999994</v>
      </c>
      <c r="O12" s="157">
        <f t="shared" si="0"/>
        <v>3469.2000000000003</v>
      </c>
      <c r="P12" s="157">
        <f t="shared" si="0"/>
        <v>2808.89</v>
      </c>
    </row>
    <row r="13" spans="1:25" s="38" customFormat="1" ht="15" hidden="1" customHeight="1" x14ac:dyDescent="0.25">
      <c r="A13" s="156">
        <v>0.3</v>
      </c>
      <c r="B13" s="157" t="s">
        <v>95</v>
      </c>
      <c r="C13" s="157">
        <f>C11*$A$13</f>
        <v>4951.5479999999998</v>
      </c>
      <c r="D13" s="157">
        <f t="shared" ref="D13:P13" si="1">D11*$A$13</f>
        <v>4758.8940000000011</v>
      </c>
      <c r="E13" s="157">
        <f t="shared" si="1"/>
        <v>4116.3359999999993</v>
      </c>
      <c r="F13" s="157">
        <f t="shared" si="1"/>
        <v>3455.424</v>
      </c>
      <c r="G13" s="170">
        <f t="shared" si="1"/>
        <v>3070.9140000000002</v>
      </c>
      <c r="H13" s="157">
        <f t="shared" si="1"/>
        <v>3071.9640000000004</v>
      </c>
      <c r="I13" s="157">
        <f t="shared" si="1"/>
        <v>3005.1</v>
      </c>
      <c r="J13" s="157">
        <f t="shared" si="1"/>
        <v>2950.962</v>
      </c>
      <c r="K13" s="157">
        <f t="shared" si="1"/>
        <v>2910.0120000000002</v>
      </c>
      <c r="L13" s="157">
        <f t="shared" si="1"/>
        <v>2709.7139999999995</v>
      </c>
      <c r="M13" s="170">
        <f t="shared" si="1"/>
        <v>2527.8539999999998</v>
      </c>
      <c r="N13" s="157">
        <f t="shared" si="1"/>
        <v>2441.6699999999996</v>
      </c>
      <c r="O13" s="157">
        <f t="shared" si="1"/>
        <v>2081.52</v>
      </c>
      <c r="P13" s="157">
        <f t="shared" si="1"/>
        <v>1685.3339999999998</v>
      </c>
    </row>
    <row r="14" spans="1:25" s="38" customFormat="1" ht="15" hidden="1" customHeight="1" x14ac:dyDescent="0.25">
      <c r="A14" s="156">
        <v>0.2</v>
      </c>
      <c r="B14" s="157" t="s">
        <v>96</v>
      </c>
      <c r="C14" s="157">
        <f>C11*$A$14</f>
        <v>3301.0320000000002</v>
      </c>
      <c r="D14" s="157">
        <f t="shared" ref="D14:P14" si="2">D11*$A$14</f>
        <v>3172.5960000000009</v>
      </c>
      <c r="E14" s="157">
        <f t="shared" si="2"/>
        <v>2744.2240000000002</v>
      </c>
      <c r="F14" s="157">
        <f t="shared" si="2"/>
        <v>2303.616</v>
      </c>
      <c r="G14" s="170">
        <f t="shared" si="2"/>
        <v>2047.2760000000003</v>
      </c>
      <c r="H14" s="157">
        <f t="shared" si="2"/>
        <v>2047.9760000000003</v>
      </c>
      <c r="I14" s="157">
        <f t="shared" si="2"/>
        <v>2003.4</v>
      </c>
      <c r="J14" s="157">
        <f t="shared" si="2"/>
        <v>1967.3080000000002</v>
      </c>
      <c r="K14" s="157">
        <f t="shared" si="2"/>
        <v>1940.0080000000003</v>
      </c>
      <c r="L14" s="157">
        <f t="shared" si="2"/>
        <v>1806.4759999999999</v>
      </c>
      <c r="M14" s="170">
        <f t="shared" si="2"/>
        <v>1685.2360000000001</v>
      </c>
      <c r="N14" s="157">
        <f t="shared" si="2"/>
        <v>1627.7799999999997</v>
      </c>
      <c r="O14" s="157">
        <f t="shared" si="2"/>
        <v>1387.6800000000003</v>
      </c>
      <c r="P14" s="157">
        <f t="shared" si="2"/>
        <v>1123.556</v>
      </c>
    </row>
    <row r="15" spans="1:25" s="5" customFormat="1" x14ac:dyDescent="0.25">
      <c r="A15" s="58"/>
      <c r="B15" s="6"/>
      <c r="C15" s="15">
        <f>C11+C10+C9+C8</f>
        <v>81953.527539999981</v>
      </c>
      <c r="D15" s="15">
        <f t="shared" ref="D15:P15" si="3">D11+D10+D9+D8</f>
        <v>77856.161399999997</v>
      </c>
      <c r="E15" s="15">
        <f t="shared" si="3"/>
        <v>72510.544760000004</v>
      </c>
      <c r="F15" s="15">
        <f t="shared" si="3"/>
        <v>63991.155700000003</v>
      </c>
      <c r="G15" s="16">
        <f t="shared" si="3"/>
        <v>58169.429860000004</v>
      </c>
      <c r="H15" s="15">
        <f t="shared" si="3"/>
        <v>56910.775119999991</v>
      </c>
      <c r="I15" s="15">
        <f t="shared" si="3"/>
        <v>55595.353319999995</v>
      </c>
      <c r="J15" s="15">
        <f t="shared" si="3"/>
        <v>54493.369919999997</v>
      </c>
      <c r="K15" s="15">
        <f t="shared" si="3"/>
        <v>53434.635880000002</v>
      </c>
      <c r="L15" s="15">
        <f t="shared" si="3"/>
        <v>50675.696060000002</v>
      </c>
      <c r="M15" s="16">
        <f t="shared" si="3"/>
        <v>47990.334220000004</v>
      </c>
      <c r="N15" s="15">
        <f t="shared" si="3"/>
        <v>44920.472179999997</v>
      </c>
      <c r="O15" s="15">
        <f t="shared" si="3"/>
        <v>40768.393199999999</v>
      </c>
      <c r="P15" s="15">
        <f t="shared" si="3"/>
        <v>36200.530599999998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19"/>
      <c r="H19" s="19"/>
      <c r="I19" s="19"/>
      <c r="J19" s="19"/>
      <c r="K19" s="19"/>
      <c r="L19" s="20"/>
      <c r="M19" s="20"/>
      <c r="N19" s="19"/>
      <c r="O19" s="20"/>
      <c r="P19" s="19"/>
      <c r="Q19" s="20"/>
      <c r="R19" s="19"/>
    </row>
    <row r="20" spans="1:21" s="5" customFormat="1" x14ac:dyDescent="0.25">
      <c r="E20" s="6" t="s">
        <v>6</v>
      </c>
      <c r="F20" s="7">
        <f>('0,3+2% ESBOR'!F20*12)+('0,3+2% ESBOR'!$C$64*2)</f>
        <v>14006.28</v>
      </c>
      <c r="G20" s="6">
        <f>('0,3+2% ESBOR'!G20*12)+('0,3+2% ESBOR'!$C$64*2)</f>
        <v>14006.28</v>
      </c>
      <c r="H20" s="6">
        <f>('0,3+2% ESBOR'!H20*12)+('0,3+2% ESBOR'!$C$64*2)</f>
        <v>14006.28</v>
      </c>
      <c r="I20" s="6">
        <f>('0,3+2% ESBOR'!I20*12)+('0,3+2% ESBOR'!$C$64*2)</f>
        <v>14006.28</v>
      </c>
      <c r="J20" s="6">
        <f>('0,3+2% ESBOR'!J20*12)+('0,3+2% ESBOR'!$C$64*2)</f>
        <v>14006.28</v>
      </c>
      <c r="K20" s="6">
        <f>('0,3+2% ESBOR'!K20*12)+('0,3+2% ESBOR'!$C$64*2)</f>
        <v>14006.28</v>
      </c>
      <c r="L20" s="7">
        <f>('0,3+2% ESBOR'!L20*12)+('0,3+2% ESBOR'!$C$64*2)</f>
        <v>14006.28</v>
      </c>
      <c r="M20" s="7">
        <f>('0,3+2% ESBOR'!M20*12)+('0,3+2% ESBOR'!$C$64*2)</f>
        <v>14006.28</v>
      </c>
      <c r="N20" s="6">
        <f>('0,3+2% ESBOR'!N20*12)+('0,3+2% ESBOR'!$C$64*2)</f>
        <v>14006.28</v>
      </c>
      <c r="O20" s="7">
        <f>('0,3+2% ESBOR'!O20*12)+('0,3+2% ESBOR'!$C$64*2)</f>
        <v>14006.28</v>
      </c>
      <c r="P20" s="6">
        <f>('0,3+2% ESBOR'!P20*12)+('0,3+2% ESBOR'!$C$64*2)</f>
        <v>14006.28</v>
      </c>
      <c r="Q20" s="7">
        <f>('0,3+2% ESBOR'!Q20*12)+('0,3+2% ESBOR'!$C$64*2)</f>
        <v>14006.28</v>
      </c>
      <c r="R20" s="6">
        <f>('0,3+2% ESBOR'!R20*12)+('0,3+2% ESBOR'!$C$64*2)</f>
        <v>14006.28</v>
      </c>
    </row>
    <row r="21" spans="1:21" s="5" customFormat="1" x14ac:dyDescent="0.25">
      <c r="E21" s="6" t="s">
        <v>7</v>
      </c>
      <c r="F21" s="7">
        <f>'0,3+2% ESBOR'!F21*14</f>
        <v>10608.08</v>
      </c>
      <c r="G21" s="104">
        <f>'0,3+2% ESBOR'!G21*14</f>
        <v>10608.08</v>
      </c>
      <c r="H21" s="104">
        <f>'0,3+2% ESBOR'!H21*14</f>
        <v>9411.64</v>
      </c>
      <c r="I21" s="104">
        <f>'0,3+2% ESBOR'!I21*14</f>
        <v>8856.4</v>
      </c>
      <c r="J21" s="104">
        <f>'0,3+2% ESBOR'!J21*14</f>
        <v>8301.86</v>
      </c>
      <c r="K21" s="104">
        <f>'0,3+2% ESBOR'!K21*14</f>
        <v>7746.1999999999989</v>
      </c>
      <c r="L21" s="7">
        <f>'0,3+2% ESBOR'!L21*14</f>
        <v>7191.9400000000005</v>
      </c>
      <c r="M21" s="7">
        <f>'0,3+2% ESBOR'!M21*14</f>
        <v>6680.66</v>
      </c>
      <c r="N21" s="104">
        <f>'0,3+2% ESBOR'!N21*14</f>
        <v>6339.62</v>
      </c>
      <c r="O21" s="7">
        <f>'0,3+2% ESBOR'!O21*14</f>
        <v>5998.44</v>
      </c>
      <c r="P21" s="104">
        <f>'0,3+2% ESBOR'!P21*14</f>
        <v>5657.12</v>
      </c>
      <c r="Q21" s="7">
        <f>'0,3+2% ESBOR'!Q21*14</f>
        <v>5316.78</v>
      </c>
      <c r="R21" s="104">
        <f>'0,3+2% ESBOR'!R21*14</f>
        <v>5316.78</v>
      </c>
    </row>
    <row r="22" spans="1:21" s="5" customFormat="1" x14ac:dyDescent="0.25">
      <c r="E22" s="6" t="s">
        <v>8</v>
      </c>
      <c r="F22" s="7">
        <f>'CE any'!F22+'CE any'!F28</f>
        <v>21928.674200000001</v>
      </c>
      <c r="G22" s="104">
        <f>'CE any'!G22+'CE any'!G28</f>
        <v>18364.47076</v>
      </c>
      <c r="H22" s="104">
        <f>'CE any'!H22+'CE any'!H28</f>
        <v>17353.009959999999</v>
      </c>
      <c r="I22" s="104">
        <f>'CE any'!I22+'CE any'!I28</f>
        <v>17186.79048</v>
      </c>
      <c r="J22" s="104">
        <f>'CE any'!J22+'CE any'!J28</f>
        <v>16907.83726</v>
      </c>
      <c r="K22" s="104">
        <f>'CE any'!K22+'CE any'!K28</f>
        <v>16632.602300000002</v>
      </c>
      <c r="L22" s="7">
        <f>'CE any'!L22+'CE any'!L28</f>
        <v>16264.458019999998</v>
      </c>
      <c r="M22" s="7">
        <f>'CE any'!M22+'CE any'!M28</f>
        <v>15864.627399999999</v>
      </c>
      <c r="N22" s="104">
        <f>'CE any'!N22+'CE any'!N28</f>
        <v>15629.944000000001</v>
      </c>
      <c r="O22" s="7">
        <f>'CE any'!O22+'CE any'!O28</f>
        <v>14423.13168</v>
      </c>
      <c r="P22" s="104">
        <f>'CE any'!P22+'CE any'!P28</f>
        <v>13702.336079999999</v>
      </c>
      <c r="Q22" s="7">
        <f>'CE any'!Q22+'CE any'!Q28</f>
        <v>12980.680179999999</v>
      </c>
      <c r="R22" s="104">
        <f>'CE any'!R22+'CE any'!R28</f>
        <v>11255.71358</v>
      </c>
    </row>
    <row r="23" spans="1:21" s="5" customFormat="1" x14ac:dyDescent="0.25">
      <c r="E23" s="58" t="s">
        <v>97</v>
      </c>
      <c r="F23" s="7">
        <f>'CE mes'!F23*12</f>
        <v>13449.100000000002</v>
      </c>
      <c r="G23" s="104">
        <f>'CE mes'!G23*12</f>
        <v>9917.6</v>
      </c>
      <c r="H23" s="104">
        <f>'CE mes'!H23*12</f>
        <v>11225.9</v>
      </c>
      <c r="I23" s="104">
        <f>'CE mes'!I23*12</f>
        <v>9255.26</v>
      </c>
      <c r="J23" s="104">
        <f>'CE mes'!J23*12</f>
        <v>8415.119999999999</v>
      </c>
      <c r="K23" s="104">
        <f>'CE mes'!K23*12</f>
        <v>8253.84</v>
      </c>
      <c r="L23" s="7">
        <f>'CE mes'!L23*12</f>
        <v>8107.54</v>
      </c>
      <c r="M23" s="7">
        <f>'CE mes'!M23*12</f>
        <v>7981.9600000000009</v>
      </c>
      <c r="N23" s="104">
        <f>'CE mes'!N23*12</f>
        <v>7881.1600000000017</v>
      </c>
      <c r="O23" s="7">
        <f>'CE mes'!O23*12</f>
        <v>7358.96</v>
      </c>
      <c r="P23" s="104">
        <f>'CE mes'!P23*12</f>
        <v>7125.2999999999993</v>
      </c>
      <c r="Q23" s="7">
        <f>'CE mes'!Q23*12</f>
        <v>6791.1200000000008</v>
      </c>
      <c r="R23" s="104">
        <f>'CE mes'!R23*12</f>
        <v>6741.28</v>
      </c>
    </row>
    <row r="24" spans="1:21" s="5" customFormat="1" ht="15" hidden="1" customHeight="1" x14ac:dyDescent="0.25">
      <c r="C24" s="219" t="s">
        <v>94</v>
      </c>
      <c r="D24" s="220"/>
      <c r="E24" s="159">
        <v>0.5</v>
      </c>
      <c r="F24" s="168">
        <f>F23*$E$24</f>
        <v>6724.5500000000011</v>
      </c>
      <c r="G24" s="169">
        <f t="shared" ref="G24:R24" si="4">G23*$E$24</f>
        <v>4958.8</v>
      </c>
      <c r="H24" s="169">
        <f t="shared" si="4"/>
        <v>5612.95</v>
      </c>
      <c r="I24" s="169">
        <f t="shared" si="4"/>
        <v>4627.63</v>
      </c>
      <c r="J24" s="169">
        <f t="shared" si="4"/>
        <v>4207.5599999999995</v>
      </c>
      <c r="K24" s="169">
        <f t="shared" si="4"/>
        <v>4126.92</v>
      </c>
      <c r="L24" s="168">
        <f t="shared" si="4"/>
        <v>4053.77</v>
      </c>
      <c r="M24" s="168">
        <f t="shared" si="4"/>
        <v>3990.9800000000005</v>
      </c>
      <c r="N24" s="169">
        <f t="shared" si="4"/>
        <v>3940.5800000000008</v>
      </c>
      <c r="O24" s="168">
        <f t="shared" si="4"/>
        <v>3679.48</v>
      </c>
      <c r="P24" s="169">
        <f t="shared" si="4"/>
        <v>3562.6499999999996</v>
      </c>
      <c r="Q24" s="168">
        <f t="shared" si="4"/>
        <v>3395.5600000000004</v>
      </c>
      <c r="R24" s="169">
        <f t="shared" si="4"/>
        <v>3370.64</v>
      </c>
    </row>
    <row r="25" spans="1:21" s="5" customFormat="1" ht="15" hidden="1" customHeight="1" x14ac:dyDescent="0.25">
      <c r="C25" s="219" t="s">
        <v>95</v>
      </c>
      <c r="D25" s="220"/>
      <c r="E25" s="159">
        <v>0.3</v>
      </c>
      <c r="F25" s="168">
        <f>F23*$E$25</f>
        <v>4034.7300000000005</v>
      </c>
      <c r="G25" s="169">
        <f t="shared" ref="G25:R25" si="5">G23*$E$25</f>
        <v>2975.28</v>
      </c>
      <c r="H25" s="169">
        <f t="shared" si="5"/>
        <v>3367.77</v>
      </c>
      <c r="I25" s="169">
        <f t="shared" si="5"/>
        <v>2776.578</v>
      </c>
      <c r="J25" s="169">
        <f t="shared" si="5"/>
        <v>2524.5359999999996</v>
      </c>
      <c r="K25" s="169">
        <f t="shared" si="5"/>
        <v>2476.152</v>
      </c>
      <c r="L25" s="168">
        <f t="shared" si="5"/>
        <v>2432.2619999999997</v>
      </c>
      <c r="M25" s="168">
        <f t="shared" si="5"/>
        <v>2394.5880000000002</v>
      </c>
      <c r="N25" s="169">
        <f t="shared" si="5"/>
        <v>2364.3480000000004</v>
      </c>
      <c r="O25" s="168">
        <f t="shared" si="5"/>
        <v>2207.6880000000001</v>
      </c>
      <c r="P25" s="169">
        <f t="shared" si="5"/>
        <v>2137.5899999999997</v>
      </c>
      <c r="Q25" s="168">
        <f t="shared" si="5"/>
        <v>2037.3360000000002</v>
      </c>
      <c r="R25" s="169">
        <f t="shared" si="5"/>
        <v>2022.3839999999998</v>
      </c>
    </row>
    <row r="26" spans="1:21" s="5" customFormat="1" ht="15" hidden="1" customHeight="1" x14ac:dyDescent="0.25">
      <c r="C26" s="219" t="s">
        <v>96</v>
      </c>
      <c r="D26" s="220"/>
      <c r="E26" s="159">
        <v>0.2</v>
      </c>
      <c r="F26" s="168">
        <f>F23*$E$26</f>
        <v>2689.8200000000006</v>
      </c>
      <c r="G26" s="169">
        <f t="shared" ref="G26:R26" si="6">G23*$E$26</f>
        <v>1983.5200000000002</v>
      </c>
      <c r="H26" s="169">
        <f t="shared" si="6"/>
        <v>2245.1799999999998</v>
      </c>
      <c r="I26" s="169">
        <f t="shared" si="6"/>
        <v>1851.0520000000001</v>
      </c>
      <c r="J26" s="169">
        <f t="shared" si="6"/>
        <v>1683.0239999999999</v>
      </c>
      <c r="K26" s="169">
        <f t="shared" si="6"/>
        <v>1650.768</v>
      </c>
      <c r="L26" s="168">
        <f t="shared" si="6"/>
        <v>1621.508</v>
      </c>
      <c r="M26" s="168">
        <f t="shared" si="6"/>
        <v>1596.3920000000003</v>
      </c>
      <c r="N26" s="169">
        <f t="shared" si="6"/>
        <v>1576.2320000000004</v>
      </c>
      <c r="O26" s="168">
        <f t="shared" si="6"/>
        <v>1471.7920000000001</v>
      </c>
      <c r="P26" s="169">
        <f t="shared" si="6"/>
        <v>1425.06</v>
      </c>
      <c r="Q26" s="168">
        <f t="shared" si="6"/>
        <v>1358.2240000000002</v>
      </c>
      <c r="R26" s="169">
        <f t="shared" si="6"/>
        <v>1348.2560000000001</v>
      </c>
    </row>
    <row r="27" spans="1:21" s="5" customFormat="1" x14ac:dyDescent="0.25">
      <c r="E27" s="15"/>
      <c r="F27" s="16">
        <f>F20+F21+F22+F23</f>
        <v>59992.1342</v>
      </c>
      <c r="G27" s="139">
        <f t="shared" ref="G27:R27" si="7">G20+G21+G22+G23</f>
        <v>52896.430759999996</v>
      </c>
      <c r="H27" s="139">
        <f t="shared" si="7"/>
        <v>51996.829959999995</v>
      </c>
      <c r="I27" s="139">
        <f t="shared" si="7"/>
        <v>49304.730480000006</v>
      </c>
      <c r="J27" s="139">
        <f t="shared" si="7"/>
        <v>47631.097259999995</v>
      </c>
      <c r="K27" s="139">
        <f t="shared" si="7"/>
        <v>46638.922300000006</v>
      </c>
      <c r="L27" s="16">
        <f t="shared" si="7"/>
        <v>45570.21802</v>
      </c>
      <c r="M27" s="16">
        <f t="shared" si="7"/>
        <v>44533.527399999999</v>
      </c>
      <c r="N27" s="139">
        <f t="shared" si="7"/>
        <v>43857.004000000008</v>
      </c>
      <c r="O27" s="16">
        <f t="shared" si="7"/>
        <v>41786.811679999999</v>
      </c>
      <c r="P27" s="139">
        <f t="shared" si="7"/>
        <v>40491.036080000005</v>
      </c>
      <c r="Q27" s="16">
        <f t="shared" si="7"/>
        <v>39094.860180000003</v>
      </c>
      <c r="R27" s="139">
        <f t="shared" si="7"/>
        <v>37320.05358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G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4" s="5" customFormat="1" x14ac:dyDescent="0.25">
      <c r="P33" s="13"/>
      <c r="Q33" s="13"/>
      <c r="R33" s="13"/>
      <c r="T33" s="13"/>
    </row>
    <row r="34" spans="1:24" s="5" customFormat="1" x14ac:dyDescent="0.25">
      <c r="J34" s="6" t="s">
        <v>6</v>
      </c>
      <c r="K34" s="6"/>
      <c r="L34" s="6">
        <f>('0,3+2% ESBOR'!L34*12)+('0,3+2% ESBOR'!$C$65*2)</f>
        <v>10727.380000000001</v>
      </c>
      <c r="M34" s="6">
        <f>('0,3+2% ESBOR'!M34*12)+('0,3+2% ESBOR'!$C$65*2)</f>
        <v>10727.380000000001</v>
      </c>
      <c r="N34" s="6">
        <f>('0,3+2% ESBOR'!N34*12)+('0,3+2% ESBOR'!$C$65*2)</f>
        <v>10727.380000000001</v>
      </c>
      <c r="O34" s="6">
        <f>('0,3+2% ESBOR'!O34*12)+('0,3+2% ESBOR'!$C$65*2)</f>
        <v>10727.380000000001</v>
      </c>
      <c r="P34" s="7">
        <f>('0,3+2% ESBOR'!P34*12)+('0,3+2% ESBOR'!$C$65*2)</f>
        <v>10727.380000000001</v>
      </c>
      <c r="Q34" s="7">
        <f>('0,3+2% ESBOR'!Q34*12)+('0,3+2% ESBOR'!$C$65*2)</f>
        <v>10727.380000000001</v>
      </c>
      <c r="R34" s="7">
        <f>('0,3+2% ESBOR'!R34*12)+('0,3+2% ESBOR'!$C$65*2)</f>
        <v>10727.380000000001</v>
      </c>
      <c r="S34" s="6">
        <f>('0,3+2% ESBOR'!S34*12)+('0,3+2% ESBOR'!$C$65*2)</f>
        <v>10727.380000000001</v>
      </c>
      <c r="T34" s="7">
        <f>('0,3+2% ESBOR'!T34*12)+('0,3+2% ESBOR'!$C$65*2)</f>
        <v>10727.380000000001</v>
      </c>
      <c r="U34" s="6">
        <f>('0,3+2% ESBOR'!U34*12)+('0,3+2% ESBOR'!$C$65*2)</f>
        <v>10727.380000000001</v>
      </c>
    </row>
    <row r="35" spans="1:24" s="5" customFormat="1" x14ac:dyDescent="0.25">
      <c r="J35" s="6" t="s">
        <v>7</v>
      </c>
      <c r="K35" s="6"/>
      <c r="L35" s="104">
        <f>'0,3+2% ESBOR'!L35*14</f>
        <v>7191.9400000000005</v>
      </c>
      <c r="M35" s="104">
        <f>'0,3+2% ESBOR'!M35*14</f>
        <v>6680.66</v>
      </c>
      <c r="N35" s="104">
        <f>'0,3+2% ESBOR'!N35*14</f>
        <v>6339.62</v>
      </c>
      <c r="O35" s="104">
        <f>'0,3+2% ESBOR'!O35*14</f>
        <v>5998.44</v>
      </c>
      <c r="P35" s="7">
        <f>'0,3+2% ESBOR'!P35*14</f>
        <v>5657.12</v>
      </c>
      <c r="Q35" s="7">
        <f>'0,3+2% ESBOR'!Q35*14</f>
        <v>5316.78</v>
      </c>
      <c r="R35" s="7">
        <f>'0,3+2% ESBOR'!R35*14</f>
        <v>4975.04</v>
      </c>
      <c r="S35" s="104">
        <f>'0,3+2% ESBOR'!S35*14</f>
        <v>4634.5600000000004</v>
      </c>
      <c r="T35" s="7">
        <f>'0,3+2% ESBOR'!T35*14</f>
        <v>4292.96</v>
      </c>
      <c r="U35" s="104">
        <f>'0,3+2% ESBOR'!U35*14</f>
        <v>3951.64</v>
      </c>
    </row>
    <row r="36" spans="1:24" s="5" customFormat="1" x14ac:dyDescent="0.25">
      <c r="J36" s="6" t="s">
        <v>8</v>
      </c>
      <c r="K36" s="6"/>
      <c r="L36" s="104">
        <f>'CE any'!L36+'CE any'!L42</f>
        <v>18247.433060000003</v>
      </c>
      <c r="M36" s="104">
        <f>'CE mes'!M36*14</f>
        <v>17838.8</v>
      </c>
      <c r="N36" s="104">
        <f>'CE mes'!N36*14</f>
        <v>17032.12</v>
      </c>
      <c r="O36" s="104">
        <f>'CE mes'!O36*14</f>
        <v>16435.580000000002</v>
      </c>
      <c r="P36" s="7">
        <f>'CE mes'!P36*14</f>
        <v>14782.179999999998</v>
      </c>
      <c r="Q36" s="7">
        <f>'CE mes'!Q36*14</f>
        <v>13625.36</v>
      </c>
      <c r="R36" s="7">
        <f>'CE mes'!R36*14</f>
        <v>11971.12</v>
      </c>
      <c r="S36" s="104">
        <f>'CE mes'!S36*14</f>
        <v>11016.46</v>
      </c>
      <c r="T36" s="7">
        <f>'CE mes'!T36*14</f>
        <v>10344.040000000001</v>
      </c>
      <c r="U36" s="104">
        <f>'CE mes'!U36*14</f>
        <v>9057.86</v>
      </c>
    </row>
    <row r="37" spans="1:24" s="5" customFormat="1" x14ac:dyDescent="0.25">
      <c r="J37" s="58" t="s">
        <v>97</v>
      </c>
      <c r="K37" s="6"/>
      <c r="L37" s="104">
        <f>'CE mes'!L37*12</f>
        <v>11778.2</v>
      </c>
      <c r="M37" s="104">
        <f>'CE mes'!M37*12</f>
        <v>11467.54</v>
      </c>
      <c r="N37" s="104">
        <f>'CE mes'!N37*12</f>
        <v>10476.759999999998</v>
      </c>
      <c r="O37" s="104">
        <f>'CE mes'!O37*12</f>
        <v>8136.9400000000005</v>
      </c>
      <c r="P37" s="7">
        <f>'CE mes'!P37*12</f>
        <v>8064.9800000000005</v>
      </c>
      <c r="Q37" s="7">
        <f>'CE mes'!Q37*12</f>
        <v>6867.42</v>
      </c>
      <c r="R37" s="7">
        <f>'CE mes'!R37*12</f>
        <v>6849.3600000000006</v>
      </c>
      <c r="S37" s="104">
        <f>'CE mes'!S37*12</f>
        <v>6841.0999999999985</v>
      </c>
      <c r="T37" s="7">
        <f>'CE mes'!T37*12</f>
        <v>6474.7200000000012</v>
      </c>
      <c r="U37" s="104">
        <f>'CE mes'!U37*12</f>
        <v>5596.92</v>
      </c>
    </row>
    <row r="38" spans="1:24" s="5" customFormat="1" ht="15" hidden="1" customHeight="1" x14ac:dyDescent="0.25">
      <c r="I38" s="219" t="s">
        <v>94</v>
      </c>
      <c r="J38" s="220"/>
      <c r="K38" s="159">
        <v>0.5</v>
      </c>
      <c r="L38" s="158">
        <f>L37*$K$38</f>
        <v>5889.1</v>
      </c>
      <c r="M38" s="158">
        <f t="shared" ref="M38:U38" si="8">M37*$K$38</f>
        <v>5733.77</v>
      </c>
      <c r="N38" s="158">
        <f t="shared" si="8"/>
        <v>5238.3799999999992</v>
      </c>
      <c r="O38" s="158">
        <f t="shared" si="8"/>
        <v>4068.4700000000003</v>
      </c>
      <c r="P38" s="170">
        <f t="shared" si="8"/>
        <v>4032.4900000000002</v>
      </c>
      <c r="Q38" s="170">
        <f t="shared" si="8"/>
        <v>3433.71</v>
      </c>
      <c r="R38" s="170">
        <f t="shared" si="8"/>
        <v>3424.6800000000003</v>
      </c>
      <c r="S38" s="158">
        <f t="shared" si="8"/>
        <v>3420.5499999999993</v>
      </c>
      <c r="T38" s="170">
        <f t="shared" si="8"/>
        <v>3237.3600000000006</v>
      </c>
      <c r="U38" s="158">
        <f t="shared" si="8"/>
        <v>2798.46</v>
      </c>
    </row>
    <row r="39" spans="1:24" s="5" customFormat="1" ht="15" hidden="1" customHeight="1" x14ac:dyDescent="0.25">
      <c r="I39" s="219" t="s">
        <v>95</v>
      </c>
      <c r="J39" s="220"/>
      <c r="K39" s="159">
        <v>0.3</v>
      </c>
      <c r="L39" s="158">
        <f>$K$39*L37</f>
        <v>3533.46</v>
      </c>
      <c r="M39" s="158">
        <f t="shared" ref="M39:U39" si="9">$K$39*M37</f>
        <v>3440.2620000000002</v>
      </c>
      <c r="N39" s="158">
        <f t="shared" si="9"/>
        <v>3143.0279999999993</v>
      </c>
      <c r="O39" s="158">
        <f t="shared" si="9"/>
        <v>2441.0819999999999</v>
      </c>
      <c r="P39" s="170">
        <f t="shared" si="9"/>
        <v>2419.4940000000001</v>
      </c>
      <c r="Q39" s="170">
        <f t="shared" si="9"/>
        <v>2060.2260000000001</v>
      </c>
      <c r="R39" s="170">
        <f t="shared" si="9"/>
        <v>2054.808</v>
      </c>
      <c r="S39" s="158">
        <f t="shared" si="9"/>
        <v>2052.3299999999995</v>
      </c>
      <c r="T39" s="170">
        <f t="shared" si="9"/>
        <v>1942.4160000000002</v>
      </c>
      <c r="U39" s="158">
        <f t="shared" si="9"/>
        <v>1679.076</v>
      </c>
    </row>
    <row r="40" spans="1:24" s="5" customFormat="1" ht="15" hidden="1" customHeight="1" x14ac:dyDescent="0.25">
      <c r="I40" s="219" t="s">
        <v>96</v>
      </c>
      <c r="J40" s="220"/>
      <c r="K40" s="159">
        <v>0.2</v>
      </c>
      <c r="L40" s="158">
        <f>L37*$K$40</f>
        <v>2355.6400000000003</v>
      </c>
      <c r="M40" s="158">
        <f t="shared" ref="M40:U40" si="10">M37*$K$40</f>
        <v>2293.5080000000003</v>
      </c>
      <c r="N40" s="158">
        <f t="shared" si="10"/>
        <v>2095.3519999999999</v>
      </c>
      <c r="O40" s="158">
        <f t="shared" si="10"/>
        <v>1627.3880000000001</v>
      </c>
      <c r="P40" s="170">
        <f t="shared" si="10"/>
        <v>1612.9960000000001</v>
      </c>
      <c r="Q40" s="170">
        <f t="shared" si="10"/>
        <v>1373.4840000000002</v>
      </c>
      <c r="R40" s="170">
        <f t="shared" si="10"/>
        <v>1369.8720000000003</v>
      </c>
      <c r="S40" s="158">
        <f t="shared" si="10"/>
        <v>1368.2199999999998</v>
      </c>
      <c r="T40" s="170">
        <f t="shared" si="10"/>
        <v>1294.9440000000004</v>
      </c>
      <c r="U40" s="158">
        <f t="shared" si="10"/>
        <v>1119.384</v>
      </c>
    </row>
    <row r="41" spans="1:24" s="5" customFormat="1" x14ac:dyDescent="0.25">
      <c r="J41" s="15"/>
      <c r="K41" s="15"/>
      <c r="L41" s="17">
        <f>L34+L35+L36+L37</f>
        <v>47944.95306</v>
      </c>
      <c r="M41" s="17">
        <f t="shared" ref="M41:U41" si="11">M34+M35+M36+M37</f>
        <v>46714.38</v>
      </c>
      <c r="N41" s="17">
        <f t="shared" si="11"/>
        <v>44575.87999999999</v>
      </c>
      <c r="O41" s="17">
        <f t="shared" si="11"/>
        <v>41298.340000000004</v>
      </c>
      <c r="P41" s="16">
        <f t="shared" si="11"/>
        <v>39231.660000000003</v>
      </c>
      <c r="Q41" s="16">
        <f t="shared" si="11"/>
        <v>36536.94</v>
      </c>
      <c r="R41" s="16">
        <f t="shared" si="11"/>
        <v>34522.9</v>
      </c>
      <c r="S41" s="17">
        <f t="shared" si="11"/>
        <v>33219.5</v>
      </c>
      <c r="T41" s="16">
        <f t="shared" si="11"/>
        <v>31839.100000000002</v>
      </c>
      <c r="U41" s="17">
        <f t="shared" si="11"/>
        <v>29333.800000000003</v>
      </c>
    </row>
    <row r="42" spans="1:24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</row>
    <row r="43" spans="1:24" x14ac:dyDescent="0.25">
      <c r="A43" s="1" t="s">
        <v>18</v>
      </c>
      <c r="B43" s="1"/>
    </row>
    <row r="44" spans="1:24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4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4" s="5" customFormat="1" x14ac:dyDescent="0.25"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4" s="5" customFormat="1" x14ac:dyDescent="0.25"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4" s="5" customFormat="1" x14ac:dyDescent="0.25">
      <c r="N48" s="6" t="s">
        <v>6</v>
      </c>
      <c r="O48" s="6">
        <f>('0,3+2% ESBOR'!O48*12)+('0,3+2% ESBOR'!$C$66*2)</f>
        <v>9092.76</v>
      </c>
      <c r="P48" s="7">
        <f>('0,3+2% ESBOR'!P48*12)+('0,3+2% ESBOR'!$C$66*2)</f>
        <v>9092.76</v>
      </c>
      <c r="Q48" s="6">
        <f>('0,3+2% ESBOR'!Q48*12)+('0,3+2% ESBOR'!$C$66*2)</f>
        <v>9092.76</v>
      </c>
      <c r="R48" s="6">
        <f>('0,3+2% ESBOR'!R48*12)+('0,3+2% ESBOR'!$C$66*2)</f>
        <v>9092.76</v>
      </c>
      <c r="S48" s="7">
        <f>('0,3+2% ESBOR'!S48*12)+('0,3+2% ESBOR'!$C$66*2)</f>
        <v>9092.76</v>
      </c>
      <c r="T48" s="7">
        <f>('0,3+2% ESBOR'!T48*12)+('0,3+2% ESBOR'!$C$66*2)</f>
        <v>9092.76</v>
      </c>
      <c r="U48" s="7">
        <f>('0,3+2% ESBOR'!U48*12)+('0,3+2% ESBOR'!$C$66*2)</f>
        <v>9092.76</v>
      </c>
      <c r="V48" s="7">
        <f>('0,3+2% ESBOR'!V48*12)+('0,3+2% ESBOR'!$C$66*2)</f>
        <v>9092.76</v>
      </c>
      <c r="W48" s="6">
        <f>('0,3+2% ESBOR'!W48*12)+('0,3+2% ESBOR'!$C$66*2)</f>
        <v>9092.76</v>
      </c>
      <c r="X48" s="7">
        <f>('0,3+2% ESBOR'!X48*12)+('0,3+2% ESBOR'!$C$66*2)</f>
        <v>9092.76</v>
      </c>
    </row>
    <row r="49" spans="1:26" s="5" customFormat="1" x14ac:dyDescent="0.25">
      <c r="N49" s="6" t="s">
        <v>7</v>
      </c>
      <c r="O49" s="104">
        <f>'0,3+2% ESBOR'!O49*14</f>
        <v>5998.44</v>
      </c>
      <c r="P49" s="7">
        <f>'0,3+2% ESBOR'!P49*14</f>
        <v>5657.12</v>
      </c>
      <c r="Q49" s="104">
        <f>'0,3+2% ESBOR'!Q49*14</f>
        <v>5316.78</v>
      </c>
      <c r="R49" s="104">
        <f>'0,3+2% ESBOR'!R49*14</f>
        <v>4975.04</v>
      </c>
      <c r="S49" s="7">
        <f>'0,3+2% ESBOR'!S49*14</f>
        <v>4634.5600000000004</v>
      </c>
      <c r="T49" s="7">
        <f>'0,3+2% ESBOR'!T49*14</f>
        <v>4292.96</v>
      </c>
      <c r="U49" s="7">
        <f>'0,3+2% ESBOR'!U49*14</f>
        <v>3951.64</v>
      </c>
      <c r="V49" s="7">
        <f>'0,3+2% ESBOR'!V49*14</f>
        <v>3610.3199999999997</v>
      </c>
      <c r="W49" s="104">
        <f>'0,3+2% ESBOR'!W49*14</f>
        <v>3269.7000000000003</v>
      </c>
      <c r="X49" s="7">
        <f>'0,3+2% ESBOR'!X49*14</f>
        <v>3099.46</v>
      </c>
    </row>
    <row r="50" spans="1:26" s="5" customFormat="1" x14ac:dyDescent="0.25">
      <c r="N50" s="6" t="s">
        <v>8</v>
      </c>
      <c r="O50" s="104">
        <f>'CE any'!O50+'CE any'!O56</f>
        <v>14221.485040000001</v>
      </c>
      <c r="P50" s="7">
        <f>'CE any'!P50+'CE any'!P56</f>
        <v>13629.7742</v>
      </c>
      <c r="Q50" s="104">
        <f>'CE any'!Q50+'CE any'!Q56</f>
        <v>13138.130040000002</v>
      </c>
      <c r="R50" s="104">
        <f>'CE any'!R50+'CE any'!R56</f>
        <v>11734.542960000001</v>
      </c>
      <c r="S50" s="7">
        <f>'CE any'!S50+'CE any'!S56</f>
        <v>10979.576720000001</v>
      </c>
      <c r="T50" s="7">
        <f>'CE any'!T50+'CE any'!T56</f>
        <v>9571.7892199999987</v>
      </c>
      <c r="U50" s="7">
        <f>'CE any'!U50+'CE any'!U56</f>
        <v>9939.6462200000005</v>
      </c>
      <c r="V50" s="7">
        <f>'CE any'!V50+'CE any'!V56</f>
        <v>9986.0301800000016</v>
      </c>
      <c r="W50" s="104">
        <f>'CE any'!W50+'CE any'!W56</f>
        <v>8322.5883999999987</v>
      </c>
      <c r="X50" s="7">
        <f>'CE any'!X50+'CE any'!X56</f>
        <v>7058.2874600000005</v>
      </c>
    </row>
    <row r="51" spans="1:26" s="5" customFormat="1" x14ac:dyDescent="0.25">
      <c r="A51" s="38" t="s">
        <v>41</v>
      </c>
      <c r="B51" s="38"/>
      <c r="N51" s="58" t="s">
        <v>97</v>
      </c>
      <c r="O51" s="104">
        <f>'CE mes'!O51*12</f>
        <v>7634.7599999999984</v>
      </c>
      <c r="P51" s="7">
        <f>'CE mes'!P51*12</f>
        <v>6524.7000000000007</v>
      </c>
      <c r="Q51" s="104">
        <f>'CE mes'!Q51*12</f>
        <v>6613.0400000000009</v>
      </c>
      <c r="R51" s="104">
        <f>'CE mes'!R51*12</f>
        <v>6965.1399999999994</v>
      </c>
      <c r="S51" s="7">
        <f>'CE mes'!S51*12</f>
        <v>6667.7800000000007</v>
      </c>
      <c r="T51" s="7">
        <f>'CE mes'!T51*12</f>
        <v>7023.8000000000011</v>
      </c>
      <c r="U51" s="7">
        <f>'CE mes'!U51*12</f>
        <v>5846.1200000000008</v>
      </c>
      <c r="V51" s="7">
        <f>'CE mes'!V51*12</f>
        <v>6055.42</v>
      </c>
      <c r="W51" s="104">
        <f>'CE mes'!W51*12</f>
        <v>5116.72</v>
      </c>
      <c r="X51" s="7">
        <f>'CE mes'!X51*12</f>
        <v>4595.22</v>
      </c>
    </row>
    <row r="52" spans="1:26" s="5" customFormat="1" ht="15" hidden="1" customHeight="1" x14ac:dyDescent="0.25">
      <c r="A52" s="38"/>
      <c r="B52" s="38"/>
      <c r="L52" s="219" t="s">
        <v>94</v>
      </c>
      <c r="M52" s="220"/>
      <c r="N52" s="159">
        <v>0.5</v>
      </c>
      <c r="O52" s="158">
        <f>O51*$N$52</f>
        <v>3817.3799999999992</v>
      </c>
      <c r="P52" s="170">
        <f t="shared" ref="P52:X52" si="12">P51*$N$52</f>
        <v>3262.3500000000004</v>
      </c>
      <c r="Q52" s="158">
        <f t="shared" si="12"/>
        <v>3306.5200000000004</v>
      </c>
      <c r="R52" s="158">
        <f t="shared" si="12"/>
        <v>3482.5699999999997</v>
      </c>
      <c r="S52" s="170">
        <f t="shared" si="12"/>
        <v>3333.8900000000003</v>
      </c>
      <c r="T52" s="170">
        <f t="shared" si="12"/>
        <v>3511.9000000000005</v>
      </c>
      <c r="U52" s="170">
        <f t="shared" si="12"/>
        <v>2923.0600000000004</v>
      </c>
      <c r="V52" s="170">
        <f t="shared" si="12"/>
        <v>3027.71</v>
      </c>
      <c r="W52" s="158">
        <f t="shared" si="12"/>
        <v>2558.36</v>
      </c>
      <c r="X52" s="170">
        <f t="shared" si="12"/>
        <v>2297.61</v>
      </c>
    </row>
    <row r="53" spans="1:26" s="5" customFormat="1" ht="15" hidden="1" customHeight="1" x14ac:dyDescent="0.25">
      <c r="A53" s="38"/>
      <c r="B53" s="38"/>
      <c r="L53" s="219" t="s">
        <v>95</v>
      </c>
      <c r="M53" s="220"/>
      <c r="N53" s="159">
        <v>0.3</v>
      </c>
      <c r="O53" s="158">
        <f>O51*$N$53</f>
        <v>2290.4279999999994</v>
      </c>
      <c r="P53" s="170">
        <f t="shared" ref="P53:X53" si="13">P51*$N$53</f>
        <v>1957.41</v>
      </c>
      <c r="Q53" s="158">
        <f t="shared" si="13"/>
        <v>1983.9120000000003</v>
      </c>
      <c r="R53" s="158">
        <f t="shared" si="13"/>
        <v>2089.5419999999999</v>
      </c>
      <c r="S53" s="170">
        <f t="shared" si="13"/>
        <v>2000.3340000000001</v>
      </c>
      <c r="T53" s="170">
        <f t="shared" si="13"/>
        <v>2107.1400000000003</v>
      </c>
      <c r="U53" s="170">
        <f t="shared" si="13"/>
        <v>1753.8360000000002</v>
      </c>
      <c r="V53" s="170">
        <f t="shared" si="13"/>
        <v>1816.626</v>
      </c>
      <c r="W53" s="158">
        <f t="shared" si="13"/>
        <v>1535.0160000000001</v>
      </c>
      <c r="X53" s="170">
        <f t="shared" si="13"/>
        <v>1378.566</v>
      </c>
    </row>
    <row r="54" spans="1:26" s="5" customFormat="1" ht="15" hidden="1" customHeight="1" x14ac:dyDescent="0.25">
      <c r="A54" s="34"/>
      <c r="B54" s="34"/>
      <c r="C54" s="34"/>
      <c r="D54" s="40"/>
      <c r="L54" s="219" t="s">
        <v>96</v>
      </c>
      <c r="M54" s="220"/>
      <c r="N54" s="159">
        <v>0.2</v>
      </c>
      <c r="O54" s="158">
        <f>O51*$N$54</f>
        <v>1526.9519999999998</v>
      </c>
      <c r="P54" s="170">
        <f t="shared" ref="P54:X54" si="14">P51*$N$54</f>
        <v>1304.9400000000003</v>
      </c>
      <c r="Q54" s="158">
        <f t="shared" si="14"/>
        <v>1322.6080000000002</v>
      </c>
      <c r="R54" s="158">
        <f t="shared" si="14"/>
        <v>1393.028</v>
      </c>
      <c r="S54" s="170">
        <f t="shared" si="14"/>
        <v>1333.5560000000003</v>
      </c>
      <c r="T54" s="170">
        <f t="shared" si="14"/>
        <v>1404.7600000000002</v>
      </c>
      <c r="U54" s="170">
        <f t="shared" si="14"/>
        <v>1169.2240000000002</v>
      </c>
      <c r="V54" s="170">
        <f t="shared" si="14"/>
        <v>1211.0840000000001</v>
      </c>
      <c r="W54" s="158">
        <f t="shared" si="14"/>
        <v>1023.3440000000001</v>
      </c>
      <c r="X54" s="170">
        <f t="shared" si="14"/>
        <v>919.0440000000001</v>
      </c>
    </row>
    <row r="55" spans="1:26" s="5" customFormat="1" x14ac:dyDescent="0.25">
      <c r="A55" s="34" t="s">
        <v>26</v>
      </c>
      <c r="B55" s="34"/>
      <c r="C55" s="34"/>
      <c r="D55" s="40" t="s">
        <v>28</v>
      </c>
      <c r="N55" s="6"/>
      <c r="O55" s="139">
        <f>O48+O49+O50+O51</f>
        <v>36947.445040000006</v>
      </c>
      <c r="P55" s="16">
        <f t="shared" ref="P55:X55" si="15">P48+P49+P50+P51</f>
        <v>34904.354200000002</v>
      </c>
      <c r="Q55" s="139">
        <f t="shared" si="15"/>
        <v>34160.710040000005</v>
      </c>
      <c r="R55" s="139">
        <f t="shared" si="15"/>
        <v>32767.482960000001</v>
      </c>
      <c r="S55" s="16">
        <f t="shared" si="15"/>
        <v>31374.676720000003</v>
      </c>
      <c r="T55" s="16">
        <f t="shared" si="15"/>
        <v>29981.309220000003</v>
      </c>
      <c r="U55" s="16">
        <f t="shared" si="15"/>
        <v>28830.166219999999</v>
      </c>
      <c r="V55" s="16">
        <f t="shared" si="15"/>
        <v>28744.530180000002</v>
      </c>
      <c r="W55" s="139">
        <f t="shared" si="15"/>
        <v>25801.768400000001</v>
      </c>
      <c r="X55" s="16">
        <f t="shared" si="15"/>
        <v>23845.727460000002</v>
      </c>
    </row>
    <row r="56" spans="1:26" x14ac:dyDescent="0.25">
      <c r="A56" s="5" t="s">
        <v>30</v>
      </c>
      <c r="B56" s="5"/>
      <c r="C56" s="5"/>
      <c r="D56" s="5">
        <v>45.41</v>
      </c>
      <c r="M56" s="142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  <c r="Z56" s="142"/>
    </row>
    <row r="57" spans="1:26" x14ac:dyDescent="0.25">
      <c r="A57" s="5" t="s">
        <v>31</v>
      </c>
      <c r="B57" s="5"/>
      <c r="C57" s="5"/>
      <c r="D57" s="5">
        <v>37.03</v>
      </c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6" x14ac:dyDescent="0.25">
      <c r="A58" t="s">
        <v>19</v>
      </c>
      <c r="D58" s="5">
        <v>28.02</v>
      </c>
    </row>
    <row r="59" spans="1:26" s="5" customFormat="1" x14ac:dyDescent="0.25">
      <c r="A59" t="s">
        <v>20</v>
      </c>
      <c r="B59"/>
      <c r="C59"/>
      <c r="D59" s="5">
        <v>19.07</v>
      </c>
      <c r="E59" s="34"/>
      <c r="F59" s="34"/>
      <c r="H59" s="35"/>
      <c r="I59" s="35"/>
      <c r="J59" s="36" t="s">
        <v>23</v>
      </c>
      <c r="K59" s="35"/>
      <c r="L59" s="35"/>
      <c r="M59" s="35"/>
      <c r="N59" s="35"/>
      <c r="O59" s="35"/>
      <c r="P59" s="35"/>
      <c r="Q59" s="35"/>
      <c r="R59" s="35"/>
      <c r="T59" s="141"/>
    </row>
    <row r="60" spans="1:26" s="5" customFormat="1" x14ac:dyDescent="0.25">
      <c r="A60" s="34" t="s">
        <v>90</v>
      </c>
      <c r="B60" s="34"/>
      <c r="C60" s="34"/>
      <c r="D60" s="34"/>
      <c r="H60" s="35"/>
      <c r="I60" s="35"/>
      <c r="J60" s="39" t="s">
        <v>25</v>
      </c>
      <c r="K60" s="35"/>
      <c r="L60" s="35"/>
      <c r="M60" s="35"/>
      <c r="N60" s="35"/>
      <c r="O60" s="35"/>
      <c r="P60" s="35"/>
      <c r="Q60" s="35"/>
      <c r="R60" s="35"/>
    </row>
    <row r="61" spans="1:26" s="5" customFormat="1" x14ac:dyDescent="0.25">
      <c r="A61" s="38" t="s">
        <v>24</v>
      </c>
      <c r="B61" s="38"/>
      <c r="H61" s="35"/>
      <c r="I61" s="35"/>
      <c r="J61" s="41"/>
      <c r="K61" s="35"/>
      <c r="L61" s="35"/>
      <c r="M61" s="42" t="s">
        <v>29</v>
      </c>
      <c r="N61" s="35"/>
      <c r="O61" s="35"/>
      <c r="P61" s="35"/>
      <c r="Q61" s="35"/>
      <c r="R61" s="35"/>
    </row>
    <row r="62" spans="1:26" s="5" customFormat="1" x14ac:dyDescent="0.25">
      <c r="A62" s="34" t="s">
        <v>26</v>
      </c>
      <c r="B62" s="34"/>
      <c r="C62" s="40" t="s">
        <v>27</v>
      </c>
      <c r="D62" s="40" t="s">
        <v>28</v>
      </c>
      <c r="H62" s="35"/>
      <c r="I62" s="35"/>
      <c r="J62" s="41"/>
      <c r="K62" s="35"/>
      <c r="L62" s="35"/>
      <c r="M62" s="35"/>
      <c r="N62" s="35"/>
      <c r="O62" s="35"/>
      <c r="P62" s="35"/>
      <c r="Q62" s="35"/>
      <c r="R62" s="35"/>
    </row>
    <row r="63" spans="1:26" s="5" customFormat="1" x14ac:dyDescent="0.25">
      <c r="A63" s="5" t="s">
        <v>30</v>
      </c>
      <c r="C63" s="5">
        <v>728.13</v>
      </c>
      <c r="D63" s="5">
        <v>28.02</v>
      </c>
      <c r="H63" s="35"/>
      <c r="I63" s="35"/>
      <c r="J63" s="41"/>
      <c r="K63" s="35"/>
      <c r="L63" s="35"/>
      <c r="M63" s="35" t="s">
        <v>32</v>
      </c>
      <c r="N63" s="35"/>
      <c r="O63" s="35"/>
      <c r="P63" s="35">
        <v>43.5</v>
      </c>
      <c r="Q63" s="35"/>
      <c r="R63" s="35"/>
    </row>
    <row r="64" spans="1:26" s="5" customFormat="1" x14ac:dyDescent="0.25">
      <c r="A64" s="5" t="s">
        <v>31</v>
      </c>
      <c r="C64" s="5">
        <v>744.11</v>
      </c>
      <c r="D64" s="5">
        <v>27</v>
      </c>
      <c r="H64" s="35"/>
      <c r="I64" s="35"/>
      <c r="J64" s="41"/>
      <c r="K64" s="35"/>
      <c r="L64" s="35"/>
      <c r="M64" s="35" t="s">
        <v>33</v>
      </c>
      <c r="N64" s="35"/>
      <c r="O64" s="35"/>
      <c r="P64" s="35">
        <v>136.30000000000001</v>
      </c>
      <c r="Q64" s="35"/>
      <c r="R64" s="35"/>
    </row>
    <row r="65" spans="1:18" s="5" customFormat="1" x14ac:dyDescent="0.25">
      <c r="A65" s="5" t="s">
        <v>19</v>
      </c>
      <c r="C65" s="5">
        <v>662.1</v>
      </c>
      <c r="D65" s="5">
        <v>24.2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20</v>
      </c>
      <c r="C66" s="5">
        <v>631.76</v>
      </c>
      <c r="D66" s="5">
        <v>18.89</v>
      </c>
      <c r="H66" s="35"/>
      <c r="I66" s="35"/>
      <c r="J66" s="41"/>
      <c r="K66" s="35"/>
      <c r="L66" s="35"/>
      <c r="M66" s="42" t="s">
        <v>34</v>
      </c>
      <c r="N66" s="35"/>
      <c r="O66" s="35"/>
      <c r="P66" s="35"/>
      <c r="Q66" s="43" t="s">
        <v>35</v>
      </c>
      <c r="R66" s="43" t="s">
        <v>36</v>
      </c>
    </row>
    <row r="67" spans="1:18" s="5" customFormat="1" x14ac:dyDescent="0.25">
      <c r="H67" s="35"/>
      <c r="I67" s="35"/>
      <c r="J67" s="41"/>
      <c r="K67" s="35"/>
      <c r="L67" s="35"/>
      <c r="M67" s="35" t="s">
        <v>37</v>
      </c>
      <c r="N67" s="35"/>
      <c r="O67" s="35"/>
      <c r="P67" s="44">
        <v>0.25700000000000001</v>
      </c>
      <c r="Q67" s="35">
        <v>0.19</v>
      </c>
      <c r="R67" s="44">
        <v>6.7000000000000004E-2</v>
      </c>
    </row>
    <row r="68" spans="1:18" s="5" customFormat="1" x14ac:dyDescent="0.25">
      <c r="H68" s="35"/>
      <c r="I68" s="35"/>
      <c r="J68" s="41"/>
      <c r="K68" s="35"/>
      <c r="L68" s="35"/>
      <c r="M68" s="35" t="s">
        <v>39</v>
      </c>
      <c r="N68" s="35"/>
      <c r="O68" s="35"/>
      <c r="P68" s="35">
        <v>9.2100000000000009</v>
      </c>
      <c r="Q68" s="35">
        <v>0</v>
      </c>
      <c r="R68" s="35">
        <v>9.2100000000000009</v>
      </c>
    </row>
    <row r="69" spans="1:18" s="5" customFormat="1" x14ac:dyDescent="0.25"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s="5" customFormat="1" x14ac:dyDescent="0.25"/>
    <row r="71" spans="1:18" s="5" customFormat="1" x14ac:dyDescent="0.25"/>
    <row r="72" spans="1:18" s="5" customFormat="1" x14ac:dyDescent="0.25"/>
  </sheetData>
  <mergeCells count="1">
    <mergeCell ref="A1:K1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opLeftCell="A46" workbookViewId="0">
      <selection activeCell="F63" sqref="F63"/>
    </sheetView>
  </sheetViews>
  <sheetFormatPr baseColWidth="10" defaultRowHeight="15" x14ac:dyDescent="0.25"/>
  <cols>
    <col min="1" max="1" width="22.85546875" customWidth="1"/>
    <col min="2" max="2" width="11.42578125" style="46"/>
    <col min="3" max="3" width="14.5703125" customWidth="1"/>
    <col min="4" max="6" width="14.140625" customWidth="1"/>
    <col min="7" max="7" width="15.7109375" customWidth="1"/>
    <col min="11" max="11" width="14.85546875" customWidth="1"/>
    <col min="14" max="14" width="12.85546875" hidden="1" customWidth="1"/>
  </cols>
  <sheetData>
    <row r="1" spans="1:17" ht="21" x14ac:dyDescent="0.35">
      <c r="A1" s="272" t="s">
        <v>143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7" ht="53.25" customHeight="1" x14ac:dyDescent="0.25">
      <c r="A2" s="231" t="s">
        <v>89</v>
      </c>
      <c r="B2" s="232"/>
      <c r="C2" s="232"/>
      <c r="D2" s="232"/>
      <c r="E2" s="232"/>
      <c r="F2" s="232"/>
      <c r="G2" s="232"/>
      <c r="H2" s="232"/>
      <c r="I2" s="233"/>
      <c r="J2" s="256" t="s">
        <v>145</v>
      </c>
      <c r="K2" s="257"/>
      <c r="L2" s="233"/>
      <c r="M2" s="50" t="s">
        <v>44</v>
      </c>
    </row>
    <row r="3" spans="1:17" x14ac:dyDescent="0.25">
      <c r="A3" s="47"/>
      <c r="B3" s="51"/>
      <c r="C3" s="49"/>
      <c r="G3" s="6" t="s">
        <v>146</v>
      </c>
      <c r="H3" s="237" t="s">
        <v>45</v>
      </c>
      <c r="I3" s="53"/>
      <c r="M3" s="54"/>
      <c r="N3" s="55" t="s">
        <v>46</v>
      </c>
    </row>
    <row r="4" spans="1:17" x14ac:dyDescent="0.25">
      <c r="A4" s="47" t="s">
        <v>47</v>
      </c>
      <c r="B4" s="51"/>
      <c r="C4" s="143" t="s">
        <v>48</v>
      </c>
      <c r="H4" s="238" t="s">
        <v>49</v>
      </c>
      <c r="M4" s="54"/>
    </row>
    <row r="5" spans="1:17" s="5" customFormat="1" x14ac:dyDescent="0.25">
      <c r="B5" s="46"/>
      <c r="C5" s="6">
        <v>5935.37</v>
      </c>
      <c r="D5" s="145"/>
      <c r="E5" s="145"/>
      <c r="F5" s="145"/>
      <c r="G5" s="145"/>
      <c r="H5" s="6">
        <v>5935.37</v>
      </c>
      <c r="I5" s="6"/>
      <c r="J5" s="6">
        <f>H5</f>
        <v>5935.37</v>
      </c>
      <c r="K5" s="60"/>
      <c r="L5" s="60"/>
      <c r="M5" s="61">
        <f>J5*14</f>
        <v>83095.179999999993</v>
      </c>
      <c r="N5" s="6">
        <v>77875.42</v>
      </c>
    </row>
    <row r="6" spans="1:17" x14ac:dyDescent="0.25">
      <c r="C6" s="146"/>
      <c r="D6" s="142"/>
      <c r="E6" s="142"/>
      <c r="F6" s="142"/>
      <c r="G6" s="142"/>
      <c r="H6" s="141"/>
      <c r="M6" s="54"/>
    </row>
    <row r="7" spans="1:17" x14ac:dyDescent="0.25">
      <c r="A7" s="62" t="s">
        <v>50</v>
      </c>
      <c r="M7" s="54"/>
    </row>
    <row r="8" spans="1:17" x14ac:dyDescent="0.25">
      <c r="A8" s="63"/>
      <c r="B8" s="64"/>
      <c r="C8" s="65" t="s">
        <v>51</v>
      </c>
      <c r="D8" s="235"/>
      <c r="E8" s="236"/>
      <c r="F8" s="236"/>
      <c r="G8" s="65" t="s">
        <v>53</v>
      </c>
      <c r="H8" s="237" t="s">
        <v>45</v>
      </c>
      <c r="I8" s="66"/>
      <c r="J8" s="237" t="s">
        <v>51</v>
      </c>
      <c r="K8" s="67" t="s">
        <v>53</v>
      </c>
      <c r="L8" s="67" t="s">
        <v>45</v>
      </c>
      <c r="M8" s="68" t="s">
        <v>54</v>
      </c>
      <c r="N8" s="69"/>
    </row>
    <row r="9" spans="1:17" s="5" customFormat="1" x14ac:dyDescent="0.25">
      <c r="A9" s="70" t="s">
        <v>55</v>
      </c>
      <c r="B9" s="71" t="s">
        <v>56</v>
      </c>
      <c r="C9" s="72" t="s">
        <v>57</v>
      </c>
      <c r="D9" s="247">
        <v>0.5</v>
      </c>
      <c r="E9" s="248">
        <v>0.3</v>
      </c>
      <c r="F9" s="248">
        <v>0.2</v>
      </c>
      <c r="G9" s="72" t="s">
        <v>59</v>
      </c>
      <c r="H9" s="73" t="s">
        <v>49</v>
      </c>
      <c r="I9" s="74"/>
      <c r="J9" s="73" t="s">
        <v>57</v>
      </c>
      <c r="K9" s="75" t="s">
        <v>59</v>
      </c>
      <c r="L9" s="75" t="s">
        <v>49</v>
      </c>
      <c r="M9" s="76" t="s">
        <v>60</v>
      </c>
      <c r="N9" s="73" t="s">
        <v>61</v>
      </c>
    </row>
    <row r="10" spans="1:17" s="5" customFormat="1" ht="39" customHeight="1" x14ac:dyDescent="0.25">
      <c r="A10" s="84"/>
      <c r="B10" s="71"/>
      <c r="C10" s="72"/>
      <c r="D10" s="161" t="s">
        <v>99</v>
      </c>
      <c r="E10" s="161" t="s">
        <v>100</v>
      </c>
      <c r="F10" s="161" t="s">
        <v>102</v>
      </c>
      <c r="G10" s="72"/>
      <c r="H10" s="73"/>
      <c r="I10" s="74"/>
      <c r="J10" s="73"/>
      <c r="K10" s="75"/>
      <c r="L10" s="75"/>
      <c r="M10" s="76"/>
      <c r="N10" s="73"/>
    </row>
    <row r="11" spans="1:17" s="5" customFormat="1" x14ac:dyDescent="0.25">
      <c r="B11" s="77">
        <v>28</v>
      </c>
      <c r="C11" s="6">
        <v>1203.56</v>
      </c>
      <c r="D11" s="155">
        <f>('0,3+2% ANY FUN'!$E$11/14)*$D$9</f>
        <v>499.84079999999994</v>
      </c>
      <c r="E11" s="155">
        <f>('0,3+2% ANY FUN'!$E$11/14)*$E$9</f>
        <v>299.90447999999998</v>
      </c>
      <c r="F11" s="155">
        <f>('0,3+2% ANY FUN'!$E$11/14)*$F$9</f>
        <v>199.93631999999999</v>
      </c>
      <c r="G11" s="5">
        <v>4105.07</v>
      </c>
      <c r="H11" s="6">
        <f t="shared" ref="H11:H19" si="0">G11+C11</f>
        <v>5308.6299999999992</v>
      </c>
      <c r="J11" s="6">
        <v>742.7</v>
      </c>
      <c r="K11" s="6">
        <v>4105.07</v>
      </c>
      <c r="L11" s="6">
        <f>J11+K11</f>
        <v>4847.7699999999995</v>
      </c>
      <c r="M11" s="139">
        <f t="shared" ref="M11:M19" si="1">ROUND((H11*12)+(L11*2),2)</f>
        <v>73399.100000000006</v>
      </c>
      <c r="N11" s="6">
        <v>69804.346292174989</v>
      </c>
      <c r="Q11" s="90"/>
    </row>
    <row r="12" spans="1:17" s="5" customFormat="1" x14ac:dyDescent="0.25">
      <c r="B12" s="77">
        <v>27</v>
      </c>
      <c r="C12" s="6">
        <v>1203.56</v>
      </c>
      <c r="D12" s="155">
        <f>('0,3+2% ANY FUN'!F11/14)*$D$9</f>
        <v>419.58720000000005</v>
      </c>
      <c r="E12" s="155">
        <f>('0,3+2% ANY FUN'!G11/14)*$E$9</f>
        <v>223.73802000000003</v>
      </c>
      <c r="F12" s="155">
        <f>('0,3+2% ANY FUN'!H11/14)*$F$9</f>
        <v>149.20968000000002</v>
      </c>
      <c r="G12" s="6">
        <v>3485.0737596000004</v>
      </c>
      <c r="H12" s="6">
        <f t="shared" si="0"/>
        <v>4688.6337596000003</v>
      </c>
      <c r="J12" s="6">
        <v>742.7</v>
      </c>
      <c r="K12" s="6">
        <v>3485.0737596000004</v>
      </c>
      <c r="L12" s="6">
        <f t="shared" ref="L12:L19" si="2">J12+K12</f>
        <v>4227.7737596000006</v>
      </c>
      <c r="M12" s="139">
        <f t="shared" si="1"/>
        <v>64719.15</v>
      </c>
      <c r="N12" s="6">
        <v>61549.553992546993</v>
      </c>
    </row>
    <row r="13" spans="1:17" s="5" customFormat="1" x14ac:dyDescent="0.25">
      <c r="B13" s="83">
        <v>26</v>
      </c>
      <c r="C13" s="7">
        <v>1203.56</v>
      </c>
      <c r="D13" s="167">
        <f>('0,3+2% ANY FUN'!G11/14)*$D$9</f>
        <v>372.89670000000007</v>
      </c>
      <c r="E13" s="167">
        <f>('0,3+2% ANY FUN'!H11/14)*$E$9</f>
        <v>223.81451999999999</v>
      </c>
      <c r="F13" s="167">
        <f>('0,3+2% ANY FUN'!I11/14)*$F$9</f>
        <v>145.96200000000002</v>
      </c>
      <c r="G13" s="7">
        <f>'0,3+2% MES FUN'!G11*12/14+'0,3+2% MES FUN'!G10+'0,3+2% MES FUN'!G9</f>
        <v>3062.9943579000001</v>
      </c>
      <c r="H13" s="7">
        <f t="shared" si="0"/>
        <v>4266.5543579000005</v>
      </c>
      <c r="I13" s="13"/>
      <c r="J13" s="7">
        <v>742.7</v>
      </c>
      <c r="K13" s="7">
        <v>3062.9943579000001</v>
      </c>
      <c r="L13" s="7">
        <f t="shared" si="2"/>
        <v>3805.6943578999999</v>
      </c>
      <c r="M13" s="16">
        <f t="shared" si="1"/>
        <v>58810.04</v>
      </c>
      <c r="N13" s="6">
        <v>55928.572541755995</v>
      </c>
    </row>
    <row r="14" spans="1:17" s="5" customFormat="1" x14ac:dyDescent="0.25">
      <c r="B14" s="77">
        <v>25</v>
      </c>
      <c r="C14" s="6">
        <v>1203.56</v>
      </c>
      <c r="D14" s="155">
        <f>('0,3+2% ANY FUN'!H11/14)*$D$9</f>
        <v>373.02420000000001</v>
      </c>
      <c r="E14" s="155">
        <f>('0,3+2% ANY FUN'!I11/14)*$E$9</f>
        <v>218.94300000000001</v>
      </c>
      <c r="F14" s="155">
        <f>('0,3+2% ANY FUN'!J11/14)*$F$9</f>
        <v>143.33243999999999</v>
      </c>
      <c r="G14" s="6">
        <f>'0,3+2% MES FUN'!H11*12/14+'0,3+2% MES FUN'!H10+'0,3+2% MES FUN'!H9</f>
        <v>2972.9958971999999</v>
      </c>
      <c r="H14" s="6">
        <f t="shared" si="0"/>
        <v>4176.5558971999999</v>
      </c>
      <c r="J14" s="6">
        <v>742.7</v>
      </c>
      <c r="K14" s="6">
        <v>2972.9958971999999</v>
      </c>
      <c r="L14" s="6">
        <f>J14+K14</f>
        <v>3715.6958972000002</v>
      </c>
      <c r="M14" s="139">
        <f t="shared" si="1"/>
        <v>57550.06</v>
      </c>
      <c r="N14" s="6">
        <v>54730.371757706489</v>
      </c>
    </row>
    <row r="15" spans="1:17" s="5" customFormat="1" x14ac:dyDescent="0.25">
      <c r="B15" s="77">
        <v>24</v>
      </c>
      <c r="C15" s="6">
        <v>1203.56</v>
      </c>
      <c r="D15" s="155">
        <f>('0,3+2% ANY FUN'!I11/14)*$D$9</f>
        <v>364.90500000000003</v>
      </c>
      <c r="E15" s="155">
        <f>('0,3+2% ANY FUN'!J11/14)*$E$9</f>
        <v>214.99866</v>
      </c>
      <c r="F15" s="155">
        <f>('0,3+2% ANY FUN'!K11/14)*$F$9</f>
        <v>141.34344000000002</v>
      </c>
      <c r="G15" s="6">
        <f>'0,3+2% MES FUN'!I11*12/14+'0,3+2% MES FUN'!I10+'0,3+2% MES FUN'!I9</f>
        <v>2877.9455040000003</v>
      </c>
      <c r="H15" s="6">
        <f t="shared" si="0"/>
        <v>4081.5055040000002</v>
      </c>
      <c r="J15" s="6">
        <v>742.7</v>
      </c>
      <c r="K15" s="6">
        <v>2877.9455040000003</v>
      </c>
      <c r="L15" s="6">
        <f t="shared" si="2"/>
        <v>3620.6455040000001</v>
      </c>
      <c r="M15" s="139">
        <f t="shared" si="1"/>
        <v>56219.360000000001</v>
      </c>
      <c r="N15" s="6">
        <v>53464.693857901992</v>
      </c>
    </row>
    <row r="16" spans="1:17" s="5" customFormat="1" x14ac:dyDescent="0.25">
      <c r="B16" s="77">
        <v>23</v>
      </c>
      <c r="C16" s="6">
        <v>1203.56</v>
      </c>
      <c r="D16" s="155">
        <f>('0,3+2% ANY FUN'!J11/14)*$D$9</f>
        <v>358.33109999999999</v>
      </c>
      <c r="E16" s="155">
        <f>('0,3+2% ANY FUN'!K11/14)*$E$9</f>
        <v>212.01516000000001</v>
      </c>
      <c r="F16" s="155">
        <f>('0,3+2% ANY FUN'!L11/14)*$F$9</f>
        <v>131.61467999999999</v>
      </c>
      <c r="G16" s="6">
        <f>'0,3+2% MES FUN'!J11*12/14+'0,3+2% MES FUN'!J10+'0,3+2% MES FUN'!J9</f>
        <v>2798.4471681</v>
      </c>
      <c r="H16" s="6">
        <f t="shared" si="0"/>
        <v>4002.0071680999999</v>
      </c>
      <c r="J16" s="6">
        <v>742.7</v>
      </c>
      <c r="K16" s="6">
        <v>2798.4471681</v>
      </c>
      <c r="L16" s="6">
        <f t="shared" si="2"/>
        <v>3541.1471681000003</v>
      </c>
      <c r="M16" s="139">
        <f t="shared" si="1"/>
        <v>55106.38</v>
      </c>
      <c r="N16" s="6">
        <v>52405.716265746982</v>
      </c>
    </row>
    <row r="17" spans="1:15" s="5" customFormat="1" x14ac:dyDescent="0.25">
      <c r="B17" s="77">
        <v>22</v>
      </c>
      <c r="C17" s="6">
        <v>1203.56</v>
      </c>
      <c r="D17" s="155">
        <f>('0,3+2% ANY FUN'!K11/14)*$D$9</f>
        <v>353.35860000000002</v>
      </c>
      <c r="E17" s="155">
        <f>('0,3+2% ANY FUN'!L11/14)*$E$9</f>
        <v>197.42201999999995</v>
      </c>
      <c r="F17" s="155">
        <f>('0,3+2% ANY FUN'!M11/14)*$F$9</f>
        <v>122.78148000000002</v>
      </c>
      <c r="G17" s="6">
        <f>'0,3+2% MES FUN'!K11*12/14+'0,3+2% MES FUN'!K10+'0,3+2% MES FUN'!K9</f>
        <v>2722.1014584</v>
      </c>
      <c r="H17" s="6">
        <f t="shared" si="0"/>
        <v>3925.6614583999999</v>
      </c>
      <c r="J17" s="6">
        <v>742.7</v>
      </c>
      <c r="K17" s="6">
        <v>2722.1014584</v>
      </c>
      <c r="L17" s="6">
        <f t="shared" si="2"/>
        <v>3464.8014584000002</v>
      </c>
      <c r="M17" s="139">
        <f t="shared" si="1"/>
        <v>54037.54</v>
      </c>
      <c r="N17" s="6">
        <v>51389.152860637994</v>
      </c>
    </row>
    <row r="18" spans="1:15" s="5" customFormat="1" x14ac:dyDescent="0.25">
      <c r="B18" s="77">
        <v>21</v>
      </c>
      <c r="C18" s="6">
        <v>1203.56</v>
      </c>
      <c r="D18" s="155">
        <f>('0,3+2% ANY FUN'!L11/14)*$D$9</f>
        <v>329.03669999999994</v>
      </c>
      <c r="E18" s="155">
        <f>('0,3+2% ANY FUN'!M11/14)*$E$9</f>
        <v>184.17222000000001</v>
      </c>
      <c r="F18" s="155">
        <f>('0,3+2% ANY FUN'!N11/14)*$F$9</f>
        <v>118.5954</v>
      </c>
      <c r="G18" s="6">
        <f>'0,3+2% MES FUN'!L11*12/14+'0,3+2% MES FUN'!L10+'0,3+2% MES FUN'!L9</f>
        <v>2521.8540638999998</v>
      </c>
      <c r="H18" s="6">
        <f t="shared" si="0"/>
        <v>3725.4140638999997</v>
      </c>
      <c r="J18" s="6">
        <v>742.7</v>
      </c>
      <c r="K18" s="6">
        <v>2521.8540638999998</v>
      </c>
      <c r="L18" s="6">
        <f t="shared" si="2"/>
        <v>3264.5540639000001</v>
      </c>
      <c r="M18" s="139">
        <f t="shared" si="1"/>
        <v>51234.080000000002</v>
      </c>
      <c r="N18" s="6">
        <v>48722.429704320508</v>
      </c>
    </row>
    <row r="19" spans="1:15" s="5" customFormat="1" x14ac:dyDescent="0.25">
      <c r="B19" s="77">
        <v>20</v>
      </c>
      <c r="C19" s="6">
        <v>1203.56</v>
      </c>
      <c r="D19" s="155">
        <f>('0,3+2% ANY FUN'!M11/14)*$D$9</f>
        <v>306.95370000000003</v>
      </c>
      <c r="E19" s="155">
        <f>('0,3+2% ANY FUN'!N11/14)*$E$9</f>
        <v>177.89309999999998</v>
      </c>
      <c r="F19" s="155">
        <f>('0,3+2% ANY FUN'!O11/14)*$F$9</f>
        <v>101.1024</v>
      </c>
      <c r="G19" s="6">
        <f>'0,3+2% MES FUN'!M11*12/14+'0,3+2% MES FUN'!M10+'0,3+2% MES FUN'!M9</f>
        <v>2326.9185896999998</v>
      </c>
      <c r="H19" s="6">
        <f t="shared" si="0"/>
        <v>3530.4785896999997</v>
      </c>
      <c r="J19" s="6">
        <v>742.7</v>
      </c>
      <c r="K19" s="6">
        <v>2326.9185896999998</v>
      </c>
      <c r="L19" s="6">
        <f t="shared" si="2"/>
        <v>3069.6185896999996</v>
      </c>
      <c r="M19" s="139">
        <f t="shared" si="1"/>
        <v>48504.98</v>
      </c>
      <c r="N19" s="6">
        <v>46126.764082144997</v>
      </c>
    </row>
    <row r="20" spans="1:15" s="5" customFormat="1" x14ac:dyDescent="0.25">
      <c r="B20" s="46"/>
      <c r="M20" s="78"/>
    </row>
    <row r="21" spans="1:15" x14ac:dyDescent="0.25">
      <c r="A21" s="62" t="s">
        <v>62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78"/>
      <c r="N21" s="5">
        <v>98.230080000000015</v>
      </c>
    </row>
    <row r="22" spans="1:15" x14ac:dyDescent="0.25">
      <c r="A22" s="63"/>
      <c r="B22" s="79"/>
      <c r="C22" s="237" t="s">
        <v>51</v>
      </c>
      <c r="D22" s="235"/>
      <c r="E22" s="236"/>
      <c r="F22" s="236"/>
      <c r="G22" s="237" t="s">
        <v>53</v>
      </c>
      <c r="H22" s="237" t="s">
        <v>45</v>
      </c>
      <c r="I22" s="80"/>
      <c r="J22" s="237" t="s">
        <v>51</v>
      </c>
      <c r="K22" s="237" t="s">
        <v>53</v>
      </c>
      <c r="L22" s="237" t="s">
        <v>45</v>
      </c>
      <c r="M22" s="68" t="s">
        <v>54</v>
      </c>
      <c r="N22" s="81"/>
    </row>
    <row r="23" spans="1:15" x14ac:dyDescent="0.25">
      <c r="A23" s="82" t="s">
        <v>63</v>
      </c>
      <c r="B23" s="71" t="s">
        <v>56</v>
      </c>
      <c r="C23" s="239" t="s">
        <v>57</v>
      </c>
      <c r="D23" s="247">
        <v>0.5</v>
      </c>
      <c r="E23" s="248">
        <v>0.3</v>
      </c>
      <c r="F23" s="248">
        <v>0.2</v>
      </c>
      <c r="G23" s="239" t="s">
        <v>59</v>
      </c>
      <c r="H23" s="239" t="s">
        <v>49</v>
      </c>
      <c r="I23" s="80"/>
      <c r="J23" s="239" t="s">
        <v>57</v>
      </c>
      <c r="K23" s="239" t="s">
        <v>59</v>
      </c>
      <c r="L23" s="239" t="s">
        <v>49</v>
      </c>
      <c r="M23" s="76" t="s">
        <v>60</v>
      </c>
      <c r="N23" s="239" t="s">
        <v>61</v>
      </c>
    </row>
    <row r="24" spans="1:15" ht="45" customHeight="1" x14ac:dyDescent="0.25">
      <c r="A24" s="105"/>
      <c r="B24" s="71"/>
      <c r="C24" s="239"/>
      <c r="D24" s="161" t="s">
        <v>99</v>
      </c>
      <c r="E24" s="161" t="s">
        <v>100</v>
      </c>
      <c r="F24" s="161" t="s">
        <v>102</v>
      </c>
      <c r="G24" s="239"/>
      <c r="H24" s="239"/>
      <c r="I24" s="80"/>
      <c r="J24" s="239"/>
      <c r="K24" s="239"/>
      <c r="L24" s="239"/>
      <c r="M24" s="76"/>
      <c r="N24" s="239"/>
    </row>
    <row r="25" spans="1:15" s="141" customFormat="1" x14ac:dyDescent="0.25">
      <c r="B25" s="89">
        <v>27</v>
      </c>
      <c r="C25" s="104">
        <v>1040.69</v>
      </c>
      <c r="D25" s="155">
        <f>('0,3+2% ANY FUN'!F23/14)*$D$9</f>
        <v>489.93150000000009</v>
      </c>
      <c r="E25" s="155"/>
      <c r="F25" s="155">
        <f>('0,3+2% ANY FUN'!F23/14)*$F$9</f>
        <v>195.97260000000006</v>
      </c>
      <c r="G25" s="6">
        <v>3335.8514061000001</v>
      </c>
      <c r="H25" s="6">
        <v>4376.5414061000001</v>
      </c>
      <c r="J25" s="104">
        <v>759</v>
      </c>
      <c r="K25" s="6">
        <v>3335.8514061000001</v>
      </c>
      <c r="L25" s="6">
        <v>4094.8514061000001</v>
      </c>
      <c r="M25" s="139">
        <v>60708.2</v>
      </c>
      <c r="N25" s="104">
        <v>57734.97942799599</v>
      </c>
    </row>
    <row r="26" spans="1:15" s="5" customFormat="1" x14ac:dyDescent="0.25">
      <c r="B26" s="89">
        <v>26</v>
      </c>
      <c r="C26" s="104">
        <v>1040.69</v>
      </c>
      <c r="D26" s="155">
        <f>('0,3+2% ANY FUN'!G23/14)*$D$9</f>
        <v>361.28399999999999</v>
      </c>
      <c r="E26" s="155"/>
      <c r="F26" s="155">
        <f>('0,3+2% ANY FUN'!G23/14)*$F$9</f>
        <v>144.5136</v>
      </c>
      <c r="G26" s="6">
        <f>H26-C26</f>
        <v>3232.6</v>
      </c>
      <c r="H26" s="6">
        <v>4273.29</v>
      </c>
      <c r="J26" s="104">
        <v>759</v>
      </c>
      <c r="K26" s="6">
        <f>G26</f>
        <v>3232.6</v>
      </c>
      <c r="L26" s="6">
        <f>J26+K26</f>
        <v>3991.6</v>
      </c>
      <c r="M26" s="139">
        <f t="shared" ref="M26:M36" si="3">ROUND((H26*12)+(L26*2),2)</f>
        <v>59262.68</v>
      </c>
      <c r="N26" s="6">
        <v>56360.098767387994</v>
      </c>
      <c r="O26" s="141"/>
    </row>
    <row r="27" spans="1:15" s="5" customFormat="1" x14ac:dyDescent="0.25">
      <c r="B27" s="77">
        <v>25</v>
      </c>
      <c r="C27" s="104">
        <v>1040.69</v>
      </c>
      <c r="D27" s="155">
        <f>('0,3+2% ANY FUN'!H23/14)*$D$9</f>
        <v>408.94349999999997</v>
      </c>
      <c r="E27" s="155"/>
      <c r="F27" s="155">
        <f>('0,3+2% ANY FUN'!H23/14)*$F$9</f>
        <v>163.57740000000001</v>
      </c>
      <c r="G27" s="6">
        <f>'0,3+2% MES FUN'!H23*12/14+'0,3+2% MES FUN'!H22+'0,3+2% MES FUN'!H21</f>
        <v>2754.9587949000002</v>
      </c>
      <c r="H27" s="6">
        <f t="shared" ref="H27:H36" si="4">G27+C27</f>
        <v>3795.6487949000002</v>
      </c>
      <c r="J27" s="104">
        <v>759</v>
      </c>
      <c r="K27" s="104">
        <f t="shared" ref="K27:K36" si="5">G27</f>
        <v>2754.9587949000002</v>
      </c>
      <c r="L27" s="6">
        <f t="shared" ref="L27:L36" si="6">K27+J27</f>
        <v>3513.9587949000002</v>
      </c>
      <c r="M27" s="139">
        <f t="shared" si="3"/>
        <v>52575.7</v>
      </c>
      <c r="N27" s="6">
        <v>50000.311753279508</v>
      </c>
      <c r="O27" s="141"/>
    </row>
    <row r="28" spans="1:15" s="5" customFormat="1" x14ac:dyDescent="0.25">
      <c r="B28" s="77">
        <v>24</v>
      </c>
      <c r="C28" s="104">
        <v>1040.69</v>
      </c>
      <c r="D28" s="155">
        <f>('0,3+2% ANY FUN'!I23/14)*$D$9</f>
        <v>337.15590000000003</v>
      </c>
      <c r="E28" s="155"/>
      <c r="F28" s="155">
        <v>134.86000000000001</v>
      </c>
      <c r="G28" s="6">
        <f>'0,3+2% MES FUN'!I23*12/14+'0,3+2% MES FUN'!I22+'0,3+2% MES FUN'!I21</f>
        <v>2559.5439309000003</v>
      </c>
      <c r="H28" s="6">
        <f t="shared" si="4"/>
        <v>3600.2339309000004</v>
      </c>
      <c r="J28" s="104">
        <v>759</v>
      </c>
      <c r="K28" s="104">
        <f t="shared" si="5"/>
        <v>2559.5439309000003</v>
      </c>
      <c r="L28" s="6">
        <f t="shared" si="6"/>
        <v>3318.5439309000003</v>
      </c>
      <c r="M28" s="139">
        <f t="shared" si="3"/>
        <v>49839.9</v>
      </c>
      <c r="N28" s="6">
        <v>47398.72466992549</v>
      </c>
      <c r="O28" s="141"/>
    </row>
    <row r="29" spans="1:15" s="5" customFormat="1" x14ac:dyDescent="0.25">
      <c r="B29" s="77">
        <v>23</v>
      </c>
      <c r="C29" s="104">
        <v>1040.69</v>
      </c>
      <c r="D29" s="155">
        <f>('0,3+2% ANY FUN'!J23/14)*$D$9</f>
        <v>306.55079999999998</v>
      </c>
      <c r="E29" s="155"/>
      <c r="F29" s="155">
        <v>122.62</v>
      </c>
      <c r="G29" s="6">
        <f>'0,3+2% MES FUN'!J23*12/14+'0,3+2% MES FUN'!J22+'0,3+2% MES FUN'!J21</f>
        <v>2438.3727911999995</v>
      </c>
      <c r="H29" s="6">
        <f t="shared" si="4"/>
        <v>3479.0627911999995</v>
      </c>
      <c r="J29" s="104">
        <v>759</v>
      </c>
      <c r="K29" s="104">
        <f t="shared" si="5"/>
        <v>2438.3727911999995</v>
      </c>
      <c r="L29" s="6">
        <f t="shared" si="6"/>
        <v>3197.3727911999995</v>
      </c>
      <c r="M29" s="139">
        <f t="shared" si="3"/>
        <v>48143.5</v>
      </c>
      <c r="N29" s="6">
        <v>45785.470769783002</v>
      </c>
      <c r="O29" s="141"/>
    </row>
    <row r="30" spans="1:15" s="5" customFormat="1" x14ac:dyDescent="0.25">
      <c r="B30" s="77">
        <v>22</v>
      </c>
      <c r="C30" s="104">
        <v>1040.69</v>
      </c>
      <c r="D30" s="155">
        <f>('0,3+2% ANY FUN'!K23/14)*$D$9</f>
        <v>300.67560000000003</v>
      </c>
      <c r="E30" s="155"/>
      <c r="F30" s="155">
        <v>120.27</v>
      </c>
      <c r="G30" s="6">
        <f>'0,3+2% MES FUN'!K23*12/14+'0,3+2% MES FUN'!K22+'0,3+2% MES FUN'!K21</f>
        <v>2366.8754832000004</v>
      </c>
      <c r="H30" s="6">
        <f t="shared" si="4"/>
        <v>3407.5654832000005</v>
      </c>
      <c r="J30" s="104">
        <v>759</v>
      </c>
      <c r="K30" s="104">
        <f t="shared" si="5"/>
        <v>2366.8754832000004</v>
      </c>
      <c r="L30" s="6">
        <f t="shared" si="6"/>
        <v>3125.8754832000004</v>
      </c>
      <c r="M30" s="139">
        <f t="shared" si="3"/>
        <v>47142.54</v>
      </c>
      <c r="N30" s="6">
        <v>44833.354895639997</v>
      </c>
      <c r="O30" s="141"/>
    </row>
    <row r="31" spans="1:15" s="5" customFormat="1" x14ac:dyDescent="0.25">
      <c r="B31" s="77">
        <v>21</v>
      </c>
      <c r="C31" s="104">
        <v>1040.69</v>
      </c>
      <c r="D31" s="155">
        <f>('0,3+2% ANY FUN'!L23/14)*$D$9</f>
        <v>295.34610000000004</v>
      </c>
      <c r="E31" s="155"/>
      <c r="F31" s="155">
        <v>118.14</v>
      </c>
      <c r="G31" s="6">
        <f>'0,3+2% MES FUN'!L23*12/14+'0,3+2% MES FUN'!L22+'0,3+2% MES FUN'!L21</f>
        <v>2289.7928133</v>
      </c>
      <c r="H31" s="6">
        <f t="shared" si="4"/>
        <v>3330.4828133000001</v>
      </c>
      <c r="J31" s="104">
        <v>759</v>
      </c>
      <c r="K31" s="104">
        <f t="shared" si="5"/>
        <v>2289.7928133</v>
      </c>
      <c r="L31" s="6">
        <f t="shared" si="6"/>
        <v>3048.7928133</v>
      </c>
      <c r="M31" s="139">
        <f t="shared" si="3"/>
        <v>46063.38</v>
      </c>
      <c r="N31" s="6">
        <v>43806.7387773675</v>
      </c>
      <c r="O31" s="141"/>
    </row>
    <row r="32" spans="1:15" s="5" customFormat="1" x14ac:dyDescent="0.25">
      <c r="B32" s="77">
        <v>20</v>
      </c>
      <c r="C32" s="104">
        <v>1040.69</v>
      </c>
      <c r="D32" s="155">
        <f>('0,3+2% ANY FUN'!M23/14)*$D$9</f>
        <v>290.77140000000003</v>
      </c>
      <c r="E32" s="155"/>
      <c r="F32" s="155">
        <v>116.31</v>
      </c>
      <c r="G32" s="6">
        <f>'0,3+2% MES FUN'!M23*12/14+'0,3+2% MES FUN'!M22+'0,3+2% MES FUN'!M21</f>
        <v>2214.9923220000001</v>
      </c>
      <c r="H32" s="6">
        <f t="shared" si="4"/>
        <v>3255.6823220000001</v>
      </c>
      <c r="J32" s="104">
        <v>759</v>
      </c>
      <c r="K32" s="104">
        <f t="shared" si="5"/>
        <v>2214.9923220000001</v>
      </c>
      <c r="L32" s="6">
        <f t="shared" si="6"/>
        <v>2973.9923220000001</v>
      </c>
      <c r="M32" s="139">
        <f t="shared" si="3"/>
        <v>45016.17</v>
      </c>
      <c r="N32" s="6">
        <v>42810.693923783998</v>
      </c>
      <c r="O32" s="141"/>
    </row>
    <row r="33" spans="1:15" s="5" customFormat="1" x14ac:dyDescent="0.25">
      <c r="B33" s="77">
        <v>19</v>
      </c>
      <c r="C33" s="104">
        <v>1040.69</v>
      </c>
      <c r="D33" s="155">
        <f>('0,3+2% ANY FUN'!N23/14)*$D$9</f>
        <v>287.09940000000006</v>
      </c>
      <c r="E33" s="155"/>
      <c r="F33" s="155">
        <v>114.84</v>
      </c>
      <c r="G33" s="6">
        <f>'0,3+2% MES FUN'!N23*12/14+'0,3+2% MES FUN'!N22+'0,3+2% MES FUN'!N21</f>
        <v>2166.1886880000002</v>
      </c>
      <c r="H33" s="6">
        <f t="shared" si="4"/>
        <v>3206.8786880000002</v>
      </c>
      <c r="J33" s="104">
        <v>759</v>
      </c>
      <c r="K33" s="104">
        <f t="shared" si="5"/>
        <v>2166.1886880000002</v>
      </c>
      <c r="L33" s="6">
        <f t="shared" si="6"/>
        <v>2925.1886880000002</v>
      </c>
      <c r="M33" s="139">
        <f t="shared" si="3"/>
        <v>44332.92</v>
      </c>
      <c r="N33" s="6">
        <v>42160.434861344991</v>
      </c>
      <c r="O33" s="141"/>
    </row>
    <row r="34" spans="1:15" s="5" customFormat="1" x14ac:dyDescent="0.25">
      <c r="B34" s="83">
        <v>18</v>
      </c>
      <c r="C34" s="7">
        <v>1040.69</v>
      </c>
      <c r="D34" s="155">
        <f>('0,3+2% ANY FUN'!O23/14)*$D$9</f>
        <v>0</v>
      </c>
      <c r="E34" s="155"/>
      <c r="F34" s="167">
        <v>107.23</v>
      </c>
      <c r="G34" s="7">
        <f>'0,3+2% MES FUN'!O23*12/14++'0,3+2% MES FUN'!O22+'0,3+2% MES FUN'!O21</f>
        <v>2015.8207674</v>
      </c>
      <c r="H34" s="7">
        <f t="shared" si="4"/>
        <v>3056.5107674000001</v>
      </c>
      <c r="I34" s="13"/>
      <c r="J34" s="7">
        <v>759</v>
      </c>
      <c r="K34" s="7">
        <f t="shared" si="5"/>
        <v>2015.8207674</v>
      </c>
      <c r="L34" s="7">
        <f t="shared" si="6"/>
        <v>2774.8207674</v>
      </c>
      <c r="M34" s="16">
        <f t="shared" si="3"/>
        <v>42227.77</v>
      </c>
      <c r="N34" s="6">
        <v>40158.705566212993</v>
      </c>
      <c r="O34" s="141"/>
    </row>
    <row r="35" spans="1:15" s="5" customFormat="1" x14ac:dyDescent="0.25">
      <c r="B35" s="77">
        <v>17</v>
      </c>
      <c r="C35" s="104">
        <v>1040.69</v>
      </c>
      <c r="D35" s="155">
        <f>('0,3+2% ANY FUN'!P23/14)*$D$9</f>
        <v>259.56450000000001</v>
      </c>
      <c r="E35" s="155"/>
      <c r="F35" s="155">
        <v>103.83</v>
      </c>
      <c r="G35" s="6">
        <f>'0,3+2% MES FUN'!P23*12/14+'0,3+2% MES FUN'!P22+'0,3+2% MES FUN'!P21</f>
        <v>1921.8953474999998</v>
      </c>
      <c r="H35" s="6">
        <f t="shared" si="4"/>
        <v>2962.5853474999999</v>
      </c>
      <c r="J35" s="104">
        <v>759</v>
      </c>
      <c r="K35" s="104">
        <f t="shared" si="5"/>
        <v>1921.8953474999998</v>
      </c>
      <c r="L35" s="6">
        <f t="shared" si="6"/>
        <v>2680.8953474999998</v>
      </c>
      <c r="M35" s="139">
        <f t="shared" si="3"/>
        <v>40912.81</v>
      </c>
      <c r="N35" s="6">
        <v>38907.762465154992</v>
      </c>
      <c r="O35" s="141"/>
    </row>
    <row r="36" spans="1:15" s="5" customFormat="1" x14ac:dyDescent="0.25">
      <c r="B36" s="77">
        <v>16</v>
      </c>
      <c r="C36" s="104">
        <v>1040.69</v>
      </c>
      <c r="D36" s="155">
        <f>('0,3+2% ANY FUN'!Q23/14)*$D$9</f>
        <v>247.39080000000004</v>
      </c>
      <c r="E36" s="155"/>
      <c r="F36" s="155">
        <v>98.96</v>
      </c>
      <c r="G36" s="6">
        <f>'0,3+2% MES FUN'!Q23*12/14+'0,3+2% MES FUN'!Q22+'0,3+2% MES FUN'!Q21</f>
        <v>1820.6513868</v>
      </c>
      <c r="H36" s="6">
        <f t="shared" si="4"/>
        <v>2861.3413867999998</v>
      </c>
      <c r="J36" s="104">
        <v>759</v>
      </c>
      <c r="K36" s="104">
        <f t="shared" si="5"/>
        <v>1820.6513868</v>
      </c>
      <c r="L36" s="6">
        <f t="shared" si="6"/>
        <v>2579.6513868000002</v>
      </c>
      <c r="M36" s="139">
        <f t="shared" si="3"/>
        <v>39495.4</v>
      </c>
      <c r="N36" s="6">
        <v>37559.73494244949</v>
      </c>
      <c r="O36" s="141"/>
    </row>
    <row r="37" spans="1:15" x14ac:dyDescent="0.25">
      <c r="M37" s="54"/>
    </row>
    <row r="38" spans="1:15" x14ac:dyDescent="0.25">
      <c r="A38" s="62" t="s">
        <v>64</v>
      </c>
      <c r="M38" s="54"/>
    </row>
    <row r="39" spans="1:15" x14ac:dyDescent="0.25">
      <c r="A39" s="63"/>
      <c r="B39" s="79"/>
      <c r="C39" s="237" t="s">
        <v>51</v>
      </c>
      <c r="D39" s="235"/>
      <c r="E39" s="236"/>
      <c r="F39" s="236"/>
      <c r="G39" s="237" t="s">
        <v>53</v>
      </c>
      <c r="H39" s="237" t="s">
        <v>45</v>
      </c>
      <c r="I39" s="80"/>
      <c r="J39" s="237" t="s">
        <v>51</v>
      </c>
      <c r="K39" s="237" t="s">
        <v>53</v>
      </c>
      <c r="L39" s="237" t="s">
        <v>45</v>
      </c>
      <c r="M39" s="68" t="s">
        <v>54</v>
      </c>
      <c r="N39" s="237"/>
    </row>
    <row r="40" spans="1:15" x14ac:dyDescent="0.25">
      <c r="A40" s="82" t="s">
        <v>65</v>
      </c>
      <c r="B40" s="71" t="s">
        <v>56</v>
      </c>
      <c r="C40" s="239" t="s">
        <v>57</v>
      </c>
      <c r="D40" s="247">
        <v>0.5</v>
      </c>
      <c r="E40" s="248">
        <v>0.3</v>
      </c>
      <c r="F40" s="248">
        <v>0.2</v>
      </c>
      <c r="G40" s="239" t="s">
        <v>59</v>
      </c>
      <c r="H40" s="239" t="s">
        <v>49</v>
      </c>
      <c r="I40" s="80"/>
      <c r="J40" s="239" t="s">
        <v>57</v>
      </c>
      <c r="K40" s="239" t="s">
        <v>59</v>
      </c>
      <c r="L40" s="239" t="s">
        <v>49</v>
      </c>
      <c r="M40" s="76" t="s">
        <v>60</v>
      </c>
      <c r="N40" s="239" t="s">
        <v>61</v>
      </c>
    </row>
    <row r="41" spans="1:15" ht="44.25" customHeight="1" x14ac:dyDescent="0.25">
      <c r="A41" s="105"/>
      <c r="B41" s="71"/>
      <c r="C41" s="239"/>
      <c r="D41" s="161" t="s">
        <v>99</v>
      </c>
      <c r="E41" s="161" t="s">
        <v>100</v>
      </c>
      <c r="F41" s="161" t="s">
        <v>102</v>
      </c>
      <c r="G41" s="239"/>
      <c r="H41" s="239"/>
      <c r="I41" s="80"/>
      <c r="J41" s="239"/>
      <c r="K41" s="239"/>
      <c r="L41" s="239"/>
      <c r="M41" s="76"/>
      <c r="N41" s="239"/>
    </row>
    <row r="42" spans="1:15" s="5" customFormat="1" x14ac:dyDescent="0.25">
      <c r="B42" s="77">
        <v>21</v>
      </c>
      <c r="C42" s="6">
        <v>781.39</v>
      </c>
      <c r="D42" s="155"/>
      <c r="E42" s="155"/>
      <c r="F42" s="155">
        <v>171.63</v>
      </c>
      <c r="G42" s="6">
        <f>'0,3+2% MES FUN'!L37*12/14+'0,3+2% MES FUN'!L36+'0,3+2% MES FUN'!L35</f>
        <v>2701.7589456000001</v>
      </c>
      <c r="H42" s="6">
        <f>G42+C42</f>
        <v>3483.1489455999999</v>
      </c>
      <c r="J42" s="6">
        <v>675.35</v>
      </c>
      <c r="K42" s="104">
        <f t="shared" ref="K42:K50" si="7">G42</f>
        <v>2701.7589456000001</v>
      </c>
      <c r="L42" s="6">
        <f>K42+J42</f>
        <v>3377.1089456</v>
      </c>
      <c r="M42" s="139">
        <f t="shared" ref="M42:M50" si="8">ROUND((H42*12)+(L42*2),2)</f>
        <v>48552.01</v>
      </c>
      <c r="N42" s="6">
        <v>46173.919466295498</v>
      </c>
    </row>
    <row r="43" spans="1:15" s="5" customFormat="1" x14ac:dyDescent="0.25">
      <c r="B43" s="77">
        <v>20</v>
      </c>
      <c r="C43" s="6">
        <v>781.39</v>
      </c>
      <c r="D43" s="155"/>
      <c r="E43" s="155"/>
      <c r="F43" s="155">
        <v>167.1</v>
      </c>
      <c r="G43" s="6">
        <f>'0,3+2% MES FUN'!M37*12/14+'0,3+2% MES FUN'!M36+'0,3+2% MES FUN'!M35</f>
        <v>2622.9617781000002</v>
      </c>
      <c r="H43" s="6">
        <f t="shared" ref="H43:H50" si="9">G43+C43</f>
        <v>3404.3517781</v>
      </c>
      <c r="J43" s="6">
        <v>675.35</v>
      </c>
      <c r="K43" s="104">
        <f t="shared" si="7"/>
        <v>2622.9617781000002</v>
      </c>
      <c r="L43" s="6">
        <f t="shared" ref="L43:L50" si="10">K43+J43</f>
        <v>3298.3117781000001</v>
      </c>
      <c r="M43" s="139">
        <f t="shared" si="8"/>
        <v>47448.84</v>
      </c>
      <c r="N43" s="6">
        <v>45124.856878904488</v>
      </c>
    </row>
    <row r="44" spans="1:15" s="5" customFormat="1" x14ac:dyDescent="0.25">
      <c r="B44" s="77">
        <v>19</v>
      </c>
      <c r="C44" s="6">
        <v>781.39</v>
      </c>
      <c r="D44" s="155"/>
      <c r="E44" s="155"/>
      <c r="F44" s="155">
        <v>157.66</v>
      </c>
      <c r="G44" s="6">
        <f>'0,3+2% MES FUN'!N37*12/14+'0,3+2% MES FUN'!N36+'0,3+2% MES FUN'!N35</f>
        <v>2467.1443392000001</v>
      </c>
      <c r="H44" s="6">
        <f t="shared" si="9"/>
        <v>3248.5343392</v>
      </c>
      <c r="J44" s="6">
        <v>675.35</v>
      </c>
      <c r="K44" s="104">
        <f t="shared" si="7"/>
        <v>2467.1443392000001</v>
      </c>
      <c r="L44" s="6">
        <f t="shared" si="10"/>
        <v>3142.4943392</v>
      </c>
      <c r="M44" s="139">
        <f t="shared" si="8"/>
        <v>45267.4</v>
      </c>
      <c r="N44" s="6">
        <v>43050.417548836493</v>
      </c>
    </row>
    <row r="45" spans="1:15" s="5" customFormat="1" x14ac:dyDescent="0.25">
      <c r="B45" s="83">
        <v>18</v>
      </c>
      <c r="C45" s="7">
        <v>781.39</v>
      </c>
      <c r="D45" s="167"/>
      <c r="E45" s="167"/>
      <c r="F45" s="167">
        <v>118.57</v>
      </c>
      <c r="G45" s="7">
        <f>'0,3+2% MES FUN'!O37*12/14+'0,3+2% MES FUN'!O36+'0,3+2% MES FUN'!O35</f>
        <v>2228.0313645000001</v>
      </c>
      <c r="H45" s="7">
        <f t="shared" si="9"/>
        <v>3009.4213645</v>
      </c>
      <c r="I45" s="13"/>
      <c r="J45" s="7">
        <v>675.35</v>
      </c>
      <c r="K45" s="7">
        <f t="shared" si="7"/>
        <v>2228.0313645000001</v>
      </c>
      <c r="L45" s="7">
        <f t="shared" si="10"/>
        <v>2903.3813645</v>
      </c>
      <c r="M45" s="16">
        <f t="shared" si="8"/>
        <v>41919.82</v>
      </c>
      <c r="N45" s="6">
        <v>39866.874769195492</v>
      </c>
    </row>
    <row r="46" spans="1:15" s="5" customFormat="1" x14ac:dyDescent="0.25">
      <c r="B46" s="77">
        <v>17</v>
      </c>
      <c r="C46" s="6">
        <v>781.39</v>
      </c>
      <c r="D46" s="155"/>
      <c r="E46" s="155"/>
      <c r="F46" s="155">
        <v>117.52</v>
      </c>
      <c r="G46" s="6">
        <f>'0,3+2% MES FUN'!P37*12/14+'0,3+2% MES FUN'!P36+'0,3+2% MES FUN'!P35</f>
        <v>2077.4956947000001</v>
      </c>
      <c r="H46" s="6">
        <f t="shared" si="9"/>
        <v>2858.8856946999999</v>
      </c>
      <c r="J46" s="6">
        <v>675.35</v>
      </c>
      <c r="K46" s="104">
        <f t="shared" si="7"/>
        <v>2077.4956947000001</v>
      </c>
      <c r="L46" s="6">
        <f t="shared" si="10"/>
        <v>2752.8456947</v>
      </c>
      <c r="M46" s="139">
        <f t="shared" si="8"/>
        <v>39812.32</v>
      </c>
      <c r="N46" s="6">
        <v>37861.978180874998</v>
      </c>
    </row>
    <row r="47" spans="1:15" s="5" customFormat="1" x14ac:dyDescent="0.25">
      <c r="B47" s="77">
        <v>16</v>
      </c>
      <c r="C47" s="6">
        <v>781.39</v>
      </c>
      <c r="D47" s="155"/>
      <c r="E47" s="155"/>
      <c r="F47" s="155">
        <v>100.07</v>
      </c>
      <c r="G47" s="6">
        <f>'0,3+2% MES FUN'!Q37*12/14+'0,3+2% MES FUN'!Q36+'0,3+2% MES FUN'!Q35</f>
        <v>1881.0245492999998</v>
      </c>
      <c r="H47" s="6">
        <f t="shared" si="9"/>
        <v>2662.4145492999996</v>
      </c>
      <c r="J47" s="6">
        <v>675.35</v>
      </c>
      <c r="K47" s="104">
        <f t="shared" si="7"/>
        <v>1881.0245492999998</v>
      </c>
      <c r="L47" s="6">
        <f t="shared" si="10"/>
        <v>2556.3745492999997</v>
      </c>
      <c r="M47" s="139">
        <f t="shared" si="8"/>
        <v>37061.72</v>
      </c>
      <c r="N47" s="6">
        <v>35246.482549171495</v>
      </c>
    </row>
    <row r="48" spans="1:15" s="5" customFormat="1" x14ac:dyDescent="0.25">
      <c r="B48" s="83">
        <v>15</v>
      </c>
      <c r="C48" s="7">
        <v>781.39</v>
      </c>
      <c r="D48" s="167"/>
      <c r="E48" s="167"/>
      <c r="F48" s="167">
        <v>99.8</v>
      </c>
      <c r="G48" s="7">
        <f>'0,3+2% MES FUN'!R37*12/14+'0,3+2% MES FUN'!R36+'0,3+2% MES FUN'!R35</f>
        <v>1734.3375486000002</v>
      </c>
      <c r="H48" s="7">
        <f t="shared" si="9"/>
        <v>2515.7275486000003</v>
      </c>
      <c r="I48" s="13"/>
      <c r="J48" s="7">
        <v>675.35</v>
      </c>
      <c r="K48" s="7">
        <f t="shared" si="7"/>
        <v>1734.3375486000002</v>
      </c>
      <c r="L48" s="7">
        <f t="shared" si="10"/>
        <v>2409.6875486000004</v>
      </c>
      <c r="M48" s="16">
        <f t="shared" si="8"/>
        <v>35008.11</v>
      </c>
      <c r="N48" s="6">
        <v>33292.675777065495</v>
      </c>
    </row>
    <row r="49" spans="1:14" s="5" customFormat="1" x14ac:dyDescent="0.25">
      <c r="B49" s="77">
        <v>14</v>
      </c>
      <c r="C49" s="6">
        <v>781.39</v>
      </c>
      <c r="D49" s="155"/>
      <c r="E49" s="155"/>
      <c r="F49" s="155">
        <v>99.68</v>
      </c>
      <c r="G49" s="6">
        <f>'0,3+2% MES FUN'!S37*12/14+'0,3+2% MES FUN'!S36+'0,3+2% MES FUN'!S35</f>
        <v>1639.5711999</v>
      </c>
      <c r="H49" s="6">
        <f t="shared" si="9"/>
        <v>2420.9611998999999</v>
      </c>
      <c r="J49" s="6">
        <v>675.35</v>
      </c>
      <c r="K49" s="104">
        <f t="shared" si="7"/>
        <v>1639.5711999</v>
      </c>
      <c r="L49" s="6">
        <f t="shared" si="10"/>
        <v>2314.9211998999999</v>
      </c>
      <c r="M49" s="139">
        <f t="shared" si="8"/>
        <v>33681.379999999997</v>
      </c>
      <c r="N49" s="6">
        <v>32030.853712446995</v>
      </c>
    </row>
    <row r="50" spans="1:14" s="5" customFormat="1" x14ac:dyDescent="0.25">
      <c r="B50" s="77">
        <v>13</v>
      </c>
      <c r="C50" s="6">
        <v>781.39</v>
      </c>
      <c r="D50" s="155"/>
      <c r="E50" s="155"/>
      <c r="F50" s="155">
        <v>94.35</v>
      </c>
      <c r="G50" s="6">
        <f>'0,3+2% MES FUN'!T37*12/14+'0,3+2% MES FUN'!T36+'0,3+2% MES FUN'!T35</f>
        <v>1539.1752060000001</v>
      </c>
      <c r="H50" s="6">
        <f t="shared" si="9"/>
        <v>2320.5652060000002</v>
      </c>
      <c r="J50" s="6">
        <v>675.35</v>
      </c>
      <c r="K50" s="104">
        <f t="shared" si="7"/>
        <v>1539.1752060000001</v>
      </c>
      <c r="L50" s="6">
        <f t="shared" si="10"/>
        <v>2214.5252060000003</v>
      </c>
      <c r="M50" s="139">
        <f t="shared" si="8"/>
        <v>32275.83</v>
      </c>
      <c r="N50" s="6">
        <v>30693.705153301995</v>
      </c>
    </row>
    <row r="51" spans="1:14" s="5" customFormat="1" x14ac:dyDescent="0.25">
      <c r="B51" s="46"/>
      <c r="M51" s="84"/>
    </row>
    <row r="52" spans="1:14" x14ac:dyDescent="0.25">
      <c r="A52" s="62" t="s">
        <v>66</v>
      </c>
      <c r="M52" s="84"/>
    </row>
    <row r="53" spans="1:14" ht="15.75" customHeight="1" x14ac:dyDescent="0.25">
      <c r="A53" s="62" t="s">
        <v>67</v>
      </c>
      <c r="M53" s="84"/>
    </row>
    <row r="54" spans="1:14" ht="17.25" customHeight="1" x14ac:dyDescent="0.25">
      <c r="A54" s="62" t="s">
        <v>68</v>
      </c>
      <c r="B54" s="79"/>
      <c r="C54" s="237" t="s">
        <v>51</v>
      </c>
      <c r="D54" s="247">
        <v>0.5</v>
      </c>
      <c r="E54" s="248">
        <v>0.3</v>
      </c>
      <c r="F54" s="248">
        <v>0.2</v>
      </c>
      <c r="G54" s="237" t="s">
        <v>53</v>
      </c>
      <c r="H54" s="237" t="s">
        <v>45</v>
      </c>
      <c r="I54" s="80"/>
      <c r="J54" s="237" t="s">
        <v>51</v>
      </c>
      <c r="K54" s="237" t="s">
        <v>53</v>
      </c>
      <c r="L54" s="237" t="s">
        <v>45</v>
      </c>
      <c r="M54" s="68" t="s">
        <v>54</v>
      </c>
      <c r="N54" s="80"/>
    </row>
    <row r="55" spans="1:14" ht="24.75" customHeight="1" x14ac:dyDescent="0.25">
      <c r="A55" s="85" t="s">
        <v>69</v>
      </c>
      <c r="B55" s="71" t="s">
        <v>56</v>
      </c>
      <c r="C55" s="239" t="s">
        <v>57</v>
      </c>
      <c r="D55" s="161" t="s">
        <v>99</v>
      </c>
      <c r="E55" s="161" t="s">
        <v>100</v>
      </c>
      <c r="F55" s="161" t="s">
        <v>102</v>
      </c>
      <c r="G55" s="239" t="s">
        <v>59</v>
      </c>
      <c r="H55" s="239" t="s">
        <v>49</v>
      </c>
      <c r="I55" s="80"/>
      <c r="J55" s="239" t="s">
        <v>57</v>
      </c>
      <c r="K55" s="239" t="s">
        <v>59</v>
      </c>
      <c r="L55" s="239" t="s">
        <v>49</v>
      </c>
      <c r="M55" s="76" t="s">
        <v>60</v>
      </c>
      <c r="N55" s="80" t="s">
        <v>61</v>
      </c>
    </row>
    <row r="56" spans="1:14" s="5" customFormat="1" x14ac:dyDescent="0.25">
      <c r="A56" s="86" t="s">
        <v>70</v>
      </c>
      <c r="B56" s="77">
        <v>18</v>
      </c>
      <c r="C56" s="6">
        <v>650.33000000000004</v>
      </c>
      <c r="D56" s="155"/>
      <c r="E56" s="155"/>
      <c r="F56" s="155">
        <f>('0,3+2% ANY FUN'!O51/14)*'0,3+2% LAB'!F66</f>
        <v>111.24935999999998</v>
      </c>
      <c r="G56" s="6">
        <f>'0,3+2% MES FUN'!O51*12/14+'0,3+2% MES FUN'!O50+'0,3+2% MES FUN'!O49</f>
        <v>2021.1152304</v>
      </c>
      <c r="H56" s="104">
        <f>G56+C56</f>
        <v>2671.4452304000001</v>
      </c>
      <c r="J56" s="6">
        <v>644.4</v>
      </c>
      <c r="K56" s="6">
        <f>G56</f>
        <v>2021.1152304</v>
      </c>
      <c r="L56" s="6">
        <f>K56+J56</f>
        <v>2665.5152303999998</v>
      </c>
      <c r="M56" s="139">
        <f>ROUND((H56*12)+(L56*2),2)</f>
        <v>37388.370000000003</v>
      </c>
      <c r="N56" s="6">
        <v>35487.819514392497</v>
      </c>
    </row>
    <row r="57" spans="1:14" s="5" customFormat="1" x14ac:dyDescent="0.25">
      <c r="A57" s="87" t="s">
        <v>71</v>
      </c>
      <c r="B57" s="83">
        <v>17</v>
      </c>
      <c r="C57" s="7">
        <v>650.33000000000004</v>
      </c>
      <c r="D57" s="167"/>
      <c r="E57" s="167"/>
      <c r="F57" s="167">
        <v>95.074200000000005</v>
      </c>
      <c r="G57" s="7">
        <f>'0,3+2% MES FUN'!P51*12/14+'0,3+2% MES FUN'!P50+'0,3+2% MES FUN'!P49</f>
        <v>1872.7106312999999</v>
      </c>
      <c r="H57" s="7">
        <f t="shared" ref="H57:H64" si="11">G57+C57</f>
        <v>2523.0406312999999</v>
      </c>
      <c r="I57" s="13"/>
      <c r="J57" s="7">
        <v>644.4</v>
      </c>
      <c r="K57" s="7">
        <f t="shared" ref="K57:K64" si="12">G57</f>
        <v>1872.7106312999999</v>
      </c>
      <c r="L57" s="7">
        <f t="shared" ref="L57:L64" si="13">K57+J57</f>
        <v>2517.1106313</v>
      </c>
      <c r="M57" s="16">
        <f t="shared" ref="M57:M64" si="14">ROUND((H57*12)+(L57*2),2)</f>
        <v>35310.71</v>
      </c>
      <c r="N57" s="6">
        <v>33581.797556912999</v>
      </c>
    </row>
    <row r="58" spans="1:14" s="5" customFormat="1" x14ac:dyDescent="0.25">
      <c r="A58" s="86" t="s">
        <v>72</v>
      </c>
      <c r="B58" s="77">
        <v>16</v>
      </c>
      <c r="C58" s="6">
        <v>650.33000000000004</v>
      </c>
      <c r="D58" s="155"/>
      <c r="E58" s="155"/>
      <c r="F58" s="155">
        <v>96.36</v>
      </c>
      <c r="G58" s="6">
        <f>'0,3+2% MES FUN'!Q51*12/14+'0,3+2% MES FUN'!Q50+'0,3+2% MES FUN'!Q49</f>
        <v>1819.0236606000001</v>
      </c>
      <c r="H58" s="104">
        <f t="shared" si="11"/>
        <v>2469.3536606000002</v>
      </c>
      <c r="J58" s="6">
        <v>644.4</v>
      </c>
      <c r="K58" s="6">
        <f t="shared" si="12"/>
        <v>1819.0236606000001</v>
      </c>
      <c r="L58" s="6">
        <f t="shared" si="13"/>
        <v>2463.4236605999999</v>
      </c>
      <c r="M58" s="139">
        <f t="shared" si="14"/>
        <v>34559.089999999997</v>
      </c>
      <c r="N58" s="6">
        <v>32801.954890544497</v>
      </c>
    </row>
    <row r="59" spans="1:14" s="5" customFormat="1" x14ac:dyDescent="0.25">
      <c r="A59" s="88" t="s">
        <v>73</v>
      </c>
      <c r="B59" s="77">
        <v>15</v>
      </c>
      <c r="C59" s="6">
        <v>650.33000000000004</v>
      </c>
      <c r="D59" s="155"/>
      <c r="E59" s="155"/>
      <c r="F59" s="155">
        <v>101.49</v>
      </c>
      <c r="G59" s="6">
        <f>'0,3+2% MES FUN'!R51*12/14+'0,3+2% MES FUN'!R50+'0,3+2% MES FUN'!R49</f>
        <v>1718.0195426999999</v>
      </c>
      <c r="H59" s="104">
        <f t="shared" si="11"/>
        <v>2368.3495426999998</v>
      </c>
      <c r="J59" s="6">
        <v>644.4</v>
      </c>
      <c r="K59" s="6">
        <f t="shared" si="12"/>
        <v>1718.0195426999999</v>
      </c>
      <c r="L59" s="6">
        <f t="shared" si="13"/>
        <v>2362.4195427</v>
      </c>
      <c r="M59" s="139">
        <f t="shared" si="14"/>
        <v>33145.03</v>
      </c>
      <c r="N59" s="6">
        <v>32296.289647580496</v>
      </c>
    </row>
    <row r="60" spans="1:14" s="5" customFormat="1" x14ac:dyDescent="0.25">
      <c r="B60" s="83">
        <v>14</v>
      </c>
      <c r="C60" s="7">
        <v>650.33000000000004</v>
      </c>
      <c r="D60" s="167"/>
      <c r="E60" s="167"/>
      <c r="F60" s="167">
        <v>97.16</v>
      </c>
      <c r="G60" s="7">
        <f>'0,3+2% MES FUN'!S51*12/14+'0,3+2% MES FUN'!S50+'0,3+2% MES FUN'!S49</f>
        <v>1617.0122271</v>
      </c>
      <c r="H60" s="7">
        <f t="shared" si="11"/>
        <v>2267.3422270999999</v>
      </c>
      <c r="I60" s="13"/>
      <c r="J60" s="7">
        <v>644.4</v>
      </c>
      <c r="K60" s="7">
        <f t="shared" si="12"/>
        <v>1617.0122271</v>
      </c>
      <c r="L60" s="7">
        <f t="shared" si="13"/>
        <v>2261.4122271000001</v>
      </c>
      <c r="M60" s="16">
        <f t="shared" si="14"/>
        <v>31730.93</v>
      </c>
      <c r="N60" s="6">
        <v>30979.108806362994</v>
      </c>
    </row>
    <row r="61" spans="1:14" s="5" customFormat="1" x14ac:dyDescent="0.25">
      <c r="B61" s="77">
        <v>13</v>
      </c>
      <c r="C61" s="6">
        <v>650.33000000000004</v>
      </c>
      <c r="D61" s="155"/>
      <c r="E61" s="155"/>
      <c r="F61" s="155">
        <v>102.35</v>
      </c>
      <c r="G61" s="6">
        <f>'0,3+2% MES FUN'!T51*12/14+'0,3+2% MES FUN'!U49+'0,3+2% MES FUN'!U50</f>
        <v>1518.3781302</v>
      </c>
      <c r="H61" s="104">
        <f t="shared" si="11"/>
        <v>2168.7081302000001</v>
      </c>
      <c r="J61" s="6">
        <v>644.4</v>
      </c>
      <c r="K61" s="6">
        <f t="shared" si="12"/>
        <v>1518.3781302</v>
      </c>
      <c r="L61" s="6">
        <f t="shared" si="13"/>
        <v>2162.7781301999999</v>
      </c>
      <c r="M61" s="139">
        <f t="shared" si="14"/>
        <v>30350.05</v>
      </c>
      <c r="N61" s="6">
        <v>30358.319341416998</v>
      </c>
    </row>
    <row r="62" spans="1:14" s="5" customFormat="1" x14ac:dyDescent="0.25">
      <c r="B62" s="83">
        <v>12</v>
      </c>
      <c r="C62" s="7">
        <v>650.33000000000004</v>
      </c>
      <c r="D62" s="167"/>
      <c r="E62" s="167"/>
      <c r="F62" s="167">
        <v>85.19</v>
      </c>
      <c r="G62" s="7">
        <f>'0,3+2% MES FUN'!U51*12/14+'0,3+2% MES FUN'!U50+'0,3+2% MES FUN'!U49</f>
        <v>1432.5757302000002</v>
      </c>
      <c r="H62" s="7">
        <f t="shared" si="11"/>
        <v>2082.9057302000001</v>
      </c>
      <c r="I62" s="13"/>
      <c r="J62" s="7">
        <v>644.4</v>
      </c>
      <c r="K62" s="7">
        <f t="shared" si="12"/>
        <v>1432.5757302000002</v>
      </c>
      <c r="L62" s="7">
        <f t="shared" si="13"/>
        <v>2076.9757302000003</v>
      </c>
      <c r="M62" s="16">
        <f t="shared" si="14"/>
        <v>29148.82</v>
      </c>
      <c r="N62" s="6">
        <v>27720.652657393995</v>
      </c>
    </row>
    <row r="63" spans="1:14" s="5" customFormat="1" x14ac:dyDescent="0.25">
      <c r="B63" s="83">
        <v>11</v>
      </c>
      <c r="C63" s="7">
        <v>650.33000000000004</v>
      </c>
      <c r="D63" s="167"/>
      <c r="E63" s="167"/>
      <c r="F63" s="167">
        <v>88.24</v>
      </c>
      <c r="G63" s="7">
        <f>'0,3+2% MES FUN'!V51*12/14+'0,3+2% MES FUN'!V50+'0,3+2% MES FUN'!V49</f>
        <v>1426.8337575</v>
      </c>
      <c r="H63" s="7">
        <f t="shared" si="11"/>
        <v>2077.1637575</v>
      </c>
      <c r="I63" s="13"/>
      <c r="J63" s="7">
        <v>644.4</v>
      </c>
      <c r="K63" s="7">
        <f t="shared" si="12"/>
        <v>1426.8337575</v>
      </c>
      <c r="L63" s="7">
        <f t="shared" si="13"/>
        <v>2071.2337575000001</v>
      </c>
      <c r="M63" s="16">
        <f t="shared" si="14"/>
        <v>29068.43</v>
      </c>
      <c r="N63" s="6">
        <v>27644.362204071</v>
      </c>
    </row>
    <row r="64" spans="1:14" s="5" customFormat="1" x14ac:dyDescent="0.25">
      <c r="B64" s="89">
        <v>10</v>
      </c>
      <c r="C64" s="6">
        <v>650.33000000000004</v>
      </c>
      <c r="D64" s="155"/>
      <c r="E64" s="155"/>
      <c r="F64" s="155">
        <v>74.56</v>
      </c>
      <c r="G64" s="6">
        <f>'0,3+2% MES FUN'!W51*12/14+'0,3+2% MES FUN'!W50+'0,3+2% MES FUN'!W49</f>
        <v>1212.8879466000001</v>
      </c>
      <c r="H64" s="104">
        <f t="shared" si="11"/>
        <v>1863.2179466000002</v>
      </c>
      <c r="J64" s="6">
        <v>644.4</v>
      </c>
      <c r="K64" s="6">
        <f t="shared" si="12"/>
        <v>1212.8879466000001</v>
      </c>
      <c r="L64" s="6">
        <f t="shared" si="13"/>
        <v>1857.2879465999999</v>
      </c>
      <c r="M64" s="139">
        <f t="shared" si="14"/>
        <v>26073.19</v>
      </c>
      <c r="N64" s="90"/>
    </row>
    <row r="65" spans="1:16" s="5" customFormat="1" x14ac:dyDescent="0.25">
      <c r="B65" s="46"/>
      <c r="M65" s="78"/>
    </row>
    <row r="66" spans="1:16" x14ac:dyDescent="0.25">
      <c r="A66" s="62" t="s">
        <v>74</v>
      </c>
      <c r="B66" s="164"/>
      <c r="C66" s="165"/>
      <c r="D66" s="247">
        <v>0.5</v>
      </c>
      <c r="E66" s="248">
        <v>0.3</v>
      </c>
      <c r="F66" s="248">
        <v>0.2</v>
      </c>
      <c r="G66" s="166"/>
      <c r="H66" s="237" t="s">
        <v>101</v>
      </c>
      <c r="M66" s="54"/>
    </row>
    <row r="67" spans="1:16" x14ac:dyDescent="0.25">
      <c r="A67" s="85" t="s">
        <v>71</v>
      </c>
      <c r="B67" s="79"/>
      <c r="C67" s="237" t="s">
        <v>51</v>
      </c>
      <c r="D67" s="237"/>
      <c r="E67" s="237"/>
      <c r="F67" s="235"/>
      <c r="G67" s="237" t="s">
        <v>53</v>
      </c>
      <c r="H67" s="238"/>
      <c r="I67" s="80"/>
      <c r="J67" s="237" t="s">
        <v>51</v>
      </c>
      <c r="K67" s="237" t="s">
        <v>53</v>
      </c>
      <c r="L67" s="237" t="s">
        <v>45</v>
      </c>
      <c r="M67" s="68" t="s">
        <v>54</v>
      </c>
      <c r="N67" s="81"/>
    </row>
    <row r="68" spans="1:16" ht="31.5" customHeight="1" x14ac:dyDescent="0.25">
      <c r="A68" s="82" t="s">
        <v>72</v>
      </c>
      <c r="B68" s="71" t="s">
        <v>56</v>
      </c>
      <c r="C68" s="239" t="s">
        <v>57</v>
      </c>
      <c r="D68" s="73" t="s">
        <v>98</v>
      </c>
      <c r="E68" s="161" t="s">
        <v>100</v>
      </c>
      <c r="F68" s="161" t="s">
        <v>102</v>
      </c>
      <c r="G68" s="239" t="s">
        <v>59</v>
      </c>
      <c r="H68" s="239"/>
      <c r="I68" s="80"/>
      <c r="J68" s="239" t="s">
        <v>57</v>
      </c>
      <c r="K68" s="239" t="s">
        <v>59</v>
      </c>
      <c r="L68" s="239" t="s">
        <v>49</v>
      </c>
      <c r="M68" s="76" t="s">
        <v>60</v>
      </c>
      <c r="N68" s="91" t="s">
        <v>61</v>
      </c>
      <c r="P68" s="142"/>
    </row>
    <row r="69" spans="1:16" s="5" customFormat="1" x14ac:dyDescent="0.25">
      <c r="A69" s="88" t="s">
        <v>73</v>
      </c>
      <c r="B69" s="77">
        <v>14</v>
      </c>
      <c r="C69" s="6">
        <v>595.22</v>
      </c>
      <c r="D69" s="155"/>
      <c r="E69" s="155"/>
      <c r="F69" s="155">
        <v>97.16</v>
      </c>
      <c r="G69" s="6">
        <v>1922.1594</v>
      </c>
      <c r="H69" s="104">
        <f>G69+C69</f>
        <v>2517.3793999999998</v>
      </c>
      <c r="J69" s="6">
        <v>595.22</v>
      </c>
      <c r="K69" s="6">
        <f>G69</f>
        <v>1922.1594</v>
      </c>
      <c r="L69" s="6">
        <f>K69+J69</f>
        <v>2517.3793999999998</v>
      </c>
      <c r="M69" s="139">
        <f>ROUND((H69*12)+(L69*2),2)</f>
        <v>35243.31</v>
      </c>
      <c r="N69" s="6">
        <v>33588.008721111997</v>
      </c>
    </row>
    <row r="70" spans="1:16" s="5" customFormat="1" x14ac:dyDescent="0.25">
      <c r="B70" s="77">
        <v>13</v>
      </c>
      <c r="C70" s="6">
        <v>595.22</v>
      </c>
      <c r="D70" s="155"/>
      <c r="E70" s="155"/>
      <c r="F70" s="155">
        <v>102.35</v>
      </c>
      <c r="G70" s="6">
        <v>1683.2855999999999</v>
      </c>
      <c r="H70" s="104">
        <f t="shared" ref="H70:H73" si="15">G70+C70</f>
        <v>2278.5056</v>
      </c>
      <c r="J70" s="6">
        <v>595.22</v>
      </c>
      <c r="K70" s="6">
        <f t="shared" ref="K70:K73" si="16">G70</f>
        <v>1683.2855999999999</v>
      </c>
      <c r="L70" s="6">
        <f t="shared" ref="L70:L73" si="17">K70+J70</f>
        <v>2278.5056</v>
      </c>
      <c r="M70" s="139">
        <f t="shared" ref="M70:M73" si="18">ROUND((H70*12)+(L70*2),2)</f>
        <v>31899.08</v>
      </c>
      <c r="N70" s="6">
        <v>30401.955636163002</v>
      </c>
    </row>
    <row r="71" spans="1:16" s="5" customFormat="1" x14ac:dyDescent="0.25">
      <c r="B71" s="83">
        <v>12</v>
      </c>
      <c r="C71" s="7">
        <v>595.22</v>
      </c>
      <c r="D71" s="167"/>
      <c r="E71" s="167"/>
      <c r="F71" s="167">
        <v>85.19</v>
      </c>
      <c r="G71" s="7">
        <v>1479.8364000000001</v>
      </c>
      <c r="H71" s="7">
        <f t="shared" si="15"/>
        <v>2075.0564000000004</v>
      </c>
      <c r="I71" s="13"/>
      <c r="J71" s="7">
        <v>595.22</v>
      </c>
      <c r="K71" s="7">
        <f t="shared" si="16"/>
        <v>1479.8364000000001</v>
      </c>
      <c r="L71" s="7">
        <f t="shared" si="17"/>
        <v>2075.0564000000004</v>
      </c>
      <c r="M71" s="16">
        <f t="shared" si="18"/>
        <v>29050.79</v>
      </c>
      <c r="N71" s="6">
        <v>27688.261839349001</v>
      </c>
    </row>
    <row r="72" spans="1:16" s="5" customFormat="1" x14ac:dyDescent="0.25">
      <c r="B72" s="173">
        <v>11</v>
      </c>
      <c r="C72" s="6">
        <v>595.22</v>
      </c>
      <c r="D72" s="174"/>
      <c r="E72" s="174"/>
      <c r="F72" s="174">
        <v>88.24</v>
      </c>
      <c r="G72" s="8">
        <v>1474.308</v>
      </c>
      <c r="H72" s="8">
        <f t="shared" si="15"/>
        <v>2069.5280000000002</v>
      </c>
      <c r="I72" s="14"/>
      <c r="J72" s="6">
        <v>595.22</v>
      </c>
      <c r="K72" s="6">
        <f t="shared" si="16"/>
        <v>1474.308</v>
      </c>
      <c r="L72" s="8">
        <f t="shared" si="17"/>
        <v>2069.5280000000002</v>
      </c>
      <c r="M72" s="17">
        <f t="shared" si="18"/>
        <v>28973.39</v>
      </c>
      <c r="N72" s="6">
        <v>27614.279511250999</v>
      </c>
    </row>
    <row r="73" spans="1:16" s="5" customFormat="1" x14ac:dyDescent="0.25">
      <c r="B73" s="77">
        <v>10</v>
      </c>
      <c r="C73" s="6">
        <v>595.22</v>
      </c>
      <c r="D73" s="155"/>
      <c r="E73" s="155"/>
      <c r="F73" s="155">
        <v>74.56</v>
      </c>
      <c r="G73" s="6">
        <v>1218.4716000000001</v>
      </c>
      <c r="H73" s="104">
        <f t="shared" si="15"/>
        <v>1813.6916000000001</v>
      </c>
      <c r="J73" s="6">
        <v>595.22</v>
      </c>
      <c r="K73" s="6">
        <f t="shared" si="16"/>
        <v>1218.4716000000001</v>
      </c>
      <c r="L73" s="6">
        <f t="shared" si="17"/>
        <v>1813.6916000000001</v>
      </c>
      <c r="M73" s="139">
        <f t="shared" si="18"/>
        <v>25391.68</v>
      </c>
      <c r="N73" s="6">
        <v>24201.879006135994</v>
      </c>
    </row>
    <row r="74" spans="1:16" s="5" customFormat="1" x14ac:dyDescent="0.25">
      <c r="B74" s="46"/>
    </row>
    <row r="75" spans="1:16" x14ac:dyDescent="0.25">
      <c r="A75" s="46"/>
      <c r="B75" s="234" t="s">
        <v>75</v>
      </c>
      <c r="C75" s="234"/>
      <c r="E75" s="234"/>
      <c r="F75" s="234"/>
      <c r="G75" s="240" t="s">
        <v>23</v>
      </c>
      <c r="H75" s="112"/>
      <c r="I75" s="112"/>
      <c r="J75" s="112"/>
      <c r="K75" s="112"/>
      <c r="L75" s="112"/>
      <c r="M75" s="112"/>
      <c r="N75" s="112"/>
      <c r="O75" s="112"/>
    </row>
    <row r="76" spans="1:16" x14ac:dyDescent="0.25">
      <c r="A76" s="46"/>
      <c r="B76" s="94" t="s">
        <v>77</v>
      </c>
      <c r="C76" s="94" t="s">
        <v>78</v>
      </c>
      <c r="E76" s="94"/>
      <c r="F76" s="94"/>
      <c r="G76" s="241" t="s">
        <v>25</v>
      </c>
      <c r="H76" s="112"/>
      <c r="I76" s="112"/>
      <c r="J76" s="112"/>
      <c r="K76" s="112"/>
      <c r="L76" s="112"/>
      <c r="M76" s="112"/>
      <c r="N76" s="112"/>
      <c r="O76" s="112"/>
    </row>
    <row r="77" spans="1:16" x14ac:dyDescent="0.25">
      <c r="A77" s="95" t="s">
        <v>26</v>
      </c>
      <c r="B77" s="94" t="s">
        <v>79</v>
      </c>
      <c r="C77" s="94" t="s">
        <v>80</v>
      </c>
      <c r="E77" s="94"/>
      <c r="F77" s="94"/>
      <c r="G77" s="242"/>
      <c r="H77" s="112"/>
      <c r="I77" s="243" t="s">
        <v>29</v>
      </c>
      <c r="J77" s="112"/>
      <c r="K77" s="112"/>
      <c r="L77" s="112"/>
      <c r="M77" s="112"/>
      <c r="N77" s="112"/>
    </row>
    <row r="78" spans="1:16" x14ac:dyDescent="0.25">
      <c r="A78" s="46" t="s">
        <v>30</v>
      </c>
      <c r="B78">
        <v>46.32</v>
      </c>
      <c r="C78">
        <v>28.59</v>
      </c>
      <c r="G78" s="242"/>
      <c r="H78" s="112"/>
      <c r="I78" s="112"/>
      <c r="J78" s="112"/>
      <c r="K78" s="112"/>
      <c r="L78" s="112"/>
      <c r="M78" s="112"/>
      <c r="N78" s="112"/>
    </row>
    <row r="79" spans="1:16" x14ac:dyDescent="0.25">
      <c r="A79" s="46" t="s">
        <v>31</v>
      </c>
      <c r="B79">
        <v>37.78</v>
      </c>
      <c r="C79" s="100">
        <v>27.54</v>
      </c>
      <c r="E79" s="100"/>
      <c r="F79" s="100"/>
      <c r="G79" s="242"/>
      <c r="H79" s="112"/>
      <c r="I79" s="112" t="s">
        <v>32</v>
      </c>
      <c r="J79" s="112"/>
      <c r="K79" s="112"/>
      <c r="L79" s="112">
        <v>43.5</v>
      </c>
      <c r="M79" s="112"/>
      <c r="N79" s="112"/>
    </row>
    <row r="80" spans="1:16" x14ac:dyDescent="0.25">
      <c r="A80" s="46" t="s">
        <v>19</v>
      </c>
      <c r="B80">
        <v>28.59</v>
      </c>
      <c r="C80">
        <v>24.69</v>
      </c>
      <c r="E80" s="100"/>
      <c r="F80" s="100"/>
      <c r="G80" s="242"/>
      <c r="H80" s="112"/>
      <c r="I80" s="112" t="s">
        <v>33</v>
      </c>
      <c r="J80" s="112"/>
      <c r="K80" s="112"/>
      <c r="L80" s="112">
        <v>136.30000000000001</v>
      </c>
      <c r="M80" s="112"/>
      <c r="N80" s="112"/>
    </row>
    <row r="81" spans="1:14" x14ac:dyDescent="0.25">
      <c r="A81" s="46" t="s">
        <v>20</v>
      </c>
      <c r="B81" s="100">
        <v>19.46</v>
      </c>
      <c r="C81" s="100">
        <v>19.27</v>
      </c>
      <c r="G81" s="242"/>
      <c r="H81" s="112"/>
      <c r="I81" s="112"/>
      <c r="J81" s="112"/>
      <c r="K81" s="112"/>
      <c r="L81" s="112"/>
      <c r="M81" s="112"/>
      <c r="N81" s="112"/>
    </row>
    <row r="82" spans="1:14" x14ac:dyDescent="0.25">
      <c r="A82" s="46" t="s">
        <v>83</v>
      </c>
      <c r="B82" s="100">
        <v>14.65</v>
      </c>
      <c r="C82">
        <v>14.65</v>
      </c>
      <c r="E82" s="100"/>
      <c r="F82" s="100"/>
      <c r="G82" s="242"/>
      <c r="H82" s="112"/>
      <c r="I82" s="243" t="s">
        <v>34</v>
      </c>
      <c r="J82" s="112"/>
      <c r="K82" s="112"/>
      <c r="L82" s="112"/>
      <c r="M82" s="244" t="s">
        <v>35</v>
      </c>
      <c r="N82" s="244" t="s">
        <v>36</v>
      </c>
    </row>
    <row r="83" spans="1:14" x14ac:dyDescent="0.25">
      <c r="G83" s="242"/>
      <c r="H83" s="112"/>
      <c r="I83" s="112" t="s">
        <v>37</v>
      </c>
      <c r="J83" s="112"/>
      <c r="K83" s="112"/>
      <c r="L83" s="245">
        <v>0.25800000000000001</v>
      </c>
      <c r="M83" s="112">
        <v>0.19</v>
      </c>
      <c r="N83" s="245">
        <v>6.7000000000000004E-2</v>
      </c>
    </row>
    <row r="84" spans="1:14" x14ac:dyDescent="0.25">
      <c r="G84" s="242"/>
      <c r="H84" s="112"/>
      <c r="I84" s="112" t="s">
        <v>39</v>
      </c>
      <c r="J84" s="112"/>
      <c r="K84" s="112"/>
      <c r="L84" s="112">
        <v>9.2100000000000009</v>
      </c>
      <c r="M84" s="112">
        <v>0</v>
      </c>
      <c r="N84" s="112">
        <v>9.2100000000000009</v>
      </c>
    </row>
    <row r="85" spans="1:14" x14ac:dyDescent="0.25">
      <c r="G85" s="35"/>
      <c r="H85" s="35"/>
      <c r="I85" s="96"/>
      <c r="J85" s="35"/>
      <c r="K85" s="35"/>
      <c r="L85" s="35"/>
      <c r="M85" s="35"/>
      <c r="N85" s="35"/>
    </row>
    <row r="86" spans="1:14" x14ac:dyDescent="0.25">
      <c r="K86" s="5"/>
      <c r="L86" s="5"/>
    </row>
    <row r="88" spans="1:14" x14ac:dyDescent="0.25">
      <c r="A88" s="96"/>
      <c r="B88" s="96"/>
    </row>
  </sheetData>
  <mergeCells count="2">
    <mergeCell ref="J2:K2"/>
    <mergeCell ref="A1:M1"/>
  </mergeCells>
  <pageMargins left="0.70866141732283472" right="0.70866141732283472" top="0.74803149606299213" bottom="0.74803149606299213" header="0.31496062992125984" footer="0.31496062992125984"/>
  <pageSetup paperSize="8"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workbookViewId="0">
      <selection activeCell="J71" sqref="J71:J72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123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144</v>
      </c>
      <c r="B2" s="1"/>
      <c r="S2" s="227"/>
      <c r="T2" s="227"/>
      <c r="U2" s="227"/>
      <c r="V2" s="227"/>
      <c r="W2" s="227"/>
      <c r="X2" s="227"/>
      <c r="Y2" s="227"/>
    </row>
    <row r="3" spans="1:25" x14ac:dyDescent="0.25">
      <c r="S3" s="227"/>
      <c r="T3" s="227"/>
      <c r="U3" s="227"/>
      <c r="V3" s="227"/>
      <c r="W3" s="227"/>
      <c r="X3" s="227"/>
      <c r="Y3" s="227"/>
    </row>
    <row r="4" spans="1:25" x14ac:dyDescent="0.25">
      <c r="A4" s="1" t="s">
        <v>2</v>
      </c>
      <c r="B4" s="1"/>
      <c r="S4" s="125"/>
      <c r="T4" s="125"/>
      <c r="U4" s="125"/>
      <c r="V4" s="125"/>
      <c r="W4" s="125"/>
      <c r="X4" s="125"/>
      <c r="Y4" s="125"/>
    </row>
    <row r="5" spans="1:25" x14ac:dyDescent="0.25">
      <c r="C5">
        <v>30</v>
      </c>
      <c r="D5">
        <v>29</v>
      </c>
      <c r="E5">
        <v>28</v>
      </c>
      <c r="F5">
        <v>27</v>
      </c>
      <c r="G5" s="2">
        <v>26</v>
      </c>
      <c r="H5">
        <v>25</v>
      </c>
      <c r="I5">
        <v>24</v>
      </c>
      <c r="J5">
        <v>23</v>
      </c>
      <c r="K5">
        <v>22</v>
      </c>
      <c r="L5">
        <v>21</v>
      </c>
      <c r="M5" s="2">
        <v>20</v>
      </c>
      <c r="N5" s="3" t="s">
        <v>3</v>
      </c>
      <c r="O5" s="3" t="s">
        <v>4</v>
      </c>
      <c r="P5" s="4" t="s">
        <v>5</v>
      </c>
      <c r="S5" s="125"/>
      <c r="T5" s="125"/>
      <c r="U5" s="125"/>
      <c r="V5" s="125"/>
      <c r="W5" s="125"/>
      <c r="X5" s="125"/>
      <c r="Y5" s="125"/>
    </row>
    <row r="6" spans="1:25" s="5" customFormat="1" x14ac:dyDescent="0.25">
      <c r="C6" s="6"/>
      <c r="D6" s="6"/>
      <c r="E6" s="6"/>
      <c r="F6" s="6"/>
      <c r="G6" s="7"/>
      <c r="H6" s="6"/>
      <c r="I6" s="6"/>
      <c r="J6" s="6"/>
      <c r="K6" s="6"/>
      <c r="L6" s="6"/>
      <c r="M6" s="7"/>
      <c r="N6" s="6"/>
      <c r="O6" s="6"/>
      <c r="P6" s="8"/>
    </row>
    <row r="7" spans="1:25" s="5" customFormat="1" x14ac:dyDescent="0.25">
      <c r="G7" s="13"/>
      <c r="M7" s="13"/>
      <c r="P7" s="14"/>
    </row>
    <row r="8" spans="1:25" s="5" customFormat="1" hidden="1" x14ac:dyDescent="0.25">
      <c r="A8" s="58" t="s">
        <v>6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 s="7"/>
      <c r="N8" s="6"/>
      <c r="O8" s="6"/>
      <c r="P8" s="6"/>
    </row>
    <row r="9" spans="1:25" s="5" customFormat="1" hidden="1" x14ac:dyDescent="0.25">
      <c r="A9" s="58" t="s">
        <v>7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 s="7"/>
      <c r="N9" s="6"/>
      <c r="O9" s="6"/>
      <c r="P9" s="6"/>
    </row>
    <row r="10" spans="1:25" s="5" customFormat="1" hidden="1" x14ac:dyDescent="0.25">
      <c r="A10" s="58" t="s">
        <v>8</v>
      </c>
      <c r="B10" s="6"/>
      <c r="C10" s="6"/>
      <c r="D10" s="6"/>
      <c r="E10" s="6"/>
      <c r="F10" s="6"/>
      <c r="G10" s="7"/>
      <c r="H10" s="6"/>
      <c r="I10" s="6"/>
      <c r="J10" s="6"/>
      <c r="K10" s="6"/>
      <c r="L10" s="6"/>
      <c r="M10" s="7"/>
      <c r="N10" s="6"/>
      <c r="O10" s="6"/>
      <c r="P10" s="6"/>
    </row>
    <row r="11" spans="1:25" s="5" customFormat="1" hidden="1" x14ac:dyDescent="0.25">
      <c r="A11" s="58" t="s">
        <v>97</v>
      </c>
      <c r="B11" s="6"/>
      <c r="C11" s="6"/>
      <c r="D11" s="6"/>
      <c r="E11" s="6"/>
      <c r="F11" s="6"/>
      <c r="G11" s="7"/>
      <c r="H11" s="6"/>
      <c r="I11" s="6"/>
      <c r="J11" s="6"/>
      <c r="K11" s="6"/>
      <c r="L11" s="6"/>
      <c r="M11" s="7"/>
      <c r="N11" s="6"/>
      <c r="O11" s="6"/>
      <c r="P11" s="6"/>
    </row>
    <row r="12" spans="1:25" s="38" customFormat="1" hidden="1" x14ac:dyDescent="0.25">
      <c r="A12" s="156">
        <v>0.5</v>
      </c>
      <c r="B12" s="157" t="s">
        <v>94</v>
      </c>
      <c r="C12" s="6"/>
      <c r="D12" s="6"/>
      <c r="E12" s="6"/>
      <c r="F12" s="6"/>
      <c r="G12" s="7"/>
      <c r="H12" s="6"/>
      <c r="I12" s="6"/>
      <c r="J12" s="6"/>
      <c r="K12" s="6"/>
      <c r="L12" s="6"/>
      <c r="M12" s="7"/>
      <c r="N12" s="6"/>
      <c r="O12" s="6"/>
      <c r="P12" s="6"/>
    </row>
    <row r="13" spans="1:25" s="38" customFormat="1" hidden="1" x14ac:dyDescent="0.25">
      <c r="A13" s="156">
        <v>0.3</v>
      </c>
      <c r="B13" s="157" t="s">
        <v>95</v>
      </c>
      <c r="C13" s="6"/>
      <c r="D13" s="6"/>
      <c r="E13" s="6"/>
      <c r="F13" s="6"/>
      <c r="G13" s="7"/>
      <c r="H13" s="6"/>
      <c r="I13" s="6"/>
      <c r="J13" s="6"/>
      <c r="K13" s="6"/>
      <c r="L13" s="6"/>
      <c r="M13" s="7"/>
      <c r="N13" s="6"/>
      <c r="O13" s="6"/>
      <c r="P13" s="6"/>
    </row>
    <row r="14" spans="1:25" s="38" customFormat="1" hidden="1" x14ac:dyDescent="0.25">
      <c r="A14" s="156">
        <v>0.2</v>
      </c>
      <c r="B14" s="157" t="s">
        <v>96</v>
      </c>
      <c r="C14" s="6"/>
      <c r="D14" s="6"/>
      <c r="E14" s="6"/>
      <c r="F14" s="6"/>
      <c r="G14" s="7"/>
      <c r="H14" s="6"/>
      <c r="I14" s="6"/>
      <c r="J14" s="6"/>
      <c r="K14" s="6"/>
      <c r="L14" s="6"/>
      <c r="M14" s="7"/>
      <c r="N14" s="6"/>
      <c r="O14" s="6"/>
      <c r="P14" s="6"/>
    </row>
    <row r="15" spans="1:25" s="5" customFormat="1" x14ac:dyDescent="0.25">
      <c r="A15" s="58"/>
      <c r="B15" s="6"/>
      <c r="C15" s="16">
        <f>'0,3+2% MES FUN'!C15-'CE mes'!C15</f>
        <v>139.61365000000023</v>
      </c>
      <c r="D15" s="16">
        <f>'0,3+2% MES FUN'!D15-'CE mes'!D15</f>
        <v>132.7617050000008</v>
      </c>
      <c r="E15" s="16">
        <f>'0,3+2% MES FUN'!E15-'CE mes'!E15</f>
        <v>123.41544999999951</v>
      </c>
      <c r="F15" s="16">
        <f>'0,3+2% MES FUN'!F15-'CE mes'!F15</f>
        <v>108.83898000000045</v>
      </c>
      <c r="G15" s="16">
        <f>'0,3+2% MES FUN'!G15-'CE mes'!G15</f>
        <v>98.975645000000441</v>
      </c>
      <c r="H15" s="16">
        <f>'0,3+2% MES FUN'!H15-'CE mes'!H15</f>
        <v>96.941860000000815</v>
      </c>
      <c r="I15" s="16">
        <f>'0,3+2% MES FUN'!I15-'CE mes'!I15</f>
        <v>94.735200000000987</v>
      </c>
      <c r="J15" s="16">
        <f>'0,3+2% MES FUN'!J15-'CE mes'!J15</f>
        <v>92.895655000000716</v>
      </c>
      <c r="K15" s="16">
        <f>'0,3+2% MES FUN'!K15-'CE mes'!K15</f>
        <v>91.136920000000373</v>
      </c>
      <c r="L15" s="16">
        <f>'0,3+2% MES FUN'!L15-'CE mes'!L15</f>
        <v>86.445944999999483</v>
      </c>
      <c r="M15" s="16">
        <f>'0,3+2% MES FUN'!M15-'CE mes'!M15</f>
        <v>81.882734999999684</v>
      </c>
      <c r="N15" s="16">
        <f>'0,3+2% MES FUN'!N15-'CE mes'!N15</f>
        <v>76.766615000000456</v>
      </c>
      <c r="O15" s="16">
        <f>'0,3+2% MES FUN'!O15-'CE mes'!O15</f>
        <v>69.61667000000034</v>
      </c>
      <c r="P15" s="16">
        <f>'0,3+2% MES FUN'!P15-'CE mes'!P15</f>
        <v>61.75360499999988</v>
      </c>
    </row>
    <row r="16" spans="1:25" x14ac:dyDescent="0.25"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1" x14ac:dyDescent="0.25">
      <c r="A17" s="1" t="s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1" x14ac:dyDescent="0.25">
      <c r="F18" s="18" t="s">
        <v>13</v>
      </c>
      <c r="G18" s="3" t="s">
        <v>14</v>
      </c>
      <c r="H18" s="3">
        <v>25</v>
      </c>
      <c r="I18" s="3">
        <v>24</v>
      </c>
      <c r="J18" s="3">
        <v>23</v>
      </c>
      <c r="K18" s="3">
        <v>22</v>
      </c>
      <c r="L18" s="18">
        <v>21</v>
      </c>
      <c r="M18" s="18">
        <v>20</v>
      </c>
      <c r="N18" s="3">
        <v>19</v>
      </c>
      <c r="O18" s="18">
        <v>18</v>
      </c>
      <c r="P18" s="3">
        <v>17</v>
      </c>
      <c r="Q18" s="18">
        <v>16</v>
      </c>
      <c r="R18" s="3" t="s">
        <v>15</v>
      </c>
    </row>
    <row r="19" spans="1:21" x14ac:dyDescent="0.25">
      <c r="F19" s="20"/>
      <c r="G19" s="49"/>
      <c r="H19" s="19"/>
      <c r="I19" s="19"/>
      <c r="J19" s="19"/>
      <c r="K19" s="117"/>
      <c r="L19" s="20"/>
      <c r="M19" s="20"/>
      <c r="N19" s="48"/>
      <c r="O19" s="20"/>
      <c r="P19" s="48"/>
      <c r="Q19" s="20"/>
      <c r="R19" s="49"/>
    </row>
    <row r="20" spans="1:21" s="5" customFormat="1" hidden="1" x14ac:dyDescent="0.25">
      <c r="E20" s="58" t="s">
        <v>6</v>
      </c>
      <c r="F20" s="7"/>
      <c r="G20" s="6"/>
      <c r="H20" s="6"/>
      <c r="I20" s="6"/>
      <c r="J20" s="6"/>
      <c r="K20" s="6"/>
      <c r="L20" s="7"/>
      <c r="M20" s="7"/>
      <c r="N20" s="6"/>
      <c r="O20" s="7"/>
      <c r="P20" s="6"/>
      <c r="Q20" s="7"/>
      <c r="R20" s="6"/>
      <c r="S20" s="146"/>
    </row>
    <row r="21" spans="1:21" s="5" customFormat="1" hidden="1" x14ac:dyDescent="0.25">
      <c r="E21" s="58" t="s">
        <v>7</v>
      </c>
      <c r="F21" s="7"/>
      <c r="G21" s="104"/>
      <c r="H21" s="104"/>
      <c r="I21" s="104"/>
      <c r="J21" s="104"/>
      <c r="K21" s="104"/>
      <c r="L21" s="7"/>
      <c r="M21" s="7"/>
      <c r="N21" s="104"/>
      <c r="O21" s="7"/>
      <c r="P21" s="104"/>
      <c r="Q21" s="7"/>
      <c r="R21" s="104"/>
      <c r="S21" s="146"/>
    </row>
    <row r="22" spans="1:21" s="5" customFormat="1" hidden="1" x14ac:dyDescent="0.25">
      <c r="E22" s="58" t="s">
        <v>8</v>
      </c>
      <c r="F22" s="7"/>
      <c r="G22" s="6"/>
      <c r="H22" s="6"/>
      <c r="I22" s="6"/>
      <c r="J22" s="6"/>
      <c r="K22" s="6"/>
      <c r="L22" s="7"/>
      <c r="M22" s="7"/>
      <c r="N22" s="6"/>
      <c r="O22" s="7"/>
      <c r="P22" s="6"/>
      <c r="Q22" s="7"/>
      <c r="R22" s="6"/>
      <c r="S22" s="90"/>
    </row>
    <row r="23" spans="1:21" s="5" customFormat="1" hidden="1" x14ac:dyDescent="0.25">
      <c r="E23" s="58" t="s">
        <v>97</v>
      </c>
      <c r="F23" s="7"/>
      <c r="G23" s="6"/>
      <c r="H23" s="6"/>
      <c r="I23" s="6"/>
      <c r="J23" s="6"/>
      <c r="K23" s="6"/>
      <c r="L23" s="7"/>
      <c r="M23" s="7"/>
      <c r="N23" s="6"/>
      <c r="O23" s="7"/>
      <c r="P23" s="6"/>
      <c r="Q23" s="7"/>
      <c r="R23" s="6"/>
      <c r="S23" s="146"/>
    </row>
    <row r="24" spans="1:21" s="5" customFormat="1" hidden="1" x14ac:dyDescent="0.25">
      <c r="C24" s="228" t="s">
        <v>94</v>
      </c>
      <c r="D24" s="229"/>
      <c r="E24" s="191">
        <v>0.5</v>
      </c>
      <c r="F24" s="7"/>
      <c r="G24" s="6"/>
      <c r="H24" s="6"/>
      <c r="I24" s="6"/>
      <c r="J24" s="6"/>
      <c r="K24" s="6"/>
      <c r="L24" s="7"/>
      <c r="M24" s="7"/>
      <c r="N24" s="6"/>
      <c r="O24" s="7"/>
      <c r="P24" s="6"/>
      <c r="Q24" s="7"/>
      <c r="R24" s="6"/>
      <c r="S24" s="146"/>
    </row>
    <row r="25" spans="1:21" s="5" customFormat="1" hidden="1" x14ac:dyDescent="0.25">
      <c r="C25" s="228" t="s">
        <v>95</v>
      </c>
      <c r="D25" s="229"/>
      <c r="E25" s="191">
        <v>0.3</v>
      </c>
      <c r="F25" s="7"/>
      <c r="G25" s="6"/>
      <c r="H25" s="6"/>
      <c r="I25" s="6"/>
      <c r="J25" s="6"/>
      <c r="K25" s="6"/>
      <c r="L25" s="7"/>
      <c r="M25" s="7"/>
      <c r="N25" s="6"/>
      <c r="O25" s="7"/>
      <c r="P25" s="6"/>
      <c r="Q25" s="7"/>
      <c r="R25" s="6"/>
      <c r="S25" s="146"/>
    </row>
    <row r="26" spans="1:21" s="5" customFormat="1" hidden="1" x14ac:dyDescent="0.25">
      <c r="C26" s="228" t="s">
        <v>96</v>
      </c>
      <c r="D26" s="229"/>
      <c r="E26" s="191">
        <v>0.2</v>
      </c>
      <c r="F26" s="7"/>
      <c r="G26" s="6"/>
      <c r="H26" s="6"/>
      <c r="I26" s="6"/>
      <c r="J26" s="6"/>
      <c r="K26" s="6"/>
      <c r="L26" s="7"/>
      <c r="M26" s="7"/>
      <c r="N26" s="6"/>
      <c r="O26" s="7"/>
      <c r="P26" s="6"/>
      <c r="Q26" s="7"/>
      <c r="R26" s="6"/>
      <c r="S26" s="146"/>
    </row>
    <row r="27" spans="1:21" s="5" customFormat="1" x14ac:dyDescent="0.25">
      <c r="E27" s="15"/>
      <c r="F27" s="16">
        <f>'0,3+2% MES FUN'!F27-'CE mes'!F27</f>
        <v>102.32917276666649</v>
      </c>
      <c r="G27" s="16">
        <f>'0,3+2% MES FUN'!G27-'CE mes'!G27</f>
        <v>89.707012733334068</v>
      </c>
      <c r="H27" s="16">
        <f>'0,3+2% MES FUN'!H27-'CE mes'!H27</f>
        <v>88.627228233333426</v>
      </c>
      <c r="I27" s="16">
        <f>'0,3+2% MES FUN'!I27-'CE mes'!I27</f>
        <v>83.683164233333628</v>
      </c>
      <c r="J27" s="16">
        <f>'0,3+2% MES FUN'!J27-'CE mes'!J27</f>
        <v>80.721991200000048</v>
      </c>
      <c r="K27" s="16">
        <f>'0,3+2% MES FUN'!K27-'CE mes'!K27</f>
        <v>79.066283199999816</v>
      </c>
      <c r="L27" s="16">
        <f>'0,3+2% MES FUN'!L27-'CE mes'!L27</f>
        <v>77.288779966666425</v>
      </c>
      <c r="M27" s="16">
        <f>'0,3+2% MES FUN'!M27-'CE mes'!M27</f>
        <v>75.568388666667033</v>
      </c>
      <c r="N27" s="16">
        <f>'0,3+2% MES FUN'!N27-'CE mes'!N27</f>
        <v>74.440754666666635</v>
      </c>
      <c r="O27" s="16">
        <f>'0,3+2% MES FUN'!O27-'CE mes'!O27</f>
        <v>70.908500733333312</v>
      </c>
      <c r="P27" s="16">
        <f>'0,3+2% MES FUN'!P27-'CE mes'!P27</f>
        <v>68.727447499999471</v>
      </c>
      <c r="Q27" s="16">
        <f>'0,3+2% MES FUN'!Q27-'CE mes'!Q27</f>
        <v>66.353920133333304</v>
      </c>
      <c r="R27" s="16">
        <f>'0,3+2% MES FUN'!R27-'CE mes'!R27</f>
        <v>63.40469986666676</v>
      </c>
    </row>
    <row r="28" spans="1:21" s="5" customFormat="1" x14ac:dyDescent="0.25"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1" x14ac:dyDescent="0.25">
      <c r="A29" s="1" t="s">
        <v>16</v>
      </c>
      <c r="B29" s="1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x14ac:dyDescent="0.25">
      <c r="D30" s="5"/>
      <c r="K30">
        <v>22</v>
      </c>
      <c r="L30">
        <v>21</v>
      </c>
      <c r="M30">
        <v>20</v>
      </c>
      <c r="N30">
        <v>19</v>
      </c>
      <c r="O30">
        <v>18</v>
      </c>
      <c r="P30" s="2">
        <v>17</v>
      </c>
      <c r="Q30" s="2">
        <v>16</v>
      </c>
      <c r="R30" s="2">
        <v>15</v>
      </c>
      <c r="S30">
        <v>14</v>
      </c>
      <c r="T30" s="2">
        <v>13</v>
      </c>
      <c r="U30">
        <v>12</v>
      </c>
    </row>
    <row r="31" spans="1:21" x14ac:dyDescent="0.25">
      <c r="K31" s="19"/>
      <c r="L31" s="19"/>
      <c r="M31" s="19"/>
      <c r="N31" s="19"/>
      <c r="O31" s="19"/>
      <c r="P31" s="20"/>
      <c r="Q31" s="20"/>
      <c r="R31" s="20"/>
      <c r="S31" s="19"/>
      <c r="T31" s="20"/>
      <c r="U31" s="19"/>
    </row>
    <row r="32" spans="1:21" s="5" customFormat="1" x14ac:dyDescent="0.25">
      <c r="J32" s="9"/>
      <c r="K32" s="10"/>
      <c r="L32" s="10"/>
      <c r="M32" s="10"/>
      <c r="N32" s="10"/>
      <c r="O32" s="10"/>
      <c r="P32" s="11"/>
      <c r="Q32" s="11"/>
      <c r="R32" s="11"/>
      <c r="S32" s="10"/>
      <c r="T32" s="11"/>
      <c r="U32" s="10"/>
    </row>
    <row r="33" spans="1:28" s="5" customFormat="1" hidden="1" x14ac:dyDescent="0.25">
      <c r="P33" s="13"/>
      <c r="Q33" s="13"/>
      <c r="R33" s="13"/>
      <c r="T33" s="13"/>
    </row>
    <row r="34" spans="1:28" s="5" customFormat="1" hidden="1" x14ac:dyDescent="0.25">
      <c r="J34" s="6" t="s">
        <v>6</v>
      </c>
      <c r="K34" s="6"/>
      <c r="L34" s="6"/>
      <c r="M34" s="6"/>
      <c r="N34" s="6"/>
      <c r="O34" s="6"/>
      <c r="P34" s="7"/>
      <c r="Q34" s="7"/>
      <c r="R34" s="7"/>
      <c r="S34" s="6"/>
      <c r="T34" s="7"/>
      <c r="U34" s="6"/>
      <c r="V34" s="90"/>
      <c r="W34" s="90"/>
      <c r="X34" s="90"/>
      <c r="Y34" s="90"/>
    </row>
    <row r="35" spans="1:28" s="5" customFormat="1" hidden="1" x14ac:dyDescent="0.25">
      <c r="J35" s="6" t="s">
        <v>7</v>
      </c>
      <c r="K35" s="6"/>
      <c r="L35" s="104"/>
      <c r="M35" s="104"/>
      <c r="N35" s="104"/>
      <c r="O35" s="104"/>
      <c r="P35" s="7"/>
      <c r="Q35" s="7"/>
      <c r="R35" s="7"/>
      <c r="S35" s="104"/>
      <c r="T35" s="7"/>
      <c r="U35" s="104"/>
      <c r="V35" s="90"/>
      <c r="W35" s="90"/>
      <c r="X35" s="90"/>
      <c r="Y35" s="90"/>
    </row>
    <row r="36" spans="1:28" s="5" customFormat="1" hidden="1" x14ac:dyDescent="0.25">
      <c r="J36" s="6" t="s">
        <v>8</v>
      </c>
      <c r="K36" s="6"/>
      <c r="L36" s="6"/>
      <c r="M36" s="6"/>
      <c r="N36" s="6"/>
      <c r="O36" s="6"/>
      <c r="P36" s="7"/>
      <c r="Q36" s="7"/>
      <c r="R36" s="7"/>
      <c r="S36" s="6"/>
      <c r="T36" s="7"/>
      <c r="U36" s="6"/>
      <c r="V36" s="90"/>
      <c r="W36" s="90"/>
      <c r="X36" s="90"/>
      <c r="Y36" s="90"/>
    </row>
    <row r="37" spans="1:28" s="5" customFormat="1" hidden="1" x14ac:dyDescent="0.25">
      <c r="J37" s="58" t="s">
        <v>97</v>
      </c>
      <c r="K37" s="6"/>
      <c r="L37" s="6"/>
      <c r="M37" s="6"/>
      <c r="N37" s="6"/>
      <c r="O37" s="6"/>
      <c r="P37" s="7"/>
      <c r="Q37" s="7"/>
      <c r="R37" s="7"/>
      <c r="S37" s="6"/>
      <c r="T37" s="7"/>
      <c r="U37" s="6"/>
      <c r="V37" s="90"/>
      <c r="W37" s="90"/>
      <c r="X37" s="90"/>
      <c r="Y37" s="90"/>
    </row>
    <row r="38" spans="1:28" s="5" customFormat="1" ht="15" hidden="1" customHeight="1" x14ac:dyDescent="0.25">
      <c r="I38" s="228" t="s">
        <v>94</v>
      </c>
      <c r="J38" s="229"/>
      <c r="K38" s="159"/>
      <c r="L38" s="6"/>
      <c r="M38" s="6"/>
      <c r="N38" s="6"/>
      <c r="O38" s="6"/>
      <c r="P38" s="6"/>
      <c r="Q38" s="6"/>
      <c r="R38" s="6"/>
      <c r="S38" s="6"/>
      <c r="T38" s="7"/>
      <c r="U38" s="6"/>
      <c r="V38" s="225">
        <f>('0,3 Fun mes'!V38*2%)+'0,3 Fun mes'!V38</f>
        <v>0</v>
      </c>
      <c r="W38" s="225">
        <f>('0,3 Fun mes'!W38*2%)+'0,3 Fun mes'!W38</f>
        <v>0</v>
      </c>
      <c r="X38" s="9">
        <f>('0,3 Fun mes'!X38*2%)+'0,3 Fun mes'!X38</f>
        <v>0</v>
      </c>
    </row>
    <row r="39" spans="1:28" s="5" customFormat="1" ht="15" hidden="1" customHeight="1" x14ac:dyDescent="0.25">
      <c r="I39" s="228" t="s">
        <v>95</v>
      </c>
      <c r="J39" s="229"/>
      <c r="K39" s="159"/>
      <c r="L39" s="6"/>
      <c r="M39" s="6"/>
      <c r="N39" s="6"/>
      <c r="O39" s="6"/>
      <c r="P39" s="6"/>
      <c r="Q39" s="6"/>
      <c r="R39" s="6"/>
      <c r="S39" s="6"/>
      <c r="T39" s="7"/>
      <c r="U39" s="6"/>
      <c r="V39" s="6">
        <f>('0,3 Fun mes'!V39*2%)+'0,3 Fun mes'!V39</f>
        <v>0</v>
      </c>
      <c r="W39" s="6">
        <f>('0,3 Fun mes'!W39*2%)+'0,3 Fun mes'!W39</f>
        <v>0</v>
      </c>
      <c r="X39" s="58">
        <f>('0,3 Fun mes'!X39*2%)+'0,3 Fun mes'!X39</f>
        <v>0</v>
      </c>
    </row>
    <row r="40" spans="1:28" s="5" customFormat="1" ht="15" hidden="1" customHeight="1" x14ac:dyDescent="0.25">
      <c r="I40" s="228" t="s">
        <v>96</v>
      </c>
      <c r="J40" s="229"/>
      <c r="K40" s="159"/>
      <c r="L40" s="6"/>
      <c r="M40" s="6"/>
      <c r="N40" s="6"/>
      <c r="O40" s="6"/>
      <c r="P40" s="6"/>
      <c r="Q40" s="6"/>
      <c r="R40" s="6"/>
      <c r="S40" s="6"/>
      <c r="T40" s="7"/>
      <c r="U40" s="6"/>
      <c r="V40" s="6">
        <f>('0,3 Fun mes'!V40*2%)+'0,3 Fun mes'!V40</f>
        <v>0</v>
      </c>
      <c r="W40" s="6">
        <f>('0,3 Fun mes'!W40*2%)+'0,3 Fun mes'!W40</f>
        <v>0</v>
      </c>
      <c r="X40" s="58">
        <f>('0,3 Fun mes'!X40*2%)+'0,3 Fun mes'!X40</f>
        <v>0</v>
      </c>
    </row>
    <row r="41" spans="1:28" s="5" customFormat="1" x14ac:dyDescent="0.25">
      <c r="J41" s="15"/>
      <c r="K41" s="15"/>
      <c r="L41" s="16">
        <f>'0,3+2% MES FUN'!L41-'CE mes'!L41</f>
        <v>81.733279999999922</v>
      </c>
      <c r="M41" s="16">
        <f>'0,3+2% MES FUN'!M41-'CE mes'!M41</f>
        <v>79.871154999999817</v>
      </c>
      <c r="N41" s="16">
        <f>'0,3+2% MES FUN'!N41-'CE mes'!N41</f>
        <v>76.088959999999588</v>
      </c>
      <c r="O41" s="16">
        <f>'0,3+2% MES FUN'!O41-'CE mes'!O41</f>
        <v>70.06447500000013</v>
      </c>
      <c r="P41" s="16">
        <f>'0,3+2% MES FUN'!P41-'CE mes'!P41</f>
        <v>66.650484999999662</v>
      </c>
      <c r="Q41" s="16">
        <f>'0,3+2% MES FUN'!Q41-'CE mes'!Q41</f>
        <v>61.891715000000204</v>
      </c>
      <c r="R41" s="16">
        <f>'0,3+2% MES FUN'!R41-'CE mes'!R41</f>
        <v>58.58093000000008</v>
      </c>
      <c r="S41" s="16">
        <f>'0,3+2% MES FUN'!S41-'CE mes'!S41</f>
        <v>56.442744999999832</v>
      </c>
      <c r="T41" s="16">
        <f>'0,3+2% MES FUN'!T41-'CE mes'!T41</f>
        <v>54.07529999999997</v>
      </c>
      <c r="U41" s="16">
        <f>'0,3+2% MES FUN'!U41-'CE mes'!U41</f>
        <v>49.718539999999848</v>
      </c>
    </row>
    <row r="42" spans="1:28" s="5" customFormat="1" x14ac:dyDescent="0.25"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8" x14ac:dyDescent="0.25">
      <c r="A43" s="1" t="s">
        <v>18</v>
      </c>
      <c r="B43" s="1"/>
    </row>
    <row r="44" spans="1:28" x14ac:dyDescent="0.25">
      <c r="O44" s="142">
        <v>18</v>
      </c>
      <c r="P44" s="2">
        <v>17</v>
      </c>
      <c r="Q44" s="142">
        <v>16</v>
      </c>
      <c r="R44" s="142">
        <v>15</v>
      </c>
      <c r="S44" s="2">
        <v>14</v>
      </c>
      <c r="T44" s="2">
        <v>13</v>
      </c>
      <c r="U44" s="2">
        <v>12</v>
      </c>
      <c r="V44" s="2">
        <v>11</v>
      </c>
      <c r="W44" s="142">
        <v>10</v>
      </c>
      <c r="X44" s="2">
        <v>9</v>
      </c>
    </row>
    <row r="45" spans="1:28" x14ac:dyDescent="0.25">
      <c r="N45" s="19"/>
      <c r="O45" s="149"/>
      <c r="P45" s="20"/>
      <c r="Q45" s="149"/>
      <c r="R45" s="149"/>
      <c r="S45" s="20"/>
      <c r="T45" s="20"/>
      <c r="U45" s="20"/>
      <c r="V45" s="20"/>
      <c r="W45" s="149"/>
      <c r="X45" s="20"/>
    </row>
    <row r="46" spans="1:28" s="5" customFormat="1" x14ac:dyDescent="0.25">
      <c r="G46"/>
      <c r="N46" s="58"/>
      <c r="O46" s="150"/>
      <c r="P46" s="148"/>
      <c r="Q46" s="150"/>
      <c r="R46" s="150"/>
      <c r="S46" s="148"/>
      <c r="T46" s="148"/>
      <c r="U46" s="148"/>
      <c r="V46" s="148"/>
      <c r="W46" s="150"/>
      <c r="X46" s="33"/>
    </row>
    <row r="47" spans="1:28" s="5" customFormat="1" hidden="1" x14ac:dyDescent="0.25">
      <c r="G47"/>
      <c r="O47" s="141"/>
      <c r="P47" s="13"/>
      <c r="Q47" s="141"/>
      <c r="R47" s="141"/>
      <c r="S47" s="7"/>
      <c r="T47" s="7"/>
      <c r="U47" s="7"/>
      <c r="V47" s="7"/>
      <c r="W47" s="141"/>
      <c r="X47" s="13"/>
    </row>
    <row r="48" spans="1:28" s="5" customFormat="1" hidden="1" x14ac:dyDescent="0.25">
      <c r="G48"/>
      <c r="N48" s="6" t="s">
        <v>6</v>
      </c>
      <c r="O48" s="6"/>
      <c r="P48" s="7"/>
      <c r="Q48" s="6"/>
      <c r="R48" s="6"/>
      <c r="S48" s="7"/>
      <c r="T48" s="7"/>
      <c r="U48" s="7"/>
      <c r="V48" s="7"/>
      <c r="W48" s="6"/>
      <c r="X48" s="7"/>
      <c r="Y48" s="90"/>
      <c r="Z48" s="90"/>
      <c r="AA48" s="90"/>
      <c r="AB48" s="90"/>
    </row>
    <row r="49" spans="1:29" s="5" customFormat="1" hidden="1" x14ac:dyDescent="0.25">
      <c r="G49"/>
      <c r="N49" s="6" t="s">
        <v>7</v>
      </c>
      <c r="O49" s="104"/>
      <c r="P49" s="7"/>
      <c r="Q49" s="104"/>
      <c r="R49" s="104"/>
      <c r="S49" s="7"/>
      <c r="T49" s="7"/>
      <c r="U49" s="7"/>
      <c r="V49" s="7"/>
      <c r="W49" s="104"/>
      <c r="X49" s="7"/>
      <c r="Y49" s="90"/>
      <c r="Z49" s="90"/>
      <c r="AA49" s="90"/>
      <c r="AB49" s="90"/>
    </row>
    <row r="50" spans="1:29" s="5" customFormat="1" hidden="1" x14ac:dyDescent="0.25">
      <c r="N50" s="6" t="s">
        <v>8</v>
      </c>
      <c r="O50" s="6"/>
      <c r="P50" s="7"/>
      <c r="Q50" s="6"/>
      <c r="R50" s="6"/>
      <c r="S50" s="7"/>
      <c r="T50" s="7"/>
      <c r="U50" s="7"/>
      <c r="V50" s="7"/>
      <c r="W50" s="6"/>
      <c r="X50" s="7"/>
      <c r="Y50" s="90"/>
      <c r="Z50" s="90"/>
      <c r="AA50" s="90"/>
      <c r="AB50" s="90"/>
    </row>
    <row r="51" spans="1:29" s="5" customFormat="1" hidden="1" x14ac:dyDescent="0.25">
      <c r="A51" s="38" t="s">
        <v>41</v>
      </c>
      <c r="B51" s="38"/>
      <c r="N51" s="58" t="s">
        <v>97</v>
      </c>
      <c r="O51" s="6"/>
      <c r="P51" s="7"/>
      <c r="Q51" s="6"/>
      <c r="R51" s="6"/>
      <c r="S51" s="7"/>
      <c r="T51" s="7"/>
      <c r="U51" s="7"/>
      <c r="V51" s="7"/>
      <c r="W51" s="6"/>
      <c r="X51" s="7"/>
      <c r="Y51" s="90"/>
      <c r="Z51" s="90"/>
      <c r="AA51" s="90"/>
      <c r="AB51" s="90"/>
    </row>
    <row r="52" spans="1:29" s="5" customFormat="1" ht="15" hidden="1" customHeight="1" x14ac:dyDescent="0.25">
      <c r="A52" s="38"/>
      <c r="B52" s="38"/>
      <c r="L52" s="228" t="s">
        <v>94</v>
      </c>
      <c r="M52" s="229"/>
      <c r="N52" s="159">
        <v>0.5</v>
      </c>
      <c r="O52" s="6"/>
      <c r="P52" s="7"/>
      <c r="Q52" s="6"/>
      <c r="R52" s="6"/>
      <c r="S52" s="7"/>
      <c r="T52" s="7"/>
      <c r="U52" s="7"/>
      <c r="V52" s="7"/>
      <c r="W52" s="6"/>
      <c r="X52" s="7"/>
      <c r="Y52" s="90"/>
      <c r="Z52" s="90"/>
      <c r="AA52" s="90"/>
      <c r="AB52" s="90"/>
    </row>
    <row r="53" spans="1:29" s="5" customFormat="1" ht="15" hidden="1" customHeight="1" x14ac:dyDescent="0.25">
      <c r="A53" s="38"/>
      <c r="B53" s="38"/>
      <c r="L53" s="228" t="s">
        <v>95</v>
      </c>
      <c r="M53" s="229"/>
      <c r="N53" s="159">
        <v>0.3</v>
      </c>
      <c r="O53" s="6"/>
      <c r="P53" s="7"/>
      <c r="Q53" s="6"/>
      <c r="R53" s="6"/>
      <c r="S53" s="7"/>
      <c r="T53" s="7"/>
      <c r="U53" s="7"/>
      <c r="V53" s="7"/>
      <c r="W53" s="6"/>
      <c r="X53" s="7"/>
      <c r="Y53" s="90"/>
      <c r="Z53" s="90"/>
      <c r="AA53" s="90"/>
      <c r="AB53" s="90"/>
    </row>
    <row r="54" spans="1:29" s="5" customFormat="1" ht="15" hidden="1" customHeight="1" x14ac:dyDescent="0.25">
      <c r="A54" s="34"/>
      <c r="B54" s="34"/>
      <c r="C54" s="34"/>
      <c r="D54" s="40"/>
      <c r="L54" s="228" t="s">
        <v>96</v>
      </c>
      <c r="M54" s="229"/>
      <c r="N54" s="159">
        <v>0.2</v>
      </c>
      <c r="O54" s="6"/>
      <c r="P54" s="7"/>
      <c r="Q54" s="6"/>
      <c r="R54" s="6"/>
      <c r="S54" s="7"/>
      <c r="T54" s="7"/>
      <c r="U54" s="7"/>
      <c r="V54" s="7"/>
      <c r="W54" s="6"/>
      <c r="X54" s="7"/>
      <c r="Y54" s="90"/>
      <c r="Z54" s="90"/>
      <c r="AA54" s="90"/>
      <c r="AB54" s="90"/>
    </row>
    <row r="55" spans="1:29" s="5" customFormat="1" x14ac:dyDescent="0.25">
      <c r="A55" s="34"/>
      <c r="B55" s="34"/>
      <c r="C55" s="34"/>
      <c r="D55" s="40"/>
      <c r="N55" s="6"/>
      <c r="O55" s="16"/>
      <c r="P55" s="16">
        <f>'0,3+2% MES FUN'!P55-'CE mes'!P55</f>
        <v>58.655531300000348</v>
      </c>
      <c r="Q55" s="16">
        <f>'0,3+2% MES FUN'!Q55-'CE mes'!Q55</f>
        <v>57.469593933333726</v>
      </c>
      <c r="R55" s="16">
        <f>'0,3+2% MES FUN'!R55-'CE mes'!R55</f>
        <v>55.289309366666657</v>
      </c>
      <c r="S55" s="16">
        <f>'0,3+2% MES FUN'!S55-'CE mes'!S55</f>
        <v>52.931193766666638</v>
      </c>
      <c r="T55" s="16">
        <f>'0,3+2% MES FUN'!T55-'CE mes'!T55</f>
        <v>50.7517547333332</v>
      </c>
      <c r="U55" s="16">
        <f>'0,3+2% MES FUN'!U55-'CE mes'!U55</f>
        <v>48.549063533333538</v>
      </c>
      <c r="V55" s="16">
        <f>'0,3+2% MES FUN'!V55-'CE mes'!V55</f>
        <v>48.476924166666777</v>
      </c>
      <c r="W55" s="16">
        <f>'0,3+2% MES FUN'!W55-'CE mes'!W55</f>
        <v>43.39761326666644</v>
      </c>
      <c r="X55" s="16">
        <f>'0,3+2% MES FUN'!X55-'CE mes'!X55</f>
        <v>40.047494899999947</v>
      </c>
      <c r="Y55" s="90"/>
      <c r="Z55" s="90"/>
      <c r="AA55" s="90"/>
      <c r="AB55" s="90"/>
    </row>
    <row r="56" spans="1:29" x14ac:dyDescent="0.25">
      <c r="A56" s="5"/>
      <c r="B56" s="5"/>
      <c r="C56" s="5"/>
      <c r="D56" s="5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226"/>
      <c r="Z56" s="125"/>
      <c r="AA56" s="125"/>
      <c r="AB56" s="125"/>
    </row>
    <row r="57" spans="1:29" x14ac:dyDescent="0.25">
      <c r="A57" s="5"/>
      <c r="B57" s="5"/>
      <c r="C57" s="5"/>
      <c r="D57" s="5"/>
      <c r="O57" s="5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125"/>
      <c r="AC57" s="125"/>
    </row>
    <row r="58" spans="1:29" x14ac:dyDescent="0.25">
      <c r="D58" s="5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topLeftCell="I1" workbookViewId="0">
      <selection activeCell="U30" sqref="U30"/>
    </sheetView>
  </sheetViews>
  <sheetFormatPr baseColWidth="10" defaultRowHeight="15" x14ac:dyDescent="0.25"/>
  <cols>
    <col min="1" max="1" width="13" customWidth="1"/>
    <col min="4" max="4" width="12.42578125" customWidth="1"/>
    <col min="18" max="21" width="11.42578125" style="125"/>
  </cols>
  <sheetData>
    <row r="1" spans="1:22" ht="15.75" thickBot="1" x14ac:dyDescent="0.3"/>
    <row r="2" spans="1:22" x14ac:dyDescent="0.25">
      <c r="A2" s="1" t="s">
        <v>0</v>
      </c>
      <c r="R2" s="113"/>
      <c r="S2" s="114"/>
      <c r="T2" s="106" t="s">
        <v>85</v>
      </c>
      <c r="U2" s="107"/>
      <c r="V2" s="108"/>
    </row>
    <row r="3" spans="1:22" ht="15.75" thickBot="1" x14ac:dyDescent="0.3">
      <c r="A3" s="1"/>
      <c r="R3" s="115"/>
      <c r="S3" s="116"/>
      <c r="T3" s="109" t="s">
        <v>1</v>
      </c>
      <c r="U3" s="110"/>
      <c r="V3" s="111"/>
    </row>
    <row r="5" spans="1:22" x14ac:dyDescent="0.25">
      <c r="A5" s="1" t="s">
        <v>2</v>
      </c>
    </row>
    <row r="6" spans="1:22" x14ac:dyDescent="0.25">
      <c r="B6">
        <v>30</v>
      </c>
      <c r="C6">
        <v>29</v>
      </c>
      <c r="D6">
        <v>28</v>
      </c>
      <c r="E6">
        <v>27</v>
      </c>
      <c r="F6" s="2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2">
        <v>20</v>
      </c>
      <c r="M6" s="3" t="s">
        <v>3</v>
      </c>
      <c r="N6" s="3" t="s">
        <v>4</v>
      </c>
      <c r="O6" s="4" t="s">
        <v>5</v>
      </c>
    </row>
    <row r="7" spans="1:22" s="5" customFormat="1" x14ac:dyDescent="0.25">
      <c r="B7" s="6"/>
      <c r="C7" s="6"/>
      <c r="D7" s="6"/>
      <c r="E7" s="6"/>
      <c r="F7" s="7"/>
      <c r="G7" s="6"/>
      <c r="H7" s="6"/>
      <c r="I7" s="6"/>
      <c r="J7" s="6"/>
      <c r="K7" s="6"/>
      <c r="L7" s="7"/>
      <c r="M7" s="6"/>
      <c r="N7" s="6"/>
      <c r="O7" s="8"/>
      <c r="R7" s="90"/>
      <c r="S7" s="90"/>
      <c r="T7" s="90"/>
      <c r="U7" s="90"/>
    </row>
    <row r="8" spans="1:22" s="5" customFormat="1" x14ac:dyDescent="0.25">
      <c r="A8" s="9"/>
      <c r="B8" s="10"/>
      <c r="C8" s="10"/>
      <c r="D8" s="10"/>
      <c r="E8" s="10"/>
      <c r="F8" s="11"/>
      <c r="G8" s="10"/>
      <c r="H8" s="10"/>
      <c r="I8" s="10"/>
      <c r="J8" s="10"/>
      <c r="K8" s="10"/>
      <c r="L8" s="11"/>
      <c r="M8" s="10"/>
      <c r="N8" s="10"/>
      <c r="O8" s="12"/>
      <c r="R8" s="90"/>
      <c r="S8" s="90"/>
      <c r="T8" s="90"/>
      <c r="U8" s="90"/>
    </row>
    <row r="9" spans="1:22" s="5" customFormat="1" x14ac:dyDescent="0.25">
      <c r="F9" s="13"/>
      <c r="L9" s="13"/>
      <c r="O9" s="14"/>
      <c r="R9" s="90"/>
      <c r="S9" s="90"/>
      <c r="T9" s="90"/>
      <c r="U9" s="90"/>
    </row>
    <row r="10" spans="1:22" s="5" customFormat="1" x14ac:dyDescent="0.25">
      <c r="A10" s="6" t="s">
        <v>6</v>
      </c>
      <c r="B10" s="6">
        <v>15577.66</v>
      </c>
      <c r="C10" s="6">
        <v>15577.66</v>
      </c>
      <c r="D10" s="6">
        <v>15577.66</v>
      </c>
      <c r="E10" s="6">
        <v>15577.66</v>
      </c>
      <c r="F10" s="7">
        <v>15577.66</v>
      </c>
      <c r="G10" s="6">
        <v>15577.66</v>
      </c>
      <c r="H10" s="6">
        <v>15577.66</v>
      </c>
      <c r="I10" s="6">
        <v>15577.66</v>
      </c>
      <c r="J10" s="6">
        <v>15577.66</v>
      </c>
      <c r="K10" s="6">
        <v>15577.66</v>
      </c>
      <c r="L10" s="7">
        <v>15577.66</v>
      </c>
      <c r="M10" s="6">
        <v>15577.66</v>
      </c>
      <c r="N10" s="6">
        <v>15577.66</v>
      </c>
      <c r="O10" s="8">
        <v>15577.66</v>
      </c>
      <c r="R10" s="90"/>
      <c r="S10" s="90"/>
      <c r="T10" s="90"/>
      <c r="U10" s="90"/>
    </row>
    <row r="11" spans="1:22" s="5" customFormat="1" x14ac:dyDescent="0.25">
      <c r="A11" s="6" t="s">
        <v>7</v>
      </c>
      <c r="B11" s="6">
        <v>14394.380000000001</v>
      </c>
      <c r="C11" s="6">
        <v>12911.079999999998</v>
      </c>
      <c r="D11" s="6">
        <v>12368.44</v>
      </c>
      <c r="E11" s="6">
        <v>11825.1</v>
      </c>
      <c r="F11" s="7">
        <v>10374.56</v>
      </c>
      <c r="G11" s="6">
        <v>9204.44</v>
      </c>
      <c r="H11" s="6">
        <v>8661.3799999999992</v>
      </c>
      <c r="I11" s="6">
        <v>8119.1599999999989</v>
      </c>
      <c r="J11" s="6">
        <v>7575.68</v>
      </c>
      <c r="K11" s="6">
        <v>7033.6</v>
      </c>
      <c r="L11" s="7">
        <v>6533.52</v>
      </c>
      <c r="M11" s="6">
        <v>6533.52</v>
      </c>
      <c r="N11" s="6">
        <v>6533.52</v>
      </c>
      <c r="O11" s="8">
        <v>6533.52</v>
      </c>
      <c r="R11" s="90"/>
      <c r="S11" s="90"/>
      <c r="T11" s="90"/>
      <c r="U11" s="90"/>
    </row>
    <row r="12" spans="1:22" s="5" customFormat="1" x14ac:dyDescent="0.25">
      <c r="A12" s="6" t="s">
        <v>8</v>
      </c>
      <c r="B12" s="6">
        <v>34474.241900000001</v>
      </c>
      <c r="C12" s="6">
        <v>32552.739450000001</v>
      </c>
      <c r="D12" s="6">
        <v>29925.936950000003</v>
      </c>
      <c r="E12" s="6">
        <v>24204.804049999999</v>
      </c>
      <c r="F12" s="7">
        <v>21172.600749999998</v>
      </c>
      <c r="G12" s="6">
        <v>21110.75995</v>
      </c>
      <c r="H12" s="6">
        <v>20578.671399999999</v>
      </c>
      <c r="I12" s="6">
        <v>20215.78615</v>
      </c>
      <c r="J12" s="6">
        <v>19853.33035</v>
      </c>
      <c r="K12" s="6">
        <v>18328.210249999996</v>
      </c>
      <c r="L12" s="7">
        <v>16772.169750000001</v>
      </c>
      <c r="M12" s="6">
        <v>14005.509700000001</v>
      </c>
      <c r="N12" s="6">
        <v>11073.511399999999</v>
      </c>
      <c r="O12" s="8">
        <v>7847.7692999999999</v>
      </c>
      <c r="R12" s="90"/>
      <c r="S12" s="90"/>
      <c r="T12" s="90"/>
      <c r="U12" s="90"/>
    </row>
    <row r="13" spans="1:22" s="5" customFormat="1" x14ac:dyDescent="0.25">
      <c r="A13" s="6" t="s">
        <v>9</v>
      </c>
      <c r="B13" s="6">
        <v>5370.5585500000007</v>
      </c>
      <c r="C13" s="6">
        <v>5086.8352500000001</v>
      </c>
      <c r="D13" s="6">
        <v>4822.7234999999991</v>
      </c>
      <c r="E13" s="6">
        <v>4300.6554500000002</v>
      </c>
      <c r="F13" s="7">
        <v>3926.8907999999997</v>
      </c>
      <c r="G13" s="6">
        <v>3824.3954000000003</v>
      </c>
      <c r="H13" s="6">
        <v>3734.7834999999995</v>
      </c>
      <c r="I13" s="6">
        <v>3659.3434499999994</v>
      </c>
      <c r="J13" s="6">
        <v>3583.9034000000001</v>
      </c>
      <c r="K13" s="6">
        <v>3411.5508</v>
      </c>
      <c r="L13" s="7">
        <v>3240.2002499999999</v>
      </c>
      <c r="M13" s="6">
        <v>3009.7287500000002</v>
      </c>
      <c r="N13" s="6">
        <v>2765.3716999999997</v>
      </c>
      <c r="O13" s="8">
        <v>2496.5360000000001</v>
      </c>
      <c r="R13" s="90"/>
      <c r="S13" s="90"/>
      <c r="T13" s="90"/>
      <c r="U13" s="90"/>
    </row>
    <row r="14" spans="1:22" s="5" customFormat="1" x14ac:dyDescent="0.25">
      <c r="A14" s="6" t="s">
        <v>10</v>
      </c>
      <c r="B14" s="6">
        <v>6120.9508499999993</v>
      </c>
      <c r="C14" s="6">
        <v>5764.0779000000002</v>
      </c>
      <c r="D14" s="6">
        <v>5152.6842499999993</v>
      </c>
      <c r="E14" s="6">
        <v>3767.5648499999998</v>
      </c>
      <c r="F14" s="7">
        <v>3130.5473499999998</v>
      </c>
      <c r="G14" s="6">
        <v>3212.4291499999995</v>
      </c>
      <c r="H14" s="6">
        <v>3124.8213499999997</v>
      </c>
      <c r="I14" s="6">
        <v>3079.1564999999996</v>
      </c>
      <c r="J14" s="6">
        <v>3033.9210999999996</v>
      </c>
      <c r="K14" s="6">
        <v>2697.8049000000001</v>
      </c>
      <c r="L14" s="7">
        <v>2350.5230000000001</v>
      </c>
      <c r="M14" s="6">
        <v>1658.8221999999998</v>
      </c>
      <c r="N14" s="6">
        <v>925.75104999999996</v>
      </c>
      <c r="O14" s="8">
        <v>119.24394999999998</v>
      </c>
      <c r="R14" s="90"/>
      <c r="S14" s="90"/>
      <c r="T14" s="90"/>
      <c r="U14" s="90"/>
    </row>
    <row r="15" spans="1:22" s="5" customFormat="1" x14ac:dyDescent="0.25">
      <c r="B15" s="6"/>
      <c r="C15" s="6"/>
      <c r="D15" s="6"/>
      <c r="E15" s="6"/>
      <c r="F15" s="7"/>
      <c r="G15" s="6"/>
      <c r="H15" s="6"/>
      <c r="I15" s="6"/>
      <c r="J15" s="6"/>
      <c r="K15" s="6"/>
      <c r="L15" s="7"/>
      <c r="M15" s="6"/>
      <c r="N15" s="6"/>
      <c r="O15" s="8"/>
      <c r="R15" s="90"/>
      <c r="S15" s="90"/>
      <c r="T15" s="90"/>
      <c r="U15" s="90"/>
    </row>
    <row r="16" spans="1:22" s="5" customFormat="1" x14ac:dyDescent="0.25">
      <c r="A16" s="6" t="s">
        <v>11</v>
      </c>
      <c r="B16" s="6">
        <v>4973.3172999999997</v>
      </c>
      <c r="C16" s="6">
        <v>4973.3172999999997</v>
      </c>
      <c r="D16" s="6">
        <v>3712.3089499999996</v>
      </c>
      <c r="E16" s="6">
        <v>3421.7144499999999</v>
      </c>
      <c r="F16" s="7">
        <v>3153.8807999999999</v>
      </c>
      <c r="G16" s="6">
        <v>3178.0731500000002</v>
      </c>
      <c r="H16" s="6">
        <v>3132.9809000000005</v>
      </c>
      <c r="I16" s="6">
        <v>3074.0030999999999</v>
      </c>
      <c r="J16" s="6">
        <v>3058.5428999999999</v>
      </c>
      <c r="K16" s="6">
        <v>2900.9347499999999</v>
      </c>
      <c r="L16" s="7">
        <v>2814.7584499999998</v>
      </c>
      <c r="M16" s="6">
        <v>3450.3444499999996</v>
      </c>
      <c r="N16" s="6">
        <v>3230.3229000000001</v>
      </c>
      <c r="O16" s="8">
        <v>2988.2562499999999</v>
      </c>
      <c r="R16" s="90"/>
      <c r="S16" s="90"/>
      <c r="T16" s="90"/>
      <c r="U16" s="90"/>
    </row>
    <row r="17" spans="1:21" s="5" customFormat="1" x14ac:dyDescent="0.25">
      <c r="A17" s="6"/>
      <c r="B17" s="15">
        <v>80911.108599999992</v>
      </c>
      <c r="C17" s="15">
        <v>76865.709900000002</v>
      </c>
      <c r="D17" s="15">
        <v>71559.753650000013</v>
      </c>
      <c r="E17" s="15">
        <v>63097.498800000001</v>
      </c>
      <c r="F17" s="16">
        <v>57336.1397</v>
      </c>
      <c r="G17" s="15">
        <v>56107.75765</v>
      </c>
      <c r="H17" s="15">
        <v>54810.297149999999</v>
      </c>
      <c r="I17" s="15">
        <v>53725.109199999999</v>
      </c>
      <c r="J17" s="15">
        <v>52683.037750000003</v>
      </c>
      <c r="K17" s="15">
        <v>49949.760699999999</v>
      </c>
      <c r="L17" s="16">
        <v>47288.831450000005</v>
      </c>
      <c r="M17" s="15">
        <v>44235.585100000004</v>
      </c>
      <c r="N17" s="15">
        <v>40106.137049999998</v>
      </c>
      <c r="O17" s="17">
        <v>35562.985500000003</v>
      </c>
      <c r="R17" s="90"/>
      <c r="S17" s="90"/>
      <c r="T17" s="90"/>
      <c r="U17" s="90"/>
    </row>
    <row r="19" spans="1:21" x14ac:dyDescent="0.25">
      <c r="A19" s="1" t="s">
        <v>12</v>
      </c>
    </row>
    <row r="20" spans="1:21" x14ac:dyDescent="0.25">
      <c r="B20">
        <f>ROUND(('abril mensual funcionaris'!B10*12)+('abril mensual funcionaris'!B66*2),2)</f>
        <v>15577.66</v>
      </c>
      <c r="E20" s="3" t="s">
        <v>13</v>
      </c>
      <c r="F20" s="3" t="s">
        <v>14</v>
      </c>
      <c r="G20" s="3">
        <v>25</v>
      </c>
      <c r="H20" s="3">
        <v>24</v>
      </c>
      <c r="I20" s="3">
        <v>23</v>
      </c>
      <c r="J20" s="3">
        <v>22</v>
      </c>
      <c r="K20" s="18">
        <v>21</v>
      </c>
      <c r="L20" s="18">
        <v>20</v>
      </c>
      <c r="M20" s="3">
        <v>19</v>
      </c>
      <c r="N20" s="18">
        <v>18</v>
      </c>
      <c r="O20" s="3">
        <v>17</v>
      </c>
      <c r="P20" s="18">
        <v>16</v>
      </c>
      <c r="Q20" s="3" t="s">
        <v>15</v>
      </c>
    </row>
    <row r="21" spans="1:21" x14ac:dyDescent="0.25">
      <c r="B21" s="5">
        <f>'abril mensual funcionaris'!B11*14</f>
        <v>14394.380000000001</v>
      </c>
      <c r="E21" s="19"/>
      <c r="F21" s="19"/>
      <c r="G21" s="19"/>
      <c r="H21" s="19"/>
      <c r="I21" s="19"/>
      <c r="J21" s="19"/>
      <c r="K21" s="20"/>
      <c r="L21" s="20"/>
      <c r="M21" s="19"/>
      <c r="N21" s="20"/>
      <c r="O21" s="19"/>
      <c r="P21" s="20"/>
      <c r="Q21" s="117"/>
    </row>
    <row r="22" spans="1:21" s="5" customFormat="1" x14ac:dyDescent="0.25">
      <c r="B22" s="5">
        <f>'abril mensual funcionaris'!B12*14</f>
        <v>34474.241900000001</v>
      </c>
      <c r="D22" s="9"/>
      <c r="E22" s="10"/>
      <c r="F22" s="10"/>
      <c r="G22" s="10"/>
      <c r="H22" s="10"/>
      <c r="I22" s="10"/>
      <c r="J22" s="10"/>
      <c r="K22" s="11"/>
      <c r="L22" s="11"/>
      <c r="M22" s="10"/>
      <c r="N22" s="11"/>
      <c r="O22" s="10"/>
      <c r="P22" s="11"/>
      <c r="Q22" s="10"/>
      <c r="R22" s="90"/>
      <c r="S22" s="90"/>
      <c r="T22" s="90"/>
      <c r="U22" s="90"/>
    </row>
    <row r="23" spans="1:21" s="5" customFormat="1" x14ac:dyDescent="0.25">
      <c r="B23" s="5">
        <f>'abril mensual funcionaris'!B13*14</f>
        <v>5370.5585500000007</v>
      </c>
      <c r="K23" s="13"/>
      <c r="L23" s="13"/>
      <c r="N23" s="13"/>
      <c r="P23" s="13"/>
      <c r="R23" s="90"/>
      <c r="S23" s="90"/>
      <c r="T23" s="90"/>
      <c r="U23" s="90"/>
    </row>
    <row r="24" spans="1:21" s="5" customFormat="1" x14ac:dyDescent="0.25">
      <c r="B24" s="5">
        <f>'abril mensual funcionaris'!B14*14</f>
        <v>6120.9508499999993</v>
      </c>
      <c r="D24" s="6" t="s">
        <v>6</v>
      </c>
      <c r="E24" s="133">
        <v>13698.06</v>
      </c>
      <c r="F24" s="6">
        <v>13698.06</v>
      </c>
      <c r="G24" s="6">
        <v>13698.06</v>
      </c>
      <c r="H24" s="6">
        <v>13698.06</v>
      </c>
      <c r="I24" s="6">
        <v>13698.06</v>
      </c>
      <c r="J24" s="6">
        <v>13698.06</v>
      </c>
      <c r="K24" s="7">
        <v>13698.06</v>
      </c>
      <c r="L24" s="7">
        <v>13698.06</v>
      </c>
      <c r="M24" s="6">
        <v>13698.06</v>
      </c>
      <c r="N24" s="7">
        <v>13698.06</v>
      </c>
      <c r="O24" s="6">
        <v>13698.06</v>
      </c>
      <c r="P24" s="7">
        <v>13698.06</v>
      </c>
      <c r="Q24" s="58">
        <v>13698.06</v>
      </c>
      <c r="R24" s="90"/>
      <c r="S24" s="90"/>
      <c r="T24" s="90"/>
      <c r="U24" s="90"/>
    </row>
    <row r="25" spans="1:21" s="5" customFormat="1" x14ac:dyDescent="0.25">
      <c r="B25" s="5">
        <f>'abril mensual funcionaris'!B15*14</f>
        <v>0</v>
      </c>
      <c r="D25" s="6" t="s">
        <v>7</v>
      </c>
      <c r="E25" s="133">
        <v>10374.56</v>
      </c>
      <c r="F25" s="6">
        <v>10374.56</v>
      </c>
      <c r="G25" s="6">
        <v>9204.44</v>
      </c>
      <c r="H25" s="6">
        <v>8661.3799999999992</v>
      </c>
      <c r="I25" s="6">
        <v>8119.1599999999989</v>
      </c>
      <c r="J25" s="6">
        <v>7575.68</v>
      </c>
      <c r="K25" s="7">
        <v>7033.6</v>
      </c>
      <c r="L25" s="7">
        <v>6533.52</v>
      </c>
      <c r="M25" s="6">
        <v>6200.0399999999991</v>
      </c>
      <c r="N25" s="7">
        <v>5866.28</v>
      </c>
      <c r="O25" s="104">
        <v>5532.52</v>
      </c>
      <c r="P25" s="7">
        <v>5199.7400000000007</v>
      </c>
      <c r="Q25" s="58">
        <v>5199.7400000000007</v>
      </c>
      <c r="R25" s="90"/>
      <c r="S25" s="90"/>
      <c r="T25" s="90"/>
      <c r="U25" s="90"/>
    </row>
    <row r="26" spans="1:21" s="5" customFormat="1" x14ac:dyDescent="0.25">
      <c r="B26" s="5">
        <f>'abril mensual funcionaris'!B16*14</f>
        <v>4973.3172999999997</v>
      </c>
      <c r="D26" s="6" t="s">
        <v>8</v>
      </c>
      <c r="E26" s="133">
        <f>E12</f>
        <v>24204.804049999999</v>
      </c>
      <c r="F26" s="6">
        <v>18163.301449999999</v>
      </c>
      <c r="G26" s="6">
        <v>17156.8138</v>
      </c>
      <c r="H26" s="6">
        <v>16999.0625</v>
      </c>
      <c r="I26" s="6">
        <v>16725.789150000001</v>
      </c>
      <c r="J26" s="6">
        <v>16454.09045</v>
      </c>
      <c r="K26" s="7">
        <v>16090.06</v>
      </c>
      <c r="L26" s="7">
        <v>15694.250249999997</v>
      </c>
      <c r="M26" s="6">
        <v>15462.060950000001</v>
      </c>
      <c r="N26" s="7">
        <v>14264.468049999999</v>
      </c>
      <c r="O26" s="6">
        <v>13549.290649999999</v>
      </c>
      <c r="P26" s="7">
        <v>12833.540649999999</v>
      </c>
      <c r="Q26" s="58">
        <v>11118.031049999998</v>
      </c>
      <c r="R26" s="90"/>
      <c r="S26" s="90"/>
      <c r="T26" s="90"/>
      <c r="U26" s="90"/>
    </row>
    <row r="27" spans="1:21" s="5" customFormat="1" x14ac:dyDescent="0.25">
      <c r="B27" s="5">
        <f>SUM(B20:B26)</f>
        <v>80911.108599999992</v>
      </c>
      <c r="D27" s="6" t="s">
        <v>9</v>
      </c>
      <c r="E27" s="133">
        <f>3784.886-181.2700025</f>
        <v>3603.6159975</v>
      </c>
      <c r="F27" s="6">
        <v>3519.62905</v>
      </c>
      <c r="G27" s="6">
        <v>3338.2579999999998</v>
      </c>
      <c r="H27" s="6">
        <v>3279.8527999999997</v>
      </c>
      <c r="I27" s="6">
        <v>3211.85655</v>
      </c>
      <c r="J27" s="6">
        <v>3144.0034500000002</v>
      </c>
      <c r="K27" s="7">
        <v>3068.4202499999997</v>
      </c>
      <c r="L27" s="7">
        <v>2993.8390999999997</v>
      </c>
      <c r="M27" s="6">
        <v>2946.7427499999999</v>
      </c>
      <c r="N27" s="7">
        <v>2819.0529500000002</v>
      </c>
      <c r="O27" s="6">
        <v>2731.5882999999999</v>
      </c>
      <c r="P27" s="7">
        <v>2644.2667999999999</v>
      </c>
      <c r="Q27" s="58">
        <v>2501.2599499999997</v>
      </c>
      <c r="R27" s="90"/>
      <c r="S27" s="90"/>
      <c r="T27" s="90"/>
      <c r="U27" s="90"/>
    </row>
    <row r="28" spans="1:21" s="5" customFormat="1" x14ac:dyDescent="0.25">
      <c r="D28" s="6" t="s">
        <v>10</v>
      </c>
      <c r="E28" s="133">
        <v>2605.1799999999998</v>
      </c>
      <c r="F28" s="6">
        <v>2534.7570499999997</v>
      </c>
      <c r="G28" s="6">
        <v>2380.5844999999999</v>
      </c>
      <c r="H28" s="6">
        <v>2386.4536499999999</v>
      </c>
      <c r="I28" s="6">
        <v>2363.4064999999996</v>
      </c>
      <c r="J28" s="6">
        <v>2340.6456499999995</v>
      </c>
      <c r="K28" s="7">
        <v>2294.8376499999999</v>
      </c>
      <c r="L28" s="7">
        <v>2237.5776500000002</v>
      </c>
      <c r="M28" s="6">
        <v>2207.3729999999996</v>
      </c>
      <c r="N28" s="7">
        <v>1935.6743000000001</v>
      </c>
      <c r="O28" s="6">
        <v>1784.7942</v>
      </c>
      <c r="P28" s="7">
        <v>1633.4846500000001</v>
      </c>
      <c r="Q28" s="58">
        <v>1204.60725</v>
      </c>
      <c r="R28" s="90"/>
      <c r="S28" s="90"/>
      <c r="T28" s="90"/>
      <c r="U28" s="90"/>
    </row>
    <row r="29" spans="1:21" s="5" customFormat="1" x14ac:dyDescent="0.25">
      <c r="E29" s="133"/>
      <c r="F29" s="6"/>
      <c r="G29" s="6"/>
      <c r="H29" s="6"/>
      <c r="I29" s="6"/>
      <c r="J29" s="6"/>
      <c r="K29" s="7"/>
      <c r="L29" s="7"/>
      <c r="M29" s="6"/>
      <c r="N29" s="7"/>
      <c r="O29" s="6"/>
      <c r="P29" s="7"/>
      <c r="Q29" s="58"/>
      <c r="R29" s="90"/>
      <c r="S29" s="90"/>
      <c r="T29" s="90"/>
      <c r="U29" s="90"/>
    </row>
    <row r="30" spans="1:21" s="5" customFormat="1" x14ac:dyDescent="0.25">
      <c r="D30" s="6" t="s">
        <v>11</v>
      </c>
      <c r="E30" s="133">
        <f>4881.63-181.27</f>
        <v>4700.3599999999997</v>
      </c>
      <c r="F30" s="6">
        <v>3838.9966999999997</v>
      </c>
      <c r="G30" s="6">
        <v>5479.6388500000003</v>
      </c>
      <c r="H30" s="6">
        <v>3566.2959499999997</v>
      </c>
      <c r="I30" s="6">
        <v>2819.33925</v>
      </c>
      <c r="J30" s="6">
        <v>2749.0526</v>
      </c>
      <c r="K30" s="7">
        <v>2724.4307999999996</v>
      </c>
      <c r="L30" s="7">
        <v>2731.0156999999999</v>
      </c>
      <c r="M30" s="6">
        <v>2707.6822500000003</v>
      </c>
      <c r="N30" s="7">
        <v>2586.2910499999998</v>
      </c>
      <c r="O30" s="6">
        <v>2591.44445</v>
      </c>
      <c r="P30" s="7">
        <v>2496.8222999999998</v>
      </c>
      <c r="Q30" s="58">
        <v>3019.0335</v>
      </c>
      <c r="R30" s="90"/>
      <c r="S30" s="90"/>
      <c r="T30" s="90"/>
      <c r="U30" s="90"/>
    </row>
    <row r="31" spans="1:21" s="5" customFormat="1" x14ac:dyDescent="0.25">
      <c r="D31" s="15"/>
      <c r="E31" s="134">
        <f>SUM(E24:E30)</f>
        <v>59186.5800475</v>
      </c>
      <c r="F31" s="15">
        <v>52129.304250000001</v>
      </c>
      <c r="G31" s="15">
        <v>51257.795150000005</v>
      </c>
      <c r="H31" s="15">
        <v>48591.104900000006</v>
      </c>
      <c r="I31" s="15">
        <v>46937.611449999989</v>
      </c>
      <c r="J31" s="15">
        <v>45961.532149999999</v>
      </c>
      <c r="K31" s="16">
        <v>44909.408700000007</v>
      </c>
      <c r="L31" s="16">
        <v>43888.262699999992</v>
      </c>
      <c r="M31" s="15">
        <v>43221.958949999993</v>
      </c>
      <c r="N31" s="16">
        <v>41169.826349999996</v>
      </c>
      <c r="O31" s="15">
        <v>39887.6976</v>
      </c>
      <c r="P31" s="16">
        <v>38505.914399999994</v>
      </c>
      <c r="Q31" s="88">
        <v>36740.731749999992</v>
      </c>
      <c r="R31" s="90"/>
      <c r="S31" s="90"/>
      <c r="T31" s="90"/>
      <c r="U31" s="90"/>
    </row>
    <row r="32" spans="1:21" s="5" customFormat="1" x14ac:dyDescent="0.25">
      <c r="R32" s="90"/>
      <c r="S32" s="90"/>
      <c r="T32" s="90"/>
      <c r="U32" s="90"/>
    </row>
    <row r="33" spans="1:21" x14ac:dyDescent="0.25">
      <c r="A33" s="1" t="s">
        <v>16</v>
      </c>
      <c r="E33" s="5"/>
    </row>
    <row r="34" spans="1:21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2">
        <v>17</v>
      </c>
      <c r="P34" s="2">
        <v>16</v>
      </c>
      <c r="Q34" s="2">
        <v>15</v>
      </c>
      <c r="R34" s="125">
        <v>14</v>
      </c>
      <c r="S34" s="126">
        <v>13</v>
      </c>
      <c r="T34" s="125">
        <v>12</v>
      </c>
    </row>
    <row r="35" spans="1:21" x14ac:dyDescent="0.25">
      <c r="J35" s="19"/>
      <c r="K35" s="19"/>
      <c r="L35" s="19"/>
      <c r="M35" s="19"/>
      <c r="N35" s="19"/>
      <c r="O35" s="20"/>
      <c r="P35" s="20"/>
      <c r="Q35" s="118"/>
      <c r="S35" s="126"/>
    </row>
    <row r="36" spans="1:21" s="5" customFormat="1" x14ac:dyDescent="0.25">
      <c r="I36" s="9"/>
      <c r="J36" s="10"/>
      <c r="K36" s="10"/>
      <c r="L36" s="10"/>
      <c r="M36" s="10"/>
      <c r="N36" s="10"/>
      <c r="O36" s="11"/>
      <c r="P36" s="11"/>
      <c r="Q36" s="11"/>
      <c r="R36" s="90"/>
      <c r="S36" s="127"/>
      <c r="T36" s="90"/>
      <c r="U36" s="90"/>
    </row>
    <row r="37" spans="1:21" s="5" customFormat="1" x14ac:dyDescent="0.25">
      <c r="O37" s="13"/>
      <c r="P37" s="13"/>
      <c r="Q37" s="13"/>
      <c r="R37" s="90"/>
      <c r="S37" s="127"/>
      <c r="T37" s="90"/>
      <c r="U37" s="90"/>
    </row>
    <row r="38" spans="1:21" s="5" customFormat="1" x14ac:dyDescent="0.25">
      <c r="I38" s="6" t="s">
        <v>6</v>
      </c>
      <c r="J38" s="6"/>
      <c r="K38" s="6">
        <v>10491.240000000002</v>
      </c>
      <c r="L38" s="6">
        <v>10491.240000000002</v>
      </c>
      <c r="M38" s="6">
        <v>10491.240000000002</v>
      </c>
      <c r="N38" s="6">
        <v>10491.240000000002</v>
      </c>
      <c r="O38" s="7">
        <v>10491.240000000002</v>
      </c>
      <c r="P38" s="7">
        <v>10491.240000000002</v>
      </c>
      <c r="Q38" s="119">
        <v>10491.240000000002</v>
      </c>
      <c r="R38" s="90">
        <v>10491.240000000002</v>
      </c>
      <c r="S38" s="127">
        <v>10491.240000000002</v>
      </c>
      <c r="T38" s="90">
        <v>10491.240000000002</v>
      </c>
      <c r="U38" s="90"/>
    </row>
    <row r="39" spans="1:21" s="5" customFormat="1" x14ac:dyDescent="0.25">
      <c r="I39" s="6" t="s">
        <v>7</v>
      </c>
      <c r="J39" s="6"/>
      <c r="K39" s="6">
        <v>7033.6</v>
      </c>
      <c r="L39" s="6">
        <v>6533.52</v>
      </c>
      <c r="M39" s="6">
        <v>6200.0399999999991</v>
      </c>
      <c r="N39" s="6">
        <v>5866.28</v>
      </c>
      <c r="O39" s="7">
        <v>5532.52</v>
      </c>
      <c r="P39" s="7">
        <v>5199.7400000000007</v>
      </c>
      <c r="Q39" s="119">
        <v>4865.5599999999995</v>
      </c>
      <c r="R39" s="90">
        <v>4532.3600000000006</v>
      </c>
      <c r="S39" s="127">
        <v>4198.32</v>
      </c>
      <c r="T39" s="90">
        <v>3864.5600000000004</v>
      </c>
      <c r="U39" s="90"/>
    </row>
    <row r="40" spans="1:21" s="5" customFormat="1" x14ac:dyDescent="0.25">
      <c r="I40" s="6" t="s">
        <v>8</v>
      </c>
      <c r="J40" s="6"/>
      <c r="K40" s="6">
        <v>18060.949199999999</v>
      </c>
      <c r="L40" s="6">
        <v>17795.262799999997</v>
      </c>
      <c r="M40" s="6">
        <v>16990.61665</v>
      </c>
      <c r="N40" s="6">
        <v>16395.398949999999</v>
      </c>
      <c r="O40" s="7">
        <v>14746.167799999997</v>
      </c>
      <c r="P40" s="7">
        <v>13592.092499999999</v>
      </c>
      <c r="Q40" s="119">
        <v>11941.8593</v>
      </c>
      <c r="R40" s="90">
        <v>10989.6255</v>
      </c>
      <c r="S40" s="127">
        <v>10318.8246</v>
      </c>
      <c r="T40" s="90">
        <v>9035.7711500000005</v>
      </c>
      <c r="U40" s="90"/>
    </row>
    <row r="41" spans="1:21" s="5" customFormat="1" x14ac:dyDescent="0.25">
      <c r="I41" s="6" t="s">
        <v>9</v>
      </c>
      <c r="J41" s="6"/>
      <c r="K41" s="6">
        <v>2965.4953999999998</v>
      </c>
      <c r="L41" s="6">
        <v>2901.6504999999997</v>
      </c>
      <c r="M41" s="6">
        <v>2806.7420499999998</v>
      </c>
      <c r="N41" s="6">
        <v>2729.4410499999999</v>
      </c>
      <c r="O41" s="7">
        <v>2564.2459499999995</v>
      </c>
      <c r="P41" s="7">
        <v>2440.2780499999999</v>
      </c>
      <c r="Q41" s="119">
        <v>2274.9397999999997</v>
      </c>
      <c r="R41" s="90">
        <v>2167.7204499999998</v>
      </c>
      <c r="S41" s="127">
        <v>2083.9776999999999</v>
      </c>
      <c r="T41" s="90">
        <v>1949.2735499999999</v>
      </c>
      <c r="U41" s="90"/>
    </row>
    <row r="42" spans="1:21" s="5" customFormat="1" x14ac:dyDescent="0.25">
      <c r="I42" s="6" t="s">
        <v>10</v>
      </c>
      <c r="J42" s="6"/>
      <c r="K42" s="6">
        <v>3054.8209999999999</v>
      </c>
      <c r="L42" s="6">
        <v>3030.0560499999997</v>
      </c>
      <c r="M42" s="6">
        <v>2856.7013999999999</v>
      </c>
      <c r="N42" s="6">
        <v>2735.73965</v>
      </c>
      <c r="O42" s="7">
        <v>2351.23875</v>
      </c>
      <c r="P42" s="7">
        <v>2090.4194499999999</v>
      </c>
      <c r="Q42" s="119">
        <v>1705.7754</v>
      </c>
      <c r="R42" s="90">
        <v>1495.4880499999999</v>
      </c>
      <c r="S42" s="127">
        <v>1355.6305</v>
      </c>
      <c r="T42" s="90">
        <v>1062.6024500000001</v>
      </c>
      <c r="U42" s="90"/>
    </row>
    <row r="43" spans="1:21" s="5" customFormat="1" x14ac:dyDescent="0.25">
      <c r="J43" s="21"/>
      <c r="K43" s="6"/>
      <c r="L43" s="6"/>
      <c r="M43" s="6"/>
      <c r="N43" s="6"/>
      <c r="O43" s="7"/>
      <c r="P43" s="7"/>
      <c r="Q43" s="119"/>
      <c r="R43" s="90"/>
      <c r="S43" s="127"/>
      <c r="T43" s="90"/>
      <c r="U43" s="90"/>
    </row>
    <row r="44" spans="1:21" s="5" customFormat="1" x14ac:dyDescent="0.25">
      <c r="I44" s="6" t="s">
        <v>17</v>
      </c>
      <c r="J44" s="6"/>
      <c r="K44" s="6">
        <v>5729.0061500000002</v>
      </c>
      <c r="L44" s="6">
        <v>5507.8393999999998</v>
      </c>
      <c r="M44" s="6">
        <v>4787.7948999999999</v>
      </c>
      <c r="N44" s="6">
        <v>2651.8537500000002</v>
      </c>
      <c r="O44" s="7">
        <v>3129.6884499999996</v>
      </c>
      <c r="P44" s="7">
        <v>2320.0320499999998</v>
      </c>
      <c r="Q44" s="119">
        <v>2851.9774499999999</v>
      </c>
      <c r="R44" s="90">
        <v>3161.18145</v>
      </c>
      <c r="S44" s="127">
        <v>3019.3197999999998</v>
      </c>
      <c r="T44" s="90">
        <v>2571.4034499999998</v>
      </c>
      <c r="U44" s="90"/>
    </row>
    <row r="45" spans="1:21" s="5" customFormat="1" x14ac:dyDescent="0.25">
      <c r="I45" s="15"/>
      <c r="J45" s="15"/>
      <c r="K45" s="15">
        <v>47335.111749999996</v>
      </c>
      <c r="L45" s="15">
        <v>46259.568749999991</v>
      </c>
      <c r="M45" s="15">
        <v>44133.134999999995</v>
      </c>
      <c r="N45" s="15">
        <v>40869.953400000006</v>
      </c>
      <c r="O45" s="16">
        <v>38815.100949999993</v>
      </c>
      <c r="P45" s="16">
        <v>36133.802050000006</v>
      </c>
      <c r="Q45" s="120">
        <v>34131.351949999997</v>
      </c>
      <c r="R45" s="84">
        <v>32837.615449999998</v>
      </c>
      <c r="S45" s="128">
        <v>31467.312600000001</v>
      </c>
      <c r="T45" s="84">
        <v>28974.850599999998</v>
      </c>
      <c r="U45" s="90"/>
    </row>
    <row r="46" spans="1:21" s="5" customFormat="1" x14ac:dyDescent="0.25">
      <c r="R46" s="90"/>
      <c r="S46" s="90"/>
      <c r="T46" s="90"/>
      <c r="U46" s="90"/>
    </row>
    <row r="47" spans="1:21" x14ac:dyDescent="0.25">
      <c r="A47" s="1" t="s">
        <v>18</v>
      </c>
    </row>
    <row r="48" spans="1:21" x14ac:dyDescent="0.25">
      <c r="C48" s="5"/>
    </row>
    <row r="49" spans="1:23" x14ac:dyDescent="0.25">
      <c r="C49" s="5"/>
      <c r="M49" s="22"/>
    </row>
    <row r="50" spans="1:23" x14ac:dyDescent="0.25">
      <c r="C50" s="5"/>
      <c r="N50" s="23">
        <v>18</v>
      </c>
      <c r="O50" s="2">
        <v>17</v>
      </c>
      <c r="P50" s="24">
        <v>16</v>
      </c>
      <c r="Q50" s="23">
        <v>15</v>
      </c>
      <c r="R50" s="129">
        <v>14</v>
      </c>
      <c r="S50" s="130">
        <v>13</v>
      </c>
      <c r="T50" s="126">
        <v>12</v>
      </c>
      <c r="U50" s="126">
        <v>11</v>
      </c>
      <c r="V50" s="23">
        <v>10</v>
      </c>
      <c r="W50" s="23">
        <v>9</v>
      </c>
    </row>
    <row r="51" spans="1:23" x14ac:dyDescent="0.25">
      <c r="C51" s="5"/>
      <c r="N51" s="25"/>
      <c r="O51" s="20"/>
      <c r="P51" s="26"/>
      <c r="Q51" s="121"/>
      <c r="R51" s="129"/>
      <c r="S51" s="130"/>
      <c r="T51" s="126"/>
      <c r="U51" s="126"/>
      <c r="V51" s="123"/>
      <c r="W51" s="25"/>
    </row>
    <row r="52" spans="1:23" x14ac:dyDescent="0.25">
      <c r="C52" s="5"/>
      <c r="M52" s="9"/>
      <c r="N52" s="27"/>
      <c r="O52" s="11"/>
      <c r="P52" s="28"/>
      <c r="Q52" s="27"/>
      <c r="R52" s="131"/>
      <c r="S52" s="132"/>
      <c r="T52" s="127"/>
      <c r="U52" s="127"/>
      <c r="V52" s="27"/>
      <c r="W52" s="27"/>
    </row>
    <row r="53" spans="1:23" x14ac:dyDescent="0.25">
      <c r="C53" s="5"/>
      <c r="M53" s="5"/>
      <c r="N53" s="29"/>
      <c r="O53" s="13"/>
      <c r="P53" s="30"/>
      <c r="Q53" s="29"/>
      <c r="R53" s="131"/>
      <c r="S53" s="132"/>
      <c r="T53" s="127"/>
      <c r="U53" s="127"/>
      <c r="V53" s="29"/>
      <c r="W53" s="29"/>
    </row>
    <row r="54" spans="1:23" x14ac:dyDescent="0.25">
      <c r="C54" s="5"/>
      <c r="M54" s="6" t="s">
        <v>6</v>
      </c>
      <c r="N54" s="31">
        <v>8892.5400000000009</v>
      </c>
      <c r="O54" s="7">
        <v>8892.5400000000009</v>
      </c>
      <c r="P54" s="32">
        <v>8892.5400000000009</v>
      </c>
      <c r="Q54" s="122">
        <v>8892.5400000000009</v>
      </c>
      <c r="R54" s="131">
        <v>8892.5400000000009</v>
      </c>
      <c r="S54" s="132">
        <v>8892.5400000000009</v>
      </c>
      <c r="T54" s="127">
        <v>8892.5400000000009</v>
      </c>
      <c r="U54" s="127">
        <v>8892.5400000000009</v>
      </c>
      <c r="V54" s="124">
        <v>8892.5400000000009</v>
      </c>
      <c r="W54" s="31">
        <v>8892.5400000000009</v>
      </c>
    </row>
    <row r="55" spans="1:23" x14ac:dyDescent="0.25">
      <c r="C55" s="5"/>
      <c r="M55" s="6" t="s">
        <v>7</v>
      </c>
      <c r="N55" s="31">
        <v>5866.28</v>
      </c>
      <c r="O55" s="7">
        <v>5532.52</v>
      </c>
      <c r="P55" s="32">
        <v>5199.7400000000007</v>
      </c>
      <c r="Q55" s="122">
        <v>4865.5599999999995</v>
      </c>
      <c r="R55" s="131">
        <v>4532.3600000000006</v>
      </c>
      <c r="S55" s="132">
        <v>4198.32</v>
      </c>
      <c r="T55" s="127">
        <v>3864.5600000000004</v>
      </c>
      <c r="U55" s="127">
        <v>3530.8</v>
      </c>
      <c r="V55" s="124">
        <v>3197.74</v>
      </c>
      <c r="W55" s="31">
        <v>3031.14</v>
      </c>
    </row>
    <row r="56" spans="1:23" x14ac:dyDescent="0.25">
      <c r="C56" s="5"/>
      <c r="M56" s="6" t="s">
        <v>8</v>
      </c>
      <c r="N56" s="31">
        <v>14077.370999999999</v>
      </c>
      <c r="O56" s="7">
        <v>13493.17585</v>
      </c>
      <c r="P56" s="32">
        <v>13005.03435</v>
      </c>
      <c r="Q56" s="122">
        <v>11608.892400000001</v>
      </c>
      <c r="R56" s="131">
        <v>10859.9316</v>
      </c>
      <c r="S56" s="132">
        <v>9459.7814500000004</v>
      </c>
      <c r="T56" s="127">
        <f>'abril mensual funcionaris'!T54*14</f>
        <v>9830.1</v>
      </c>
      <c r="U56" s="127">
        <v>9876.634250000001</v>
      </c>
      <c r="V56" s="124">
        <v>8225.9715999999989</v>
      </c>
      <c r="W56" s="31">
        <v>6970.6892499999994</v>
      </c>
    </row>
    <row r="57" spans="1:23" x14ac:dyDescent="0.25">
      <c r="C57" s="5"/>
      <c r="M57" s="6" t="s">
        <v>21</v>
      </c>
      <c r="N57" s="31">
        <v>2397.0467499999995</v>
      </c>
      <c r="O57" s="7">
        <v>2326.6169500000001</v>
      </c>
      <c r="P57" s="32">
        <v>2252.6084000000001</v>
      </c>
      <c r="Q57" s="122">
        <v>2180.0313499999997</v>
      </c>
      <c r="R57" s="131">
        <v>2092.1372500000002</v>
      </c>
      <c r="S57" s="132">
        <v>2009.6828499999997</v>
      </c>
      <c r="T57" s="127">
        <f>'abril mensual funcionaris'!T55*14</f>
        <v>1882.2999999999997</v>
      </c>
      <c r="U57" s="127">
        <v>1858.2301500000001</v>
      </c>
      <c r="V57" s="124">
        <v>1693.03505</v>
      </c>
      <c r="W57" s="31">
        <v>1574.5068499999998</v>
      </c>
    </row>
    <row r="58" spans="1:23" x14ac:dyDescent="0.25">
      <c r="C58" s="5"/>
      <c r="M58" s="6" t="s">
        <v>10</v>
      </c>
      <c r="N58" s="31">
        <v>2271.5042000000003</v>
      </c>
      <c r="O58" s="7">
        <v>2171.2992000000004</v>
      </c>
      <c r="P58" s="32">
        <v>2060.2147999999997</v>
      </c>
      <c r="Q58" s="122">
        <v>1954.2838000000002</v>
      </c>
      <c r="R58" s="131">
        <v>1801.9721999999999</v>
      </c>
      <c r="S58" s="132">
        <v>1665.4070999999999</v>
      </c>
      <c r="T58" s="127">
        <f>'abril mensual funcionaris'!T56*14</f>
        <v>1394.3999999999999</v>
      </c>
      <c r="U58" s="127">
        <v>1433.93355</v>
      </c>
      <c r="V58" s="124">
        <v>1049.0031999999999</v>
      </c>
      <c r="W58" s="31">
        <v>749.10394999999994</v>
      </c>
    </row>
    <row r="59" spans="1:23" x14ac:dyDescent="0.25">
      <c r="C59" s="5"/>
      <c r="M59" s="5"/>
      <c r="N59" s="31"/>
      <c r="O59" s="7"/>
      <c r="P59" s="32"/>
      <c r="Q59" s="122"/>
      <c r="R59" s="131"/>
      <c r="S59" s="132"/>
      <c r="T59" s="127"/>
      <c r="U59" s="127"/>
      <c r="V59" s="124"/>
      <c r="W59" s="31"/>
    </row>
    <row r="60" spans="1:23" x14ac:dyDescent="0.25">
      <c r="M60" s="6" t="s">
        <v>17</v>
      </c>
      <c r="N60" s="31">
        <v>2947.4584999999997</v>
      </c>
      <c r="O60" s="7">
        <v>2010.9711999999997</v>
      </c>
      <c r="P60" s="32">
        <v>2284.1014</v>
      </c>
      <c r="Q60" s="122">
        <v>2813.8995499999996</v>
      </c>
      <c r="R60" s="131">
        <v>2757.3552999999997</v>
      </c>
      <c r="S60" s="132">
        <v>3331.5299499999996</v>
      </c>
      <c r="T60" s="127">
        <f>'abril mensual funcionaris'!T58*14</f>
        <v>2555.14</v>
      </c>
      <c r="U60" s="127">
        <v>2748.48</v>
      </c>
      <c r="V60" s="124">
        <v>2362.1181499999998</v>
      </c>
      <c r="W60" s="31">
        <v>2260.3385000000003</v>
      </c>
    </row>
    <row r="61" spans="1:23" s="5" customFormat="1" x14ac:dyDescent="0.25">
      <c r="A61" s="34" t="s">
        <v>22</v>
      </c>
      <c r="B61" s="34"/>
      <c r="C61" s="34"/>
      <c r="D61" s="34"/>
      <c r="E61" s="34"/>
      <c r="G61" s="35"/>
      <c r="H61" s="35"/>
      <c r="I61" s="36" t="s">
        <v>23</v>
      </c>
      <c r="J61" s="35"/>
      <c r="K61" s="35"/>
      <c r="L61" s="35"/>
      <c r="M61" s="6"/>
      <c r="N61" s="37">
        <v>36452.200450000004</v>
      </c>
      <c r="O61" s="7">
        <v>34427.123200000002</v>
      </c>
      <c r="P61" s="32">
        <v>33694.238949999999</v>
      </c>
      <c r="Q61" s="122">
        <v>32315.207100000003</v>
      </c>
      <c r="R61" s="131">
        <v>30936.296350000001</v>
      </c>
      <c r="S61" s="132">
        <v>29557.261350000004</v>
      </c>
      <c r="T61" s="127">
        <f>SUM(T54:T60)</f>
        <v>28419.040000000005</v>
      </c>
      <c r="U61" s="127">
        <v>28340.61795</v>
      </c>
      <c r="V61" s="124">
        <v>25420.407999999996</v>
      </c>
      <c r="W61" s="31">
        <v>23478.318550000004</v>
      </c>
    </row>
    <row r="62" spans="1:23" s="5" customFormat="1" x14ac:dyDescent="0.25">
      <c r="A62" s="38" t="s">
        <v>24</v>
      </c>
      <c r="G62" s="35"/>
      <c r="H62" s="35"/>
      <c r="I62" s="39" t="s">
        <v>25</v>
      </c>
      <c r="J62" s="35"/>
      <c r="K62" s="35"/>
      <c r="L62" s="35"/>
      <c r="M62" s="35"/>
      <c r="N62" s="35"/>
      <c r="O62" s="35"/>
      <c r="P62" s="35"/>
      <c r="Q62" s="35"/>
      <c r="R62" s="90"/>
      <c r="S62" s="90"/>
      <c r="T62" s="90"/>
      <c r="U62" s="90"/>
    </row>
    <row r="63" spans="1:23" s="5" customFormat="1" x14ac:dyDescent="0.25">
      <c r="A63" s="34" t="s">
        <v>26</v>
      </c>
      <c r="B63" s="40" t="s">
        <v>27</v>
      </c>
      <c r="C63" s="40" t="s">
        <v>28</v>
      </c>
      <c r="G63" s="35"/>
      <c r="H63" s="35"/>
      <c r="I63" s="41"/>
      <c r="J63" s="35"/>
      <c r="K63" s="35"/>
      <c r="L63" s="42" t="s">
        <v>29</v>
      </c>
      <c r="M63" s="35"/>
      <c r="N63" s="35"/>
      <c r="O63" s="35"/>
      <c r="P63" s="35"/>
      <c r="Q63" s="35"/>
      <c r="R63" s="90"/>
      <c r="S63" s="90"/>
      <c r="T63" s="90"/>
      <c r="U63" s="90"/>
    </row>
    <row r="64" spans="1:23" s="5" customFormat="1" x14ac:dyDescent="0.25">
      <c r="A64" s="5" t="s">
        <v>30</v>
      </c>
      <c r="B64" s="5">
        <v>726.35</v>
      </c>
      <c r="C64" s="5">
        <v>27.95</v>
      </c>
      <c r="G64" s="35"/>
      <c r="H64" s="35"/>
      <c r="I64" s="41"/>
      <c r="J64" s="35"/>
      <c r="K64" s="35"/>
      <c r="L64" s="35"/>
      <c r="M64" s="35"/>
      <c r="N64" s="35"/>
      <c r="O64" s="35"/>
      <c r="P64" s="35"/>
      <c r="Q64" s="35"/>
      <c r="R64" s="90"/>
      <c r="S64" s="90"/>
      <c r="T64" s="90"/>
      <c r="U64" s="90"/>
    </row>
    <row r="65" spans="1:21" s="5" customFormat="1" x14ac:dyDescent="0.25">
      <c r="A65" s="5" t="s">
        <v>31</v>
      </c>
      <c r="B65" s="5">
        <v>742.29</v>
      </c>
      <c r="C65" s="5">
        <v>26.93</v>
      </c>
      <c r="G65" s="35"/>
      <c r="H65" s="35"/>
      <c r="I65" s="41"/>
      <c r="J65" s="35"/>
      <c r="K65" s="35"/>
      <c r="L65" s="35" t="s">
        <v>32</v>
      </c>
      <c r="M65" s="35"/>
      <c r="N65" s="35"/>
      <c r="O65" s="35">
        <v>43.5</v>
      </c>
      <c r="P65" s="35"/>
      <c r="Q65" s="35"/>
      <c r="R65" s="90"/>
      <c r="S65" s="90"/>
      <c r="T65" s="90"/>
      <c r="U65" s="90"/>
    </row>
    <row r="66" spans="1:21" s="5" customFormat="1" x14ac:dyDescent="0.25">
      <c r="A66" s="5" t="s">
        <v>19</v>
      </c>
      <c r="B66" s="5">
        <v>660.48</v>
      </c>
      <c r="C66" s="5">
        <v>24.14</v>
      </c>
      <c r="G66" s="35"/>
      <c r="H66" s="35"/>
      <c r="I66" s="41"/>
      <c r="J66" s="35"/>
      <c r="K66" s="35"/>
      <c r="L66" s="35" t="s">
        <v>33</v>
      </c>
      <c r="M66" s="35"/>
      <c r="N66" s="35"/>
      <c r="O66" s="35">
        <v>136.30000000000001</v>
      </c>
      <c r="P66" s="35"/>
      <c r="Q66" s="35"/>
      <c r="R66" s="90"/>
      <c r="S66" s="90"/>
      <c r="T66" s="90"/>
      <c r="U66" s="90"/>
    </row>
    <row r="67" spans="1:21" s="5" customFormat="1" x14ac:dyDescent="0.25">
      <c r="A67" s="5" t="s">
        <v>20</v>
      </c>
      <c r="B67" s="5">
        <v>630.21</v>
      </c>
      <c r="C67" s="5">
        <v>18.84</v>
      </c>
      <c r="G67" s="35"/>
      <c r="H67" s="35"/>
      <c r="I67" s="41"/>
      <c r="J67" s="35"/>
      <c r="K67" s="35"/>
      <c r="L67" s="35"/>
      <c r="M67" s="35"/>
      <c r="N67" s="35"/>
      <c r="O67" s="35"/>
      <c r="P67" s="35"/>
      <c r="Q67" s="35"/>
      <c r="R67" s="90"/>
      <c r="S67" s="90"/>
      <c r="T67" s="90"/>
      <c r="U67" s="90"/>
    </row>
    <row r="68" spans="1:21" s="5" customFormat="1" x14ac:dyDescent="0.25">
      <c r="G68" s="35"/>
      <c r="H68" s="35"/>
      <c r="I68" s="41"/>
      <c r="J68" s="35"/>
      <c r="K68" s="35"/>
      <c r="L68" s="42" t="s">
        <v>34</v>
      </c>
      <c r="M68" s="35"/>
      <c r="N68" s="35"/>
      <c r="O68" s="35"/>
      <c r="P68" s="43" t="s">
        <v>35</v>
      </c>
      <c r="Q68" s="43" t="s">
        <v>36</v>
      </c>
      <c r="R68" s="90"/>
      <c r="S68" s="90"/>
      <c r="T68" s="90"/>
      <c r="U68" s="90"/>
    </row>
    <row r="69" spans="1:21" s="5" customFormat="1" x14ac:dyDescent="0.25">
      <c r="G69" s="35"/>
      <c r="H69" s="35"/>
      <c r="I69" s="41"/>
      <c r="J69" s="35"/>
      <c r="K69" s="35"/>
      <c r="L69" s="35" t="s">
        <v>37</v>
      </c>
      <c r="M69" s="35"/>
      <c r="N69" s="35"/>
      <c r="O69" s="44">
        <v>0.25569999999999998</v>
      </c>
      <c r="P69" s="35">
        <v>0.19</v>
      </c>
      <c r="Q69" s="44">
        <v>6.2199999999999998E-2</v>
      </c>
      <c r="R69" s="90"/>
      <c r="S69" s="90"/>
      <c r="T69" s="90"/>
      <c r="U69" s="90"/>
    </row>
    <row r="70" spans="1:21" s="5" customFormat="1" x14ac:dyDescent="0.25">
      <c r="G70" s="35"/>
      <c r="H70" s="35"/>
      <c r="I70" s="41" t="s">
        <v>38</v>
      </c>
      <c r="J70" s="35">
        <v>481.33395796399378</v>
      </c>
      <c r="K70" s="35"/>
      <c r="L70" s="35" t="s">
        <v>39</v>
      </c>
      <c r="M70" s="35"/>
      <c r="N70" s="35"/>
      <c r="O70" s="35">
        <v>9.1259999999999994</v>
      </c>
      <c r="P70" s="35">
        <v>0</v>
      </c>
      <c r="Q70" s="35">
        <v>9.1259999999999994</v>
      </c>
      <c r="R70" s="90"/>
      <c r="S70" s="90"/>
      <c r="T70" s="90"/>
      <c r="U70" s="90"/>
    </row>
    <row r="71" spans="1:21" s="5" customFormat="1" x14ac:dyDescent="0.25"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90"/>
      <c r="S71" s="90"/>
      <c r="T71" s="90"/>
      <c r="U71" s="90"/>
    </row>
    <row r="72" spans="1:21" s="5" customFormat="1" x14ac:dyDescent="0.25">
      <c r="R72" s="90"/>
      <c r="S72" s="90"/>
      <c r="T72" s="90"/>
      <c r="U72" s="90"/>
    </row>
    <row r="73" spans="1:21" s="5" customFormat="1" x14ac:dyDescent="0.25">
      <c r="R73" s="90"/>
      <c r="S73" s="90"/>
      <c r="T73" s="90"/>
      <c r="U73" s="90"/>
    </row>
    <row r="74" spans="1:21" s="5" customFormat="1" x14ac:dyDescent="0.25">
      <c r="R74" s="90"/>
      <c r="S74" s="90"/>
      <c r="T74" s="90"/>
      <c r="U74" s="90"/>
    </row>
  </sheetData>
  <pageMargins left="0.70866141732283472" right="0.70866141732283472" top="0.74803149606299213" bottom="0.74803149606299213" header="0.31496062992125984" footer="0.31496062992125984"/>
  <pageSetup paperSize="8" scale="7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X76"/>
  <sheetViews>
    <sheetView topLeftCell="G1" workbookViewId="0">
      <selection activeCell="F34" sqref="F34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24" ht="15.75" thickBot="1" x14ac:dyDescent="0.3">
      <c r="A2" s="1" t="s">
        <v>0</v>
      </c>
    </row>
    <row r="3" spans="1:24" x14ac:dyDescent="0.25">
      <c r="A3" s="1"/>
      <c r="R3" s="250" t="s">
        <v>85</v>
      </c>
      <c r="S3" s="251"/>
      <c r="T3" s="251"/>
      <c r="U3" s="251"/>
      <c r="V3" s="251"/>
      <c r="W3" s="251"/>
      <c r="X3" s="252"/>
    </row>
    <row r="4" spans="1:24" ht="15.75" thickBot="1" x14ac:dyDescent="0.3">
      <c r="R4" s="253" t="s">
        <v>1</v>
      </c>
      <c r="S4" s="254"/>
      <c r="T4" s="254"/>
      <c r="U4" s="254"/>
      <c r="V4" s="254"/>
      <c r="W4" s="254"/>
      <c r="X4" s="255"/>
    </row>
    <row r="5" spans="1:24" x14ac:dyDescent="0.25">
      <c r="A5" s="1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2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2">
        <v>20</v>
      </c>
      <c r="M6" s="3" t="s">
        <v>3</v>
      </c>
      <c r="N6" s="3" t="s">
        <v>4</v>
      </c>
      <c r="O6" s="4" t="s">
        <v>5</v>
      </c>
    </row>
    <row r="7" spans="1:24" s="5" customFormat="1" x14ac:dyDescent="0.25">
      <c r="B7" s="6"/>
      <c r="C7" s="6"/>
      <c r="D7" s="6"/>
      <c r="E7" s="6"/>
      <c r="F7" s="7"/>
      <c r="G7" s="6"/>
      <c r="H7" s="6"/>
      <c r="I7" s="6"/>
      <c r="J7" s="6"/>
      <c r="K7" s="6"/>
      <c r="L7" s="7"/>
      <c r="M7" s="6"/>
      <c r="N7" s="6"/>
      <c r="O7" s="8"/>
    </row>
    <row r="8" spans="1:24" s="5" customFormat="1" x14ac:dyDescent="0.25">
      <c r="A8" s="9"/>
      <c r="B8" s="10"/>
      <c r="C8" s="10"/>
      <c r="D8" s="10"/>
      <c r="E8" s="10"/>
      <c r="F8" s="11"/>
      <c r="G8" s="10"/>
      <c r="H8" s="10"/>
      <c r="I8" s="10"/>
      <c r="J8" s="10"/>
      <c r="K8" s="10"/>
      <c r="L8" s="11"/>
      <c r="M8" s="10"/>
      <c r="N8" s="10"/>
      <c r="O8" s="12"/>
    </row>
    <row r="9" spans="1:24" s="5" customFormat="1" x14ac:dyDescent="0.25">
      <c r="F9" s="13"/>
      <c r="L9" s="13"/>
      <c r="O9" s="14"/>
    </row>
    <row r="10" spans="1:24" s="5" customFormat="1" x14ac:dyDescent="0.25">
      <c r="A10" s="6" t="s">
        <v>6</v>
      </c>
      <c r="B10" s="6">
        <v>1177.08</v>
      </c>
      <c r="C10" s="6">
        <v>1177.08</v>
      </c>
      <c r="D10" s="6">
        <v>1177.08</v>
      </c>
      <c r="E10" s="6">
        <v>1177.08</v>
      </c>
      <c r="F10" s="7">
        <v>1177.08</v>
      </c>
      <c r="G10" s="6">
        <v>1177.08</v>
      </c>
      <c r="H10" s="6">
        <v>1177.08</v>
      </c>
      <c r="I10" s="6">
        <v>1177.08</v>
      </c>
      <c r="J10" s="6">
        <v>1177.08</v>
      </c>
      <c r="K10" s="6">
        <v>1177.08</v>
      </c>
      <c r="L10" s="7">
        <v>1177.08</v>
      </c>
      <c r="M10" s="6">
        <v>1177.08</v>
      </c>
      <c r="N10" s="6">
        <v>1177.08</v>
      </c>
      <c r="O10" s="8">
        <v>1177.08</v>
      </c>
    </row>
    <row r="11" spans="1:24" s="5" customFormat="1" x14ac:dyDescent="0.25">
      <c r="A11" s="6" t="s">
        <v>7</v>
      </c>
      <c r="B11" s="6">
        <v>1028.17</v>
      </c>
      <c r="C11" s="6">
        <v>922.21999999999991</v>
      </c>
      <c r="D11" s="6">
        <v>883.46</v>
      </c>
      <c r="E11" s="6">
        <v>844.65</v>
      </c>
      <c r="F11" s="7">
        <v>741.04</v>
      </c>
      <c r="G11" s="6">
        <v>657.46</v>
      </c>
      <c r="H11" s="6">
        <v>618.66999999999996</v>
      </c>
      <c r="I11" s="6">
        <v>579.93999999999994</v>
      </c>
      <c r="J11" s="6">
        <v>541.12</v>
      </c>
      <c r="K11" s="6">
        <v>502.40000000000003</v>
      </c>
      <c r="L11" s="7">
        <v>466.68</v>
      </c>
      <c r="M11" s="6">
        <v>466.68</v>
      </c>
      <c r="N11" s="6">
        <v>466.68</v>
      </c>
      <c r="O11" s="8">
        <v>466.68</v>
      </c>
    </row>
    <row r="12" spans="1:24" s="5" customFormat="1" x14ac:dyDescent="0.25">
      <c r="A12" s="6" t="s">
        <v>8</v>
      </c>
      <c r="B12" s="6">
        <v>2462.4458500000001</v>
      </c>
      <c r="C12" s="6">
        <v>2325.1956749999999</v>
      </c>
      <c r="D12" s="6">
        <v>2137.5669250000001</v>
      </c>
      <c r="E12" s="6">
        <v>1728.9145749999998</v>
      </c>
      <c r="F12" s="7">
        <v>1512.3286249999999</v>
      </c>
      <c r="G12" s="6">
        <v>1507.911425</v>
      </c>
      <c r="H12" s="6">
        <v>1469.9050999999999</v>
      </c>
      <c r="I12" s="6">
        <v>1443.984725</v>
      </c>
      <c r="J12" s="6">
        <v>1418.0950250000001</v>
      </c>
      <c r="K12" s="6">
        <v>1309.1578749999999</v>
      </c>
      <c r="L12" s="7">
        <v>1198.012125</v>
      </c>
      <c r="M12" s="6">
        <v>1000.39355</v>
      </c>
      <c r="N12" s="6">
        <v>790.96509999999989</v>
      </c>
      <c r="O12" s="8">
        <v>560.55494999999996</v>
      </c>
    </row>
    <row r="13" spans="1:24" s="5" customFormat="1" x14ac:dyDescent="0.25">
      <c r="A13" s="6" t="s">
        <v>9</v>
      </c>
      <c r="B13" s="6">
        <v>383.61132500000002</v>
      </c>
      <c r="C13" s="6">
        <v>363.34537499999999</v>
      </c>
      <c r="D13" s="6">
        <v>344.48024999999996</v>
      </c>
      <c r="E13" s="6">
        <v>307.18967500000002</v>
      </c>
      <c r="F13" s="7">
        <v>280.49219999999997</v>
      </c>
      <c r="G13" s="6">
        <v>273.17110000000002</v>
      </c>
      <c r="H13" s="6">
        <v>266.77024999999998</v>
      </c>
      <c r="I13" s="6">
        <v>261.38167499999997</v>
      </c>
      <c r="J13" s="6">
        <v>255.9931</v>
      </c>
      <c r="K13" s="6">
        <v>243.68219999999999</v>
      </c>
      <c r="L13" s="7">
        <v>231.44287499999999</v>
      </c>
      <c r="M13" s="6">
        <v>214.980625</v>
      </c>
      <c r="N13" s="6">
        <v>197.52654999999999</v>
      </c>
      <c r="O13" s="8">
        <v>178.32400000000001</v>
      </c>
    </row>
    <row r="14" spans="1:24" s="5" customFormat="1" x14ac:dyDescent="0.25">
      <c r="A14" s="6" t="s">
        <v>10</v>
      </c>
      <c r="B14" s="6">
        <v>437.21077499999996</v>
      </c>
      <c r="C14" s="6">
        <v>411.71985000000001</v>
      </c>
      <c r="D14" s="6">
        <v>368.04887499999995</v>
      </c>
      <c r="E14" s="6">
        <v>269.11177499999997</v>
      </c>
      <c r="F14" s="7">
        <v>223.610525</v>
      </c>
      <c r="G14" s="6">
        <v>229.45922499999998</v>
      </c>
      <c r="H14" s="6">
        <v>223.20152499999998</v>
      </c>
      <c r="I14" s="6">
        <v>219.93974999999998</v>
      </c>
      <c r="J14" s="6">
        <v>216.70864999999998</v>
      </c>
      <c r="K14" s="6">
        <v>192.70035000000001</v>
      </c>
      <c r="L14" s="7">
        <v>167.89449999999999</v>
      </c>
      <c r="M14" s="6">
        <v>118.48729999999999</v>
      </c>
      <c r="N14" s="6">
        <v>66.125074999999995</v>
      </c>
      <c r="O14" s="8">
        <v>8.5174249999999994</v>
      </c>
    </row>
    <row r="15" spans="1:24" s="5" customFormat="1" x14ac:dyDescent="0.25">
      <c r="B15" s="6"/>
      <c r="C15" s="6"/>
      <c r="D15" s="6"/>
      <c r="E15" s="6"/>
      <c r="F15" s="7"/>
      <c r="G15" s="6"/>
      <c r="H15" s="6"/>
      <c r="I15" s="6"/>
      <c r="J15" s="6"/>
      <c r="K15" s="6"/>
      <c r="L15" s="7"/>
      <c r="M15" s="6"/>
      <c r="N15" s="6"/>
      <c r="O15" s="8"/>
    </row>
    <row r="16" spans="1:24" s="5" customFormat="1" x14ac:dyDescent="0.25">
      <c r="A16" s="6" t="s">
        <v>11</v>
      </c>
      <c r="B16" s="6">
        <v>355.23694999999998</v>
      </c>
      <c r="C16" s="6">
        <v>355.23694999999998</v>
      </c>
      <c r="D16" s="6">
        <v>265.16492499999998</v>
      </c>
      <c r="E16" s="6">
        <v>244.408175</v>
      </c>
      <c r="F16" s="7">
        <v>225.27719999999999</v>
      </c>
      <c r="G16" s="6">
        <v>227.005225</v>
      </c>
      <c r="H16" s="6">
        <v>223.78435000000002</v>
      </c>
      <c r="I16" s="6">
        <v>219.57165000000001</v>
      </c>
      <c r="J16" s="6">
        <v>218.46734999999998</v>
      </c>
      <c r="K16" s="6">
        <v>207.20962499999999</v>
      </c>
      <c r="L16" s="7">
        <v>201.05417499999999</v>
      </c>
      <c r="M16" s="6">
        <v>246.45317499999999</v>
      </c>
      <c r="N16" s="6">
        <v>230.73734999999999</v>
      </c>
      <c r="O16" s="8">
        <v>213.44687500000001</v>
      </c>
    </row>
    <row r="17" spans="1:17" s="5" customFormat="1" x14ac:dyDescent="0.25">
      <c r="A17" s="6"/>
      <c r="B17" s="15">
        <v>5843.7548999999999</v>
      </c>
      <c r="C17" s="15">
        <v>5554.7978500000008</v>
      </c>
      <c r="D17" s="15">
        <v>5175.8009749999992</v>
      </c>
      <c r="E17" s="15">
        <v>4571.3541999999998</v>
      </c>
      <c r="F17" s="16">
        <v>4159.8285500000002</v>
      </c>
      <c r="G17" s="15">
        <v>4072.0869750000002</v>
      </c>
      <c r="H17" s="15">
        <v>3979.4112249999998</v>
      </c>
      <c r="I17" s="15">
        <v>3901.8977999999997</v>
      </c>
      <c r="J17" s="15">
        <v>3827.464125</v>
      </c>
      <c r="K17" s="15">
        <v>3632.2300500000001</v>
      </c>
      <c r="L17" s="16">
        <v>3442.1636749999998</v>
      </c>
      <c r="M17" s="15">
        <v>3224.07465</v>
      </c>
      <c r="N17" s="15">
        <v>2929.1140749999995</v>
      </c>
      <c r="O17" s="15">
        <v>2604.6032500000001</v>
      </c>
    </row>
    <row r="19" spans="1:17" x14ac:dyDescent="0.25">
      <c r="A19" s="1" t="s">
        <v>12</v>
      </c>
    </row>
    <row r="20" spans="1:17" x14ac:dyDescent="0.25">
      <c r="B20">
        <f>B11*14</f>
        <v>14394.380000000001</v>
      </c>
      <c r="E20" s="135" t="s">
        <v>13</v>
      </c>
      <c r="F20" s="3" t="s">
        <v>14</v>
      </c>
      <c r="G20" s="3">
        <v>25</v>
      </c>
      <c r="H20" s="3">
        <v>24</v>
      </c>
      <c r="I20" s="3">
        <v>23</v>
      </c>
      <c r="J20" s="3">
        <v>22</v>
      </c>
      <c r="K20" s="18">
        <v>21</v>
      </c>
      <c r="L20" s="18">
        <v>20</v>
      </c>
      <c r="M20" s="3">
        <v>19</v>
      </c>
      <c r="N20" s="18">
        <v>18</v>
      </c>
      <c r="O20" s="3">
        <v>17</v>
      </c>
      <c r="P20" s="18">
        <v>16</v>
      </c>
      <c r="Q20" s="3" t="s">
        <v>15</v>
      </c>
    </row>
    <row r="21" spans="1:17" x14ac:dyDescent="0.25">
      <c r="E21" s="136"/>
      <c r="F21" s="19"/>
      <c r="G21" s="19"/>
      <c r="H21" s="19"/>
      <c r="I21" s="19"/>
      <c r="J21" s="19"/>
      <c r="K21" s="20"/>
      <c r="L21" s="20"/>
      <c r="M21" s="19"/>
      <c r="N21" s="20"/>
      <c r="O21" s="19"/>
      <c r="P21" s="20"/>
      <c r="Q21" s="19"/>
    </row>
    <row r="22" spans="1:17" s="5" customFormat="1" x14ac:dyDescent="0.25">
      <c r="D22" s="9"/>
      <c r="E22" s="137"/>
      <c r="F22" s="10"/>
      <c r="G22" s="10"/>
      <c r="H22" s="10"/>
      <c r="I22" s="10"/>
      <c r="J22" s="10"/>
      <c r="K22" s="11"/>
      <c r="L22" s="11"/>
      <c r="M22" s="10"/>
      <c r="N22" s="11"/>
      <c r="O22" s="10"/>
      <c r="P22" s="11"/>
      <c r="Q22" s="10"/>
    </row>
    <row r="23" spans="1:17" s="5" customFormat="1" x14ac:dyDescent="0.25">
      <c r="E23" s="138"/>
      <c r="K23" s="13"/>
      <c r="L23" s="13"/>
      <c r="N23" s="13"/>
      <c r="P23" s="13"/>
    </row>
    <row r="24" spans="1:17" s="5" customFormat="1" x14ac:dyDescent="0.25">
      <c r="D24" s="6" t="s">
        <v>6</v>
      </c>
      <c r="E24" s="133">
        <v>1017.79</v>
      </c>
      <c r="F24" s="6">
        <v>1017.79</v>
      </c>
      <c r="G24" s="6">
        <v>1017.79</v>
      </c>
      <c r="H24" s="6">
        <v>1017.79</v>
      </c>
      <c r="I24" s="6">
        <v>1017.79</v>
      </c>
      <c r="J24" s="6">
        <v>1017.79</v>
      </c>
      <c r="K24" s="7">
        <v>1017.79</v>
      </c>
      <c r="L24" s="7">
        <v>1017.79</v>
      </c>
      <c r="M24" s="6">
        <v>1017.79</v>
      </c>
      <c r="N24" s="7">
        <v>1017.79</v>
      </c>
      <c r="O24" s="6">
        <v>1017.79</v>
      </c>
      <c r="P24" s="7">
        <v>1017.79</v>
      </c>
      <c r="Q24" s="6">
        <v>1017.79</v>
      </c>
    </row>
    <row r="25" spans="1:17" s="5" customFormat="1" x14ac:dyDescent="0.25">
      <c r="D25" s="6" t="s">
        <v>7</v>
      </c>
      <c r="E25" s="133">
        <v>741.04</v>
      </c>
      <c r="F25" s="6">
        <v>741.04</v>
      </c>
      <c r="G25" s="6">
        <v>657.46</v>
      </c>
      <c r="H25" s="6">
        <v>618.66999999999996</v>
      </c>
      <c r="I25" s="6">
        <v>579.93999999999994</v>
      </c>
      <c r="J25" s="6">
        <v>541.12</v>
      </c>
      <c r="K25" s="7">
        <v>502.40000000000003</v>
      </c>
      <c r="L25" s="7">
        <v>466.68</v>
      </c>
      <c r="M25" s="6">
        <v>442.85999999999996</v>
      </c>
      <c r="N25" s="7">
        <v>419.02</v>
      </c>
      <c r="O25" s="104">
        <v>395.18</v>
      </c>
      <c r="P25" s="7">
        <v>371.41</v>
      </c>
      <c r="Q25" s="6">
        <v>371.41</v>
      </c>
    </row>
    <row r="26" spans="1:17" s="5" customFormat="1" x14ac:dyDescent="0.25">
      <c r="D26" s="6" t="s">
        <v>8</v>
      </c>
      <c r="E26" s="133">
        <f>1524.6702+25.16</f>
        <v>1549.8302000000001</v>
      </c>
      <c r="F26" s="6">
        <v>1297.3786749999999</v>
      </c>
      <c r="G26" s="6">
        <v>1225.4866999999999</v>
      </c>
      <c r="H26" s="6">
        <v>1214.21875</v>
      </c>
      <c r="I26" s="6">
        <v>1194.6992250000001</v>
      </c>
      <c r="J26" s="6">
        <v>1175.292175</v>
      </c>
      <c r="K26" s="7">
        <v>1149.29</v>
      </c>
      <c r="L26" s="7">
        <v>1121.0178749999998</v>
      </c>
      <c r="M26" s="6">
        <v>1104.4329250000001</v>
      </c>
      <c r="N26" s="7">
        <v>1018.890575</v>
      </c>
      <c r="O26" s="6">
        <v>967.80647499999998</v>
      </c>
      <c r="P26" s="7">
        <v>916.68147499999998</v>
      </c>
      <c r="Q26" s="6">
        <v>794.14507499999991</v>
      </c>
    </row>
    <row r="27" spans="1:17" s="5" customFormat="1" x14ac:dyDescent="0.25">
      <c r="D27" s="6" t="s">
        <v>9</v>
      </c>
      <c r="E27" s="133">
        <f>270.349+25.15</f>
        <v>295.49899999999997</v>
      </c>
      <c r="F27" s="6">
        <v>251.402075</v>
      </c>
      <c r="G27" s="6">
        <v>238.44699999999997</v>
      </c>
      <c r="H27" s="6">
        <v>234.27519999999998</v>
      </c>
      <c r="I27" s="6">
        <v>229.41832500000001</v>
      </c>
      <c r="J27" s="6">
        <v>224.571675</v>
      </c>
      <c r="K27" s="7">
        <v>219.17287499999998</v>
      </c>
      <c r="L27" s="7">
        <v>213.84564999999998</v>
      </c>
      <c r="M27" s="6">
        <v>210.48162499999998</v>
      </c>
      <c r="N27" s="7">
        <v>201.36092500000001</v>
      </c>
      <c r="O27" s="6">
        <v>195.11345</v>
      </c>
      <c r="P27" s="7">
        <v>188.87619999999998</v>
      </c>
      <c r="Q27" s="6">
        <v>178.66142499999998</v>
      </c>
    </row>
    <row r="28" spans="1:17" s="5" customFormat="1" x14ac:dyDescent="0.25">
      <c r="D28" s="6" t="s">
        <v>10</v>
      </c>
      <c r="E28" s="133">
        <f>237.8744+25.16</f>
        <v>263.03440000000001</v>
      </c>
      <c r="F28" s="6">
        <v>181.05407499999998</v>
      </c>
      <c r="G28" s="6">
        <v>170.04175000000001</v>
      </c>
      <c r="H28" s="6">
        <v>170.46097499999999</v>
      </c>
      <c r="I28" s="6">
        <v>168.81474999999998</v>
      </c>
      <c r="J28" s="6">
        <v>167.18897499999997</v>
      </c>
      <c r="K28" s="7">
        <v>163.91697500000001</v>
      </c>
      <c r="L28" s="7">
        <v>159.826975</v>
      </c>
      <c r="M28" s="6">
        <v>157.66949999999997</v>
      </c>
      <c r="N28" s="7">
        <v>138.26245</v>
      </c>
      <c r="O28" s="6">
        <v>127.48530000000001</v>
      </c>
      <c r="P28" s="7">
        <v>116.677475</v>
      </c>
      <c r="Q28" s="6">
        <v>86.043374999999997</v>
      </c>
    </row>
    <row r="29" spans="1:17" s="5" customFormat="1" x14ac:dyDescent="0.25">
      <c r="E29" s="133"/>
      <c r="F29" s="6"/>
      <c r="G29" s="6"/>
      <c r="H29" s="6"/>
      <c r="I29" s="6"/>
      <c r="J29" s="6"/>
      <c r="K29" s="7"/>
      <c r="L29" s="7"/>
      <c r="M29" s="6"/>
      <c r="N29" s="7"/>
      <c r="O29" s="6"/>
      <c r="P29" s="7"/>
      <c r="Q29" s="6"/>
    </row>
    <row r="30" spans="1:17" s="5" customFormat="1" x14ac:dyDescent="0.25">
      <c r="D30" s="6" t="s">
        <v>11</v>
      </c>
      <c r="E30" s="133">
        <f>374.58265+25.19</f>
        <v>399.77265</v>
      </c>
      <c r="F30" s="6">
        <v>274.21404999999999</v>
      </c>
      <c r="G30" s="6">
        <v>391.40277500000002</v>
      </c>
      <c r="H30" s="6">
        <v>254.73542499999999</v>
      </c>
      <c r="I30" s="6">
        <v>201.38137499999999</v>
      </c>
      <c r="J30" s="6">
        <v>196.36089999999999</v>
      </c>
      <c r="K30" s="7">
        <v>194.60219999999998</v>
      </c>
      <c r="L30" s="7">
        <v>195.07255000000001</v>
      </c>
      <c r="M30" s="6">
        <v>193.40587500000001</v>
      </c>
      <c r="N30" s="7">
        <v>184.73507499999999</v>
      </c>
      <c r="O30" s="6">
        <v>185.10317499999999</v>
      </c>
      <c r="P30" s="7">
        <v>178.34444999999999</v>
      </c>
      <c r="Q30" s="6">
        <v>215.64525</v>
      </c>
    </row>
    <row r="31" spans="1:17" s="5" customFormat="1" x14ac:dyDescent="0.25">
      <c r="D31" s="15"/>
      <c r="E31" s="134">
        <f>SUM(E24:E30)</f>
        <v>4266.9662500000004</v>
      </c>
      <c r="F31" s="15">
        <v>3762.8788749999999</v>
      </c>
      <c r="G31" s="15">
        <v>3700.6282249999999</v>
      </c>
      <c r="H31" s="15">
        <v>3510.1503499999999</v>
      </c>
      <c r="I31" s="15">
        <v>3392.0436749999999</v>
      </c>
      <c r="J31" s="15">
        <v>3322.3237250000002</v>
      </c>
      <c r="K31" s="16">
        <v>3247.1720499999997</v>
      </c>
      <c r="L31" s="16">
        <v>3174.2330499999998</v>
      </c>
      <c r="M31" s="15">
        <v>3126.6399249999995</v>
      </c>
      <c r="N31" s="16">
        <v>2980.059025</v>
      </c>
      <c r="O31" s="15">
        <v>2888.4784</v>
      </c>
      <c r="P31" s="16">
        <v>2789.7796000000003</v>
      </c>
      <c r="Q31" s="15">
        <v>2663.6951250000002</v>
      </c>
    </row>
    <row r="32" spans="1:17" s="5" customFormat="1" x14ac:dyDescent="0.25"/>
    <row r="33" spans="1:23" x14ac:dyDescent="0.25">
      <c r="A33" s="1" t="s">
        <v>16</v>
      </c>
      <c r="C33" s="5"/>
    </row>
    <row r="34" spans="1:23" x14ac:dyDescent="0.25">
      <c r="C34" s="5"/>
      <c r="J34">
        <v>22</v>
      </c>
      <c r="K34">
        <v>21</v>
      </c>
      <c r="L34">
        <v>20</v>
      </c>
      <c r="M34">
        <v>19</v>
      </c>
      <c r="N34">
        <v>18</v>
      </c>
      <c r="O34" s="2">
        <v>17</v>
      </c>
      <c r="P34" s="2">
        <v>16</v>
      </c>
      <c r="Q34" s="2">
        <v>15</v>
      </c>
      <c r="R34">
        <v>14</v>
      </c>
      <c r="S34" s="2">
        <v>13</v>
      </c>
      <c r="T34">
        <v>12</v>
      </c>
    </row>
    <row r="35" spans="1:23" x14ac:dyDescent="0.25">
      <c r="J35" s="19"/>
      <c r="K35" s="19"/>
      <c r="L35" s="19"/>
      <c r="M35" s="19"/>
      <c r="N35" s="19"/>
      <c r="O35" s="20"/>
      <c r="P35" s="20"/>
      <c r="Q35" s="20"/>
      <c r="R35" s="19"/>
      <c r="S35" s="20"/>
      <c r="T35" s="19"/>
    </row>
    <row r="36" spans="1:23" s="5" customFormat="1" x14ac:dyDescent="0.25">
      <c r="I36" s="9"/>
      <c r="J36" s="10"/>
      <c r="K36" s="10"/>
      <c r="L36" s="10"/>
      <c r="M36" s="10"/>
      <c r="N36" s="10"/>
      <c r="O36" s="11"/>
      <c r="P36" s="11"/>
      <c r="Q36" s="11"/>
      <c r="R36" s="10"/>
      <c r="S36" s="11"/>
      <c r="T36" s="10"/>
    </row>
    <row r="37" spans="1:23" s="5" customFormat="1" x14ac:dyDescent="0.25">
      <c r="O37" s="13"/>
      <c r="P37" s="13"/>
      <c r="Q37" s="13"/>
      <c r="S37" s="13"/>
    </row>
    <row r="38" spans="1:23" s="5" customFormat="1" x14ac:dyDescent="0.25">
      <c r="I38" s="6" t="s">
        <v>6</v>
      </c>
      <c r="J38" s="6"/>
      <c r="K38" s="6">
        <v>764.19</v>
      </c>
      <c r="L38" s="6">
        <v>764.19</v>
      </c>
      <c r="M38" s="6">
        <v>764.19</v>
      </c>
      <c r="N38" s="6">
        <v>764.19</v>
      </c>
      <c r="O38" s="7">
        <v>764.19</v>
      </c>
      <c r="P38" s="7">
        <v>764.19</v>
      </c>
      <c r="Q38" s="7">
        <v>764.19</v>
      </c>
      <c r="R38" s="6">
        <v>764.19</v>
      </c>
      <c r="S38" s="7">
        <v>764.19</v>
      </c>
      <c r="T38" s="6">
        <v>764.19</v>
      </c>
    </row>
    <row r="39" spans="1:23" s="5" customFormat="1" x14ac:dyDescent="0.25">
      <c r="I39" s="6" t="s">
        <v>7</v>
      </c>
      <c r="J39" s="6"/>
      <c r="K39" s="6">
        <v>502.40000000000003</v>
      </c>
      <c r="L39" s="6">
        <v>466.68</v>
      </c>
      <c r="M39" s="6">
        <v>442.85999999999996</v>
      </c>
      <c r="N39" s="6">
        <v>419.02</v>
      </c>
      <c r="O39" s="7">
        <v>395.18</v>
      </c>
      <c r="P39" s="7">
        <v>371.41</v>
      </c>
      <c r="Q39" s="7">
        <v>347.53999999999996</v>
      </c>
      <c r="R39" s="6">
        <v>323.74</v>
      </c>
      <c r="S39" s="7">
        <v>299.88</v>
      </c>
      <c r="T39" s="6">
        <v>276.04000000000002</v>
      </c>
    </row>
    <row r="40" spans="1:23" s="5" customFormat="1" x14ac:dyDescent="0.25">
      <c r="I40" s="6" t="s">
        <v>8</v>
      </c>
      <c r="J40" s="6"/>
      <c r="K40" s="6">
        <v>1290.0678</v>
      </c>
      <c r="L40" s="6">
        <v>1271.0901999999999</v>
      </c>
      <c r="M40" s="6">
        <v>1213.6154750000001</v>
      </c>
      <c r="N40" s="6">
        <v>1171.099925</v>
      </c>
      <c r="O40" s="7">
        <v>1053.2976999999998</v>
      </c>
      <c r="P40" s="7">
        <v>970.86374999999998</v>
      </c>
      <c r="Q40" s="7">
        <v>852.98995000000002</v>
      </c>
      <c r="R40" s="6">
        <v>784.97325000000001</v>
      </c>
      <c r="S40" s="7">
        <v>737.05889999999999</v>
      </c>
      <c r="T40" s="6">
        <v>645.41222500000003</v>
      </c>
    </row>
    <row r="41" spans="1:23" s="5" customFormat="1" x14ac:dyDescent="0.25">
      <c r="I41" s="6" t="s">
        <v>9</v>
      </c>
      <c r="J41" s="6"/>
      <c r="K41" s="6">
        <v>211.8211</v>
      </c>
      <c r="L41" s="6">
        <v>207.26074999999997</v>
      </c>
      <c r="M41" s="6">
        <v>200.48157499999999</v>
      </c>
      <c r="N41" s="6">
        <v>194.96007499999999</v>
      </c>
      <c r="O41" s="7">
        <v>183.16042499999998</v>
      </c>
      <c r="P41" s="7">
        <v>174.305575</v>
      </c>
      <c r="Q41" s="7">
        <v>162.49569999999997</v>
      </c>
      <c r="R41" s="6">
        <v>154.837175</v>
      </c>
      <c r="S41" s="7">
        <v>148.85554999999999</v>
      </c>
      <c r="T41" s="6">
        <v>139.233825</v>
      </c>
    </row>
    <row r="42" spans="1:23" s="5" customFormat="1" x14ac:dyDescent="0.25">
      <c r="I42" s="6" t="s">
        <v>10</v>
      </c>
      <c r="J42" s="6"/>
      <c r="K42" s="6">
        <v>218.20150000000001</v>
      </c>
      <c r="L42" s="6">
        <v>216.43257499999999</v>
      </c>
      <c r="M42" s="6">
        <v>204.05009999999999</v>
      </c>
      <c r="N42" s="6">
        <v>195.409975</v>
      </c>
      <c r="O42" s="7">
        <v>167.94562500000001</v>
      </c>
      <c r="P42" s="7">
        <v>149.315675</v>
      </c>
      <c r="Q42" s="7">
        <v>121.8411</v>
      </c>
      <c r="R42" s="6">
        <v>106.82057499999999</v>
      </c>
      <c r="S42" s="7">
        <v>96.830749999999995</v>
      </c>
      <c r="T42" s="6">
        <v>75.900175000000004</v>
      </c>
    </row>
    <row r="43" spans="1:23" s="5" customFormat="1" x14ac:dyDescent="0.25">
      <c r="J43" s="21"/>
      <c r="K43" s="6"/>
      <c r="L43" s="6"/>
      <c r="M43" s="6"/>
      <c r="N43" s="6"/>
      <c r="O43" s="7"/>
      <c r="P43" s="7"/>
      <c r="Q43" s="7"/>
      <c r="R43" s="6"/>
      <c r="S43" s="7"/>
      <c r="T43" s="6"/>
    </row>
    <row r="44" spans="1:23" s="5" customFormat="1" x14ac:dyDescent="0.25">
      <c r="I44" s="6" t="s">
        <v>17</v>
      </c>
      <c r="J44" s="6"/>
      <c r="K44" s="6">
        <v>409.21472499999999</v>
      </c>
      <c r="L44" s="6">
        <v>393.4171</v>
      </c>
      <c r="M44" s="6">
        <v>341.98534999999998</v>
      </c>
      <c r="N44" s="6">
        <v>189.418125</v>
      </c>
      <c r="O44" s="7">
        <v>223.54917499999999</v>
      </c>
      <c r="P44" s="7">
        <v>165.71657499999998</v>
      </c>
      <c r="Q44" s="7">
        <v>203.71267499999999</v>
      </c>
      <c r="R44" s="6">
        <v>225.798675</v>
      </c>
      <c r="S44" s="7">
        <v>215.66569999999999</v>
      </c>
      <c r="T44" s="6">
        <v>183.67167499999999</v>
      </c>
    </row>
    <row r="45" spans="1:23" s="5" customFormat="1" x14ac:dyDescent="0.25">
      <c r="I45" s="15"/>
      <c r="J45" s="15"/>
      <c r="K45" s="15">
        <v>3395.895125</v>
      </c>
      <c r="L45" s="15">
        <v>3319.0706249999998</v>
      </c>
      <c r="M45" s="15">
        <v>3167.1824999999994</v>
      </c>
      <c r="N45" s="15">
        <v>2934.0981000000002</v>
      </c>
      <c r="O45" s="16">
        <v>2787.3229249999999</v>
      </c>
      <c r="P45" s="16">
        <v>2595.8015749999995</v>
      </c>
      <c r="Q45" s="16">
        <v>2452.7694250000004</v>
      </c>
      <c r="R45" s="15">
        <v>2360.3596750000002</v>
      </c>
      <c r="S45" s="16">
        <v>2262.4809</v>
      </c>
      <c r="T45" s="15">
        <v>2084.4479000000001</v>
      </c>
    </row>
    <row r="46" spans="1:23" s="5" customFormat="1" x14ac:dyDescent="0.25"/>
    <row r="47" spans="1:23" x14ac:dyDescent="0.25">
      <c r="A47" s="1" t="s">
        <v>18</v>
      </c>
    </row>
    <row r="48" spans="1:23" x14ac:dyDescent="0.25">
      <c r="N48" s="23">
        <v>18</v>
      </c>
      <c r="O48" s="2">
        <v>17</v>
      </c>
      <c r="P48" s="24">
        <v>16</v>
      </c>
      <c r="Q48" s="23">
        <v>15</v>
      </c>
      <c r="R48" s="24">
        <v>14</v>
      </c>
      <c r="S48" s="23">
        <v>13</v>
      </c>
      <c r="T48" s="2">
        <v>12</v>
      </c>
      <c r="U48" s="2">
        <v>11</v>
      </c>
      <c r="V48" s="23">
        <v>10</v>
      </c>
      <c r="W48" s="23">
        <v>9</v>
      </c>
    </row>
    <row r="49" spans="1:23" x14ac:dyDescent="0.25">
      <c r="N49" s="25"/>
      <c r="O49" s="20"/>
      <c r="P49" s="26"/>
      <c r="Q49" s="25"/>
      <c r="R49" s="26"/>
      <c r="S49" s="25"/>
      <c r="T49" s="20"/>
      <c r="U49" s="20"/>
      <c r="V49" s="25"/>
      <c r="W49" s="25"/>
    </row>
    <row r="50" spans="1:23" s="5" customFormat="1" x14ac:dyDescent="0.25">
      <c r="M50" s="9"/>
      <c r="N50" s="27"/>
      <c r="O50" s="11"/>
      <c r="P50" s="28"/>
      <c r="Q50" s="27"/>
      <c r="R50" s="28"/>
      <c r="S50" s="27"/>
      <c r="T50" s="11"/>
      <c r="U50" s="11"/>
      <c r="V50" s="27"/>
      <c r="W50" s="27"/>
    </row>
    <row r="51" spans="1:23" s="5" customFormat="1" x14ac:dyDescent="0.25">
      <c r="N51" s="29"/>
      <c r="O51" s="13"/>
      <c r="P51" s="30"/>
      <c r="Q51" s="29"/>
      <c r="R51" s="30"/>
      <c r="S51" s="29"/>
      <c r="T51" s="13"/>
      <c r="U51" s="13"/>
      <c r="V51" s="29"/>
      <c r="W51" s="29"/>
    </row>
    <row r="52" spans="1:23" s="5" customFormat="1" x14ac:dyDescent="0.25">
      <c r="M52" s="6" t="s">
        <v>6</v>
      </c>
      <c r="N52" s="31">
        <v>636.01</v>
      </c>
      <c r="O52" s="7">
        <v>636.01</v>
      </c>
      <c r="P52" s="32">
        <v>636.01</v>
      </c>
      <c r="Q52" s="31">
        <v>636.01</v>
      </c>
      <c r="R52" s="32">
        <v>636.01</v>
      </c>
      <c r="S52" s="31">
        <v>636.01</v>
      </c>
      <c r="T52" s="7">
        <v>636.01</v>
      </c>
      <c r="U52" s="7">
        <v>636.01</v>
      </c>
      <c r="V52" s="31">
        <v>636.01</v>
      </c>
      <c r="W52" s="31">
        <v>636.01</v>
      </c>
    </row>
    <row r="53" spans="1:23" s="5" customFormat="1" x14ac:dyDescent="0.25">
      <c r="M53" s="6" t="s">
        <v>7</v>
      </c>
      <c r="N53" s="31">
        <v>419.02</v>
      </c>
      <c r="O53" s="7">
        <v>395.18</v>
      </c>
      <c r="P53" s="32">
        <v>371.41</v>
      </c>
      <c r="Q53" s="31">
        <v>347.53999999999996</v>
      </c>
      <c r="R53" s="32">
        <v>323.74</v>
      </c>
      <c r="S53" s="31">
        <v>299.88</v>
      </c>
      <c r="T53" s="7">
        <v>276.04000000000002</v>
      </c>
      <c r="U53" s="7">
        <v>252.20000000000002</v>
      </c>
      <c r="V53" s="31">
        <v>228.41</v>
      </c>
      <c r="W53" s="31">
        <v>216.51</v>
      </c>
    </row>
    <row r="54" spans="1:23" s="5" customFormat="1" x14ac:dyDescent="0.25">
      <c r="M54" s="6" t="s">
        <v>8</v>
      </c>
      <c r="N54" s="31">
        <v>1005.5264999999999</v>
      </c>
      <c r="O54" s="7">
        <v>963.79827499999999</v>
      </c>
      <c r="P54" s="32">
        <v>928.93102499999998</v>
      </c>
      <c r="Q54" s="31">
        <v>829.20659999999998</v>
      </c>
      <c r="R54" s="32">
        <v>775.70939999999996</v>
      </c>
      <c r="S54" s="31">
        <v>675.69867499999998</v>
      </c>
      <c r="T54" s="7">
        <v>702.15</v>
      </c>
      <c r="U54" s="7">
        <v>705.47387500000002</v>
      </c>
      <c r="V54" s="31">
        <v>587.56939999999997</v>
      </c>
      <c r="W54" s="31">
        <v>497.90637499999997</v>
      </c>
    </row>
    <row r="55" spans="1:23" s="5" customFormat="1" x14ac:dyDescent="0.25">
      <c r="A55" s="34" t="s">
        <v>40</v>
      </c>
      <c r="B55" s="34"/>
      <c r="C55" s="34"/>
      <c r="M55" s="6" t="s">
        <v>21</v>
      </c>
      <c r="N55" s="31">
        <v>171.21762499999997</v>
      </c>
      <c r="O55" s="7">
        <v>166.186925</v>
      </c>
      <c r="P55" s="32">
        <v>160.9006</v>
      </c>
      <c r="Q55" s="31">
        <v>155.71652499999999</v>
      </c>
      <c r="R55" s="32">
        <v>149.43837500000001</v>
      </c>
      <c r="S55" s="31">
        <v>143.54877499999998</v>
      </c>
      <c r="T55" s="7">
        <v>134.44999999999999</v>
      </c>
      <c r="U55" s="7">
        <v>132.73072500000001</v>
      </c>
      <c r="V55" s="31">
        <v>120.93107499999999</v>
      </c>
      <c r="W55" s="31">
        <v>112.46477499999999</v>
      </c>
    </row>
    <row r="56" spans="1:23" s="5" customFormat="1" x14ac:dyDescent="0.25">
      <c r="A56" s="38" t="s">
        <v>41</v>
      </c>
      <c r="M56" s="6" t="s">
        <v>10</v>
      </c>
      <c r="N56" s="31">
        <v>162.25030000000001</v>
      </c>
      <c r="O56" s="7">
        <v>155.09280000000001</v>
      </c>
      <c r="P56" s="32">
        <v>147.15819999999999</v>
      </c>
      <c r="Q56" s="31">
        <v>139.5917</v>
      </c>
      <c r="R56" s="32">
        <v>128.7123</v>
      </c>
      <c r="S56" s="31">
        <v>118.95765</v>
      </c>
      <c r="T56" s="7">
        <v>99.6</v>
      </c>
      <c r="U56" s="7">
        <v>102.42382499999999</v>
      </c>
      <c r="V56" s="31">
        <v>74.928799999999995</v>
      </c>
      <c r="W56" s="31">
        <v>53.507424999999998</v>
      </c>
    </row>
    <row r="57" spans="1:23" s="5" customFormat="1" x14ac:dyDescent="0.25">
      <c r="A57" s="34" t="s">
        <v>26</v>
      </c>
      <c r="B57" s="34"/>
      <c r="C57" s="40" t="s">
        <v>28</v>
      </c>
      <c r="N57" s="31"/>
      <c r="O57" s="7"/>
      <c r="P57" s="32"/>
      <c r="Q57" s="31"/>
      <c r="R57" s="32"/>
      <c r="S57" s="31"/>
      <c r="T57" s="7"/>
      <c r="U57" s="7"/>
      <c r="V57" s="31"/>
      <c r="W57" s="31"/>
    </row>
    <row r="58" spans="1:23" s="5" customFormat="1" x14ac:dyDescent="0.25">
      <c r="A58" s="5" t="s">
        <v>30</v>
      </c>
      <c r="C58" s="5">
        <v>45.29</v>
      </c>
      <c r="M58" s="6" t="s">
        <v>17</v>
      </c>
      <c r="N58" s="31">
        <v>210.53274999999999</v>
      </c>
      <c r="O58" s="7">
        <v>143.64079999999998</v>
      </c>
      <c r="P58" s="32">
        <v>163.15010000000001</v>
      </c>
      <c r="Q58" s="31">
        <v>200.99282499999998</v>
      </c>
      <c r="R58" s="32">
        <v>196.95394999999999</v>
      </c>
      <c r="S58" s="31">
        <v>237.96642499999999</v>
      </c>
      <c r="T58" s="7">
        <v>182.51</v>
      </c>
      <c r="U58" s="7">
        <v>196.32</v>
      </c>
      <c r="V58" s="31">
        <v>168.722725</v>
      </c>
      <c r="W58" s="31">
        <v>161.45275000000001</v>
      </c>
    </row>
    <row r="59" spans="1:23" s="5" customFormat="1" x14ac:dyDescent="0.25">
      <c r="A59" s="5" t="s">
        <v>31</v>
      </c>
      <c r="C59" s="5">
        <v>36.93</v>
      </c>
      <c r="M59" s="6"/>
      <c r="N59" s="37">
        <v>2604.5571749999995</v>
      </c>
      <c r="O59" s="16">
        <v>2459.9088000000002</v>
      </c>
      <c r="P59" s="45">
        <v>2407.5599249999996</v>
      </c>
      <c r="Q59" s="37">
        <v>2309.0576499999997</v>
      </c>
      <c r="R59" s="45">
        <v>2210.5640249999997</v>
      </c>
      <c r="S59" s="37">
        <v>2112.0615250000001</v>
      </c>
      <c r="T59" s="16">
        <f>SUM(T52:T58)</f>
        <v>2030.7599999999998</v>
      </c>
      <c r="U59" s="16">
        <v>2025.1584250000001</v>
      </c>
      <c r="V59" s="37">
        <v>1816.5719999999999</v>
      </c>
      <c r="W59" s="37">
        <v>1677.8513249999999</v>
      </c>
    </row>
    <row r="60" spans="1:23" x14ac:dyDescent="0.25">
      <c r="A60" t="s">
        <v>19</v>
      </c>
      <c r="C60" s="5">
        <v>27.95</v>
      </c>
      <c r="T60" s="5"/>
    </row>
    <row r="61" spans="1:23" x14ac:dyDescent="0.25">
      <c r="A61" t="s">
        <v>20</v>
      </c>
      <c r="C61" s="5">
        <v>19.02</v>
      </c>
    </row>
    <row r="63" spans="1:23" s="5" customFormat="1" x14ac:dyDescent="0.25">
      <c r="A63" s="34" t="s">
        <v>22</v>
      </c>
      <c r="B63" s="34"/>
      <c r="C63" s="34"/>
      <c r="D63" s="34"/>
      <c r="E63" s="34"/>
      <c r="G63" s="35"/>
      <c r="H63" s="35"/>
      <c r="I63" s="36" t="s">
        <v>23</v>
      </c>
      <c r="J63" s="35"/>
      <c r="K63" s="35"/>
      <c r="L63" s="35"/>
      <c r="M63" s="35"/>
      <c r="N63" s="35"/>
      <c r="O63" s="35"/>
      <c r="P63" s="35"/>
      <c r="Q63" s="35"/>
    </row>
    <row r="64" spans="1:23" s="5" customFormat="1" x14ac:dyDescent="0.25">
      <c r="A64" s="38" t="s">
        <v>24</v>
      </c>
      <c r="G64" s="35"/>
      <c r="H64" s="35"/>
      <c r="I64" s="39" t="s">
        <v>25</v>
      </c>
      <c r="J64" s="35"/>
      <c r="K64" s="35"/>
      <c r="L64" s="35"/>
      <c r="M64" s="35"/>
      <c r="N64" s="35"/>
      <c r="O64" s="35"/>
      <c r="P64" s="35"/>
      <c r="Q64" s="35"/>
    </row>
    <row r="65" spans="1:17" s="5" customFormat="1" x14ac:dyDescent="0.25">
      <c r="A65" s="34" t="s">
        <v>26</v>
      </c>
      <c r="B65" s="40" t="s">
        <v>27</v>
      </c>
      <c r="C65" s="40" t="s">
        <v>28</v>
      </c>
      <c r="G65" s="35"/>
      <c r="H65" s="35"/>
      <c r="I65" s="41"/>
      <c r="J65" s="35"/>
      <c r="K65" s="35"/>
      <c r="L65" s="42" t="s">
        <v>29</v>
      </c>
      <c r="M65" s="35"/>
      <c r="N65" s="35"/>
      <c r="O65" s="35"/>
      <c r="P65" s="35"/>
      <c r="Q65" s="35"/>
    </row>
    <row r="66" spans="1:17" s="5" customFormat="1" x14ac:dyDescent="0.25">
      <c r="A66" s="5" t="s">
        <v>30</v>
      </c>
      <c r="B66" s="5">
        <v>726.35</v>
      </c>
      <c r="C66" s="5">
        <v>27.95</v>
      </c>
      <c r="G66" s="35"/>
      <c r="H66" s="35"/>
      <c r="I66" s="41"/>
      <c r="J66" s="35"/>
      <c r="K66" s="35"/>
      <c r="L66" s="35"/>
      <c r="M66" s="35"/>
      <c r="N66" s="35"/>
      <c r="O66" s="35"/>
      <c r="P66" s="35"/>
      <c r="Q66" s="35"/>
    </row>
    <row r="67" spans="1:17" s="5" customFormat="1" x14ac:dyDescent="0.25">
      <c r="A67" s="5" t="s">
        <v>31</v>
      </c>
      <c r="B67" s="5">
        <v>742.29</v>
      </c>
      <c r="C67" s="5">
        <v>26.93</v>
      </c>
      <c r="G67" s="35"/>
      <c r="H67" s="35"/>
      <c r="I67" s="41"/>
      <c r="J67" s="35"/>
      <c r="K67" s="35"/>
      <c r="L67" s="35" t="s">
        <v>32</v>
      </c>
      <c r="M67" s="35"/>
      <c r="N67" s="35"/>
      <c r="O67" s="35">
        <v>43.5</v>
      </c>
      <c r="P67" s="35"/>
      <c r="Q67" s="35"/>
    </row>
    <row r="68" spans="1:17" s="5" customFormat="1" x14ac:dyDescent="0.25">
      <c r="A68" s="5" t="s">
        <v>19</v>
      </c>
      <c r="B68" s="5">
        <v>660.48</v>
      </c>
      <c r="C68" s="5">
        <v>24.14</v>
      </c>
      <c r="G68" s="35"/>
      <c r="H68" s="35"/>
      <c r="I68" s="41"/>
      <c r="J68" s="35"/>
      <c r="K68" s="35"/>
      <c r="L68" s="35" t="s">
        <v>33</v>
      </c>
      <c r="M68" s="35"/>
      <c r="N68" s="35"/>
      <c r="O68" s="35">
        <v>136.30000000000001</v>
      </c>
      <c r="P68" s="35"/>
      <c r="Q68" s="35"/>
    </row>
    <row r="69" spans="1:17" s="5" customFormat="1" x14ac:dyDescent="0.25">
      <c r="A69" s="5" t="s">
        <v>20</v>
      </c>
      <c r="B69" s="5">
        <v>630.21</v>
      </c>
      <c r="C69" s="5">
        <v>18.84</v>
      </c>
      <c r="G69" s="35"/>
      <c r="H69" s="35"/>
      <c r="I69" s="41"/>
      <c r="J69" s="35"/>
      <c r="K69" s="35"/>
      <c r="L69" s="35"/>
      <c r="M69" s="35"/>
      <c r="N69" s="35"/>
      <c r="O69" s="35"/>
      <c r="P69" s="35"/>
      <c r="Q69" s="35"/>
    </row>
    <row r="70" spans="1:17" s="5" customFormat="1" x14ac:dyDescent="0.25">
      <c r="G70" s="35"/>
      <c r="H70" s="35"/>
      <c r="I70" s="41"/>
      <c r="J70" s="35"/>
      <c r="K70" s="35"/>
      <c r="L70" s="42" t="s">
        <v>34</v>
      </c>
      <c r="M70" s="35"/>
      <c r="N70" s="35"/>
      <c r="O70" s="35"/>
      <c r="P70" s="43" t="s">
        <v>35</v>
      </c>
      <c r="Q70" s="43" t="s">
        <v>36</v>
      </c>
    </row>
    <row r="71" spans="1:17" s="5" customFormat="1" x14ac:dyDescent="0.25">
      <c r="G71" s="35"/>
      <c r="H71" s="35"/>
      <c r="I71" s="41"/>
      <c r="J71" s="35"/>
      <c r="K71" s="35"/>
      <c r="L71" s="35" t="s">
        <v>37</v>
      </c>
      <c r="M71" s="35"/>
      <c r="N71" s="35"/>
      <c r="O71" s="44">
        <v>0.25569999999999998</v>
      </c>
      <c r="P71" s="35">
        <v>0.19</v>
      </c>
      <c r="Q71" s="44">
        <v>6.2199999999999998E-2</v>
      </c>
    </row>
    <row r="72" spans="1:17" s="5" customFormat="1" x14ac:dyDescent="0.25">
      <c r="G72" s="35"/>
      <c r="H72" s="35"/>
      <c r="I72" s="41" t="s">
        <v>38</v>
      </c>
      <c r="J72" s="35">
        <v>481.33395796399378</v>
      </c>
      <c r="K72" s="35"/>
      <c r="L72" s="35" t="s">
        <v>39</v>
      </c>
      <c r="M72" s="35"/>
      <c r="N72" s="35"/>
      <c r="O72" s="35">
        <v>9.1259999999999994</v>
      </c>
      <c r="P72" s="35">
        <v>0</v>
      </c>
      <c r="Q72" s="35">
        <v>9.1259999999999994</v>
      </c>
    </row>
    <row r="73" spans="1:17" s="5" customFormat="1" x14ac:dyDescent="0.25"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</row>
    <row r="74" spans="1:17" s="5" customFormat="1" x14ac:dyDescent="0.25"/>
    <row r="75" spans="1:17" s="5" customFormat="1" x14ac:dyDescent="0.25"/>
    <row r="76" spans="1:17" s="5" customFormat="1" x14ac:dyDescent="0.25"/>
  </sheetData>
  <mergeCells count="2">
    <mergeCell ref="R3:X3"/>
    <mergeCell ref="R4:X4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workbookViewId="0">
      <selection activeCell="F34" sqref="F34"/>
    </sheetView>
  </sheetViews>
  <sheetFormatPr baseColWidth="10" defaultRowHeight="15" x14ac:dyDescent="0.25"/>
  <cols>
    <col min="1" max="1" width="27.140625" customWidth="1"/>
    <col min="2" max="2" width="11.42578125" style="46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1" spans="1:13" x14ac:dyDescent="0.25">
      <c r="D1" s="250" t="s">
        <v>85</v>
      </c>
      <c r="E1" s="251"/>
      <c r="F1" s="251"/>
      <c r="G1" s="251"/>
      <c r="H1" s="251"/>
      <c r="I1" s="251"/>
      <c r="J1" s="252"/>
      <c r="K1" s="105"/>
      <c r="L1" s="105"/>
    </row>
    <row r="2" spans="1:13" ht="15.75" thickBot="1" x14ac:dyDescent="0.3">
      <c r="D2" s="253" t="s">
        <v>1</v>
      </c>
      <c r="E2" s="254"/>
      <c r="F2" s="254"/>
      <c r="G2" s="254"/>
      <c r="H2" s="254"/>
      <c r="I2" s="254"/>
      <c r="J2" s="255"/>
      <c r="K2" s="105"/>
      <c r="L2" s="105"/>
    </row>
    <row r="4" spans="1:13" ht="53.25" customHeight="1" x14ac:dyDescent="0.25">
      <c r="A4" s="256" t="s">
        <v>42</v>
      </c>
      <c r="B4" s="257"/>
      <c r="C4" s="257"/>
      <c r="D4" s="257"/>
      <c r="E4" s="257"/>
      <c r="F4" s="257"/>
      <c r="G4" s="258"/>
      <c r="H4" s="47" t="s">
        <v>43</v>
      </c>
      <c r="I4" s="48"/>
      <c r="J4" s="48"/>
      <c r="K4" s="49"/>
      <c r="L4" s="50" t="s">
        <v>44</v>
      </c>
    </row>
    <row r="5" spans="1:13" x14ac:dyDescent="0.25">
      <c r="A5" s="47"/>
      <c r="B5" s="51"/>
      <c r="C5" s="49"/>
      <c r="F5" s="52" t="s">
        <v>45</v>
      </c>
      <c r="G5" s="53">
        <v>1.0225</v>
      </c>
      <c r="L5" s="54"/>
      <c r="M5" s="55" t="s">
        <v>46</v>
      </c>
    </row>
    <row r="6" spans="1:13" x14ac:dyDescent="0.25">
      <c r="A6" s="47" t="s">
        <v>47</v>
      </c>
      <c r="B6" s="51"/>
      <c r="C6" s="56" t="s">
        <v>48</v>
      </c>
      <c r="F6" s="57" t="s">
        <v>49</v>
      </c>
      <c r="L6" s="54"/>
    </row>
    <row r="7" spans="1:13" s="5" customFormat="1" x14ac:dyDescent="0.25">
      <c r="B7" s="46"/>
      <c r="C7" s="6">
        <v>5787.4318000000003</v>
      </c>
      <c r="D7" s="58"/>
      <c r="E7" s="59"/>
      <c r="F7" s="6">
        <v>5787.4318000000003</v>
      </c>
      <c r="G7" s="6"/>
      <c r="H7" s="6">
        <v>5787.4318000000003</v>
      </c>
      <c r="I7" s="58"/>
      <c r="J7" s="60"/>
      <c r="K7" s="60"/>
      <c r="L7" s="61">
        <v>81024.045200000008</v>
      </c>
      <c r="M7" s="6">
        <v>77875.42</v>
      </c>
    </row>
    <row r="8" spans="1:13" x14ac:dyDescent="0.25">
      <c r="L8" s="54"/>
    </row>
    <row r="9" spans="1:13" x14ac:dyDescent="0.25">
      <c r="A9" s="62" t="s">
        <v>50</v>
      </c>
      <c r="L9" s="54"/>
    </row>
    <row r="10" spans="1:13" x14ac:dyDescent="0.25">
      <c r="A10" s="63"/>
      <c r="B10" s="64"/>
      <c r="C10" s="65" t="s">
        <v>51</v>
      </c>
      <c r="D10" s="52" t="s">
        <v>52</v>
      </c>
      <c r="E10" s="65" t="s">
        <v>53</v>
      </c>
      <c r="F10" s="52" t="s">
        <v>45</v>
      </c>
      <c r="G10" s="66"/>
      <c r="H10" s="52" t="s">
        <v>51</v>
      </c>
      <c r="I10" s="52" t="s">
        <v>52</v>
      </c>
      <c r="J10" s="67" t="s">
        <v>53</v>
      </c>
      <c r="K10" s="67" t="s">
        <v>45</v>
      </c>
      <c r="L10" s="68" t="s">
        <v>54</v>
      </c>
      <c r="M10" s="69"/>
    </row>
    <row r="11" spans="1:13" s="5" customFormat="1" x14ac:dyDescent="0.25">
      <c r="A11" s="70" t="s">
        <v>55</v>
      </c>
      <c r="B11" s="71" t="s">
        <v>56</v>
      </c>
      <c r="C11" s="72" t="s">
        <v>57</v>
      </c>
      <c r="D11" s="73" t="s">
        <v>58</v>
      </c>
      <c r="E11" s="72" t="s">
        <v>59</v>
      </c>
      <c r="F11" s="73" t="s">
        <v>49</v>
      </c>
      <c r="G11" s="74"/>
      <c r="H11" s="73" t="s">
        <v>57</v>
      </c>
      <c r="I11" s="73" t="s">
        <v>58</v>
      </c>
      <c r="J11" s="75" t="s">
        <v>59</v>
      </c>
      <c r="K11" s="75" t="s">
        <v>49</v>
      </c>
      <c r="L11" s="76" t="s">
        <v>60</v>
      </c>
      <c r="M11" s="73" t="s">
        <v>61</v>
      </c>
    </row>
    <row r="12" spans="1:13" s="5" customFormat="1" x14ac:dyDescent="0.25">
      <c r="B12" s="77">
        <v>28</v>
      </c>
      <c r="C12" s="6">
        <v>1177.08</v>
      </c>
      <c r="D12" s="6">
        <v>224.02604343749999</v>
      </c>
      <c r="E12" s="6">
        <v>3774.6814499999996</v>
      </c>
      <c r="F12" s="6">
        <v>5175.79</v>
      </c>
      <c r="H12" s="6">
        <v>726.35</v>
      </c>
      <c r="I12" s="6">
        <v>224.02604343749999</v>
      </c>
      <c r="J12" s="6">
        <v>3774.6814499999996</v>
      </c>
      <c r="K12" s="6">
        <v>4725.0574934374999</v>
      </c>
      <c r="L12" s="15">
        <v>71559.594986875003</v>
      </c>
      <c r="M12" s="6">
        <v>69804.346292174989</v>
      </c>
    </row>
    <row r="13" spans="1:13" s="5" customFormat="1" x14ac:dyDescent="0.25">
      <c r="B13" s="77">
        <v>27</v>
      </c>
      <c r="C13" s="6">
        <v>1177.08</v>
      </c>
      <c r="D13" s="6">
        <v>224.02604343749999</v>
      </c>
      <c r="E13" s="6">
        <v>3170.2817</v>
      </c>
      <c r="F13" s="6">
        <v>4571.3877434374999</v>
      </c>
      <c r="H13" s="6">
        <v>726.35</v>
      </c>
      <c r="I13" s="6">
        <v>224.02604343749999</v>
      </c>
      <c r="J13" s="6">
        <v>3170.2817</v>
      </c>
      <c r="K13" s="6">
        <v>4120.6577434375004</v>
      </c>
      <c r="L13" s="15">
        <v>63097.968408125002</v>
      </c>
      <c r="M13" s="6">
        <v>61549.553992546993</v>
      </c>
    </row>
    <row r="14" spans="1:13" s="5" customFormat="1" x14ac:dyDescent="0.25">
      <c r="B14" s="77">
        <v>26</v>
      </c>
      <c r="C14" s="6">
        <v>1177.08</v>
      </c>
      <c r="D14" s="6">
        <v>224.02604343749999</v>
      </c>
      <c r="E14" s="6">
        <v>2758.7152249999999</v>
      </c>
      <c r="F14" s="6">
        <v>4159.8212684374994</v>
      </c>
      <c r="H14" s="6">
        <v>726.35</v>
      </c>
      <c r="I14" s="6">
        <v>224.02604343749999</v>
      </c>
      <c r="J14" s="6">
        <v>2758.7152249999999</v>
      </c>
      <c r="K14" s="6">
        <v>3709.0912684374998</v>
      </c>
      <c r="L14" s="15">
        <v>57336.037758124992</v>
      </c>
      <c r="M14" s="6">
        <v>55928.572541755995</v>
      </c>
    </row>
    <row r="15" spans="1:13" s="5" customFormat="1" x14ac:dyDescent="0.25">
      <c r="B15" s="77">
        <v>25</v>
      </c>
      <c r="C15" s="6">
        <v>1177.08</v>
      </c>
      <c r="D15" s="6">
        <v>224.02604343749999</v>
      </c>
      <c r="E15" s="6">
        <v>2670.9847249999998</v>
      </c>
      <c r="F15" s="6">
        <v>4072.0907684374997</v>
      </c>
      <c r="H15" s="6">
        <v>726.35</v>
      </c>
      <c r="I15" s="6">
        <v>224.02604343749999</v>
      </c>
      <c r="J15" s="6">
        <v>2670.9847249999998</v>
      </c>
      <c r="K15" s="6">
        <v>3621.3607684374997</v>
      </c>
      <c r="L15" s="15">
        <v>56107.810758125001</v>
      </c>
      <c r="M15" s="6">
        <v>54730.371757706489</v>
      </c>
    </row>
    <row r="16" spans="1:13" s="5" customFormat="1" x14ac:dyDescent="0.25">
      <c r="B16" s="77">
        <v>24</v>
      </c>
      <c r="C16" s="6">
        <v>1177.08</v>
      </c>
      <c r="D16" s="6">
        <v>224.02604343749999</v>
      </c>
      <c r="E16" s="6">
        <v>2578.3155499999998</v>
      </c>
      <c r="F16" s="6">
        <v>3979.4215934374997</v>
      </c>
      <c r="H16" s="6">
        <v>726.35</v>
      </c>
      <c r="I16" s="6">
        <v>224.02604343749999</v>
      </c>
      <c r="J16" s="6">
        <v>2578.3155499999998</v>
      </c>
      <c r="K16" s="6">
        <v>3528.6915934374997</v>
      </c>
      <c r="L16" s="15">
        <v>54810.442308124999</v>
      </c>
      <c r="M16" s="6">
        <v>53464.693857901992</v>
      </c>
    </row>
    <row r="17" spans="1:13" s="5" customFormat="1" x14ac:dyDescent="0.25">
      <c r="B17" s="77">
        <v>23</v>
      </c>
      <c r="C17" s="6">
        <v>1177.08</v>
      </c>
      <c r="D17" s="6">
        <v>224.02604343749999</v>
      </c>
      <c r="E17" s="6">
        <v>2500.7793750000001</v>
      </c>
      <c r="F17" s="6">
        <v>3901.8854184375</v>
      </c>
      <c r="H17" s="6">
        <v>726.35</v>
      </c>
      <c r="I17" s="6">
        <v>224.02604343749999</v>
      </c>
      <c r="J17" s="6">
        <v>2500.7793750000001</v>
      </c>
      <c r="K17" s="6">
        <v>3451.1554184375</v>
      </c>
      <c r="L17" s="15">
        <v>53724.935858124998</v>
      </c>
      <c r="M17" s="6">
        <v>52405.716265746982</v>
      </c>
    </row>
    <row r="18" spans="1:13" s="5" customFormat="1" x14ac:dyDescent="0.25">
      <c r="B18" s="77">
        <v>22</v>
      </c>
      <c r="C18" s="6">
        <v>1177.08</v>
      </c>
      <c r="D18" s="6">
        <v>224.02604343749999</v>
      </c>
      <c r="E18" s="6">
        <v>2426.3516</v>
      </c>
      <c r="F18" s="6">
        <v>3827.4576434374999</v>
      </c>
      <c r="H18" s="6">
        <v>726.35</v>
      </c>
      <c r="I18" s="6">
        <v>224.02604343749999</v>
      </c>
      <c r="J18" s="6">
        <v>2426.3516</v>
      </c>
      <c r="K18" s="6">
        <v>3376.7276434374999</v>
      </c>
      <c r="L18" s="15">
        <v>52682.947008125004</v>
      </c>
      <c r="M18" s="6">
        <v>51389.152860637994</v>
      </c>
    </row>
    <row r="19" spans="1:13" s="5" customFormat="1" x14ac:dyDescent="0.25">
      <c r="B19" s="77">
        <v>21</v>
      </c>
      <c r="C19" s="6">
        <v>1177.08</v>
      </c>
      <c r="D19" s="6">
        <v>224.02604343749999</v>
      </c>
      <c r="E19" s="6">
        <v>2231.0949999999998</v>
      </c>
      <c r="F19" s="6">
        <v>3632.2010434374997</v>
      </c>
      <c r="H19" s="6">
        <v>726.35</v>
      </c>
      <c r="I19" s="6">
        <v>224.02604343749999</v>
      </c>
      <c r="J19" s="6">
        <v>2231.0949999999998</v>
      </c>
      <c r="K19" s="6">
        <v>3181.4710434374997</v>
      </c>
      <c r="L19" s="15">
        <v>49949.354608124995</v>
      </c>
      <c r="M19" s="6">
        <v>48722.429704320508</v>
      </c>
    </row>
    <row r="20" spans="1:13" s="5" customFormat="1" x14ac:dyDescent="0.25">
      <c r="B20" s="77">
        <v>20</v>
      </c>
      <c r="C20" s="6">
        <v>1177.08</v>
      </c>
      <c r="D20" s="6">
        <v>224.02604343749999</v>
      </c>
      <c r="E20" s="6">
        <v>2041.05315</v>
      </c>
      <c r="F20" s="6">
        <v>3442.1591934375001</v>
      </c>
      <c r="H20" s="6">
        <v>726.35</v>
      </c>
      <c r="I20" s="6">
        <v>224.02604343749999</v>
      </c>
      <c r="J20" s="6">
        <v>2041.05315</v>
      </c>
      <c r="K20" s="6">
        <v>2991.4291934375001</v>
      </c>
      <c r="L20" s="15">
        <v>47288.768708125004</v>
      </c>
      <c r="M20" s="6">
        <v>46126.764082144997</v>
      </c>
    </row>
    <row r="21" spans="1:13" s="5" customFormat="1" x14ac:dyDescent="0.25">
      <c r="B21" s="46"/>
      <c r="L21" s="78"/>
    </row>
    <row r="22" spans="1:13" x14ac:dyDescent="0.25">
      <c r="A22" s="62" t="s">
        <v>62</v>
      </c>
      <c r="L22" s="54"/>
    </row>
    <row r="23" spans="1:13" x14ac:dyDescent="0.25">
      <c r="A23" s="63"/>
      <c r="B23" s="79"/>
      <c r="C23" s="52" t="s">
        <v>51</v>
      </c>
      <c r="D23" s="52" t="s">
        <v>52</v>
      </c>
      <c r="E23" s="52" t="s">
        <v>53</v>
      </c>
      <c r="F23" s="52" t="s">
        <v>45</v>
      </c>
      <c r="G23" s="80"/>
      <c r="H23" s="52" t="s">
        <v>51</v>
      </c>
      <c r="I23" s="52" t="s">
        <v>52</v>
      </c>
      <c r="J23" s="52" t="s">
        <v>53</v>
      </c>
      <c r="K23" s="52" t="s">
        <v>45</v>
      </c>
      <c r="L23" s="68" t="s">
        <v>54</v>
      </c>
      <c r="M23" s="81"/>
    </row>
    <row r="24" spans="1:13" x14ac:dyDescent="0.25">
      <c r="A24" s="82" t="s">
        <v>63</v>
      </c>
      <c r="B24" s="71" t="s">
        <v>56</v>
      </c>
      <c r="C24" s="57" t="s">
        <v>57</v>
      </c>
      <c r="D24" s="57" t="s">
        <v>58</v>
      </c>
      <c r="E24" s="57" t="s">
        <v>59</v>
      </c>
      <c r="F24" s="57" t="s">
        <v>49</v>
      </c>
      <c r="G24" s="80"/>
      <c r="H24" s="57" t="s">
        <v>57</v>
      </c>
      <c r="I24" s="57" t="s">
        <v>58</v>
      </c>
      <c r="J24" s="57" t="s">
        <v>59</v>
      </c>
      <c r="K24" s="57" t="s">
        <v>49</v>
      </c>
      <c r="L24" s="76" t="s">
        <v>60</v>
      </c>
      <c r="M24" s="57" t="s">
        <v>61</v>
      </c>
    </row>
    <row r="25" spans="1:13" s="5" customFormat="1" x14ac:dyDescent="0.25">
      <c r="B25" s="83">
        <v>27</v>
      </c>
      <c r="C25" s="7">
        <v>1017.79</v>
      </c>
      <c r="D25" s="7">
        <v>178.95</v>
      </c>
      <c r="E25" s="7">
        <v>3070.2300749999999</v>
      </c>
      <c r="F25" s="7">
        <v>4266.9700750000002</v>
      </c>
      <c r="G25" s="13"/>
      <c r="H25" s="7">
        <v>742.29</v>
      </c>
      <c r="I25" s="7">
        <v>178.95</v>
      </c>
      <c r="J25" s="7">
        <v>3070.2300749999999</v>
      </c>
      <c r="K25" s="7">
        <v>3991.4700750000002</v>
      </c>
      <c r="L25" s="16">
        <v>59186.581049999993</v>
      </c>
      <c r="M25" s="6">
        <v>57734.97942799599</v>
      </c>
    </row>
    <row r="26" spans="1:13" s="5" customFormat="1" x14ac:dyDescent="0.25">
      <c r="B26" s="89">
        <v>26</v>
      </c>
      <c r="C26" s="104">
        <v>1017.79</v>
      </c>
      <c r="D26" s="104">
        <v>178.95</v>
      </c>
      <c r="E26" s="104">
        <v>2969.5649499999995</v>
      </c>
      <c r="F26" s="104">
        <v>4166.3049499999997</v>
      </c>
      <c r="H26" s="104">
        <v>742.29</v>
      </c>
      <c r="I26" s="104">
        <v>178.95</v>
      </c>
      <c r="J26" s="104">
        <v>2969.5649499999995</v>
      </c>
      <c r="K26" s="104">
        <v>3890.8049499999997</v>
      </c>
      <c r="L26" s="139">
        <v>57777.269299999993</v>
      </c>
      <c r="M26" s="6">
        <v>56360.098767387994</v>
      </c>
    </row>
    <row r="27" spans="1:13" s="5" customFormat="1" x14ac:dyDescent="0.25">
      <c r="B27" s="77">
        <v>25</v>
      </c>
      <c r="C27" s="6">
        <v>1017.79</v>
      </c>
      <c r="D27" s="6">
        <v>178.95</v>
      </c>
      <c r="E27" s="6">
        <v>2503.9184500000001</v>
      </c>
      <c r="F27" s="6">
        <v>3700.6584499999999</v>
      </c>
      <c r="H27" s="6">
        <v>742.29</v>
      </c>
      <c r="I27" s="6">
        <v>178.95</v>
      </c>
      <c r="J27" s="6">
        <v>2503.9184500000001</v>
      </c>
      <c r="K27" s="6">
        <v>3425.1584499999999</v>
      </c>
      <c r="L27" s="15">
        <v>51258.218300000008</v>
      </c>
      <c r="M27" s="6">
        <v>50000.311753279508</v>
      </c>
    </row>
    <row r="28" spans="1:13" s="5" customFormat="1" x14ac:dyDescent="0.25">
      <c r="B28" s="77">
        <v>24</v>
      </c>
      <c r="C28" s="6">
        <v>1017.79</v>
      </c>
      <c r="D28" s="6">
        <v>178.95</v>
      </c>
      <c r="E28" s="6">
        <v>2313.4267</v>
      </c>
      <c r="F28" s="6">
        <v>3510.1666999999998</v>
      </c>
      <c r="H28" s="6">
        <v>742.29</v>
      </c>
      <c r="I28" s="6">
        <v>178.95</v>
      </c>
      <c r="J28" s="6">
        <v>2313.4267</v>
      </c>
      <c r="K28" s="6">
        <v>3234.6666999999998</v>
      </c>
      <c r="L28" s="15">
        <v>48591.3338</v>
      </c>
      <c r="M28" s="6">
        <v>47398.72466992549</v>
      </c>
    </row>
    <row r="29" spans="1:13" s="5" customFormat="1" x14ac:dyDescent="0.25">
      <c r="B29" s="77">
        <v>23</v>
      </c>
      <c r="C29" s="6">
        <v>1017.79</v>
      </c>
      <c r="D29" s="6">
        <v>178.95</v>
      </c>
      <c r="E29" s="6">
        <v>2195.3074999999999</v>
      </c>
      <c r="F29" s="6">
        <v>3392.0474999999997</v>
      </c>
      <c r="H29" s="6">
        <v>742.29</v>
      </c>
      <c r="I29" s="6">
        <v>178.95</v>
      </c>
      <c r="J29" s="6">
        <v>2195.3074999999999</v>
      </c>
      <c r="K29" s="6">
        <v>3116.5474999999997</v>
      </c>
      <c r="L29" s="15">
        <v>46937.664999999994</v>
      </c>
      <c r="M29" s="6">
        <v>45785.470769783002</v>
      </c>
    </row>
    <row r="30" spans="1:13" s="5" customFormat="1" x14ac:dyDescent="0.25">
      <c r="B30" s="77">
        <v>22</v>
      </c>
      <c r="C30" s="6">
        <v>1017.79</v>
      </c>
      <c r="D30" s="6">
        <v>178.95</v>
      </c>
      <c r="E30" s="6">
        <v>2125.6036749999998</v>
      </c>
      <c r="F30" s="6">
        <v>3322.3436750000001</v>
      </c>
      <c r="H30" s="6">
        <v>742.29</v>
      </c>
      <c r="I30" s="6">
        <v>178.95</v>
      </c>
      <c r="J30" s="6">
        <v>2125.6036749999998</v>
      </c>
      <c r="K30" s="6">
        <v>3046.8436750000001</v>
      </c>
      <c r="L30" s="15">
        <v>45961.811449999994</v>
      </c>
      <c r="M30" s="6">
        <v>44833.354895639997</v>
      </c>
    </row>
    <row r="31" spans="1:13" s="5" customFormat="1" x14ac:dyDescent="0.25">
      <c r="B31" s="77">
        <v>21</v>
      </c>
      <c r="C31" s="6">
        <v>1017.79</v>
      </c>
      <c r="D31" s="6">
        <v>178.95</v>
      </c>
      <c r="E31" s="6">
        <v>2050.4294749999999</v>
      </c>
      <c r="F31" s="6">
        <v>3247.1694749999997</v>
      </c>
      <c r="H31" s="6">
        <v>742.29</v>
      </c>
      <c r="I31" s="6">
        <v>178.95</v>
      </c>
      <c r="J31" s="6">
        <v>2050.4294749999999</v>
      </c>
      <c r="K31" s="6">
        <v>2971.6694749999997</v>
      </c>
      <c r="L31" s="15">
        <v>44909.372650000005</v>
      </c>
      <c r="M31" s="6">
        <v>43806.7387773675</v>
      </c>
    </row>
    <row r="32" spans="1:13" s="5" customFormat="1" x14ac:dyDescent="0.25">
      <c r="B32" s="77">
        <v>20</v>
      </c>
      <c r="C32" s="6">
        <v>1017.79</v>
      </c>
      <c r="D32" s="6">
        <v>178.95</v>
      </c>
      <c r="E32" s="6">
        <v>1977.5047749999999</v>
      </c>
      <c r="F32" s="6">
        <v>3174.2447750000001</v>
      </c>
      <c r="H32" s="6">
        <v>742.29</v>
      </c>
      <c r="I32" s="6">
        <v>178.95</v>
      </c>
      <c r="J32" s="6">
        <v>1977.5047749999999</v>
      </c>
      <c r="K32" s="6">
        <v>2898.7447750000001</v>
      </c>
      <c r="L32" s="15">
        <v>43888.426850000003</v>
      </c>
      <c r="M32" s="6">
        <v>42810.693923783998</v>
      </c>
    </row>
    <row r="33" spans="1:13" s="5" customFormat="1" x14ac:dyDescent="0.25">
      <c r="B33" s="77">
        <v>19</v>
      </c>
      <c r="C33" s="6">
        <v>1017.79</v>
      </c>
      <c r="D33" s="6">
        <v>178.95</v>
      </c>
      <c r="E33" s="6">
        <v>1929.8971750000001</v>
      </c>
      <c r="F33" s="6">
        <v>3126.6371749999998</v>
      </c>
      <c r="H33" s="6">
        <v>742.29</v>
      </c>
      <c r="I33" s="6">
        <v>178.95</v>
      </c>
      <c r="J33" s="6">
        <v>1929.8971750000001</v>
      </c>
      <c r="K33" s="6">
        <v>2851.1371749999998</v>
      </c>
      <c r="L33" s="15">
        <v>43221.920449999991</v>
      </c>
      <c r="M33" s="6">
        <v>42160.434861344991</v>
      </c>
    </row>
    <row r="34" spans="1:13" s="5" customFormat="1" x14ac:dyDescent="0.25">
      <c r="B34" s="83">
        <v>18</v>
      </c>
      <c r="C34" s="7">
        <v>1017.79</v>
      </c>
      <c r="D34" s="7">
        <v>178.95</v>
      </c>
      <c r="E34" s="7">
        <v>1783.3320249999999</v>
      </c>
      <c r="F34" s="7">
        <v>2980.0720249999999</v>
      </c>
      <c r="G34" s="13"/>
      <c r="H34" s="7">
        <v>742.29</v>
      </c>
      <c r="I34" s="7">
        <v>178.95</v>
      </c>
      <c r="J34" s="7">
        <v>1783.3320249999999</v>
      </c>
      <c r="K34" s="7">
        <v>2704.5720249999999</v>
      </c>
      <c r="L34" s="16">
        <v>41170.008350000004</v>
      </c>
      <c r="M34" s="6">
        <v>40158.705566212993</v>
      </c>
    </row>
    <row r="35" spans="1:13" s="5" customFormat="1" x14ac:dyDescent="0.25">
      <c r="B35" s="77">
        <v>17</v>
      </c>
      <c r="C35" s="6">
        <v>1017.79</v>
      </c>
      <c r="D35" s="6">
        <v>178.95</v>
      </c>
      <c r="E35" s="6">
        <v>1691.7466999999999</v>
      </c>
      <c r="F35" s="6">
        <v>2888.4866999999999</v>
      </c>
      <c r="H35" s="6">
        <v>742.29</v>
      </c>
      <c r="I35" s="6">
        <v>178.95</v>
      </c>
      <c r="J35" s="6">
        <v>1691.7466999999999</v>
      </c>
      <c r="K35" s="6">
        <v>2612.9866999999999</v>
      </c>
      <c r="L35" s="15">
        <v>39887.813800000004</v>
      </c>
      <c r="M35" s="6">
        <v>38907.762465154992</v>
      </c>
    </row>
    <row r="36" spans="1:13" s="5" customFormat="1" x14ac:dyDescent="0.25">
      <c r="B36" s="77">
        <v>16</v>
      </c>
      <c r="C36" s="6">
        <v>1017.79</v>
      </c>
      <c r="D36" s="6">
        <v>178.95</v>
      </c>
      <c r="E36" s="6">
        <v>1593.0447749999998</v>
      </c>
      <c r="F36" s="6">
        <v>2789.7847750000001</v>
      </c>
      <c r="H36" s="6">
        <v>742.29</v>
      </c>
      <c r="I36" s="6">
        <v>178.95</v>
      </c>
      <c r="J36" s="6">
        <v>1593.0447749999998</v>
      </c>
      <c r="K36" s="6">
        <v>2514.2847750000001</v>
      </c>
      <c r="L36" s="15">
        <v>38505.986850000001</v>
      </c>
      <c r="M36" s="6">
        <v>37559.73494244949</v>
      </c>
    </row>
    <row r="37" spans="1:13" x14ac:dyDescent="0.25">
      <c r="L37" s="54"/>
    </row>
    <row r="38" spans="1:13" x14ac:dyDescent="0.25">
      <c r="A38" s="62" t="s">
        <v>64</v>
      </c>
      <c r="L38" s="54"/>
    </row>
    <row r="39" spans="1:13" x14ac:dyDescent="0.25">
      <c r="A39" s="63"/>
      <c r="B39" s="79"/>
      <c r="C39" s="52" t="s">
        <v>51</v>
      </c>
      <c r="D39" s="52" t="s">
        <v>52</v>
      </c>
      <c r="E39" s="52" t="s">
        <v>53</v>
      </c>
      <c r="F39" s="52" t="s">
        <v>45</v>
      </c>
      <c r="G39" s="80"/>
      <c r="H39" s="52" t="s">
        <v>51</v>
      </c>
      <c r="I39" s="52" t="s">
        <v>52</v>
      </c>
      <c r="J39" s="52" t="s">
        <v>53</v>
      </c>
      <c r="K39" s="52" t="s">
        <v>45</v>
      </c>
      <c r="L39" s="68" t="s">
        <v>54</v>
      </c>
      <c r="M39" s="52"/>
    </row>
    <row r="40" spans="1:13" x14ac:dyDescent="0.25">
      <c r="A40" s="82" t="s">
        <v>65</v>
      </c>
      <c r="B40" s="71" t="s">
        <v>56</v>
      </c>
      <c r="C40" s="57" t="s">
        <v>57</v>
      </c>
      <c r="D40" s="57" t="s">
        <v>58</v>
      </c>
      <c r="E40" s="57" t="s">
        <v>59</v>
      </c>
      <c r="F40" s="57" t="s">
        <v>49</v>
      </c>
      <c r="G40" s="80"/>
      <c r="H40" s="57" t="s">
        <v>57</v>
      </c>
      <c r="I40" s="57" t="s">
        <v>58</v>
      </c>
      <c r="J40" s="57" t="s">
        <v>59</v>
      </c>
      <c r="K40" s="57" t="s">
        <v>49</v>
      </c>
      <c r="L40" s="76" t="s">
        <v>60</v>
      </c>
      <c r="M40" s="57" t="s">
        <v>61</v>
      </c>
    </row>
    <row r="41" spans="1:13" s="5" customFormat="1" x14ac:dyDescent="0.25">
      <c r="B41" s="77">
        <v>21</v>
      </c>
      <c r="C41" s="6">
        <v>764.19</v>
      </c>
      <c r="D41" s="6">
        <v>143.64113231249999</v>
      </c>
      <c r="E41" s="6">
        <v>2488.04925</v>
      </c>
      <c r="F41" s="6">
        <v>3395.8803823124999</v>
      </c>
      <c r="H41" s="6">
        <v>660.48</v>
      </c>
      <c r="I41" s="6">
        <v>143.64113231249999</v>
      </c>
      <c r="J41" s="6">
        <v>2488.04925</v>
      </c>
      <c r="K41" s="6">
        <v>3292.1703823124999</v>
      </c>
      <c r="L41" s="15">
        <v>47334.905352374997</v>
      </c>
      <c r="M41" s="6">
        <v>46173.919466295498</v>
      </c>
    </row>
    <row r="42" spans="1:13" s="5" customFormat="1" x14ac:dyDescent="0.25">
      <c r="B42" s="77">
        <v>20</v>
      </c>
      <c r="C42" s="6">
        <v>764.19</v>
      </c>
      <c r="D42" s="6">
        <v>143.64113231249999</v>
      </c>
      <c r="E42" s="6">
        <v>2411.2288250000001</v>
      </c>
      <c r="F42" s="6">
        <v>3319.0599573125</v>
      </c>
      <c r="H42" s="6">
        <v>660.48</v>
      </c>
      <c r="I42" s="6">
        <v>143.64113231249999</v>
      </c>
      <c r="J42" s="6">
        <v>2411.2288250000001</v>
      </c>
      <c r="K42" s="6">
        <v>3215.3499573125</v>
      </c>
      <c r="L42" s="15">
        <v>46259.419402375002</v>
      </c>
      <c r="M42" s="6">
        <v>45124.856878904488</v>
      </c>
    </row>
    <row r="43" spans="1:13" s="5" customFormat="1" x14ac:dyDescent="0.25">
      <c r="B43" s="77">
        <v>19</v>
      </c>
      <c r="C43" s="6">
        <v>764.19</v>
      </c>
      <c r="D43" s="6">
        <v>143.64113231249999</v>
      </c>
      <c r="E43" s="6">
        <v>2259.3466750000002</v>
      </c>
      <c r="F43" s="6">
        <v>3167.1778073125001</v>
      </c>
      <c r="H43" s="6">
        <v>660.48</v>
      </c>
      <c r="I43" s="6">
        <v>143.64113231249999</v>
      </c>
      <c r="J43" s="6">
        <v>2259.3466750000002</v>
      </c>
      <c r="K43" s="6">
        <v>3063.4678073125001</v>
      </c>
      <c r="L43" s="15">
        <v>44133.069302375006</v>
      </c>
      <c r="M43" s="6">
        <v>43050.417548836493</v>
      </c>
    </row>
    <row r="44" spans="1:13" s="5" customFormat="1" x14ac:dyDescent="0.25">
      <c r="B44" s="83">
        <v>18</v>
      </c>
      <c r="C44" s="7">
        <v>764.19</v>
      </c>
      <c r="D44" s="7">
        <v>143.64113231249999</v>
      </c>
      <c r="E44" s="7">
        <v>2026.2473500000001</v>
      </c>
      <c r="F44" s="7">
        <v>2934.0784823125</v>
      </c>
      <c r="G44" s="13"/>
      <c r="H44" s="7">
        <v>660.48</v>
      </c>
      <c r="I44" s="7">
        <v>143.64113231249999</v>
      </c>
      <c r="J44" s="7">
        <v>2026.2473500000001</v>
      </c>
      <c r="K44" s="7">
        <v>2830.3684823125</v>
      </c>
      <c r="L44" s="16">
        <v>40869.678752375003</v>
      </c>
      <c r="M44" s="6">
        <v>39866.874769195492</v>
      </c>
    </row>
    <row r="45" spans="1:13" s="5" customFormat="1" x14ac:dyDescent="0.25">
      <c r="B45" s="77">
        <v>17</v>
      </c>
      <c r="C45" s="6">
        <v>764.19</v>
      </c>
      <c r="D45" s="6">
        <v>143.64113231249999</v>
      </c>
      <c r="E45" s="6">
        <v>1879.4572499999999</v>
      </c>
      <c r="F45" s="6">
        <v>2787.2883823124998</v>
      </c>
      <c r="H45" s="6">
        <v>660.48</v>
      </c>
      <c r="I45" s="6">
        <v>143.64113231249999</v>
      </c>
      <c r="J45" s="6">
        <v>1879.4572499999999</v>
      </c>
      <c r="K45" s="6">
        <v>2683.5783823124998</v>
      </c>
      <c r="L45" s="15">
        <v>38814.617352375004</v>
      </c>
      <c r="M45" s="6">
        <v>37861.978180874998</v>
      </c>
    </row>
    <row r="46" spans="1:13" s="5" customFormat="1" x14ac:dyDescent="0.25">
      <c r="B46" s="77">
        <v>16</v>
      </c>
      <c r="C46" s="6">
        <v>764.19</v>
      </c>
      <c r="D46" s="6">
        <v>143.64113231249999</v>
      </c>
      <c r="E46" s="6">
        <v>1687.96345</v>
      </c>
      <c r="F46" s="6">
        <v>2595.7945823125001</v>
      </c>
      <c r="H46" s="6">
        <v>660.48</v>
      </c>
      <c r="I46" s="6">
        <v>143.64113231249999</v>
      </c>
      <c r="J46" s="6">
        <v>1687.96345</v>
      </c>
      <c r="K46" s="6">
        <v>2492.0845823125001</v>
      </c>
      <c r="L46" s="15">
        <v>36133.704152375001</v>
      </c>
      <c r="M46" s="6">
        <v>35246.482549171495</v>
      </c>
    </row>
    <row r="47" spans="1:13" s="5" customFormat="1" x14ac:dyDescent="0.25">
      <c r="B47" s="83">
        <v>15</v>
      </c>
      <c r="C47" s="7">
        <v>764.19</v>
      </c>
      <c r="D47" s="7">
        <v>143.64113231249999</v>
      </c>
      <c r="E47" s="7">
        <v>1544.905475</v>
      </c>
      <c r="F47" s="7">
        <v>2452.7366073124999</v>
      </c>
      <c r="G47" s="13"/>
      <c r="H47" s="7">
        <v>660.48</v>
      </c>
      <c r="I47" s="7">
        <v>143.64113231249999</v>
      </c>
      <c r="J47" s="7">
        <v>1544.905475</v>
      </c>
      <c r="K47" s="7">
        <v>2349.0266073124999</v>
      </c>
      <c r="L47" s="16">
        <v>34130.892502374998</v>
      </c>
      <c r="M47" s="6">
        <v>33292.675777065495</v>
      </c>
    </row>
    <row r="48" spans="1:13" s="5" customFormat="1" x14ac:dyDescent="0.25">
      <c r="B48" s="77">
        <v>14</v>
      </c>
      <c r="C48" s="6">
        <v>764.19</v>
      </c>
      <c r="D48" s="6">
        <v>143.64113231249999</v>
      </c>
      <c r="E48" s="6">
        <v>1452.5123749999998</v>
      </c>
      <c r="F48" s="6">
        <v>2360.3435073124997</v>
      </c>
      <c r="H48" s="6">
        <v>660.48</v>
      </c>
      <c r="I48" s="6">
        <v>143.64113231249999</v>
      </c>
      <c r="J48" s="6">
        <v>1452.5123749999998</v>
      </c>
      <c r="K48" s="6">
        <v>2256.6335073124997</v>
      </c>
      <c r="L48" s="15">
        <v>32837.389102374997</v>
      </c>
      <c r="M48" s="6">
        <v>32030.853712446995</v>
      </c>
    </row>
    <row r="49" spans="1:13" s="5" customFormat="1" x14ac:dyDescent="0.25">
      <c r="B49" s="77">
        <v>13</v>
      </c>
      <c r="C49" s="6">
        <v>764.19</v>
      </c>
      <c r="D49" s="6">
        <v>143.64113231249999</v>
      </c>
      <c r="E49" s="6">
        <v>1354.6079999999999</v>
      </c>
      <c r="F49" s="6">
        <v>2262.4391323125001</v>
      </c>
      <c r="H49" s="6">
        <v>660.48</v>
      </c>
      <c r="I49" s="6">
        <v>143.64113231249999</v>
      </c>
      <c r="J49" s="6">
        <v>1354.6079999999999</v>
      </c>
      <c r="K49" s="6">
        <v>2158.7291323125</v>
      </c>
      <c r="L49" s="15">
        <v>31466.727852374999</v>
      </c>
      <c r="M49" s="6">
        <v>30693.705153301995</v>
      </c>
    </row>
    <row r="50" spans="1:13" s="5" customFormat="1" x14ac:dyDescent="0.25">
      <c r="B50" s="46"/>
      <c r="L50" s="84"/>
    </row>
    <row r="51" spans="1:13" x14ac:dyDescent="0.25">
      <c r="A51" s="62" t="s">
        <v>66</v>
      </c>
      <c r="L51" s="84"/>
    </row>
    <row r="52" spans="1:13" x14ac:dyDescent="0.25">
      <c r="A52" s="62" t="s">
        <v>67</v>
      </c>
      <c r="L52" s="84"/>
    </row>
    <row r="53" spans="1:13" x14ac:dyDescent="0.25">
      <c r="A53" s="62" t="s">
        <v>68</v>
      </c>
      <c r="B53" s="79"/>
      <c r="C53" s="52" t="s">
        <v>51</v>
      </c>
      <c r="D53" s="52" t="s">
        <v>52</v>
      </c>
      <c r="E53" s="52" t="s">
        <v>53</v>
      </c>
      <c r="F53" s="52" t="s">
        <v>45</v>
      </c>
      <c r="G53" s="80"/>
      <c r="H53" s="52" t="s">
        <v>51</v>
      </c>
      <c r="I53" s="52" t="s">
        <v>52</v>
      </c>
      <c r="J53" s="52" t="s">
        <v>53</v>
      </c>
      <c r="K53" s="52" t="s">
        <v>45</v>
      </c>
      <c r="L53" s="68" t="s">
        <v>54</v>
      </c>
      <c r="M53" s="80"/>
    </row>
    <row r="54" spans="1:13" x14ac:dyDescent="0.25">
      <c r="A54" s="85" t="s">
        <v>69</v>
      </c>
      <c r="B54" s="71" t="s">
        <v>56</v>
      </c>
      <c r="C54" s="57" t="s">
        <v>57</v>
      </c>
      <c r="D54" s="57" t="s">
        <v>58</v>
      </c>
      <c r="E54" s="57" t="s">
        <v>59</v>
      </c>
      <c r="F54" s="57" t="s">
        <v>49</v>
      </c>
      <c r="G54" s="80"/>
      <c r="H54" s="57" t="s">
        <v>57</v>
      </c>
      <c r="I54" s="57" t="s">
        <v>58</v>
      </c>
      <c r="J54" s="57" t="s">
        <v>59</v>
      </c>
      <c r="K54" s="57" t="s">
        <v>49</v>
      </c>
      <c r="L54" s="76" t="s">
        <v>60</v>
      </c>
      <c r="M54" s="80" t="s">
        <v>61</v>
      </c>
    </row>
    <row r="55" spans="1:13" s="5" customFormat="1" x14ac:dyDescent="0.25">
      <c r="A55" s="86" t="s">
        <v>70</v>
      </c>
      <c r="B55" s="77">
        <v>18</v>
      </c>
      <c r="C55" s="6">
        <v>636.01</v>
      </c>
      <c r="D55" s="6">
        <v>127.70150762499999</v>
      </c>
      <c r="E55" s="6">
        <v>1840.8374249999999</v>
      </c>
      <c r="F55" s="59">
        <v>2604.5489326249999</v>
      </c>
      <c r="H55" s="6">
        <v>630.21</v>
      </c>
      <c r="I55" s="6">
        <v>127.70150762499999</v>
      </c>
      <c r="J55" s="6">
        <v>1840.8374249999999</v>
      </c>
      <c r="K55" s="6">
        <v>2598.7489326249997</v>
      </c>
      <c r="L55" s="15">
        <v>36452.085056749995</v>
      </c>
      <c r="M55" s="6">
        <v>35487.819514392497</v>
      </c>
    </row>
    <row r="56" spans="1:13" s="5" customFormat="1" x14ac:dyDescent="0.25">
      <c r="A56" s="87" t="s">
        <v>71</v>
      </c>
      <c r="B56" s="83">
        <v>17</v>
      </c>
      <c r="C56" s="7">
        <v>636.01</v>
      </c>
      <c r="D56" s="7">
        <v>127.70150762499999</v>
      </c>
      <c r="E56" s="7">
        <v>1696.1741249999998</v>
      </c>
      <c r="F56" s="33">
        <v>2459.8856326249997</v>
      </c>
      <c r="G56" s="13"/>
      <c r="H56" s="7">
        <v>630.21</v>
      </c>
      <c r="I56" s="7">
        <v>127.70150762499999</v>
      </c>
      <c r="J56" s="7">
        <v>1696.1741249999998</v>
      </c>
      <c r="K56" s="7">
        <v>2454.0856326249996</v>
      </c>
      <c r="L56" s="16">
        <v>34426.79885675</v>
      </c>
      <c r="M56" s="6">
        <v>33581.797556912999</v>
      </c>
    </row>
    <row r="57" spans="1:13" s="5" customFormat="1" x14ac:dyDescent="0.25">
      <c r="A57" s="86" t="s">
        <v>72</v>
      </c>
      <c r="B57" s="77">
        <v>16</v>
      </c>
      <c r="C57" s="6">
        <v>636.01</v>
      </c>
      <c r="D57" s="6">
        <v>127.70150762499999</v>
      </c>
      <c r="E57" s="6">
        <v>1643.8425750000001</v>
      </c>
      <c r="F57" s="59">
        <v>2407.5540826249999</v>
      </c>
      <c r="H57" s="6">
        <v>630.21</v>
      </c>
      <c r="I57" s="6">
        <v>127.70150762499999</v>
      </c>
      <c r="J57" s="6">
        <v>1643.8425750000001</v>
      </c>
      <c r="K57" s="6">
        <v>2401.7540826250001</v>
      </c>
      <c r="L57" s="15">
        <v>33694.15715675</v>
      </c>
      <c r="M57" s="6">
        <v>32801.954890544497</v>
      </c>
    </row>
    <row r="58" spans="1:13" s="5" customFormat="1" x14ac:dyDescent="0.25">
      <c r="A58" s="88" t="s">
        <v>73</v>
      </c>
      <c r="B58" s="77">
        <v>15</v>
      </c>
      <c r="C58" s="6">
        <v>636.01</v>
      </c>
      <c r="D58" s="6">
        <v>127.70150762499999</v>
      </c>
      <c r="E58" s="6">
        <v>1545.3451499999999</v>
      </c>
      <c r="F58" s="59">
        <v>2309.0566576249998</v>
      </c>
      <c r="H58" s="6">
        <v>630.21</v>
      </c>
      <c r="I58" s="6">
        <v>127.70150762499999</v>
      </c>
      <c r="J58" s="6">
        <v>1545.3451499999999</v>
      </c>
      <c r="K58" s="6">
        <v>2303.2566576250001</v>
      </c>
      <c r="L58" s="15">
        <v>32315.193206749995</v>
      </c>
      <c r="M58" s="6">
        <v>32296.289647580496</v>
      </c>
    </row>
    <row r="59" spans="1:13" s="5" customFormat="1" x14ac:dyDescent="0.25">
      <c r="B59" s="83">
        <v>14</v>
      </c>
      <c r="C59" s="7">
        <v>636.01</v>
      </c>
      <c r="D59" s="7">
        <v>127.70150762499999</v>
      </c>
      <c r="E59" s="7">
        <v>1446.8477249999999</v>
      </c>
      <c r="F59" s="33">
        <v>2210.5592326249998</v>
      </c>
      <c r="G59" s="13"/>
      <c r="H59" s="7">
        <v>630.21</v>
      </c>
      <c r="I59" s="7">
        <v>127.70150762499999</v>
      </c>
      <c r="J59" s="7">
        <v>1446.8477249999999</v>
      </c>
      <c r="K59" s="7">
        <v>2204.7592326249996</v>
      </c>
      <c r="L59" s="16">
        <v>30936.229256749997</v>
      </c>
      <c r="M59" s="6">
        <v>30979.108806362994</v>
      </c>
    </row>
    <row r="60" spans="1:13" s="5" customFormat="1" x14ac:dyDescent="0.25">
      <c r="B60" s="77">
        <v>13</v>
      </c>
      <c r="C60" s="6">
        <v>636.01</v>
      </c>
      <c r="D60" s="6">
        <v>127.70150762499999</v>
      </c>
      <c r="E60" s="6">
        <v>1348.3503000000001</v>
      </c>
      <c r="F60" s="59">
        <v>2112.0618076250003</v>
      </c>
      <c r="H60" s="6">
        <v>630.21</v>
      </c>
      <c r="I60" s="6">
        <v>127.70150762499999</v>
      </c>
      <c r="J60" s="6">
        <v>1348.3503000000001</v>
      </c>
      <c r="K60" s="6">
        <v>2106.2618076250001</v>
      </c>
      <c r="L60" s="15">
        <v>29557.265306750003</v>
      </c>
      <c r="M60" s="6">
        <v>30358.319341416998</v>
      </c>
    </row>
    <row r="61" spans="1:13" s="5" customFormat="1" x14ac:dyDescent="0.25">
      <c r="B61" s="83">
        <v>12</v>
      </c>
      <c r="C61" s="7">
        <v>636.01</v>
      </c>
      <c r="D61" s="7">
        <v>127.70150762499999</v>
      </c>
      <c r="E61" s="7">
        <v>1267.03</v>
      </c>
      <c r="F61" s="33">
        <f>E61+D61+C61</f>
        <v>2030.7415076249999</v>
      </c>
      <c r="H61" s="7">
        <v>630.21</v>
      </c>
      <c r="I61" s="7">
        <v>127.70150762499999</v>
      </c>
      <c r="J61" s="7">
        <v>1267.03</v>
      </c>
      <c r="K61" s="7">
        <f>SUM(H61:J61)</f>
        <v>2024.941507625</v>
      </c>
      <c r="L61" s="16">
        <f>ROUND((F61*12)+(K61*2),2)</f>
        <v>28418.78</v>
      </c>
      <c r="M61" s="6">
        <v>27720.652657393995</v>
      </c>
    </row>
    <row r="62" spans="1:13" s="5" customFormat="1" x14ac:dyDescent="0.25">
      <c r="B62" s="83">
        <v>11</v>
      </c>
      <c r="C62" s="7">
        <v>636.01</v>
      </c>
      <c r="D62" s="7">
        <v>127.70150762499999</v>
      </c>
      <c r="E62" s="7">
        <v>1261.4582499999999</v>
      </c>
      <c r="F62" s="33">
        <v>2025.1697576249999</v>
      </c>
      <c r="G62" s="13"/>
      <c r="H62" s="7">
        <v>630.21</v>
      </c>
      <c r="I62" s="7">
        <v>127.70150762499999</v>
      </c>
      <c r="J62" s="7">
        <v>1261.4582499999999</v>
      </c>
      <c r="K62" s="7">
        <v>2019.3697576249999</v>
      </c>
      <c r="L62" s="16">
        <v>28340.776606750002</v>
      </c>
      <c r="M62" s="6">
        <v>27644.362204071</v>
      </c>
    </row>
    <row r="63" spans="1:13" s="5" customFormat="1" x14ac:dyDescent="0.25">
      <c r="B63" s="89">
        <v>10</v>
      </c>
      <c r="C63" s="6">
        <v>636.01</v>
      </c>
      <c r="D63" s="6">
        <v>127.7</v>
      </c>
      <c r="E63" s="6">
        <v>1052.858025</v>
      </c>
      <c r="F63" s="59">
        <v>1816.568025</v>
      </c>
      <c r="H63" s="6">
        <v>630.21</v>
      </c>
      <c r="I63" s="6">
        <v>127.7</v>
      </c>
      <c r="J63" s="6">
        <v>1052.858025</v>
      </c>
      <c r="K63" s="6">
        <v>1810.7680250000001</v>
      </c>
      <c r="L63" s="15">
        <v>25420.352350000001</v>
      </c>
      <c r="M63" s="90"/>
    </row>
    <row r="64" spans="1:13" s="5" customFormat="1" x14ac:dyDescent="0.25">
      <c r="B64" s="46"/>
      <c r="L64" s="78"/>
    </row>
    <row r="65" spans="1:13" x14ac:dyDescent="0.25">
      <c r="A65" s="62" t="s">
        <v>74</v>
      </c>
      <c r="L65" s="54"/>
    </row>
    <row r="66" spans="1:13" x14ac:dyDescent="0.25">
      <c r="A66" s="85" t="s">
        <v>71</v>
      </c>
      <c r="B66" s="79"/>
      <c r="C66" s="52" t="s">
        <v>51</v>
      </c>
      <c r="D66" s="52" t="s">
        <v>52</v>
      </c>
      <c r="E66" s="52" t="s">
        <v>53</v>
      </c>
      <c r="F66" s="52" t="s">
        <v>45</v>
      </c>
      <c r="G66" s="80"/>
      <c r="H66" s="52" t="s">
        <v>51</v>
      </c>
      <c r="I66" s="52" t="s">
        <v>52</v>
      </c>
      <c r="J66" s="52" t="s">
        <v>53</v>
      </c>
      <c r="K66" s="52" t="s">
        <v>45</v>
      </c>
      <c r="L66" s="68" t="s">
        <v>54</v>
      </c>
      <c r="M66" s="81"/>
    </row>
    <row r="67" spans="1:13" x14ac:dyDescent="0.25">
      <c r="A67" s="82" t="s">
        <v>72</v>
      </c>
      <c r="B67" s="71" t="s">
        <v>56</v>
      </c>
      <c r="C67" s="57" t="s">
        <v>57</v>
      </c>
      <c r="D67" s="57" t="s">
        <v>58</v>
      </c>
      <c r="E67" s="57" t="s">
        <v>59</v>
      </c>
      <c r="F67" s="57" t="s">
        <v>49</v>
      </c>
      <c r="G67" s="80"/>
      <c r="H67" s="57" t="s">
        <v>57</v>
      </c>
      <c r="I67" s="57" t="s">
        <v>58</v>
      </c>
      <c r="J67" s="57" t="s">
        <v>59</v>
      </c>
      <c r="K67" s="57" t="s">
        <v>49</v>
      </c>
      <c r="L67" s="76" t="s">
        <v>60</v>
      </c>
      <c r="M67" s="91" t="s">
        <v>61</v>
      </c>
    </row>
    <row r="68" spans="1:13" s="5" customFormat="1" x14ac:dyDescent="0.25">
      <c r="A68" s="88" t="s">
        <v>73</v>
      </c>
      <c r="B68" s="77">
        <v>14</v>
      </c>
      <c r="C68" s="6">
        <v>582.11</v>
      </c>
      <c r="D68" s="6">
        <v>110.39855812499999</v>
      </c>
      <c r="E68" s="6">
        <v>1769.4669249999999</v>
      </c>
      <c r="F68" s="6">
        <v>2461.9754831250002</v>
      </c>
      <c r="H68" s="6">
        <v>582.11</v>
      </c>
      <c r="I68" s="6">
        <v>110.39855812499999</v>
      </c>
      <c r="J68" s="6">
        <v>1769.4669249999999</v>
      </c>
      <c r="K68" s="6">
        <v>2461.9754831250002</v>
      </c>
      <c r="L68" s="15">
        <v>34467.656763750005</v>
      </c>
      <c r="M68" s="6">
        <v>33588.008721111997</v>
      </c>
    </row>
    <row r="69" spans="1:13" s="5" customFormat="1" x14ac:dyDescent="0.25">
      <c r="B69" s="77">
        <v>13</v>
      </c>
      <c r="C69" s="6">
        <v>582.11</v>
      </c>
      <c r="D69" s="6">
        <v>110.39855812499999</v>
      </c>
      <c r="E69" s="6">
        <v>1535.8563499999998</v>
      </c>
      <c r="F69" s="6">
        <v>2228.3649081249996</v>
      </c>
      <c r="H69" s="6">
        <v>582.11</v>
      </c>
      <c r="I69" s="6">
        <v>110.39855812499999</v>
      </c>
      <c r="J69" s="6">
        <v>1535.8563499999998</v>
      </c>
      <c r="K69" s="6">
        <v>2228.3649081249996</v>
      </c>
      <c r="L69" s="15">
        <v>31197.108713749996</v>
      </c>
      <c r="M69" s="6">
        <v>30401.955636163002</v>
      </c>
    </row>
    <row r="70" spans="1:13" s="5" customFormat="1" x14ac:dyDescent="0.25">
      <c r="B70" s="77">
        <v>12</v>
      </c>
      <c r="C70" s="6">
        <v>582.11</v>
      </c>
      <c r="D70" s="6">
        <v>110.39855812499999</v>
      </c>
      <c r="E70" s="6">
        <v>1336.8778500000001</v>
      </c>
      <c r="F70" s="6">
        <v>2029.3864081250001</v>
      </c>
      <c r="H70" s="6">
        <v>582.11</v>
      </c>
      <c r="I70" s="6">
        <v>110.39855812499999</v>
      </c>
      <c r="J70" s="6">
        <v>1336.8778500000001</v>
      </c>
      <c r="K70" s="6">
        <v>2029.3864081250001</v>
      </c>
      <c r="L70" s="15">
        <v>28411.409713749999</v>
      </c>
      <c r="M70" s="6">
        <v>27688.261839349001</v>
      </c>
    </row>
    <row r="71" spans="1:13" s="5" customFormat="1" x14ac:dyDescent="0.25">
      <c r="B71" s="83">
        <v>11</v>
      </c>
      <c r="C71" s="7">
        <v>582.11</v>
      </c>
      <c r="D71" s="7">
        <v>110.39855812499999</v>
      </c>
      <c r="E71" s="7">
        <v>1331.4688249999999</v>
      </c>
      <c r="F71" s="7">
        <v>2023.977383125</v>
      </c>
      <c r="G71" s="13"/>
      <c r="H71" s="7">
        <v>582.11</v>
      </c>
      <c r="I71" s="7">
        <v>110.39855812499999</v>
      </c>
      <c r="J71" s="7">
        <v>1331.4688249999999</v>
      </c>
      <c r="K71" s="7">
        <v>2023.977383125</v>
      </c>
      <c r="L71" s="16">
        <v>28335.683363749995</v>
      </c>
      <c r="M71" s="6">
        <v>27614.279511250999</v>
      </c>
    </row>
    <row r="72" spans="1:13" s="5" customFormat="1" x14ac:dyDescent="0.25">
      <c r="B72" s="77">
        <v>10</v>
      </c>
      <c r="C72" s="6">
        <v>582.11</v>
      </c>
      <c r="D72" s="6">
        <v>110.4</v>
      </c>
      <c r="E72" s="6">
        <v>1081.2630750000001</v>
      </c>
      <c r="F72" s="6">
        <v>1773.7730750000001</v>
      </c>
      <c r="H72" s="6">
        <v>582.11</v>
      </c>
      <c r="I72" s="6">
        <v>110.4</v>
      </c>
      <c r="J72" s="6">
        <v>1081.2630750000001</v>
      </c>
      <c r="K72" s="6">
        <v>1773.7730750000001</v>
      </c>
      <c r="L72" s="15">
        <v>24832.823050000003</v>
      </c>
      <c r="M72" s="6">
        <v>24201.879006135994</v>
      </c>
    </row>
    <row r="73" spans="1:13" s="5" customFormat="1" x14ac:dyDescent="0.25">
      <c r="B73" s="46"/>
    </row>
    <row r="74" spans="1:13" x14ac:dyDescent="0.25">
      <c r="C74" s="259" t="s">
        <v>75</v>
      </c>
      <c r="D74" s="259"/>
      <c r="F74" s="92" t="s">
        <v>76</v>
      </c>
      <c r="G74" s="93"/>
      <c r="H74" s="93"/>
    </row>
    <row r="75" spans="1:13" x14ac:dyDescent="0.25">
      <c r="C75" s="94" t="s">
        <v>77</v>
      </c>
      <c r="D75" s="94" t="s">
        <v>78</v>
      </c>
    </row>
    <row r="76" spans="1:13" x14ac:dyDescent="0.25">
      <c r="B76" s="95" t="s">
        <v>26</v>
      </c>
      <c r="C76" s="94" t="s">
        <v>79</v>
      </c>
      <c r="D76" s="94" t="s">
        <v>80</v>
      </c>
      <c r="F76" s="96" t="s">
        <v>32</v>
      </c>
      <c r="G76" s="96"/>
      <c r="H76" s="96"/>
      <c r="I76" s="97"/>
      <c r="J76" s="97">
        <v>522.03</v>
      </c>
      <c r="K76" s="97"/>
    </row>
    <row r="77" spans="1:13" x14ac:dyDescent="0.25">
      <c r="B77" s="46" t="s">
        <v>30</v>
      </c>
      <c r="C77">
        <v>45.29</v>
      </c>
      <c r="D77">
        <v>27.95</v>
      </c>
      <c r="F77" s="96" t="s">
        <v>33</v>
      </c>
      <c r="G77" s="96"/>
      <c r="H77" s="96"/>
      <c r="I77" s="97"/>
      <c r="J77" s="97">
        <v>1635.55</v>
      </c>
      <c r="K77" s="97"/>
    </row>
    <row r="78" spans="1:13" x14ac:dyDescent="0.25">
      <c r="B78" s="46" t="s">
        <v>31</v>
      </c>
      <c r="C78">
        <v>36.93</v>
      </c>
      <c r="D78">
        <v>26.93</v>
      </c>
      <c r="F78" s="98"/>
      <c r="G78" s="98"/>
      <c r="H78" s="98"/>
      <c r="I78" s="99"/>
      <c r="J78" s="99"/>
      <c r="K78" s="99"/>
    </row>
    <row r="79" spans="1:13" x14ac:dyDescent="0.25">
      <c r="B79" s="46" t="s">
        <v>19</v>
      </c>
      <c r="C79">
        <v>27.95</v>
      </c>
      <c r="D79" s="100">
        <v>24.14</v>
      </c>
      <c r="F79" s="101" t="s">
        <v>81</v>
      </c>
      <c r="G79" s="102"/>
      <c r="H79" s="102"/>
      <c r="I79" s="99"/>
      <c r="J79" s="99" t="s">
        <v>35</v>
      </c>
      <c r="K79" s="99" t="s">
        <v>36</v>
      </c>
    </row>
    <row r="80" spans="1:13" x14ac:dyDescent="0.25">
      <c r="B80" s="46" t="s">
        <v>20</v>
      </c>
      <c r="C80" s="100">
        <v>19.02</v>
      </c>
      <c r="D80">
        <v>18.84</v>
      </c>
      <c r="F80" s="96" t="s">
        <v>82</v>
      </c>
      <c r="G80" s="96"/>
      <c r="H80" s="96"/>
      <c r="I80" s="103">
        <v>0.25569999999999998</v>
      </c>
      <c r="J80" s="97">
        <v>0.19</v>
      </c>
      <c r="K80" s="103">
        <v>6.2199999999999998E-2</v>
      </c>
    </row>
    <row r="81" spans="2:11" x14ac:dyDescent="0.25">
      <c r="B81" s="46" t="s">
        <v>83</v>
      </c>
      <c r="C81" s="100">
        <v>14.32</v>
      </c>
      <c r="D81" s="100">
        <v>14.32</v>
      </c>
      <c r="F81" s="96" t="s">
        <v>39</v>
      </c>
      <c r="G81" s="96"/>
      <c r="H81" s="96"/>
      <c r="I81" s="112">
        <v>9.1259999999999994</v>
      </c>
      <c r="J81" s="112">
        <v>0</v>
      </c>
      <c r="K81" s="112">
        <v>9.1259999999999994</v>
      </c>
    </row>
    <row r="82" spans="2:11" x14ac:dyDescent="0.25">
      <c r="F82" s="96" t="s">
        <v>84</v>
      </c>
      <c r="G82" s="96"/>
      <c r="H82" s="96"/>
      <c r="I82" s="97">
        <v>184.16300000000001</v>
      </c>
      <c r="J82" s="97"/>
      <c r="K82" s="97"/>
    </row>
    <row r="83" spans="2:11" x14ac:dyDescent="0.25">
      <c r="I83" s="5"/>
      <c r="J83" s="5"/>
      <c r="K83" s="5"/>
    </row>
    <row r="84" spans="2:11" x14ac:dyDescent="0.25">
      <c r="I84" s="5"/>
      <c r="J84" s="5"/>
      <c r="K84" s="5"/>
    </row>
    <row r="85" spans="2:11" x14ac:dyDescent="0.25">
      <c r="I85" s="5"/>
      <c r="J85" s="5"/>
      <c r="K85" s="5"/>
    </row>
  </sheetData>
  <mergeCells count="4">
    <mergeCell ref="A4:G4"/>
    <mergeCell ref="C74:D74"/>
    <mergeCell ref="D1:J1"/>
    <mergeCell ref="D2:J2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topLeftCell="A20" zoomScaleNormal="100" workbookViewId="0">
      <selection activeCell="F34" sqref="F34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1" spans="1:24" ht="21" x14ac:dyDescent="0.35">
      <c r="A1" s="249" t="s">
        <v>87</v>
      </c>
      <c r="B1" s="249"/>
      <c r="C1" s="249"/>
      <c r="D1" s="249"/>
      <c r="E1" s="249"/>
      <c r="F1" s="249"/>
      <c r="G1" s="249"/>
      <c r="H1" s="249"/>
      <c r="I1" s="249"/>
      <c r="J1" s="249"/>
      <c r="R1" s="125"/>
      <c r="S1" s="125"/>
      <c r="T1" s="125"/>
      <c r="U1" s="125"/>
      <c r="V1" s="125"/>
      <c r="W1" s="125"/>
      <c r="X1" s="125"/>
    </row>
    <row r="2" spans="1:24" x14ac:dyDescent="0.25">
      <c r="A2" s="1" t="s">
        <v>88</v>
      </c>
      <c r="R2" s="125"/>
      <c r="S2" s="125"/>
      <c r="T2" s="125"/>
      <c r="U2" s="125"/>
      <c r="V2" s="125"/>
      <c r="W2" s="125"/>
      <c r="X2" s="125"/>
    </row>
    <row r="3" spans="1:24" x14ac:dyDescent="0.25">
      <c r="A3" s="1" t="s">
        <v>91</v>
      </c>
    </row>
    <row r="4" spans="1:24" x14ac:dyDescent="0.25">
      <c r="A4" s="1" t="s">
        <v>86</v>
      </c>
      <c r="R4" s="140"/>
      <c r="S4" s="140"/>
      <c r="T4" s="140"/>
      <c r="U4" s="140"/>
      <c r="V4" s="140"/>
      <c r="W4" s="140"/>
      <c r="X4" s="140"/>
    </row>
    <row r="5" spans="1:24" x14ac:dyDescent="0.25">
      <c r="A5" s="1"/>
      <c r="R5" s="140"/>
      <c r="S5" s="140"/>
      <c r="T5" s="140"/>
      <c r="U5" s="140"/>
      <c r="V5" s="140"/>
      <c r="W5" s="140"/>
      <c r="X5" s="140"/>
    </row>
    <row r="6" spans="1:24" x14ac:dyDescent="0.25">
      <c r="R6" s="260"/>
      <c r="S6" s="260"/>
      <c r="T6" s="260"/>
      <c r="U6" s="260"/>
      <c r="V6" s="260"/>
      <c r="W6" s="260"/>
      <c r="X6" s="260"/>
    </row>
    <row r="7" spans="1:24" x14ac:dyDescent="0.25">
      <c r="A7" s="1" t="s">
        <v>2</v>
      </c>
      <c r="R7" s="125"/>
      <c r="S7" s="125"/>
      <c r="T7" s="125"/>
      <c r="U7" s="125"/>
      <c r="V7" s="125"/>
      <c r="W7" s="125"/>
      <c r="X7" s="125"/>
    </row>
    <row r="8" spans="1:24" x14ac:dyDescent="0.25">
      <c r="B8">
        <v>30</v>
      </c>
      <c r="C8">
        <v>29</v>
      </c>
      <c r="D8">
        <v>28</v>
      </c>
      <c r="E8">
        <v>27</v>
      </c>
      <c r="F8" s="2">
        <v>26</v>
      </c>
      <c r="G8">
        <v>25</v>
      </c>
      <c r="H8">
        <v>24</v>
      </c>
      <c r="I8">
        <v>23</v>
      </c>
      <c r="J8">
        <v>22</v>
      </c>
      <c r="K8">
        <v>21</v>
      </c>
      <c r="L8" s="2">
        <v>20</v>
      </c>
      <c r="M8" s="3" t="s">
        <v>3</v>
      </c>
      <c r="N8" s="3" t="s">
        <v>4</v>
      </c>
      <c r="O8" s="4" t="s">
        <v>5</v>
      </c>
      <c r="R8" s="125"/>
      <c r="S8" s="125"/>
      <c r="T8" s="125"/>
      <c r="U8" s="125"/>
      <c r="V8" s="125"/>
      <c r="W8" s="125"/>
      <c r="X8" s="125"/>
    </row>
    <row r="9" spans="1:24" s="5" customFormat="1" x14ac:dyDescent="0.25">
      <c r="B9" s="6"/>
      <c r="C9" s="6"/>
      <c r="D9" s="6"/>
      <c r="E9" s="6"/>
      <c r="F9" s="7"/>
      <c r="G9" s="6"/>
      <c r="H9" s="6"/>
      <c r="I9" s="6"/>
      <c r="J9" s="6"/>
      <c r="K9" s="6"/>
      <c r="L9" s="7"/>
      <c r="M9" s="6"/>
      <c r="N9" s="6"/>
      <c r="O9" s="8"/>
    </row>
    <row r="10" spans="1:24" s="5" customFormat="1" x14ac:dyDescent="0.25">
      <c r="A10" s="9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1"/>
      <c r="M10" s="10"/>
      <c r="N10" s="10"/>
      <c r="O10" s="12"/>
    </row>
    <row r="11" spans="1:24" s="5" customFormat="1" x14ac:dyDescent="0.25">
      <c r="F11" s="13"/>
      <c r="L11" s="13"/>
      <c r="O11" s="14"/>
    </row>
    <row r="12" spans="1:24" s="5" customFormat="1" x14ac:dyDescent="0.25">
      <c r="A12" s="6" t="s">
        <v>6</v>
      </c>
      <c r="B12" s="6">
        <v>1179.96</v>
      </c>
      <c r="C12" s="6">
        <v>1179.96</v>
      </c>
      <c r="D12" s="6">
        <v>1179.96</v>
      </c>
      <c r="E12" s="6">
        <v>1179.96</v>
      </c>
      <c r="F12" s="7">
        <v>1179.96</v>
      </c>
      <c r="G12" s="6">
        <v>1179.96</v>
      </c>
      <c r="H12" s="6">
        <v>1179.96</v>
      </c>
      <c r="I12" s="6">
        <v>1179.96</v>
      </c>
      <c r="J12" s="6">
        <v>1179.96</v>
      </c>
      <c r="K12" s="6">
        <v>1179.96</v>
      </c>
      <c r="L12" s="7">
        <v>1179.96</v>
      </c>
      <c r="M12" s="6">
        <v>1179.96</v>
      </c>
      <c r="N12" s="6">
        <v>1179.96</v>
      </c>
      <c r="O12" s="6">
        <v>1179.96</v>
      </c>
    </row>
    <row r="13" spans="1:24" s="5" customFormat="1" x14ac:dyDescent="0.25">
      <c r="A13" s="6" t="s">
        <v>7</v>
      </c>
      <c r="B13" s="6">
        <v>1030.69</v>
      </c>
      <c r="C13" s="6">
        <v>924.48</v>
      </c>
      <c r="D13" s="6">
        <v>885.63</v>
      </c>
      <c r="E13" s="6">
        <v>846.72</v>
      </c>
      <c r="F13" s="7">
        <v>742.86</v>
      </c>
      <c r="G13" s="6">
        <v>659.07</v>
      </c>
      <c r="H13" s="6">
        <v>620.19000000000005</v>
      </c>
      <c r="I13" s="6">
        <v>581.36</v>
      </c>
      <c r="J13" s="6">
        <v>542.45000000000005</v>
      </c>
      <c r="K13" s="6">
        <v>503.63</v>
      </c>
      <c r="L13" s="7">
        <v>467.83</v>
      </c>
      <c r="M13" s="6">
        <v>467.83</v>
      </c>
      <c r="N13" s="6">
        <v>467.83</v>
      </c>
      <c r="O13" s="6">
        <v>467.83</v>
      </c>
    </row>
    <row r="14" spans="1:24" s="5" customFormat="1" x14ac:dyDescent="0.25">
      <c r="A14" s="6" t="s">
        <v>8</v>
      </c>
      <c r="B14" s="6">
        <f>ROUND(('abril mensual funcionaris'!B12*0.24467%)+('abril mensual funcionaris'!B12),2)</f>
        <v>2468.4699999999998</v>
      </c>
      <c r="C14" s="6">
        <f>ROUND(('abril mensual funcionaris'!C12*0.24467%)+('abril mensual funcionaris'!C12),2)</f>
        <v>2330.88</v>
      </c>
      <c r="D14" s="6">
        <f>ROUND(('abril mensual funcionaris'!D12*0.24467%)+('abril mensual funcionaris'!D12),2)</f>
        <v>2142.8000000000002</v>
      </c>
      <c r="E14" s="6">
        <f>ROUND(('abril mensual funcionaris'!E12*0.24467%)+('abril mensual funcionaris'!E12),2)</f>
        <v>1733.14</v>
      </c>
      <c r="F14" s="7">
        <f>ROUND(('abril mensual funcionaris'!F12*0.24467%)+('abril mensual funcionaris'!F12),2)</f>
        <v>1516.03</v>
      </c>
      <c r="G14" s="6">
        <f>ROUND(('abril mensual funcionaris'!G12*0.24467%)+('abril mensual funcionaris'!G12),2)</f>
        <v>1511.6</v>
      </c>
      <c r="H14" s="6">
        <f>ROUND(('abril mensual funcionaris'!H12*0.24467%)+('abril mensual funcionaris'!H12),2)</f>
        <v>1473.5</v>
      </c>
      <c r="I14" s="6">
        <f>ROUND(('abril mensual funcionaris'!I12*0.24467%)+('abril mensual funcionaris'!I12),2)</f>
        <v>1447.52</v>
      </c>
      <c r="J14" s="6">
        <f>ROUND(('abril mensual funcionaris'!J12*0.24467%)+('abril mensual funcionaris'!J12),2)</f>
        <v>1421.56</v>
      </c>
      <c r="K14" s="6">
        <f>ROUND(('abril mensual funcionaris'!K12*0.24467%)+('abril mensual funcionaris'!K12),2)</f>
        <v>1312.36</v>
      </c>
      <c r="L14" s="7">
        <f>ROUND(('abril mensual funcionaris'!L12*0.24467%)+('abril mensual funcionaris'!L12),2)</f>
        <v>1200.94</v>
      </c>
      <c r="M14" s="6">
        <f>ROUND(('abril mensual funcionaris'!M12*0.24467%)+('abril mensual funcionaris'!M12),2)</f>
        <v>1002.84</v>
      </c>
      <c r="N14" s="6">
        <f>ROUND(('abril mensual funcionaris'!N12*0.24467%)+('abril mensual funcionaris'!N12),2)</f>
        <v>792.9</v>
      </c>
      <c r="O14" s="6">
        <f>ROUND(('abril mensual funcionaris'!O12*0.24467%)+('abril mensual funcionaris'!O12),2)</f>
        <v>561.92999999999995</v>
      </c>
    </row>
    <row r="15" spans="1:24" s="5" customFormat="1" x14ac:dyDescent="0.25">
      <c r="A15" s="6" t="s">
        <v>9</v>
      </c>
      <c r="B15" s="6">
        <f>ROUND(('abril mensual funcionaris'!B13*0.24467%)+('abril mensual funcionaris'!B13),2)</f>
        <v>384.55</v>
      </c>
      <c r="C15" s="6">
        <f>ROUND(('abril mensual funcionaris'!C13*0.24467%)+('abril mensual funcionaris'!C13),2)</f>
        <v>364.23</v>
      </c>
      <c r="D15" s="6">
        <f>ROUND(('abril mensual funcionaris'!D13*0.24467%)+('abril mensual funcionaris'!D13),2)</f>
        <v>345.32</v>
      </c>
      <c r="E15" s="6">
        <f>ROUND(('abril mensual funcionaris'!E13*0.24467%)+('abril mensual funcionaris'!E13),2)</f>
        <v>307.94</v>
      </c>
      <c r="F15" s="7">
        <f>ROUND(('abril mensual funcionaris'!F13*0.24467%)+('abril mensual funcionaris'!F13),2)</f>
        <v>281.18</v>
      </c>
      <c r="G15" s="6">
        <f>ROUND(('abril mensual funcionaris'!G13*0.24467%)+('abril mensual funcionaris'!G13),2)</f>
        <v>273.83999999999997</v>
      </c>
      <c r="H15" s="6">
        <f>ROUND(('abril mensual funcionaris'!H13*0.24467%)+('abril mensual funcionaris'!H13),2)</f>
        <v>267.42</v>
      </c>
      <c r="I15" s="6">
        <f>ROUND(('abril mensual funcionaris'!I13*0.24467%)+('abril mensual funcionaris'!I13),2)</f>
        <v>262.02</v>
      </c>
      <c r="J15" s="6">
        <f>ROUND(('abril mensual funcionaris'!J13*0.24467%)+('abril mensual funcionaris'!J13),2)</f>
        <v>256.62</v>
      </c>
      <c r="K15" s="6">
        <f>ROUND(('abril mensual funcionaris'!K13*0.24467%)+('abril mensual funcionaris'!K13),2)</f>
        <v>244.28</v>
      </c>
      <c r="L15" s="7">
        <f>ROUND(('abril mensual funcionaris'!L13*0.24467%)+('abril mensual funcionaris'!L13),2)</f>
        <v>232.01</v>
      </c>
      <c r="M15" s="6">
        <f>ROUND(('abril mensual funcionaris'!M13*0.24467%)+('abril mensual funcionaris'!M13),2)</f>
        <v>215.51</v>
      </c>
      <c r="N15" s="6">
        <f>ROUND(('abril mensual funcionaris'!N13*0.24467%)+('abril mensual funcionaris'!N13),2)</f>
        <v>198.01</v>
      </c>
      <c r="O15" s="6">
        <f>ROUND(('abril mensual funcionaris'!O13*0.24467%)+('abril mensual funcionaris'!O13),2)</f>
        <v>178.76</v>
      </c>
    </row>
    <row r="16" spans="1:24" s="5" customFormat="1" x14ac:dyDescent="0.25">
      <c r="A16" s="6" t="s">
        <v>10</v>
      </c>
      <c r="B16" s="6">
        <f>ROUND(('abril mensual funcionaris'!B14*0.24467%)+('abril mensual funcionaris'!B14),2)</f>
        <v>438.28</v>
      </c>
      <c r="C16" s="6">
        <f>ROUND(('abril mensual funcionaris'!C14*0.24467%)+('abril mensual funcionaris'!C14),2)</f>
        <v>412.73</v>
      </c>
      <c r="D16" s="6">
        <f>ROUND(('abril mensual funcionaris'!D14*0.24467%)+('abril mensual funcionaris'!D14),2)</f>
        <v>368.95</v>
      </c>
      <c r="E16" s="6">
        <f>ROUND(('abril mensual funcionaris'!E14*0.24467%)+('abril mensual funcionaris'!E14),2)</f>
        <v>269.77</v>
      </c>
      <c r="F16" s="7">
        <f>ROUND(('abril mensual funcionaris'!F14*0.24467%)+('abril mensual funcionaris'!F14),2)</f>
        <v>224.16</v>
      </c>
      <c r="G16" s="6">
        <f>ROUND(('abril mensual funcionaris'!G14*0.24467%)+('abril mensual funcionaris'!G14),2)</f>
        <v>230.02</v>
      </c>
      <c r="H16" s="6">
        <f>ROUND(('abril mensual funcionaris'!H14*0.24467%)+('abril mensual funcionaris'!H14),2)</f>
        <v>223.75</v>
      </c>
      <c r="I16" s="6">
        <f>ROUND(('abril mensual funcionaris'!I14*0.24467%)+('abril mensual funcionaris'!I14),2)</f>
        <v>220.48</v>
      </c>
      <c r="J16" s="6">
        <f>ROUND(('abril mensual funcionaris'!J14*0.24467%)+('abril mensual funcionaris'!J14),2)</f>
        <v>217.24</v>
      </c>
      <c r="K16" s="6">
        <f>ROUND(('abril mensual funcionaris'!K14*0.24467%)+('abril mensual funcionaris'!K14),2)</f>
        <v>193.17</v>
      </c>
      <c r="L16" s="7">
        <f>ROUND(('abril mensual funcionaris'!L14*0.24467%)+('abril mensual funcionaris'!L14),2)</f>
        <v>168.31</v>
      </c>
      <c r="M16" s="6">
        <f>ROUND(('abril mensual funcionaris'!M14*0.24467%)+('abril mensual funcionaris'!M14),2)</f>
        <v>118.78</v>
      </c>
      <c r="N16" s="6">
        <f>ROUND(('abril mensual funcionaris'!N14*0.24467%)+('abril mensual funcionaris'!N14),2)</f>
        <v>66.290000000000006</v>
      </c>
      <c r="O16" s="6">
        <f>ROUND(('abril mensual funcionaris'!O14*0.24467%)+('abril mensual funcionaris'!O14),2)</f>
        <v>8.5399999999999991</v>
      </c>
    </row>
    <row r="17" spans="1:17" s="5" customFormat="1" x14ac:dyDescent="0.25">
      <c r="B17" s="104"/>
      <c r="C17" s="104"/>
      <c r="D17" s="104"/>
      <c r="E17" s="104"/>
      <c r="F17" s="7"/>
      <c r="G17" s="104"/>
      <c r="H17" s="104"/>
      <c r="I17" s="104"/>
      <c r="J17" s="104"/>
      <c r="K17" s="104"/>
      <c r="L17" s="7"/>
      <c r="M17" s="104"/>
      <c r="N17" s="104"/>
      <c r="O17" s="104"/>
    </row>
    <row r="18" spans="1:17" s="5" customFormat="1" x14ac:dyDescent="0.25">
      <c r="A18" s="6" t="s">
        <v>11</v>
      </c>
      <c r="B18" s="6">
        <f>ROUND(('abril mensual funcionaris'!B16*0.24467%)+('abril mensual funcionaris'!B16),2)</f>
        <v>356.11</v>
      </c>
      <c r="C18" s="6">
        <f>ROUND(('abril mensual funcionaris'!C16*0.24467%)+('abril mensual funcionaris'!C16),2)</f>
        <v>356.11</v>
      </c>
      <c r="D18" s="6">
        <f>ROUND(('abril mensual funcionaris'!D16*0.24467%)+('abril mensual funcionaris'!D16),2)</f>
        <v>265.81</v>
      </c>
      <c r="E18" s="6">
        <f>ROUND(('abril mensual funcionaris'!E16*0.24467%)+('abril mensual funcionaris'!E16),2)</f>
        <v>245.01</v>
      </c>
      <c r="F18" s="7">
        <f>ROUND(('abril mensual funcionaris'!F16*0.24467%)+('abril mensual funcionaris'!F16),2)</f>
        <v>225.83</v>
      </c>
      <c r="G18" s="6">
        <f>ROUND(('abril mensual funcionaris'!G16*0.24467%)+('abril mensual funcionaris'!G16),2)</f>
        <v>227.56</v>
      </c>
      <c r="H18" s="6">
        <f>ROUND(('abril mensual funcionaris'!H16*0.24467%)+('abril mensual funcionaris'!H16),2)</f>
        <v>224.33</v>
      </c>
      <c r="I18" s="6">
        <f>ROUND(('abril mensual funcionaris'!I16*0.24467%)+('abril mensual funcionaris'!I16),2)</f>
        <v>220.11</v>
      </c>
      <c r="J18" s="6">
        <f>ROUND(('abril mensual funcionaris'!J16*0.24467%)+('abril mensual funcionaris'!J16),2)</f>
        <v>219</v>
      </c>
      <c r="K18" s="6">
        <f>ROUND(('abril mensual funcionaris'!K16*0.24467%)+('abril mensual funcionaris'!K16),2)</f>
        <v>207.72</v>
      </c>
      <c r="L18" s="7">
        <f>ROUND(('abril mensual funcionaris'!L16*0.24467%)+('abril mensual funcionaris'!L16),2)</f>
        <v>201.55</v>
      </c>
      <c r="M18" s="6">
        <f>ROUND(('abril mensual funcionaris'!M16*0.24467%)+('abril mensual funcionaris'!M16),2)</f>
        <v>247.06</v>
      </c>
      <c r="N18" s="6">
        <f>ROUND(('abril mensual funcionaris'!N16*0.24467%)+('abril mensual funcionaris'!N16),2)</f>
        <v>231.3</v>
      </c>
      <c r="O18" s="6">
        <f>ROUND(('abril mensual funcionaris'!O16*0.24467%)+('abril mensual funcionaris'!O16),2)</f>
        <v>213.97</v>
      </c>
    </row>
    <row r="19" spans="1:17" s="5" customFormat="1" x14ac:dyDescent="0.25">
      <c r="A19" s="6"/>
      <c r="B19" s="15">
        <f>SUM(B12:B18)</f>
        <v>5858.0599999999995</v>
      </c>
      <c r="C19" s="15">
        <f t="shared" ref="C19:O19" si="0">SUM(C12:C18)</f>
        <v>5568.3899999999985</v>
      </c>
      <c r="D19" s="15">
        <f t="shared" si="0"/>
        <v>5188.47</v>
      </c>
      <c r="E19" s="15">
        <f t="shared" si="0"/>
        <v>4582.5400000000009</v>
      </c>
      <c r="F19" s="16">
        <f t="shared" si="0"/>
        <v>4170.0200000000004</v>
      </c>
      <c r="G19" s="15">
        <f t="shared" si="0"/>
        <v>4082.05</v>
      </c>
      <c r="H19" s="15">
        <f t="shared" si="0"/>
        <v>3989.15</v>
      </c>
      <c r="I19" s="15">
        <f t="shared" si="0"/>
        <v>3911.4500000000003</v>
      </c>
      <c r="J19" s="15">
        <f t="shared" si="0"/>
        <v>3836.83</v>
      </c>
      <c r="K19" s="15">
        <f t="shared" si="0"/>
        <v>3641.12</v>
      </c>
      <c r="L19" s="16">
        <f t="shared" si="0"/>
        <v>3450.6</v>
      </c>
      <c r="M19" s="15">
        <f t="shared" si="0"/>
        <v>3231.9800000000005</v>
      </c>
      <c r="N19" s="15">
        <f t="shared" si="0"/>
        <v>2936.29</v>
      </c>
      <c r="O19" s="15">
        <f t="shared" si="0"/>
        <v>2610.9899999999993</v>
      </c>
    </row>
    <row r="20" spans="1:17" x14ac:dyDescent="0.25">
      <c r="B20" s="5"/>
    </row>
    <row r="21" spans="1:17" x14ac:dyDescent="0.25">
      <c r="A21" s="1" t="s">
        <v>12</v>
      </c>
    </row>
    <row r="22" spans="1:17" x14ac:dyDescent="0.25">
      <c r="E22" s="18" t="s">
        <v>13</v>
      </c>
      <c r="F22" s="3" t="s">
        <v>14</v>
      </c>
      <c r="G22" s="3">
        <v>25</v>
      </c>
      <c r="H22" s="3">
        <v>24</v>
      </c>
      <c r="I22" s="3">
        <v>23</v>
      </c>
      <c r="J22" s="3">
        <v>22</v>
      </c>
      <c r="K22" s="18">
        <v>21</v>
      </c>
      <c r="L22" s="18">
        <v>20</v>
      </c>
      <c r="M22" s="3">
        <v>19</v>
      </c>
      <c r="N22" s="18">
        <v>18</v>
      </c>
      <c r="O22" s="3">
        <v>17</v>
      </c>
      <c r="P22" s="18">
        <v>16</v>
      </c>
      <c r="Q22" s="3" t="s">
        <v>15</v>
      </c>
    </row>
    <row r="23" spans="1:17" x14ac:dyDescent="0.25">
      <c r="E23" s="20"/>
      <c r="F23" s="19"/>
      <c r="G23" s="19"/>
      <c r="H23" s="19"/>
      <c r="I23" s="19"/>
      <c r="J23" s="19"/>
      <c r="K23" s="20"/>
      <c r="L23" s="20"/>
      <c r="M23" s="19"/>
      <c r="N23" s="20"/>
      <c r="O23" s="19"/>
      <c r="P23" s="20"/>
      <c r="Q23" s="19"/>
    </row>
    <row r="24" spans="1:17" s="5" customFormat="1" x14ac:dyDescent="0.25">
      <c r="D24" s="9"/>
      <c r="E24" s="11"/>
      <c r="F24" s="10"/>
      <c r="G24" s="10"/>
      <c r="H24" s="10"/>
      <c r="I24" s="10"/>
      <c r="J24" s="10"/>
      <c r="K24" s="11"/>
      <c r="L24" s="11"/>
      <c r="M24" s="10"/>
      <c r="N24" s="11"/>
      <c r="O24" s="10"/>
      <c r="P24" s="11"/>
      <c r="Q24" s="10"/>
    </row>
    <row r="25" spans="1:17" s="5" customFormat="1" x14ac:dyDescent="0.25">
      <c r="E25" s="13"/>
      <c r="K25" s="13"/>
      <c r="L25" s="13"/>
      <c r="N25" s="13"/>
      <c r="P25" s="13"/>
    </row>
    <row r="26" spans="1:17" s="5" customFormat="1" x14ac:dyDescent="0.25">
      <c r="D26" s="6" t="s">
        <v>6</v>
      </c>
      <c r="E26" s="7">
        <v>1020.28</v>
      </c>
      <c r="F26" s="104">
        <v>1020.28</v>
      </c>
      <c r="G26" s="104">
        <v>1020.28</v>
      </c>
      <c r="H26" s="104">
        <v>1020.28</v>
      </c>
      <c r="I26" s="104">
        <v>1020.28</v>
      </c>
      <c r="J26" s="104">
        <v>1020.28</v>
      </c>
      <c r="K26" s="7">
        <v>1020.28</v>
      </c>
      <c r="L26" s="7">
        <v>1020.28</v>
      </c>
      <c r="M26" s="104">
        <v>1020.28</v>
      </c>
      <c r="N26" s="7">
        <v>1020.28</v>
      </c>
      <c r="O26" s="104">
        <v>1020.28</v>
      </c>
      <c r="P26" s="7">
        <v>1020.28</v>
      </c>
      <c r="Q26" s="104">
        <v>1020.28</v>
      </c>
    </row>
    <row r="27" spans="1:17" s="5" customFormat="1" x14ac:dyDescent="0.25">
      <c r="D27" s="6" t="s">
        <v>7</v>
      </c>
      <c r="E27" s="7">
        <v>742.86</v>
      </c>
      <c r="F27" s="6">
        <v>742.86</v>
      </c>
      <c r="G27" s="6">
        <v>659.07</v>
      </c>
      <c r="H27" s="6">
        <v>620.19000000000005</v>
      </c>
      <c r="I27" s="6">
        <v>581.36</v>
      </c>
      <c r="J27" s="6">
        <v>542.45000000000005</v>
      </c>
      <c r="K27" s="7">
        <v>503.63</v>
      </c>
      <c r="L27" s="7">
        <v>467.83</v>
      </c>
      <c r="M27" s="6">
        <v>443.95</v>
      </c>
      <c r="N27" s="7">
        <v>420.05</v>
      </c>
      <c r="O27" s="104">
        <v>396.15</v>
      </c>
      <c r="P27" s="7">
        <v>372.32</v>
      </c>
      <c r="Q27" s="6">
        <v>371.41</v>
      </c>
    </row>
    <row r="28" spans="1:17" s="5" customFormat="1" x14ac:dyDescent="0.25">
      <c r="D28" s="6" t="s">
        <v>8</v>
      </c>
      <c r="E28" s="7">
        <f>ROUND(('abril mensual funcionaris'!E26*0.24467%)+('abril mensual funcionaris'!E26),2)</f>
        <v>1553.62</v>
      </c>
      <c r="F28" s="104">
        <f>ROUND(('abril mensual funcionaris'!F26*0.24467%)+('abril mensual funcionaris'!F26),2)</f>
        <v>1300.55</v>
      </c>
      <c r="G28" s="104">
        <f>ROUND(('abril mensual funcionaris'!G26*0.24467%)+('abril mensual funcionaris'!G26),2)</f>
        <v>1228.49</v>
      </c>
      <c r="H28" s="104">
        <f>ROUND(('abril mensual funcionaris'!H26*0.24467%)+('abril mensual funcionaris'!H26),2)</f>
        <v>1217.19</v>
      </c>
      <c r="I28" s="104">
        <f>ROUND(('abril mensual funcionaris'!I26*0.24467%)+('abril mensual funcionaris'!I26),2)</f>
        <v>1197.6199999999999</v>
      </c>
      <c r="J28" s="104">
        <f>ROUND(('abril mensual funcionaris'!J26*0.24467%)+('abril mensual funcionaris'!J26),2)</f>
        <v>1178.17</v>
      </c>
      <c r="K28" s="7">
        <f>ROUND(('abril mensual funcionaris'!K26*0.24467%)+('abril mensual funcionaris'!K26),2)</f>
        <v>1152.0999999999999</v>
      </c>
      <c r="L28" s="7">
        <f>ROUND(('abril mensual funcionaris'!L26*0.24467%)+('abril mensual funcionaris'!L26),2)</f>
        <v>1123.76</v>
      </c>
      <c r="M28" s="104">
        <f>ROUND(('abril mensual funcionaris'!M26*0.24467%)+('abril mensual funcionaris'!M26),2)</f>
        <v>1107.1400000000001</v>
      </c>
      <c r="N28" s="7">
        <f>ROUND(('abril mensual funcionaris'!N26*0.24467%)+('abril mensual funcionaris'!N26),2)</f>
        <v>1021.38</v>
      </c>
      <c r="O28" s="104">
        <f>ROUND(('abril mensual funcionaris'!O26*0.24467%)+('abril mensual funcionaris'!O26),2)</f>
        <v>970.17</v>
      </c>
      <c r="P28" s="7">
        <f>ROUND(('abril mensual funcionaris'!P26*0.24467%)+('abril mensual funcionaris'!P26),2)</f>
        <v>918.92</v>
      </c>
      <c r="Q28" s="104">
        <f>ROUND(('abril mensual funcionaris'!Q26*0.24467%)+('abril mensual funcionaris'!Q26),2)</f>
        <v>796.09</v>
      </c>
    </row>
    <row r="29" spans="1:17" s="5" customFormat="1" x14ac:dyDescent="0.25">
      <c r="D29" s="6" t="s">
        <v>9</v>
      </c>
      <c r="E29" s="7">
        <f>ROUND(('abril mensual funcionaris'!E27*0.24467%)+('abril mensual funcionaris'!E27),2)</f>
        <v>296.22000000000003</v>
      </c>
      <c r="F29" s="104">
        <f>ROUND(('abril mensual funcionaris'!F27*0.24467%)+('abril mensual funcionaris'!F27),2)</f>
        <v>252.02</v>
      </c>
      <c r="G29" s="104">
        <f>ROUND(('abril mensual funcionaris'!G27*0.24467%)+('abril mensual funcionaris'!G27),2)</f>
        <v>239.03</v>
      </c>
      <c r="H29" s="104">
        <f>ROUND(('abril mensual funcionaris'!H27*0.24467%)+('abril mensual funcionaris'!H27),2)</f>
        <v>234.85</v>
      </c>
      <c r="I29" s="104">
        <f>ROUND(('abril mensual funcionaris'!I27*0.24467%)+('abril mensual funcionaris'!I27),2)</f>
        <v>229.98</v>
      </c>
      <c r="J29" s="104">
        <f>ROUND(('abril mensual funcionaris'!J27*0.24467%)+('abril mensual funcionaris'!J27),2)</f>
        <v>225.12</v>
      </c>
      <c r="K29" s="7">
        <f>ROUND(('abril mensual funcionaris'!K27*0.24467%)+('abril mensual funcionaris'!K27),2)</f>
        <v>219.71</v>
      </c>
      <c r="L29" s="7">
        <f>ROUND(('abril mensual funcionaris'!L27*0.24467%)+('abril mensual funcionaris'!L27),2)</f>
        <v>214.37</v>
      </c>
      <c r="M29" s="104">
        <f>ROUND(('abril mensual funcionaris'!M27*0.24467%)+('abril mensual funcionaris'!M27),2)</f>
        <v>211</v>
      </c>
      <c r="N29" s="7">
        <f>ROUND(('abril mensual funcionaris'!N27*0.24467%)+('abril mensual funcionaris'!N27),2)</f>
        <v>201.85</v>
      </c>
      <c r="O29" s="104">
        <f>ROUND(('abril mensual funcionaris'!O27*0.24467%)+('abril mensual funcionaris'!O27),2)</f>
        <v>195.59</v>
      </c>
      <c r="P29" s="7">
        <f>ROUND(('abril mensual funcionaris'!P27*0.24467%)+('abril mensual funcionaris'!P27),2)</f>
        <v>189.34</v>
      </c>
      <c r="Q29" s="104">
        <f>ROUND(('abril mensual funcionaris'!Q27*0.24467%)+('abril mensual funcionaris'!Q27),2)</f>
        <v>179.1</v>
      </c>
    </row>
    <row r="30" spans="1:17" s="5" customFormat="1" x14ac:dyDescent="0.25">
      <c r="D30" s="6" t="s">
        <v>10</v>
      </c>
      <c r="E30" s="7">
        <f>ROUND(('abril mensual funcionaris'!E28*0.24467%)+('abril mensual funcionaris'!E28),2)</f>
        <v>263.68</v>
      </c>
      <c r="F30" s="104">
        <f>ROUND(('abril mensual funcionaris'!F28*0.24467%)+('abril mensual funcionaris'!F28),2)</f>
        <v>181.5</v>
      </c>
      <c r="G30" s="104">
        <f>ROUND(('abril mensual funcionaris'!G28*0.24467%)+('abril mensual funcionaris'!G28),2)</f>
        <v>170.46</v>
      </c>
      <c r="H30" s="104">
        <f>ROUND(('abril mensual funcionaris'!H28*0.24467%)+('abril mensual funcionaris'!H28),2)</f>
        <v>170.88</v>
      </c>
      <c r="I30" s="104">
        <f>ROUND(('abril mensual funcionaris'!I28*0.24467%)+('abril mensual funcionaris'!I28),2)</f>
        <v>169.23</v>
      </c>
      <c r="J30" s="104">
        <f>ROUND(('abril mensual funcionaris'!J28*0.24467%)+('abril mensual funcionaris'!J28),2)</f>
        <v>167.6</v>
      </c>
      <c r="K30" s="7">
        <f>ROUND(('abril mensual funcionaris'!K28*0.24467%)+('abril mensual funcionaris'!K28),2)</f>
        <v>164.32</v>
      </c>
      <c r="L30" s="7">
        <f>ROUND(('abril mensual funcionaris'!L28*0.24467%)+('abril mensual funcionaris'!L28),2)</f>
        <v>160.22</v>
      </c>
      <c r="M30" s="104">
        <f>ROUND(('abril mensual funcionaris'!M28*0.24467%)+('abril mensual funcionaris'!M28),2)</f>
        <v>158.06</v>
      </c>
      <c r="N30" s="7">
        <f>ROUND(('abril mensual funcionaris'!N28*0.24467%)+('abril mensual funcionaris'!N28),2)</f>
        <v>138.6</v>
      </c>
      <c r="O30" s="104">
        <f>ROUND(('abril mensual funcionaris'!O28*0.24467%)+('abril mensual funcionaris'!O28),2)</f>
        <v>127.8</v>
      </c>
      <c r="P30" s="7">
        <f>ROUND(('abril mensual funcionaris'!P28*0.24467%)+('abril mensual funcionaris'!P28),2)</f>
        <v>116.96</v>
      </c>
      <c r="Q30" s="104">
        <f>ROUND(('abril mensual funcionaris'!Q28*0.24467%)+('abril mensual funcionaris'!Q28),2)</f>
        <v>86.25</v>
      </c>
    </row>
    <row r="31" spans="1:17" s="5" customFormat="1" x14ac:dyDescent="0.25">
      <c r="E31" s="7"/>
      <c r="F31" s="104"/>
      <c r="G31" s="104"/>
      <c r="H31" s="104"/>
      <c r="I31" s="104"/>
      <c r="J31" s="104"/>
      <c r="K31" s="7"/>
      <c r="L31" s="7"/>
      <c r="M31" s="104"/>
      <c r="N31" s="7"/>
      <c r="O31" s="104"/>
      <c r="P31" s="7"/>
      <c r="Q31" s="104"/>
    </row>
    <row r="32" spans="1:17" s="5" customFormat="1" x14ac:dyDescent="0.25">
      <c r="D32" s="6" t="s">
        <v>11</v>
      </c>
      <c r="E32" s="7">
        <f>ROUND(('abril mensual funcionaris'!E30*0.24467%)+('abril mensual funcionaris'!E30),2)</f>
        <v>400.75</v>
      </c>
      <c r="F32" s="104">
        <f>ROUND(('abril mensual funcionaris'!F30*0.24467%)+('abril mensual funcionaris'!F30),2)</f>
        <v>274.88</v>
      </c>
      <c r="G32" s="104">
        <f>ROUND(('abril mensual funcionaris'!G30*0.24467%)+('abril mensual funcionaris'!G30),2)</f>
        <v>392.36</v>
      </c>
      <c r="H32" s="104">
        <f>ROUND(('abril mensual funcionaris'!H30*0.24467%)+('abril mensual funcionaris'!H30),2)</f>
        <v>255.36</v>
      </c>
      <c r="I32" s="104">
        <f>ROUND(('abril mensual funcionaris'!I30*0.24467%)+('abril mensual funcionaris'!I30),2)</f>
        <v>201.87</v>
      </c>
      <c r="J32" s="104">
        <f>ROUND(('abril mensual funcionaris'!J30*0.24467%)+('abril mensual funcionaris'!J30),2)</f>
        <v>196.84</v>
      </c>
      <c r="K32" s="7">
        <f>ROUND(('abril mensual funcionaris'!K30*0.24467%)+('abril mensual funcionaris'!K30),2)</f>
        <v>195.08</v>
      </c>
      <c r="L32" s="7">
        <f>ROUND(('abril mensual funcionaris'!L30*0.24467%)+('abril mensual funcionaris'!L30),2)</f>
        <v>195.55</v>
      </c>
      <c r="M32" s="104">
        <f>ROUND(('abril mensual funcionaris'!M30*0.24467%)+('abril mensual funcionaris'!M30),2)</f>
        <v>193.88</v>
      </c>
      <c r="N32" s="7">
        <f>ROUND(('abril mensual funcionaris'!N30*0.24467%)+('abril mensual funcionaris'!N30),2)</f>
        <v>185.19</v>
      </c>
      <c r="O32" s="104">
        <f>ROUND(('abril mensual funcionaris'!O30*0.24467%)+('abril mensual funcionaris'!O30),2)</f>
        <v>185.56</v>
      </c>
      <c r="P32" s="7">
        <f>ROUND(('abril mensual funcionaris'!P30*0.24467%)+('abril mensual funcionaris'!P30),2)</f>
        <v>178.78</v>
      </c>
      <c r="Q32" s="104">
        <f>ROUND(('abril mensual funcionaris'!Q30*0.24467%)+('abril mensual funcionaris'!Q30),2)</f>
        <v>216.17</v>
      </c>
    </row>
    <row r="33" spans="1:20" s="5" customFormat="1" x14ac:dyDescent="0.25">
      <c r="D33" s="15"/>
      <c r="E33" s="16">
        <f>SUM(E26:E32)</f>
        <v>4277.41</v>
      </c>
      <c r="F33" s="16">
        <f t="shared" ref="F33:Q33" si="1">SUM(F26:F32)</f>
        <v>3772.0899999999997</v>
      </c>
      <c r="G33" s="16">
        <f t="shared" si="1"/>
        <v>3709.6900000000005</v>
      </c>
      <c r="H33" s="16">
        <f t="shared" si="1"/>
        <v>3518.75</v>
      </c>
      <c r="I33" s="16">
        <f t="shared" si="1"/>
        <v>3400.3399999999997</v>
      </c>
      <c r="J33" s="16">
        <f t="shared" si="1"/>
        <v>3330.46</v>
      </c>
      <c r="K33" s="16">
        <f t="shared" si="1"/>
        <v>3255.12</v>
      </c>
      <c r="L33" s="16">
        <f t="shared" si="1"/>
        <v>3182.0099999999998</v>
      </c>
      <c r="M33" s="16">
        <f t="shared" si="1"/>
        <v>3134.31</v>
      </c>
      <c r="N33" s="16">
        <f t="shared" si="1"/>
        <v>2987.35</v>
      </c>
      <c r="O33" s="16">
        <f t="shared" si="1"/>
        <v>2895.55</v>
      </c>
      <c r="P33" s="16">
        <f t="shared" si="1"/>
        <v>2796.6000000000004</v>
      </c>
      <c r="Q33" s="16">
        <f t="shared" si="1"/>
        <v>2669.3</v>
      </c>
    </row>
    <row r="34" spans="1:20" s="5" customFormat="1" x14ac:dyDescent="0.25"/>
    <row r="35" spans="1:20" x14ac:dyDescent="0.25">
      <c r="A35" s="1" t="s">
        <v>16</v>
      </c>
      <c r="C35" s="5"/>
    </row>
    <row r="36" spans="1:20" x14ac:dyDescent="0.25">
      <c r="C36" s="5"/>
      <c r="J36">
        <v>22</v>
      </c>
      <c r="K36">
        <v>21</v>
      </c>
      <c r="L36">
        <v>20</v>
      </c>
      <c r="M36">
        <v>19</v>
      </c>
      <c r="N36">
        <v>18</v>
      </c>
      <c r="O36" s="2">
        <v>17</v>
      </c>
      <c r="P36" s="2">
        <v>16</v>
      </c>
      <c r="Q36" s="2">
        <v>15</v>
      </c>
      <c r="R36">
        <v>14</v>
      </c>
      <c r="S36" s="2">
        <v>13</v>
      </c>
      <c r="T36">
        <v>12</v>
      </c>
    </row>
    <row r="37" spans="1:20" x14ac:dyDescent="0.25">
      <c r="J37" s="19"/>
      <c r="K37" s="19"/>
      <c r="L37" s="19"/>
      <c r="M37" s="19"/>
      <c r="N37" s="19"/>
      <c r="O37" s="20"/>
      <c r="P37" s="20"/>
      <c r="Q37" s="20"/>
      <c r="R37" s="19"/>
      <c r="S37" s="20"/>
      <c r="T37" s="19"/>
    </row>
    <row r="38" spans="1:20" s="5" customFormat="1" x14ac:dyDescent="0.25">
      <c r="I38" s="9"/>
      <c r="J38" s="10"/>
      <c r="K38" s="10"/>
      <c r="L38" s="10"/>
      <c r="M38" s="10"/>
      <c r="N38" s="10"/>
      <c r="O38" s="11"/>
      <c r="P38" s="11"/>
      <c r="Q38" s="11"/>
      <c r="R38" s="10"/>
      <c r="S38" s="11"/>
      <c r="T38" s="10"/>
    </row>
    <row r="39" spans="1:20" s="5" customFormat="1" x14ac:dyDescent="0.25">
      <c r="O39" s="13"/>
      <c r="P39" s="13"/>
      <c r="Q39" s="13"/>
      <c r="S39" s="13"/>
    </row>
    <row r="40" spans="1:20" s="5" customFormat="1" x14ac:dyDescent="0.25">
      <c r="I40" s="6" t="s">
        <v>6</v>
      </c>
      <c r="J40" s="6"/>
      <c r="K40" s="6">
        <v>766.06</v>
      </c>
      <c r="L40" s="6">
        <v>766.06</v>
      </c>
      <c r="M40" s="6">
        <v>766.06</v>
      </c>
      <c r="N40" s="6">
        <v>766.06</v>
      </c>
      <c r="O40" s="7">
        <v>766.06</v>
      </c>
      <c r="P40" s="7">
        <v>766.06</v>
      </c>
      <c r="Q40" s="7">
        <v>766.06</v>
      </c>
      <c r="R40" s="6">
        <v>766.06</v>
      </c>
      <c r="S40" s="7">
        <v>766.06</v>
      </c>
      <c r="T40" s="6">
        <v>766.06</v>
      </c>
    </row>
    <row r="41" spans="1:20" s="5" customFormat="1" x14ac:dyDescent="0.25">
      <c r="I41" s="6" t="s">
        <v>7</v>
      </c>
      <c r="J41" s="6"/>
      <c r="K41" s="104">
        <v>503.63</v>
      </c>
      <c r="L41" s="104">
        <v>467.83</v>
      </c>
      <c r="M41" s="6">
        <v>443.95</v>
      </c>
      <c r="N41" s="104">
        <v>420.05</v>
      </c>
      <c r="O41" s="7">
        <v>396.15</v>
      </c>
      <c r="P41" s="7">
        <v>372.32</v>
      </c>
      <c r="Q41" s="7">
        <v>348.39</v>
      </c>
      <c r="R41" s="6">
        <v>324.54000000000002</v>
      </c>
      <c r="S41" s="7">
        <v>300.62</v>
      </c>
      <c r="T41" s="6">
        <v>276.72000000000003</v>
      </c>
    </row>
    <row r="42" spans="1:20" s="5" customFormat="1" x14ac:dyDescent="0.25">
      <c r="I42" s="6" t="s">
        <v>8</v>
      </c>
      <c r="J42" s="6"/>
      <c r="K42" s="104">
        <f>ROUND(('abril mensual funcionaris'!K40*0.24467%)+('abril mensual funcionaris'!K40),2)</f>
        <v>1293.22</v>
      </c>
      <c r="L42" s="104">
        <f>ROUND(('abril mensual funcionaris'!L40*0.24467%)+('abril mensual funcionaris'!L40),2)</f>
        <v>1274.2</v>
      </c>
      <c r="M42" s="104">
        <f>ROUND(('abril mensual funcionaris'!M40*0.24467%)+('abril mensual funcionaris'!M40),2)</f>
        <v>1216.58</v>
      </c>
      <c r="N42" s="104">
        <f>ROUND(('abril mensual funcionaris'!N40*0.24467%)+('abril mensual funcionaris'!N40),2)</f>
        <v>1173.97</v>
      </c>
      <c r="O42" s="7">
        <f>ROUND(('abril mensual funcionaris'!O40*0.24467%)+('abril mensual funcionaris'!O40),2)</f>
        <v>1055.8699999999999</v>
      </c>
      <c r="P42" s="7">
        <f>ROUND(('abril mensual funcionaris'!P40*0.24467%)+('abril mensual funcionaris'!P40),2)</f>
        <v>973.24</v>
      </c>
      <c r="Q42" s="7">
        <f>ROUND(('abril mensual funcionaris'!Q40*0.24467%)+('abril mensual funcionaris'!Q40),2)</f>
        <v>855.08</v>
      </c>
      <c r="R42" s="104">
        <f>ROUND(('abril mensual funcionaris'!R40*0.24467%)+('abril mensual funcionaris'!R40),2)</f>
        <v>786.89</v>
      </c>
      <c r="S42" s="7">
        <f>ROUND(('abril mensual funcionaris'!S40*0.24467%)+('abril mensual funcionaris'!S40),2)</f>
        <v>738.86</v>
      </c>
      <c r="T42" s="104">
        <f>ROUND(('abril mensual funcionaris'!T40*0.24467%)+('abril mensual funcionaris'!T40),2)</f>
        <v>646.99</v>
      </c>
    </row>
    <row r="43" spans="1:20" s="5" customFormat="1" x14ac:dyDescent="0.25">
      <c r="I43" s="6" t="s">
        <v>9</v>
      </c>
      <c r="J43" s="6"/>
      <c r="K43" s="104">
        <f>ROUND(('abril mensual funcionaris'!K41*0.24467%)+('abril mensual funcionaris'!K41),2)</f>
        <v>212.34</v>
      </c>
      <c r="L43" s="104">
        <f>ROUND(('abril mensual funcionaris'!L41*0.24467%)+('abril mensual funcionaris'!L41),2)</f>
        <v>207.77</v>
      </c>
      <c r="M43" s="104">
        <f>ROUND(('abril mensual funcionaris'!M41*0.24467%)+('abril mensual funcionaris'!M41),2)</f>
        <v>200.97</v>
      </c>
      <c r="N43" s="104">
        <f>ROUND(('abril mensual funcionaris'!N41*0.24467%)+('abril mensual funcionaris'!N41),2)</f>
        <v>195.44</v>
      </c>
      <c r="O43" s="7">
        <f>ROUND(('abril mensual funcionaris'!O41*0.24467%)+('abril mensual funcionaris'!O41),2)</f>
        <v>183.61</v>
      </c>
      <c r="P43" s="7">
        <f>ROUND(('abril mensual funcionaris'!P41*0.24467%)+('abril mensual funcionaris'!P41),2)</f>
        <v>174.73</v>
      </c>
      <c r="Q43" s="7">
        <f>ROUND(('abril mensual funcionaris'!Q41*0.24467%)+('abril mensual funcionaris'!Q41),2)</f>
        <v>162.88999999999999</v>
      </c>
      <c r="R43" s="104">
        <f>ROUND(('abril mensual funcionaris'!R41*0.24467%)+('abril mensual funcionaris'!R41),2)</f>
        <v>155.22</v>
      </c>
      <c r="S43" s="7">
        <f>ROUND(('abril mensual funcionaris'!S41*0.24467%)+('abril mensual funcionaris'!S41),2)</f>
        <v>149.22</v>
      </c>
      <c r="T43" s="104">
        <f>ROUND(('abril mensual funcionaris'!T41*0.24467%)+('abril mensual funcionaris'!T41),2)</f>
        <v>139.57</v>
      </c>
    </row>
    <row r="44" spans="1:20" s="5" customFormat="1" x14ac:dyDescent="0.25">
      <c r="I44" s="6" t="s">
        <v>10</v>
      </c>
      <c r="J44" s="6"/>
      <c r="K44" s="104">
        <f>ROUND(('abril mensual funcionaris'!K42*0.24467%)+('abril mensual funcionaris'!K42),2)</f>
        <v>218.74</v>
      </c>
      <c r="L44" s="104">
        <f>ROUND(('abril mensual funcionaris'!L42*0.24467%)+('abril mensual funcionaris'!L42),2)</f>
        <v>216.96</v>
      </c>
      <c r="M44" s="104">
        <f>ROUND(('abril mensual funcionaris'!M42*0.24467%)+('abril mensual funcionaris'!M42),2)</f>
        <v>204.55</v>
      </c>
      <c r="N44" s="104">
        <f>ROUND(('abril mensual funcionaris'!N42*0.24467%)+('abril mensual funcionaris'!N42),2)</f>
        <v>195.89</v>
      </c>
      <c r="O44" s="7">
        <f>ROUND(('abril mensual funcionaris'!O42*0.24467%)+('abril mensual funcionaris'!O42),2)</f>
        <v>168.36</v>
      </c>
      <c r="P44" s="7">
        <f>ROUND(('abril mensual funcionaris'!P42*0.24467%)+('abril mensual funcionaris'!P42),2)</f>
        <v>149.68</v>
      </c>
      <c r="Q44" s="7">
        <f>ROUND(('abril mensual funcionaris'!Q42*0.24467%)+('abril mensual funcionaris'!Q42),2)</f>
        <v>122.14</v>
      </c>
      <c r="R44" s="104">
        <f>ROUND(('abril mensual funcionaris'!R42*0.24467%)+('abril mensual funcionaris'!R42),2)</f>
        <v>107.08</v>
      </c>
      <c r="S44" s="7">
        <f>ROUND(('abril mensual funcionaris'!S42*0.24467%)+('abril mensual funcionaris'!S42),2)</f>
        <v>97.07</v>
      </c>
      <c r="T44" s="104">
        <f>ROUND(('abril mensual funcionaris'!T42*0.24467%)+('abril mensual funcionaris'!T42),2)</f>
        <v>76.09</v>
      </c>
    </row>
    <row r="45" spans="1:20" s="5" customFormat="1" x14ac:dyDescent="0.25">
      <c r="J45" s="21"/>
      <c r="K45" s="104"/>
      <c r="L45" s="104"/>
      <c r="M45" s="104"/>
      <c r="N45" s="104"/>
      <c r="O45" s="7"/>
      <c r="P45" s="7"/>
      <c r="Q45" s="7"/>
      <c r="R45" s="104"/>
      <c r="S45" s="7"/>
      <c r="T45" s="104"/>
    </row>
    <row r="46" spans="1:20" s="5" customFormat="1" x14ac:dyDescent="0.25">
      <c r="I46" s="6" t="s">
        <v>17</v>
      </c>
      <c r="J46" s="6"/>
      <c r="K46" s="104">
        <f>ROUND(('abril mensual funcionaris'!K44*0.24467%)+('abril mensual funcionaris'!K44),2)</f>
        <v>410.22</v>
      </c>
      <c r="L46" s="104">
        <f>ROUND(('abril mensual funcionaris'!L44*0.24467%)+('abril mensual funcionaris'!L44),2)</f>
        <v>394.38</v>
      </c>
      <c r="M46" s="104">
        <f>ROUND(('abril mensual funcionaris'!M44*0.24467%)+('abril mensual funcionaris'!M44),2)</f>
        <v>342.82</v>
      </c>
      <c r="N46" s="104">
        <f>ROUND(('abril mensual funcionaris'!N44*0.24467%)+('abril mensual funcionaris'!N44),2)</f>
        <v>189.88</v>
      </c>
      <c r="O46" s="7">
        <f>ROUND(('abril mensual funcionaris'!O44*0.24467%)+('abril mensual funcionaris'!O44),2)</f>
        <v>224.1</v>
      </c>
      <c r="P46" s="7">
        <f>ROUND(('abril mensual funcionaris'!P44*0.24467%)+('abril mensual funcionaris'!P44),2)</f>
        <v>166.12</v>
      </c>
      <c r="Q46" s="7">
        <f>ROUND(('abril mensual funcionaris'!Q44*0.24467%)+('abril mensual funcionaris'!Q44),2)</f>
        <v>204.21</v>
      </c>
      <c r="R46" s="104">
        <f>ROUND(('abril mensual funcionaris'!R44*0.24467%)+('abril mensual funcionaris'!R44),2)</f>
        <v>226.35</v>
      </c>
      <c r="S46" s="7">
        <f>ROUND(('abril mensual funcionaris'!S44*0.24467%)+('abril mensual funcionaris'!S44),2)</f>
        <v>216.19</v>
      </c>
      <c r="T46" s="104">
        <f>ROUND(('abril mensual funcionaris'!T44*0.24467%)+('abril mensual funcionaris'!T44),2)</f>
        <v>184.12</v>
      </c>
    </row>
    <row r="47" spans="1:20" s="5" customFormat="1" x14ac:dyDescent="0.25">
      <c r="I47" s="15"/>
      <c r="J47" s="15"/>
      <c r="K47" s="17">
        <f>SUM(K40:K46)</f>
        <v>3404.21</v>
      </c>
      <c r="L47" s="17">
        <f t="shared" ref="L47:T47" si="2">SUM(L40:L46)</f>
        <v>3327.2000000000003</v>
      </c>
      <c r="M47" s="17">
        <f t="shared" si="2"/>
        <v>3174.9300000000003</v>
      </c>
      <c r="N47" s="17">
        <f t="shared" si="2"/>
        <v>2941.29</v>
      </c>
      <c r="O47" s="16">
        <f t="shared" si="2"/>
        <v>2794.15</v>
      </c>
      <c r="P47" s="16">
        <f t="shared" si="2"/>
        <v>2602.1499999999996</v>
      </c>
      <c r="Q47" s="16">
        <f t="shared" si="2"/>
        <v>2458.7699999999995</v>
      </c>
      <c r="R47" s="17">
        <f t="shared" si="2"/>
        <v>2366.14</v>
      </c>
      <c r="S47" s="16">
        <f t="shared" si="2"/>
        <v>2268.02</v>
      </c>
      <c r="T47" s="17">
        <f t="shared" si="2"/>
        <v>2089.5499999999997</v>
      </c>
    </row>
    <row r="48" spans="1:20" s="5" customFormat="1" x14ac:dyDescent="0.25"/>
    <row r="49" spans="1:23" x14ac:dyDescent="0.25">
      <c r="A49" s="1" t="s">
        <v>18</v>
      </c>
    </row>
    <row r="50" spans="1:23" x14ac:dyDescent="0.25">
      <c r="N50" s="142">
        <v>18</v>
      </c>
      <c r="O50" s="2">
        <v>17</v>
      </c>
      <c r="P50" s="142">
        <v>16</v>
      </c>
      <c r="Q50" s="142">
        <v>15</v>
      </c>
      <c r="R50" s="2">
        <v>14</v>
      </c>
      <c r="S50" s="2">
        <v>13</v>
      </c>
      <c r="T50" s="2">
        <v>12</v>
      </c>
      <c r="U50" s="2">
        <v>11</v>
      </c>
      <c r="V50" s="142">
        <v>10</v>
      </c>
      <c r="W50" s="2">
        <v>9</v>
      </c>
    </row>
    <row r="51" spans="1:23" x14ac:dyDescent="0.25">
      <c r="M51" s="19"/>
      <c r="N51" s="149"/>
      <c r="O51" s="20"/>
      <c r="P51" s="149"/>
      <c r="Q51" s="149"/>
      <c r="R51" s="20"/>
      <c r="S51" s="20"/>
      <c r="T51" s="20"/>
      <c r="U51" s="20"/>
      <c r="V51" s="149"/>
      <c r="W51" s="20"/>
    </row>
    <row r="52" spans="1:23" s="5" customFormat="1" x14ac:dyDescent="0.25">
      <c r="M52" s="58"/>
      <c r="N52" s="150"/>
      <c r="O52" s="148"/>
      <c r="P52" s="150"/>
      <c r="Q52" s="150"/>
      <c r="R52" s="148"/>
      <c r="S52" s="148"/>
      <c r="T52" s="148"/>
      <c r="U52" s="148"/>
      <c r="V52" s="150"/>
      <c r="W52" s="33"/>
    </row>
    <row r="53" spans="1:23" s="5" customFormat="1" x14ac:dyDescent="0.25">
      <c r="N53" s="141"/>
      <c r="O53" s="13"/>
      <c r="P53" s="141"/>
      <c r="Q53" s="141"/>
      <c r="R53" s="13"/>
      <c r="S53" s="13"/>
      <c r="T53" s="13"/>
      <c r="U53" s="13"/>
      <c r="V53" s="141"/>
      <c r="W53" s="13"/>
    </row>
    <row r="54" spans="1:23" s="5" customFormat="1" x14ac:dyDescent="0.25">
      <c r="M54" s="6" t="s">
        <v>6</v>
      </c>
      <c r="N54" s="104">
        <v>637.57000000000005</v>
      </c>
      <c r="O54" s="7">
        <v>637.57000000000005</v>
      </c>
      <c r="P54" s="104">
        <v>637.57000000000005</v>
      </c>
      <c r="Q54" s="104">
        <v>637.57000000000005</v>
      </c>
      <c r="R54" s="7">
        <v>637.57000000000005</v>
      </c>
      <c r="S54" s="7">
        <v>637.57000000000005</v>
      </c>
      <c r="T54" s="7">
        <v>637.57000000000005</v>
      </c>
      <c r="U54" s="7">
        <v>637.57000000000005</v>
      </c>
      <c r="V54" s="104">
        <v>637.57000000000005</v>
      </c>
      <c r="W54" s="7">
        <v>637.57000000000005</v>
      </c>
    </row>
    <row r="55" spans="1:23" s="5" customFormat="1" x14ac:dyDescent="0.25">
      <c r="M55" s="6" t="s">
        <v>7</v>
      </c>
      <c r="N55" s="104">
        <v>420.05</v>
      </c>
      <c r="O55" s="7">
        <v>396.15</v>
      </c>
      <c r="P55" s="104">
        <v>372.32</v>
      </c>
      <c r="Q55" s="104">
        <v>348.39</v>
      </c>
      <c r="R55" s="7">
        <v>324.54000000000002</v>
      </c>
      <c r="S55" s="7">
        <v>300.62</v>
      </c>
      <c r="T55" s="7">
        <v>276.72000000000003</v>
      </c>
      <c r="U55" s="7">
        <v>252.82</v>
      </c>
      <c r="V55" s="104">
        <v>228.97</v>
      </c>
      <c r="W55" s="7">
        <v>217.04</v>
      </c>
    </row>
    <row r="56" spans="1:23" s="5" customFormat="1" x14ac:dyDescent="0.25">
      <c r="M56" s="6" t="s">
        <v>8</v>
      </c>
      <c r="N56" s="104">
        <f>ROUND(('abril mensual funcionaris'!N54*0.24467%)+('abril mensual funcionaris'!N54),2)</f>
        <v>1007.99</v>
      </c>
      <c r="O56" s="7">
        <f>ROUND(('abril mensual funcionaris'!O54*0.24467%)+('abril mensual funcionaris'!O54),2)</f>
        <v>966.16</v>
      </c>
      <c r="P56" s="104">
        <f>ROUND(('abril mensual funcionaris'!P54*0.24467%)+('abril mensual funcionaris'!P54),2)</f>
        <v>931.2</v>
      </c>
      <c r="Q56" s="104">
        <f>ROUND(('abril mensual funcionaris'!Q54*0.24467%)+('abril mensual funcionaris'!Q54),2)</f>
        <v>831.24</v>
      </c>
      <c r="R56" s="7">
        <f>ROUND(('abril mensual funcionaris'!R54*0.24467%)+('abril mensual funcionaris'!R54),2)</f>
        <v>777.61</v>
      </c>
      <c r="S56" s="7">
        <f>ROUND(('abril mensual funcionaris'!S54*0.24467%)+('abril mensual funcionaris'!S54),2)</f>
        <v>677.35</v>
      </c>
      <c r="T56" s="7">
        <f>ROUND(('abril mensual funcionaris'!T54*0.24467%)+('abril mensual funcionaris'!T54),2)</f>
        <v>703.87</v>
      </c>
      <c r="U56" s="7">
        <f>ROUND(('abril mensual funcionaris'!U54*0.24467%)+('abril mensual funcionaris'!U54),2)</f>
        <v>707.2</v>
      </c>
      <c r="V56" s="104">
        <f>ROUND(('abril mensual funcionaris'!V54*0.24467%)+('abril mensual funcionaris'!V54),2)</f>
        <v>589.01</v>
      </c>
      <c r="W56" s="7">
        <f>ROUND(('abril mensual funcionaris'!W54*0.24467%)+('abril mensual funcionaris'!W54),2)</f>
        <v>499.12</v>
      </c>
    </row>
    <row r="57" spans="1:23" s="5" customFormat="1" x14ac:dyDescent="0.25">
      <c r="A57" s="34" t="s">
        <v>40</v>
      </c>
      <c r="B57" s="34"/>
      <c r="C57" s="34"/>
      <c r="M57" s="6" t="s">
        <v>21</v>
      </c>
      <c r="N57" s="104">
        <f>ROUND(('abril mensual funcionaris'!N55*0.24467%)+('abril mensual funcionaris'!N55),2)</f>
        <v>171.64</v>
      </c>
      <c r="O57" s="7">
        <f>ROUND(('abril mensual funcionaris'!O55*0.24467%)+('abril mensual funcionaris'!O55),2)</f>
        <v>166.59</v>
      </c>
      <c r="P57" s="104">
        <f>ROUND(('abril mensual funcionaris'!P55*0.24467%)+('abril mensual funcionaris'!P55),2)</f>
        <v>161.29</v>
      </c>
      <c r="Q57" s="104">
        <f>ROUND(('abril mensual funcionaris'!Q55*0.24467%)+('abril mensual funcionaris'!Q55),2)</f>
        <v>156.1</v>
      </c>
      <c r="R57" s="7">
        <f>ROUND(('abril mensual funcionaris'!R55*0.24467%)+('abril mensual funcionaris'!R55),2)</f>
        <v>149.80000000000001</v>
      </c>
      <c r="S57" s="7">
        <f>ROUND(('abril mensual funcionaris'!S55*0.24467%)+('abril mensual funcionaris'!S55),2)</f>
        <v>143.9</v>
      </c>
      <c r="T57" s="7">
        <f>ROUND(('abril mensual funcionaris'!T55*0.24467%)+('abril mensual funcionaris'!T55),2)</f>
        <v>134.78</v>
      </c>
      <c r="U57" s="7">
        <f>ROUND(('abril mensual funcionaris'!U55*0.24467%)+('abril mensual funcionaris'!U55),2)</f>
        <v>133.06</v>
      </c>
      <c r="V57" s="104">
        <f>ROUND(('abril mensual funcionaris'!V55*0.24467%)+('abril mensual funcionaris'!V55),2)</f>
        <v>121.23</v>
      </c>
      <c r="W57" s="7">
        <f>ROUND(('abril mensual funcionaris'!W55*0.24467%)+('abril mensual funcionaris'!W55),2)</f>
        <v>112.74</v>
      </c>
    </row>
    <row r="58" spans="1:23" s="5" customFormat="1" x14ac:dyDescent="0.25">
      <c r="A58" s="38" t="s">
        <v>41</v>
      </c>
      <c r="M58" s="6" t="s">
        <v>10</v>
      </c>
      <c r="N58" s="104">
        <f>ROUND(('abril mensual funcionaris'!N56*0.24467%)+('abril mensual funcionaris'!N56),2)</f>
        <v>162.65</v>
      </c>
      <c r="O58" s="7">
        <f>ROUND(('abril mensual funcionaris'!O56*0.24467%)+('abril mensual funcionaris'!O56),2)</f>
        <v>155.47</v>
      </c>
      <c r="P58" s="104">
        <f>ROUND(('abril mensual funcionaris'!P56*0.24467%)+('abril mensual funcionaris'!P56),2)</f>
        <v>147.52000000000001</v>
      </c>
      <c r="Q58" s="104">
        <f>ROUND(('abril mensual funcionaris'!Q56*0.24467%)+('abril mensual funcionaris'!Q56),2)</f>
        <v>139.93</v>
      </c>
      <c r="R58" s="7">
        <f>ROUND(('abril mensual funcionaris'!R56*0.24467%)+('abril mensual funcionaris'!R56),2)</f>
        <v>129.03</v>
      </c>
      <c r="S58" s="7">
        <f>ROUND(('abril mensual funcionaris'!S56*0.24467%)+('abril mensual funcionaris'!S56),2)</f>
        <v>119.25</v>
      </c>
      <c r="T58" s="7">
        <f>ROUND(('abril mensual funcionaris'!T56*0.24467%)+('abril mensual funcionaris'!T56),2)</f>
        <v>99.84</v>
      </c>
      <c r="U58" s="7">
        <f>ROUND(('abril mensual funcionaris'!U56*0.24467%)+('abril mensual funcionaris'!U56),2)</f>
        <v>102.67</v>
      </c>
      <c r="V58" s="104">
        <f>ROUND(('abril mensual funcionaris'!V56*0.24467%)+('abril mensual funcionaris'!V56),2)</f>
        <v>75.11</v>
      </c>
      <c r="W58" s="7">
        <f>ROUND(('abril mensual funcionaris'!W56*0.24467%)+('abril mensual funcionaris'!W56),2)</f>
        <v>53.64</v>
      </c>
    </row>
    <row r="59" spans="1:23" s="5" customFormat="1" x14ac:dyDescent="0.25">
      <c r="A59" s="34" t="s">
        <v>26</v>
      </c>
      <c r="B59" s="34"/>
      <c r="C59" s="40" t="s">
        <v>28</v>
      </c>
      <c r="M59" s="6"/>
      <c r="N59" s="104"/>
      <c r="O59" s="7"/>
      <c r="P59" s="104"/>
      <c r="Q59" s="104"/>
      <c r="R59" s="7"/>
      <c r="S59" s="7"/>
      <c r="T59" s="7"/>
      <c r="U59" s="7"/>
      <c r="V59" s="104"/>
      <c r="W59" s="7"/>
    </row>
    <row r="60" spans="1:23" s="5" customFormat="1" x14ac:dyDescent="0.25">
      <c r="A60" s="5" t="s">
        <v>30</v>
      </c>
      <c r="C60" s="5">
        <v>45.41</v>
      </c>
      <c r="M60" s="6" t="s">
        <v>17</v>
      </c>
      <c r="N60" s="104">
        <f>ROUND(('abril mensual funcionaris'!N58*0.24467%)+('abril mensual funcionaris'!N58),2)</f>
        <v>211.05</v>
      </c>
      <c r="O60" s="7">
        <f>ROUND(('abril mensual funcionaris'!O58*0.24467%)+('abril mensual funcionaris'!O58),2)</f>
        <v>143.99</v>
      </c>
      <c r="P60" s="104">
        <f>ROUND(('abril mensual funcionaris'!P58*0.24467%)+('abril mensual funcionaris'!P58),2)</f>
        <v>163.55000000000001</v>
      </c>
      <c r="Q60" s="104">
        <f>ROUND(('abril mensual funcionaris'!Q58*0.24467%)+('abril mensual funcionaris'!Q58),2)</f>
        <v>201.48</v>
      </c>
      <c r="R60" s="7">
        <f>ROUND(('abril mensual funcionaris'!R58*0.24467%)+('abril mensual funcionaris'!R58),2)</f>
        <v>197.44</v>
      </c>
      <c r="S60" s="7">
        <f>ROUND(('abril mensual funcionaris'!S58*0.24467%)+('abril mensual funcionaris'!S58),2)</f>
        <v>238.55</v>
      </c>
      <c r="T60" s="7">
        <f>ROUND(('abril mensual funcionaris'!T58*0.24467%)+('abril mensual funcionaris'!T58),2)</f>
        <v>182.96</v>
      </c>
      <c r="U60" s="7">
        <f>ROUND(('abril mensual funcionaris'!U58*0.24467%)+('abril mensual funcionaris'!U58),2)</f>
        <v>196.8</v>
      </c>
      <c r="V60" s="104">
        <f>ROUND(('abril mensual funcionaris'!V58*0.24467%)+('abril mensual funcionaris'!V58),2)</f>
        <v>169.14</v>
      </c>
      <c r="W60" s="7">
        <f>ROUND(('abril mensual funcionaris'!W58*0.24467%)+('abril mensual funcionaris'!W58),2)</f>
        <v>161.85</v>
      </c>
    </row>
    <row r="61" spans="1:23" s="5" customFormat="1" x14ac:dyDescent="0.25">
      <c r="A61" s="5" t="s">
        <v>31</v>
      </c>
      <c r="C61" s="5">
        <v>37.03</v>
      </c>
      <c r="M61" s="6"/>
      <c r="N61" s="139">
        <f>SUM(N54:N60)</f>
        <v>2610.9500000000003</v>
      </c>
      <c r="O61" s="16">
        <f t="shared" ref="O61:W61" si="3">SUM(O54:O60)</f>
        <v>2465.9300000000003</v>
      </c>
      <c r="P61" s="139">
        <f t="shared" si="3"/>
        <v>2413.4500000000003</v>
      </c>
      <c r="Q61" s="139">
        <f t="shared" si="3"/>
        <v>2314.71</v>
      </c>
      <c r="R61" s="16">
        <f t="shared" si="3"/>
        <v>2215.9900000000002</v>
      </c>
      <c r="S61" s="16">
        <f t="shared" si="3"/>
        <v>2117.2400000000002</v>
      </c>
      <c r="T61" s="16">
        <f t="shared" si="3"/>
        <v>2035.74</v>
      </c>
      <c r="U61" s="16">
        <f t="shared" si="3"/>
        <v>2030.1200000000001</v>
      </c>
      <c r="V61" s="139">
        <f t="shared" si="3"/>
        <v>1821.0300000000002</v>
      </c>
      <c r="W61" s="16">
        <f t="shared" si="3"/>
        <v>1681.96</v>
      </c>
    </row>
    <row r="62" spans="1:23" x14ac:dyDescent="0.25">
      <c r="A62" t="s">
        <v>19</v>
      </c>
      <c r="C62" s="5">
        <v>28.02</v>
      </c>
      <c r="T62" s="5"/>
    </row>
    <row r="63" spans="1:23" x14ac:dyDescent="0.25">
      <c r="A63" t="s">
        <v>20</v>
      </c>
      <c r="C63" s="5">
        <v>19.07</v>
      </c>
    </row>
    <row r="65" spans="1:19" s="5" customFormat="1" x14ac:dyDescent="0.25">
      <c r="A65" s="34" t="s">
        <v>90</v>
      </c>
      <c r="B65" s="34"/>
      <c r="C65" s="34"/>
      <c r="D65" s="34"/>
      <c r="E65" s="34"/>
      <c r="G65" s="35"/>
      <c r="H65" s="35"/>
      <c r="I65" s="36" t="s">
        <v>23</v>
      </c>
      <c r="J65" s="35"/>
      <c r="K65" s="35"/>
      <c r="L65" s="35"/>
      <c r="M65" s="35"/>
      <c r="N65" s="35"/>
      <c r="O65" s="35"/>
      <c r="P65" s="35"/>
      <c r="Q65" s="35"/>
      <c r="S65" s="141"/>
    </row>
    <row r="66" spans="1:19" s="5" customFormat="1" x14ac:dyDescent="0.25">
      <c r="A66" s="38" t="s">
        <v>24</v>
      </c>
      <c r="G66" s="35"/>
      <c r="H66" s="35"/>
      <c r="I66" s="39" t="s">
        <v>25</v>
      </c>
      <c r="J66" s="35"/>
      <c r="K66" s="35"/>
      <c r="L66" s="35"/>
      <c r="M66" s="35"/>
      <c r="N66" s="35"/>
      <c r="O66" s="35"/>
      <c r="P66" s="35"/>
      <c r="Q66" s="35"/>
    </row>
    <row r="67" spans="1:19" s="5" customFormat="1" x14ac:dyDescent="0.25">
      <c r="A67" s="34" t="s">
        <v>26</v>
      </c>
      <c r="B67" s="40" t="s">
        <v>27</v>
      </c>
      <c r="C67" s="40" t="s">
        <v>28</v>
      </c>
      <c r="G67" s="35"/>
      <c r="H67" s="35"/>
      <c r="I67" s="41"/>
      <c r="J67" s="35"/>
      <c r="K67" s="35"/>
      <c r="L67" s="42" t="s">
        <v>29</v>
      </c>
      <c r="M67" s="35"/>
      <c r="N67" s="35"/>
      <c r="O67" s="35"/>
      <c r="P67" s="35"/>
      <c r="Q67" s="35"/>
    </row>
    <row r="68" spans="1:19" s="5" customFormat="1" x14ac:dyDescent="0.25">
      <c r="A68" s="5" t="s">
        <v>30</v>
      </c>
      <c r="B68" s="5">
        <v>728.13</v>
      </c>
      <c r="C68" s="5">
        <v>28.02</v>
      </c>
      <c r="G68" s="35"/>
      <c r="H68" s="35"/>
      <c r="I68" s="41"/>
      <c r="J68" s="35"/>
      <c r="K68" s="35"/>
      <c r="L68" s="35"/>
      <c r="M68" s="35"/>
      <c r="N68" s="35"/>
      <c r="O68" s="35"/>
      <c r="P68" s="35"/>
      <c r="Q68" s="35"/>
    </row>
    <row r="69" spans="1:19" s="5" customFormat="1" x14ac:dyDescent="0.25">
      <c r="A69" s="5" t="s">
        <v>31</v>
      </c>
      <c r="B69" s="5">
        <v>744.11</v>
      </c>
      <c r="C69" s="5">
        <v>27</v>
      </c>
      <c r="G69" s="35"/>
      <c r="H69" s="35"/>
      <c r="I69" s="41"/>
      <c r="J69" s="35"/>
      <c r="K69" s="35"/>
      <c r="L69" s="35" t="s">
        <v>32</v>
      </c>
      <c r="M69" s="35"/>
      <c r="N69" s="35"/>
      <c r="O69" s="35">
        <v>43.5</v>
      </c>
      <c r="P69" s="35"/>
      <c r="Q69" s="35"/>
    </row>
    <row r="70" spans="1:19" s="5" customFormat="1" x14ac:dyDescent="0.25">
      <c r="A70" s="5" t="s">
        <v>19</v>
      </c>
      <c r="B70" s="5">
        <v>662.1</v>
      </c>
      <c r="C70" s="5">
        <v>24.2</v>
      </c>
      <c r="G70" s="35"/>
      <c r="H70" s="35"/>
      <c r="I70" s="41"/>
      <c r="J70" s="35"/>
      <c r="K70" s="35"/>
      <c r="L70" s="35" t="s">
        <v>33</v>
      </c>
      <c r="M70" s="35"/>
      <c r="N70" s="35"/>
      <c r="O70" s="35">
        <v>136.30000000000001</v>
      </c>
      <c r="P70" s="35"/>
      <c r="Q70" s="35"/>
    </row>
    <row r="71" spans="1:19" s="5" customFormat="1" x14ac:dyDescent="0.25">
      <c r="A71" s="5" t="s">
        <v>20</v>
      </c>
      <c r="B71" s="5">
        <v>631.76</v>
      </c>
      <c r="C71" s="5">
        <v>18.89</v>
      </c>
      <c r="G71" s="35"/>
      <c r="H71" s="35"/>
      <c r="I71" s="41"/>
      <c r="J71" s="35"/>
      <c r="K71" s="35"/>
      <c r="L71" s="35"/>
      <c r="M71" s="35"/>
      <c r="N71" s="35"/>
      <c r="O71" s="35"/>
      <c r="P71" s="35"/>
      <c r="Q71" s="35"/>
    </row>
    <row r="72" spans="1:19" s="5" customFormat="1" x14ac:dyDescent="0.25">
      <c r="G72" s="35"/>
      <c r="H72" s="35"/>
      <c r="I72" s="41"/>
      <c r="J72" s="35"/>
      <c r="K72" s="35"/>
      <c r="L72" s="42" t="s">
        <v>34</v>
      </c>
      <c r="M72" s="35"/>
      <c r="N72" s="35"/>
      <c r="O72" s="35"/>
      <c r="P72" s="43" t="s">
        <v>35</v>
      </c>
      <c r="Q72" s="43" t="s">
        <v>36</v>
      </c>
    </row>
    <row r="73" spans="1:19" s="5" customFormat="1" x14ac:dyDescent="0.25">
      <c r="G73" s="35"/>
      <c r="H73" s="35"/>
      <c r="I73" s="41"/>
      <c r="J73" s="35"/>
      <c r="K73" s="35"/>
      <c r="L73" s="35" t="s">
        <v>37</v>
      </c>
      <c r="M73" s="35"/>
      <c r="N73" s="35"/>
      <c r="O73" s="44">
        <v>0.25569999999999998</v>
      </c>
      <c r="P73" s="35">
        <v>0.19</v>
      </c>
      <c r="Q73" s="44">
        <v>6.2199999999999998E-2</v>
      </c>
    </row>
    <row r="74" spans="1:19" s="5" customFormat="1" x14ac:dyDescent="0.25">
      <c r="G74" s="35"/>
      <c r="H74" s="35"/>
      <c r="I74" s="41" t="s">
        <v>38</v>
      </c>
      <c r="J74" s="35">
        <f>ROUND(('abril mensual funcionaris'!J72*0.24467%)+('abril mensual funcionaris'!J72),2)</f>
        <v>482.51</v>
      </c>
      <c r="K74" s="35"/>
      <c r="L74" s="35" t="s">
        <v>39</v>
      </c>
      <c r="M74" s="35"/>
      <c r="N74" s="35"/>
      <c r="O74" s="35">
        <v>9.1259999999999994</v>
      </c>
      <c r="P74" s="35">
        <v>0</v>
      </c>
      <c r="Q74" s="35">
        <v>9.1259999999999994</v>
      </c>
    </row>
    <row r="75" spans="1:19" s="5" customFormat="1" x14ac:dyDescent="0.25"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</row>
    <row r="76" spans="1:19" s="5" customFormat="1" x14ac:dyDescent="0.25"/>
    <row r="77" spans="1:19" s="5" customFormat="1" x14ac:dyDescent="0.25"/>
    <row r="78" spans="1:19" s="5" customFormat="1" x14ac:dyDescent="0.25"/>
  </sheetData>
  <mergeCells count="2">
    <mergeCell ref="R6:X6"/>
    <mergeCell ref="A1:J1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topLeftCell="A11" workbookViewId="0">
      <selection activeCell="F34" sqref="F34"/>
    </sheetView>
  </sheetViews>
  <sheetFormatPr baseColWidth="10" defaultRowHeight="15" x14ac:dyDescent="0.25"/>
  <cols>
    <col min="1" max="1" width="13" customWidth="1"/>
    <col min="4" max="4" width="12.42578125" customWidth="1"/>
    <col min="18" max="21" width="11.42578125" style="125"/>
  </cols>
  <sheetData>
    <row r="1" spans="1:24" ht="21" x14ac:dyDescent="0.35">
      <c r="A1" s="249" t="s">
        <v>87</v>
      </c>
      <c r="B1" s="249"/>
      <c r="C1" s="249"/>
      <c r="D1" s="249"/>
      <c r="E1" s="249"/>
      <c r="F1" s="249"/>
      <c r="G1" s="249"/>
      <c r="H1" s="249"/>
      <c r="I1" s="249"/>
      <c r="J1" s="249"/>
      <c r="V1" s="125"/>
      <c r="W1" s="125"/>
      <c r="X1" s="125"/>
    </row>
    <row r="2" spans="1:24" x14ac:dyDescent="0.25">
      <c r="A2" s="1" t="s">
        <v>88</v>
      </c>
      <c r="V2" s="125"/>
      <c r="W2" s="125"/>
      <c r="X2" s="125"/>
    </row>
    <row r="3" spans="1:24" x14ac:dyDescent="0.25">
      <c r="A3" s="1" t="s">
        <v>91</v>
      </c>
      <c r="R3"/>
      <c r="S3"/>
      <c r="T3"/>
      <c r="U3"/>
    </row>
    <row r="4" spans="1:24" x14ac:dyDescent="0.25">
      <c r="A4" s="1" t="s">
        <v>86</v>
      </c>
      <c r="R4" s="140"/>
      <c r="S4" s="140"/>
      <c r="T4" s="140"/>
      <c r="U4" s="140"/>
      <c r="V4" s="140"/>
      <c r="W4" s="140"/>
      <c r="X4" s="140"/>
    </row>
    <row r="5" spans="1:24" x14ac:dyDescent="0.25">
      <c r="A5" s="1"/>
      <c r="R5" s="140"/>
      <c r="S5" s="140"/>
      <c r="T5" s="140"/>
      <c r="U5" s="140"/>
      <c r="V5" s="140"/>
      <c r="W5" s="140"/>
      <c r="X5" s="140"/>
    </row>
    <row r="6" spans="1:24" x14ac:dyDescent="0.25">
      <c r="A6" s="1" t="s">
        <v>2</v>
      </c>
    </row>
    <row r="7" spans="1:24" x14ac:dyDescent="0.25">
      <c r="B7">
        <v>30</v>
      </c>
      <c r="C7">
        <v>29</v>
      </c>
      <c r="D7">
        <v>28</v>
      </c>
      <c r="E7">
        <v>27</v>
      </c>
      <c r="F7" s="2">
        <v>26</v>
      </c>
      <c r="G7">
        <v>25</v>
      </c>
      <c r="H7">
        <v>24</v>
      </c>
      <c r="I7">
        <v>23</v>
      </c>
      <c r="J7">
        <v>22</v>
      </c>
      <c r="K7">
        <v>21</v>
      </c>
      <c r="L7" s="2">
        <v>20</v>
      </c>
      <c r="M7" s="3" t="s">
        <v>3</v>
      </c>
      <c r="N7" s="3" t="s">
        <v>4</v>
      </c>
      <c r="O7" s="4" t="s">
        <v>5</v>
      </c>
    </row>
    <row r="8" spans="1:24" s="5" customFormat="1" x14ac:dyDescent="0.25">
      <c r="B8" s="6"/>
      <c r="C8" s="6"/>
      <c r="D8" s="6"/>
      <c r="E8" s="6"/>
      <c r="F8" s="7"/>
      <c r="G8" s="6"/>
      <c r="H8" s="6"/>
      <c r="I8" s="6"/>
      <c r="J8" s="6"/>
      <c r="K8" s="6"/>
      <c r="L8" s="7"/>
      <c r="M8" s="6"/>
      <c r="N8" s="6"/>
      <c r="O8" s="8"/>
      <c r="R8" s="90"/>
      <c r="S8" s="90"/>
      <c r="T8" s="90"/>
      <c r="U8" s="90"/>
    </row>
    <row r="9" spans="1:24" s="5" customFormat="1" x14ac:dyDescent="0.25">
      <c r="A9" s="9"/>
      <c r="B9" s="10"/>
      <c r="C9" s="10"/>
      <c r="D9" s="10"/>
      <c r="E9" s="10"/>
      <c r="F9" s="11"/>
      <c r="G9" s="10"/>
      <c r="H9" s="10"/>
      <c r="I9" s="10"/>
      <c r="J9" s="10"/>
      <c r="K9" s="10"/>
      <c r="L9" s="11"/>
      <c r="M9" s="10"/>
      <c r="N9" s="10"/>
      <c r="O9" s="12"/>
      <c r="R9" s="90"/>
      <c r="S9" s="90"/>
      <c r="T9" s="90"/>
      <c r="U9" s="90"/>
    </row>
    <row r="10" spans="1:24" s="5" customFormat="1" x14ac:dyDescent="0.25">
      <c r="F10" s="13"/>
      <c r="L10" s="13"/>
      <c r="O10" s="14"/>
      <c r="R10" s="90"/>
      <c r="S10" s="90"/>
      <c r="T10" s="90"/>
      <c r="U10" s="90"/>
    </row>
    <row r="11" spans="1:24" s="5" customFormat="1" x14ac:dyDescent="0.25">
      <c r="A11" s="6" t="s">
        <v>6</v>
      </c>
      <c r="B11" s="6">
        <f>ROUND(('jul mensual func'!B12*12)+('jul mensual func'!$B$68*2),2)</f>
        <v>15615.78</v>
      </c>
      <c r="C11" s="6">
        <f>ROUND(('jul mensual func'!C12*12)+('jul mensual func'!$B$68*2),2)</f>
        <v>15615.78</v>
      </c>
      <c r="D11" s="6">
        <f>ROUND(('jul mensual func'!D12*12)+('jul mensual func'!$B$68*2),2)</f>
        <v>15615.78</v>
      </c>
      <c r="E11" s="6">
        <f>ROUND(('jul mensual func'!E12*12)+('jul mensual func'!$B$68*2),2)</f>
        <v>15615.78</v>
      </c>
      <c r="F11" s="7">
        <f>ROUND(('jul mensual func'!F12*12)+('jul mensual func'!$B$68*2),2)</f>
        <v>15615.78</v>
      </c>
      <c r="G11" s="6">
        <f>ROUND(('jul mensual func'!G12*12)+('jul mensual func'!$B$68*2),2)</f>
        <v>15615.78</v>
      </c>
      <c r="H11" s="6">
        <f>ROUND(('jul mensual func'!H12*12)+('jul mensual func'!$B$68*2),2)</f>
        <v>15615.78</v>
      </c>
      <c r="I11" s="6">
        <f>ROUND(('jul mensual func'!I12*12)+('jul mensual func'!$B$68*2),2)</f>
        <v>15615.78</v>
      </c>
      <c r="J11" s="6">
        <f>ROUND(('jul mensual func'!J12*12)+('jul mensual func'!$B$68*2),2)</f>
        <v>15615.78</v>
      </c>
      <c r="K11" s="6">
        <f>ROUND(('jul mensual func'!K12*12)+('jul mensual func'!$B$68*2),2)</f>
        <v>15615.78</v>
      </c>
      <c r="L11" s="7">
        <f>ROUND(('jul mensual func'!L12*12)+('jul mensual func'!$B$68*2),2)</f>
        <v>15615.78</v>
      </c>
      <c r="M11" s="6">
        <f>ROUND(('jul mensual func'!M12*12)+('jul mensual func'!$B$68*2),2)</f>
        <v>15615.78</v>
      </c>
      <c r="N11" s="6">
        <f>ROUND(('jul mensual func'!N12*12)+('jul mensual func'!$B$68*2),2)</f>
        <v>15615.78</v>
      </c>
      <c r="O11" s="6">
        <f>ROUND(('jul mensual func'!O12*12)+('jul mensual func'!$B$68*2),2)</f>
        <v>15615.78</v>
      </c>
      <c r="R11" s="90"/>
      <c r="S11" s="90"/>
      <c r="T11" s="90"/>
      <c r="U11" s="90"/>
    </row>
    <row r="12" spans="1:24" s="5" customFormat="1" x14ac:dyDescent="0.25">
      <c r="A12" s="6" t="s">
        <v>7</v>
      </c>
      <c r="B12" s="6">
        <f>ROUND('jul mensual func'!B13*14,2)</f>
        <v>14429.66</v>
      </c>
      <c r="C12" s="6">
        <f>ROUND('jul mensual func'!C13*14,2)</f>
        <v>12942.72</v>
      </c>
      <c r="D12" s="6">
        <f>ROUND('jul mensual func'!D13*14,2)</f>
        <v>12398.82</v>
      </c>
      <c r="E12" s="6">
        <f>ROUND('jul mensual func'!E13*14,2)</f>
        <v>11854.08</v>
      </c>
      <c r="F12" s="7">
        <f>ROUND('jul mensual func'!F13*14,2)</f>
        <v>10400.040000000001</v>
      </c>
      <c r="G12" s="6">
        <f>ROUND('jul mensual func'!G13*14,2)</f>
        <v>9226.98</v>
      </c>
      <c r="H12" s="6">
        <f>ROUND('jul mensual func'!H13*14,2)</f>
        <v>8682.66</v>
      </c>
      <c r="I12" s="6">
        <f>ROUND('jul mensual func'!I13*14,2)</f>
        <v>8139.04</v>
      </c>
      <c r="J12" s="6">
        <f>ROUND('jul mensual func'!J13*14,2)</f>
        <v>7594.3</v>
      </c>
      <c r="K12" s="6">
        <f>ROUND('jul mensual func'!K13*14,2)</f>
        <v>7050.82</v>
      </c>
      <c r="L12" s="7">
        <f>ROUND('jul mensual func'!L13*14,2)</f>
        <v>6549.62</v>
      </c>
      <c r="M12" s="6">
        <f>ROUND('jul mensual func'!M13*14,2)</f>
        <v>6549.62</v>
      </c>
      <c r="N12" s="6">
        <f>ROUND('jul mensual func'!N13*14,2)</f>
        <v>6549.62</v>
      </c>
      <c r="O12" s="6">
        <f>ROUND('jul mensual func'!O13*14,2)</f>
        <v>6549.62</v>
      </c>
      <c r="R12" s="90"/>
      <c r="S12" s="90"/>
      <c r="T12" s="90"/>
      <c r="U12" s="90"/>
    </row>
    <row r="13" spans="1:24" s="5" customFormat="1" x14ac:dyDescent="0.25">
      <c r="A13" s="6" t="s">
        <v>8</v>
      </c>
      <c r="B13" s="6">
        <f>ROUND('jul mensual func'!B14*14,2)</f>
        <v>34558.58</v>
      </c>
      <c r="C13" s="6">
        <f>ROUND('jul mensual func'!C14*14,2)</f>
        <v>32632.32</v>
      </c>
      <c r="D13" s="6">
        <f>ROUND('jul mensual func'!D14*14,2)</f>
        <v>29999.200000000001</v>
      </c>
      <c r="E13" s="6">
        <f>ROUND('jul mensual func'!E14*14,2)</f>
        <v>24263.96</v>
      </c>
      <c r="F13" s="7">
        <f>ROUND('jul mensual func'!F14*14,2)</f>
        <v>21224.42</v>
      </c>
      <c r="G13" s="6">
        <f>ROUND('jul mensual func'!G14*14,2)</f>
        <v>21162.400000000001</v>
      </c>
      <c r="H13" s="6">
        <f>ROUND('jul mensual func'!H14*14,2)</f>
        <v>20629</v>
      </c>
      <c r="I13" s="6">
        <f>ROUND('jul mensual func'!I14*14,2)</f>
        <v>20265.28</v>
      </c>
      <c r="J13" s="6">
        <f>ROUND('jul mensual func'!J14*14,2)</f>
        <v>19901.84</v>
      </c>
      <c r="K13" s="6">
        <f>ROUND('jul mensual func'!K14*14,2)</f>
        <v>18373.04</v>
      </c>
      <c r="L13" s="7">
        <f>ROUND('jul mensual func'!L14*14,2)</f>
        <v>16813.16</v>
      </c>
      <c r="M13" s="6">
        <f>ROUND('jul mensual func'!M14*14,2)</f>
        <v>14039.76</v>
      </c>
      <c r="N13" s="6">
        <f>ROUND('jul mensual func'!N14*14,2)</f>
        <v>11100.6</v>
      </c>
      <c r="O13" s="6">
        <f>ROUND('jul mensual func'!O14*14,2)</f>
        <v>7867.02</v>
      </c>
      <c r="R13" s="90"/>
      <c r="S13" s="90"/>
      <c r="T13" s="90"/>
      <c r="U13" s="90"/>
    </row>
    <row r="14" spans="1:24" s="5" customFormat="1" x14ac:dyDescent="0.25">
      <c r="A14" s="6" t="s">
        <v>9</v>
      </c>
      <c r="B14" s="6">
        <f>ROUND('jul mensual func'!B15*14,2)</f>
        <v>5383.7</v>
      </c>
      <c r="C14" s="6">
        <f>ROUND('jul mensual func'!C15*14,2)</f>
        <v>5099.22</v>
      </c>
      <c r="D14" s="6">
        <f>ROUND('jul mensual func'!D15*14,2)</f>
        <v>4834.4799999999996</v>
      </c>
      <c r="E14" s="6">
        <f>ROUND('jul mensual func'!E15*14,2)</f>
        <v>4311.16</v>
      </c>
      <c r="F14" s="7">
        <f>ROUND('jul mensual func'!F15*14,2)</f>
        <v>3936.52</v>
      </c>
      <c r="G14" s="6">
        <f>ROUND('jul mensual func'!G15*14,2)</f>
        <v>3833.76</v>
      </c>
      <c r="H14" s="6">
        <f>ROUND('jul mensual func'!H15*14,2)</f>
        <v>3743.88</v>
      </c>
      <c r="I14" s="6">
        <f>ROUND('jul mensual func'!I15*14,2)</f>
        <v>3668.28</v>
      </c>
      <c r="J14" s="6">
        <f>ROUND('jul mensual func'!J15*14,2)</f>
        <v>3592.68</v>
      </c>
      <c r="K14" s="6">
        <f>ROUND('jul mensual func'!K15*14,2)</f>
        <v>3419.92</v>
      </c>
      <c r="L14" s="7">
        <f>ROUND('jul mensual func'!L15*14,2)</f>
        <v>3248.14</v>
      </c>
      <c r="M14" s="6">
        <f>ROUND('jul mensual func'!M15*14,2)</f>
        <v>3017.14</v>
      </c>
      <c r="N14" s="6">
        <f>ROUND('jul mensual func'!N15*14,2)</f>
        <v>2772.14</v>
      </c>
      <c r="O14" s="6">
        <f>ROUND('jul mensual func'!O15*14,2)</f>
        <v>2502.64</v>
      </c>
      <c r="R14" s="90"/>
      <c r="S14" s="90"/>
      <c r="T14" s="90"/>
      <c r="U14" s="90"/>
    </row>
    <row r="15" spans="1:24" s="5" customFormat="1" x14ac:dyDescent="0.25">
      <c r="A15" s="6" t="s">
        <v>10</v>
      </c>
      <c r="B15" s="6">
        <f>ROUND('jul mensual func'!B16*14,2)</f>
        <v>6135.92</v>
      </c>
      <c r="C15" s="6">
        <f>ROUND('jul mensual func'!C16*14,2)</f>
        <v>5778.22</v>
      </c>
      <c r="D15" s="6">
        <f>ROUND('jul mensual func'!D16*14,2)</f>
        <v>5165.3</v>
      </c>
      <c r="E15" s="6">
        <f>ROUND('jul mensual func'!E16*14,2)</f>
        <v>3776.78</v>
      </c>
      <c r="F15" s="7">
        <f>ROUND('jul mensual func'!F16*14,2)</f>
        <v>3138.24</v>
      </c>
      <c r="G15" s="6">
        <f>ROUND('jul mensual func'!G16*14,2)</f>
        <v>3220.28</v>
      </c>
      <c r="H15" s="6">
        <f>ROUND('jul mensual func'!H16*14,2)</f>
        <v>3132.5</v>
      </c>
      <c r="I15" s="6">
        <f>ROUND('jul mensual func'!I16*14,2)</f>
        <v>3086.72</v>
      </c>
      <c r="J15" s="6">
        <f>ROUND('jul mensual func'!J16*14,2)</f>
        <v>3041.36</v>
      </c>
      <c r="K15" s="6">
        <f>ROUND('jul mensual func'!K16*14,2)</f>
        <v>2704.38</v>
      </c>
      <c r="L15" s="7">
        <f>ROUND('jul mensual func'!L16*14,2)</f>
        <v>2356.34</v>
      </c>
      <c r="M15" s="6">
        <f>ROUND('jul mensual func'!M16*14,2)</f>
        <v>1662.92</v>
      </c>
      <c r="N15" s="6">
        <f>ROUND('jul mensual func'!N16*14,2)</f>
        <v>928.06</v>
      </c>
      <c r="O15" s="6">
        <f>ROUND('jul mensual func'!O16*14,2)</f>
        <v>119.56</v>
      </c>
      <c r="R15" s="90"/>
      <c r="S15" s="90"/>
      <c r="T15" s="90"/>
      <c r="U15" s="90"/>
    </row>
    <row r="16" spans="1:24" s="5" customFormat="1" x14ac:dyDescent="0.25">
      <c r="B16" s="6"/>
      <c r="C16" s="6"/>
      <c r="D16" s="6"/>
      <c r="E16" s="6"/>
      <c r="F16" s="7"/>
      <c r="G16" s="6"/>
      <c r="H16" s="6"/>
      <c r="I16" s="6"/>
      <c r="J16" s="6"/>
      <c r="K16" s="6"/>
      <c r="L16" s="7"/>
      <c r="M16" s="6"/>
      <c r="N16" s="6"/>
      <c r="O16" s="6"/>
      <c r="R16" s="90"/>
      <c r="S16" s="90"/>
      <c r="T16" s="90"/>
      <c r="U16" s="90"/>
    </row>
    <row r="17" spans="1:21" s="5" customFormat="1" x14ac:dyDescent="0.25">
      <c r="A17" s="6" t="s">
        <v>11</v>
      </c>
      <c r="B17" s="6">
        <f>ROUND('jul mensual func'!B18*14,2)</f>
        <v>4985.54</v>
      </c>
      <c r="C17" s="6">
        <f>ROUND('jul mensual func'!C18*14,2)</f>
        <v>4985.54</v>
      </c>
      <c r="D17" s="6">
        <f>ROUND('jul mensual func'!D18*14,2)</f>
        <v>3721.34</v>
      </c>
      <c r="E17" s="6">
        <f>ROUND('jul mensual func'!E18*14,2)</f>
        <v>3430.14</v>
      </c>
      <c r="F17" s="7">
        <f>ROUND('jul mensual func'!F18*14,2)</f>
        <v>3161.62</v>
      </c>
      <c r="G17" s="6">
        <f>ROUND('jul mensual func'!G18*14,2)</f>
        <v>3185.84</v>
      </c>
      <c r="H17" s="6">
        <f>ROUND('jul mensual func'!H18*14,2)</f>
        <v>3140.62</v>
      </c>
      <c r="I17" s="6">
        <f>ROUND('jul mensual func'!I18*14,2)</f>
        <v>3081.54</v>
      </c>
      <c r="J17" s="6">
        <f>ROUND('jul mensual func'!J18*14,2)</f>
        <v>3066</v>
      </c>
      <c r="K17" s="6">
        <f>ROUND('jul mensual func'!K18*14,2)</f>
        <v>2908.08</v>
      </c>
      <c r="L17" s="7">
        <f>ROUND('jul mensual func'!L18*14,2)</f>
        <v>2821.7</v>
      </c>
      <c r="M17" s="6">
        <f>ROUND('jul mensual func'!M18*14,2)</f>
        <v>3458.84</v>
      </c>
      <c r="N17" s="6">
        <f>ROUND('jul mensual func'!N18*14,2)</f>
        <v>3238.2</v>
      </c>
      <c r="O17" s="6">
        <f>ROUND('jul mensual func'!O18*14,2)</f>
        <v>2995.58</v>
      </c>
      <c r="R17" s="90"/>
      <c r="S17" s="90"/>
      <c r="T17" s="90"/>
      <c r="U17" s="90"/>
    </row>
    <row r="18" spans="1:21" s="5" customFormat="1" x14ac:dyDescent="0.25">
      <c r="A18" s="6"/>
      <c r="B18" s="15">
        <f>SUM(B11:B17)</f>
        <v>81109.179999999993</v>
      </c>
      <c r="C18" s="15">
        <f t="shared" ref="C18:N18" si="0">SUM(C11:C17)</f>
        <v>77053.799999999988</v>
      </c>
      <c r="D18" s="15">
        <f t="shared" si="0"/>
        <v>71734.92</v>
      </c>
      <c r="E18" s="15">
        <f t="shared" si="0"/>
        <v>63251.899999999994</v>
      </c>
      <c r="F18" s="16">
        <f t="shared" si="0"/>
        <v>57476.619999999995</v>
      </c>
      <c r="G18" s="15">
        <f t="shared" si="0"/>
        <v>56245.040000000008</v>
      </c>
      <c r="H18" s="15">
        <f t="shared" si="0"/>
        <v>54944.44</v>
      </c>
      <c r="I18" s="15">
        <f t="shared" si="0"/>
        <v>53856.639999999999</v>
      </c>
      <c r="J18" s="15">
        <f t="shared" si="0"/>
        <v>52811.96</v>
      </c>
      <c r="K18" s="15">
        <f t="shared" si="0"/>
        <v>50072.02</v>
      </c>
      <c r="L18" s="16">
        <f t="shared" si="0"/>
        <v>47404.739999999991</v>
      </c>
      <c r="M18" s="15">
        <f t="shared" si="0"/>
        <v>44344.06</v>
      </c>
      <c r="N18" s="15">
        <f t="shared" si="0"/>
        <v>40204.399999999994</v>
      </c>
      <c r="O18" s="15">
        <f>SUM(O11:O17)</f>
        <v>35650.200000000004</v>
      </c>
      <c r="R18" s="90"/>
      <c r="S18" s="90"/>
      <c r="T18" s="90"/>
      <c r="U18" s="90"/>
    </row>
    <row r="20" spans="1:21" x14ac:dyDescent="0.25">
      <c r="A20" s="1" t="s">
        <v>12</v>
      </c>
    </row>
    <row r="21" spans="1:21" x14ac:dyDescent="0.25">
      <c r="E21" s="18" t="s">
        <v>13</v>
      </c>
      <c r="F21" s="3" t="s">
        <v>14</v>
      </c>
      <c r="G21" s="3">
        <v>25</v>
      </c>
      <c r="H21" s="3">
        <v>24</v>
      </c>
      <c r="I21" s="3">
        <v>23</v>
      </c>
      <c r="J21" s="3">
        <v>22</v>
      </c>
      <c r="K21" s="18">
        <v>21</v>
      </c>
      <c r="L21" s="18">
        <v>20</v>
      </c>
      <c r="M21" s="3">
        <v>19</v>
      </c>
      <c r="N21" s="18">
        <v>18</v>
      </c>
      <c r="O21" s="3">
        <v>17</v>
      </c>
      <c r="P21" s="18">
        <v>16</v>
      </c>
      <c r="Q21" s="3" t="s">
        <v>15</v>
      </c>
    </row>
    <row r="22" spans="1:21" x14ac:dyDescent="0.25">
      <c r="E22" s="20"/>
      <c r="F22" s="19"/>
      <c r="G22" s="19"/>
      <c r="H22" s="19"/>
      <c r="I22" s="19"/>
      <c r="J22" s="19"/>
      <c r="K22" s="20"/>
      <c r="L22" s="20"/>
      <c r="M22" s="19"/>
      <c r="N22" s="20"/>
      <c r="O22" s="19"/>
      <c r="P22" s="118"/>
      <c r="Q22" s="19"/>
    </row>
    <row r="23" spans="1:21" s="5" customFormat="1" x14ac:dyDescent="0.25">
      <c r="D23" s="9"/>
      <c r="E23" s="11"/>
      <c r="F23" s="10"/>
      <c r="G23" s="10"/>
      <c r="H23" s="10"/>
      <c r="I23" s="10"/>
      <c r="J23" s="10"/>
      <c r="K23" s="11"/>
      <c r="L23" s="11"/>
      <c r="M23" s="10"/>
      <c r="N23" s="11"/>
      <c r="O23" s="10"/>
      <c r="P23" s="11"/>
      <c r="Q23" s="6"/>
      <c r="R23" s="90"/>
      <c r="S23" s="90"/>
      <c r="T23" s="90"/>
      <c r="U23" s="90"/>
    </row>
    <row r="24" spans="1:21" s="5" customFormat="1" x14ac:dyDescent="0.25">
      <c r="E24" s="13"/>
      <c r="K24" s="13"/>
      <c r="L24" s="13"/>
      <c r="N24" s="13"/>
      <c r="P24" s="13"/>
      <c r="Q24" s="6"/>
      <c r="R24" s="90"/>
      <c r="S24" s="90"/>
      <c r="T24" s="90"/>
      <c r="U24" s="90"/>
    </row>
    <row r="25" spans="1:21" s="5" customFormat="1" x14ac:dyDescent="0.25">
      <c r="D25" s="6" t="s">
        <v>6</v>
      </c>
      <c r="E25" s="7">
        <f>ROUND(('jul mensual func'!E26*12)+('jul mensual func'!$B$69*2),2)</f>
        <v>13731.58</v>
      </c>
      <c r="F25" s="104">
        <f>ROUND(('jul mensual func'!F26*12)+('jul mensual func'!$B$69*2),2)</f>
        <v>13731.58</v>
      </c>
      <c r="G25" s="104">
        <f>ROUND(('jul mensual func'!G26*12)+('jul mensual func'!$B$69*2),2)</f>
        <v>13731.58</v>
      </c>
      <c r="H25" s="104">
        <f>ROUND(('jul mensual func'!H26*12)+('jul mensual func'!$B$69*2),2)</f>
        <v>13731.58</v>
      </c>
      <c r="I25" s="104">
        <f>ROUND(('jul mensual func'!I26*12)+('jul mensual func'!$B$69*2),2)</f>
        <v>13731.58</v>
      </c>
      <c r="J25" s="104">
        <f>ROUND(('jul mensual func'!J26*12)+('jul mensual func'!$B$69*2),2)</f>
        <v>13731.58</v>
      </c>
      <c r="K25" s="7">
        <f>ROUND(('jul mensual func'!K26*12)+('jul mensual func'!$B$69*2),2)</f>
        <v>13731.58</v>
      </c>
      <c r="L25" s="7">
        <f>ROUND(('jul mensual func'!L26*12)+('jul mensual func'!$B$69*2),2)</f>
        <v>13731.58</v>
      </c>
      <c r="M25" s="104">
        <f>ROUND(('jul mensual func'!M26*12)+('jul mensual func'!$B$69*2),2)</f>
        <v>13731.58</v>
      </c>
      <c r="N25" s="7">
        <f>ROUND(('jul mensual func'!N26*12)+('jul mensual func'!$B$69*2),2)</f>
        <v>13731.58</v>
      </c>
      <c r="O25" s="104">
        <f>ROUND(('jul mensual func'!O26*12)+('jul mensual func'!$B$69*2),2)</f>
        <v>13731.58</v>
      </c>
      <c r="P25" s="119">
        <f>ROUND(('jul mensual func'!P26*12)+('jul mensual func'!$B$69*2),2)</f>
        <v>13731.58</v>
      </c>
      <c r="Q25" s="104">
        <f>ROUND(('jul mensual func'!Q26*12)+('jul mensual func'!$B$69*2),2)</f>
        <v>13731.58</v>
      </c>
      <c r="R25" s="146"/>
      <c r="S25" s="90"/>
      <c r="T25" s="90"/>
      <c r="U25" s="90"/>
    </row>
    <row r="26" spans="1:21" s="5" customFormat="1" x14ac:dyDescent="0.25">
      <c r="D26" s="6" t="s">
        <v>7</v>
      </c>
      <c r="E26" s="7">
        <f>'Oct mes fun'!F24*14</f>
        <v>10400.040000000001</v>
      </c>
      <c r="F26" s="6">
        <f>ROUND('jul mensual func'!F27*14,2)</f>
        <v>10400.040000000001</v>
      </c>
      <c r="G26" s="6">
        <f>ROUND('jul mensual func'!G27*14,2)</f>
        <v>9226.98</v>
      </c>
      <c r="H26" s="6">
        <f>ROUND('jul mensual func'!H27*14,2)</f>
        <v>8682.66</v>
      </c>
      <c r="I26" s="6">
        <f>ROUND('jul mensual func'!I27*14,2)</f>
        <v>8139.04</v>
      </c>
      <c r="J26" s="6">
        <f>ROUND('jul mensual func'!J27*14,2)</f>
        <v>7594.3</v>
      </c>
      <c r="K26" s="7">
        <f>ROUND('jul mensual func'!K27*14,2)</f>
        <v>7050.82</v>
      </c>
      <c r="L26" s="7">
        <f>ROUND('jul mensual func'!L27*14,2)</f>
        <v>6549.62</v>
      </c>
      <c r="M26" s="6">
        <f>ROUND('jul mensual func'!M27*14,2)</f>
        <v>6215.3</v>
      </c>
      <c r="N26" s="7">
        <f>ROUND('jul mensual func'!N27*14,2)</f>
        <v>5880.7</v>
      </c>
      <c r="O26" s="6">
        <f>ROUND('jul mensual func'!O27*14,2)</f>
        <v>5546.1</v>
      </c>
      <c r="P26" s="119">
        <f>ROUND('jul mensual func'!P27*14,2)</f>
        <v>5212.4799999999996</v>
      </c>
      <c r="Q26" s="6">
        <f>ROUND('jul mensual func'!Q27*14,2)</f>
        <v>5199.74</v>
      </c>
      <c r="R26" s="90"/>
      <c r="S26" s="90"/>
      <c r="T26" s="90"/>
      <c r="U26" s="90"/>
    </row>
    <row r="27" spans="1:21" s="5" customFormat="1" x14ac:dyDescent="0.25">
      <c r="D27" s="6" t="s">
        <v>8</v>
      </c>
      <c r="E27" s="7">
        <f>ROUND('jul mensual func'!E28*14,2)</f>
        <v>21750.68</v>
      </c>
      <c r="F27" s="6">
        <f>ROUND('jul mensual func'!F28*14,2)</f>
        <v>18207.7</v>
      </c>
      <c r="G27" s="6">
        <f>ROUND('jul mensual func'!G28*14,2)</f>
        <v>17198.86</v>
      </c>
      <c r="H27" s="6">
        <f>ROUND('jul mensual func'!H28*14,2)</f>
        <v>17040.66</v>
      </c>
      <c r="I27" s="6">
        <f>ROUND('jul mensual func'!I28*14,2)</f>
        <v>16766.68</v>
      </c>
      <c r="J27" s="6">
        <f>ROUND('jul mensual func'!J28*14,2)</f>
        <v>16494.38</v>
      </c>
      <c r="K27" s="7">
        <f>ROUND('jul mensual func'!K28*14,2)</f>
        <v>16129.4</v>
      </c>
      <c r="L27" s="7">
        <f>ROUND('jul mensual func'!L28*14,2)</f>
        <v>15732.64</v>
      </c>
      <c r="M27" s="6">
        <f>ROUND('jul mensual func'!M28*14,2)</f>
        <v>15499.96</v>
      </c>
      <c r="N27" s="7">
        <f>ROUND('jul mensual func'!N28*14,2)</f>
        <v>14299.32</v>
      </c>
      <c r="O27" s="6">
        <f>ROUND('jul mensual func'!O28*14,2)</f>
        <v>13582.38</v>
      </c>
      <c r="P27" s="119">
        <f>ROUND('jul mensual func'!P28*14,2)</f>
        <v>12864.88</v>
      </c>
      <c r="Q27" s="6">
        <f>ROUND('jul mensual func'!Q28*14,2)</f>
        <v>11145.26</v>
      </c>
      <c r="R27" s="90"/>
      <c r="S27" s="90"/>
      <c r="T27" s="90"/>
      <c r="U27" s="90"/>
    </row>
    <row r="28" spans="1:21" s="5" customFormat="1" x14ac:dyDescent="0.25">
      <c r="D28" s="6" t="s">
        <v>9</v>
      </c>
      <c r="E28" s="7">
        <f>ROUND('jul mensual func'!E29*14,2)</f>
        <v>4147.08</v>
      </c>
      <c r="F28" s="6">
        <f>ROUND('jul mensual func'!F29*14,2)</f>
        <v>3528.28</v>
      </c>
      <c r="G28" s="6">
        <f>ROUND('jul mensual func'!G29*14,2)</f>
        <v>3346.42</v>
      </c>
      <c r="H28" s="6">
        <f>ROUND('jul mensual func'!H29*14,2)</f>
        <v>3287.9</v>
      </c>
      <c r="I28" s="6">
        <f>ROUND('jul mensual func'!I29*14,2)</f>
        <v>3219.72</v>
      </c>
      <c r="J28" s="6">
        <f>ROUND('jul mensual func'!J29*14,2)</f>
        <v>3151.68</v>
      </c>
      <c r="K28" s="7">
        <f>ROUND('jul mensual func'!K29*14,2)</f>
        <v>3075.94</v>
      </c>
      <c r="L28" s="7">
        <f>ROUND('jul mensual func'!L29*14,2)</f>
        <v>3001.18</v>
      </c>
      <c r="M28" s="6">
        <f>ROUND('jul mensual func'!M29*14,2)</f>
        <v>2954</v>
      </c>
      <c r="N28" s="7">
        <f>ROUND('jul mensual func'!N29*14,2)</f>
        <v>2825.9</v>
      </c>
      <c r="O28" s="6">
        <f>ROUND('jul mensual func'!O29*14,2)</f>
        <v>2738.26</v>
      </c>
      <c r="P28" s="119">
        <f>ROUND('jul mensual func'!P29*14,2)</f>
        <v>2650.76</v>
      </c>
      <c r="Q28" s="6">
        <f>ROUND('jul mensual func'!Q29*14,2)</f>
        <v>2507.4</v>
      </c>
      <c r="R28" s="90"/>
      <c r="S28" s="90"/>
      <c r="T28" s="90"/>
      <c r="U28" s="90"/>
    </row>
    <row r="29" spans="1:21" s="5" customFormat="1" x14ac:dyDescent="0.25">
      <c r="D29" s="6" t="s">
        <v>10</v>
      </c>
      <c r="E29" s="7">
        <f>ROUND('jul mensual func'!E30*14,2)</f>
        <v>3691.52</v>
      </c>
      <c r="F29" s="6">
        <f>ROUND('jul mensual func'!F30*14,2)</f>
        <v>2541</v>
      </c>
      <c r="G29" s="6">
        <f>ROUND('jul mensual func'!G30*14,2)</f>
        <v>2386.44</v>
      </c>
      <c r="H29" s="6">
        <f>ROUND('jul mensual func'!H30*14,2)</f>
        <v>2392.3200000000002</v>
      </c>
      <c r="I29" s="6">
        <f>ROUND('jul mensual func'!I30*14,2)</f>
        <v>2369.2199999999998</v>
      </c>
      <c r="J29" s="6">
        <f>ROUND('jul mensual func'!J30*14,2)</f>
        <v>2346.4</v>
      </c>
      <c r="K29" s="7">
        <f>ROUND('jul mensual func'!K30*14,2)</f>
        <v>2300.48</v>
      </c>
      <c r="L29" s="7">
        <f>ROUND('jul mensual func'!L30*14,2)</f>
        <v>2243.08</v>
      </c>
      <c r="M29" s="6">
        <f>ROUND('jul mensual func'!M30*14,2)</f>
        <v>2212.84</v>
      </c>
      <c r="N29" s="7">
        <f>ROUND('jul mensual func'!N30*14,2)</f>
        <v>1940.4</v>
      </c>
      <c r="O29" s="6">
        <f>ROUND('jul mensual func'!O30*14,2)</f>
        <v>1789.2</v>
      </c>
      <c r="P29" s="119">
        <f>ROUND('jul mensual func'!P30*14,2)</f>
        <v>1637.44</v>
      </c>
      <c r="Q29" s="6">
        <f>ROUND('jul mensual func'!Q30*14,2)</f>
        <v>1207.5</v>
      </c>
      <c r="R29" s="90"/>
      <c r="S29" s="90"/>
      <c r="T29" s="90"/>
      <c r="U29" s="90"/>
    </row>
    <row r="30" spans="1:21" s="5" customFormat="1" x14ac:dyDescent="0.25">
      <c r="E30" s="7"/>
      <c r="F30" s="6"/>
      <c r="G30" s="6"/>
      <c r="H30" s="6"/>
      <c r="I30" s="6"/>
      <c r="J30" s="6"/>
      <c r="K30" s="7"/>
      <c r="L30" s="7"/>
      <c r="M30" s="6"/>
      <c r="N30" s="7"/>
      <c r="O30" s="6"/>
      <c r="P30" s="119"/>
      <c r="Q30" s="6"/>
      <c r="R30" s="90"/>
      <c r="S30" s="90"/>
      <c r="T30" s="90"/>
      <c r="U30" s="90"/>
    </row>
    <row r="31" spans="1:21" s="5" customFormat="1" x14ac:dyDescent="0.25">
      <c r="D31" s="6" t="s">
        <v>11</v>
      </c>
      <c r="E31" s="7">
        <f>ROUND('jul mensual func'!E32*14,2)</f>
        <v>5610.5</v>
      </c>
      <c r="F31" s="6">
        <f>ROUND('jul mensual func'!F32*14,2)</f>
        <v>3848.32</v>
      </c>
      <c r="G31" s="6">
        <f>ROUND('jul mensual func'!G32*14,2)</f>
        <v>5493.04</v>
      </c>
      <c r="H31" s="6">
        <f>ROUND('jul mensual func'!H32*14,2)</f>
        <v>3575.04</v>
      </c>
      <c r="I31" s="6">
        <f>ROUND('jul mensual func'!I32*14,2)</f>
        <v>2826.18</v>
      </c>
      <c r="J31" s="6">
        <f>ROUND('jul mensual func'!J32*14,2)</f>
        <v>2755.76</v>
      </c>
      <c r="K31" s="7">
        <f>ROUND('jul mensual func'!K32*14,2)</f>
        <v>2731.12</v>
      </c>
      <c r="L31" s="7">
        <f>ROUND('jul mensual func'!L32*14,2)</f>
        <v>2737.7</v>
      </c>
      <c r="M31" s="6">
        <f>ROUND('jul mensual func'!M32*14,2)</f>
        <v>2714.32</v>
      </c>
      <c r="N31" s="7">
        <f>ROUND('jul mensual func'!N32*14,2)</f>
        <v>2592.66</v>
      </c>
      <c r="O31" s="6">
        <f>ROUND('jul mensual func'!O32*14,2)</f>
        <v>2597.84</v>
      </c>
      <c r="P31" s="119">
        <f>ROUND('jul mensual func'!P32*14,2)</f>
        <v>2502.92</v>
      </c>
      <c r="Q31" s="6">
        <f>ROUND('jul mensual func'!Q32*14,2)</f>
        <v>3026.38</v>
      </c>
      <c r="R31" s="90"/>
      <c r="S31" s="90"/>
      <c r="T31" s="90"/>
      <c r="U31" s="90"/>
    </row>
    <row r="32" spans="1:21" s="5" customFormat="1" x14ac:dyDescent="0.25">
      <c r="D32" s="15"/>
      <c r="E32" s="16">
        <f>SUM(E25:E31)</f>
        <v>59331.4</v>
      </c>
      <c r="F32" s="139">
        <f t="shared" ref="F32:Q32" si="1">SUM(F25:F31)</f>
        <v>52256.920000000006</v>
      </c>
      <c r="G32" s="139">
        <f t="shared" si="1"/>
        <v>51383.32</v>
      </c>
      <c r="H32" s="139">
        <f t="shared" si="1"/>
        <v>48710.159999999996</v>
      </c>
      <c r="I32" s="139">
        <f t="shared" si="1"/>
        <v>47052.420000000006</v>
      </c>
      <c r="J32" s="139">
        <f t="shared" si="1"/>
        <v>46074.100000000006</v>
      </c>
      <c r="K32" s="16">
        <f t="shared" si="1"/>
        <v>45019.340000000011</v>
      </c>
      <c r="L32" s="16">
        <f t="shared" si="1"/>
        <v>43995.799999999996</v>
      </c>
      <c r="M32" s="139">
        <f t="shared" si="1"/>
        <v>43327.999999999993</v>
      </c>
      <c r="N32" s="16">
        <f t="shared" si="1"/>
        <v>41270.559999999998</v>
      </c>
      <c r="O32" s="139">
        <f t="shared" si="1"/>
        <v>39985.360000000001</v>
      </c>
      <c r="P32" s="120">
        <f t="shared" si="1"/>
        <v>38600.06</v>
      </c>
      <c r="Q32" s="139">
        <f t="shared" si="1"/>
        <v>36817.86</v>
      </c>
      <c r="R32" s="90"/>
      <c r="S32" s="90"/>
      <c r="T32" s="90"/>
      <c r="U32" s="90"/>
    </row>
    <row r="33" spans="1:21" s="5" customFormat="1" x14ac:dyDescent="0.25">
      <c r="R33" s="90"/>
      <c r="S33" s="90"/>
      <c r="T33" s="90"/>
      <c r="U33" s="90"/>
    </row>
    <row r="34" spans="1:21" x14ac:dyDescent="0.25">
      <c r="A34" s="1" t="s">
        <v>16</v>
      </c>
      <c r="E34" s="5"/>
    </row>
    <row r="35" spans="1:21" x14ac:dyDescent="0.25">
      <c r="J35">
        <v>22</v>
      </c>
      <c r="K35">
        <v>21</v>
      </c>
      <c r="L35">
        <v>20</v>
      </c>
      <c r="M35">
        <v>19</v>
      </c>
      <c r="N35">
        <v>18</v>
      </c>
      <c r="O35" s="2">
        <v>17</v>
      </c>
      <c r="P35" s="2">
        <v>16</v>
      </c>
      <c r="Q35" s="2">
        <v>15</v>
      </c>
      <c r="R35" s="125">
        <v>14</v>
      </c>
      <c r="S35" s="126">
        <v>13</v>
      </c>
      <c r="T35" s="125">
        <v>12</v>
      </c>
    </row>
    <row r="36" spans="1:21" x14ac:dyDescent="0.25">
      <c r="J36" s="63"/>
      <c r="K36" s="63"/>
      <c r="L36" s="63"/>
      <c r="M36" s="63"/>
      <c r="N36" s="63"/>
      <c r="O36" s="147"/>
      <c r="P36" s="147"/>
      <c r="Q36" s="147"/>
      <c r="R36" s="63"/>
      <c r="S36" s="147"/>
      <c r="T36" s="63"/>
    </row>
    <row r="37" spans="1:21" s="5" customFormat="1" x14ac:dyDescent="0.25">
      <c r="I37" s="58"/>
      <c r="J37" s="60"/>
      <c r="K37" s="60"/>
      <c r="L37" s="60"/>
      <c r="M37" s="60"/>
      <c r="N37" s="60"/>
      <c r="O37" s="148"/>
      <c r="P37" s="148"/>
      <c r="Q37" s="148"/>
      <c r="R37" s="60"/>
      <c r="S37" s="148"/>
      <c r="T37" s="59"/>
      <c r="U37" s="90"/>
    </row>
    <row r="38" spans="1:21" s="5" customFormat="1" x14ac:dyDescent="0.25">
      <c r="O38" s="13"/>
      <c r="P38" s="13"/>
      <c r="Q38" s="13"/>
      <c r="R38" s="90"/>
      <c r="S38" s="127"/>
      <c r="T38" s="90"/>
      <c r="U38" s="90"/>
    </row>
    <row r="39" spans="1:21" s="5" customFormat="1" x14ac:dyDescent="0.25">
      <c r="I39" s="6" t="s">
        <v>6</v>
      </c>
      <c r="J39" s="6"/>
      <c r="K39" s="104">
        <f>ROUND(('jul mensual func'!K40*12)+('jul mensual func'!$B$70*2),2)</f>
        <v>10516.92</v>
      </c>
      <c r="L39" s="104">
        <f>ROUND(('jul mensual func'!L40*12)+('jul mensual func'!$B$70*2),2)</f>
        <v>10516.92</v>
      </c>
      <c r="M39" s="104">
        <f>ROUND(('jul mensual func'!M40*12)+('jul mensual func'!$B$70*2),2)</f>
        <v>10516.92</v>
      </c>
      <c r="N39" s="104">
        <f>ROUND(('jul mensual func'!N40*12)+('jul mensual func'!$B$70*2),2)</f>
        <v>10516.92</v>
      </c>
      <c r="O39" s="7">
        <f>ROUND(('jul mensual func'!O40*12)+('jul mensual func'!$B$70*2),2)</f>
        <v>10516.92</v>
      </c>
      <c r="P39" s="7">
        <f>ROUND(('jul mensual func'!P40*12)+('jul mensual func'!$B$70*2),2)</f>
        <v>10516.92</v>
      </c>
      <c r="Q39" s="7">
        <f>ROUND(('jul mensual func'!Q40*12)+('jul mensual func'!$B$70*2),2)</f>
        <v>10516.92</v>
      </c>
      <c r="R39" s="104">
        <f>ROUND(('jul mensual func'!R40*12)+('jul mensual func'!$B$70*2),2)</f>
        <v>10516.92</v>
      </c>
      <c r="S39" s="7">
        <f>ROUND(('jul mensual func'!S40*12)+('jul mensual func'!$B$70*2),2)</f>
        <v>10516.92</v>
      </c>
      <c r="T39" s="104">
        <f>ROUND(('jul mensual func'!T40*12)+('jul mensual func'!$B$70*2),2)</f>
        <v>10516.92</v>
      </c>
      <c r="U39" s="90"/>
    </row>
    <row r="40" spans="1:21" s="5" customFormat="1" x14ac:dyDescent="0.25">
      <c r="I40" s="6" t="s">
        <v>7</v>
      </c>
      <c r="J40" s="6"/>
      <c r="K40" s="6">
        <f>ROUND(('jul mensual func'!K41)*14,2)</f>
        <v>7050.82</v>
      </c>
      <c r="L40" s="6">
        <f>ROUND(('jul mensual func'!L41)*14,2)</f>
        <v>6549.62</v>
      </c>
      <c r="M40" s="6">
        <f>ROUND(('jul mensual func'!M41)*14,2)</f>
        <v>6215.3</v>
      </c>
      <c r="N40" s="6">
        <f>ROUND(('jul mensual func'!N41)*14,2)</f>
        <v>5880.7</v>
      </c>
      <c r="O40" s="7">
        <f>ROUND(('jul mensual func'!O41)*14,2)</f>
        <v>5546.1</v>
      </c>
      <c r="P40" s="7">
        <f>ROUND(('jul mensual func'!P41)*14,2)</f>
        <v>5212.4799999999996</v>
      </c>
      <c r="Q40" s="7">
        <f>ROUND(('jul mensual func'!Q41)*14,2)</f>
        <v>4877.46</v>
      </c>
      <c r="R40" s="6">
        <f>ROUND(('jul mensual func'!R41)*14,2)</f>
        <v>4543.5600000000004</v>
      </c>
      <c r="S40" s="7">
        <f>ROUND(('jul mensual func'!S41)*14,2)</f>
        <v>4208.68</v>
      </c>
      <c r="T40" s="6">
        <f>ROUND(('jul mensual func'!T41)*14,2)</f>
        <v>3874.08</v>
      </c>
      <c r="U40" s="90"/>
    </row>
    <row r="41" spans="1:21" s="5" customFormat="1" x14ac:dyDescent="0.25">
      <c r="I41" s="6" t="s">
        <v>8</v>
      </c>
      <c r="J41" s="6"/>
      <c r="K41" s="6">
        <f>ROUND(('jul mensual func'!K42)*14,2)</f>
        <v>18105.080000000002</v>
      </c>
      <c r="L41" s="6">
        <f>ROUND(('jul mensual func'!L42)*14,2)</f>
        <v>17838.8</v>
      </c>
      <c r="M41" s="6">
        <f>ROUND(('jul mensual func'!M42)*14,2)</f>
        <v>17032.12</v>
      </c>
      <c r="N41" s="6">
        <f>ROUND(('jul mensual func'!N42)*14,2)</f>
        <v>16435.580000000002</v>
      </c>
      <c r="O41" s="7">
        <f>ROUND(('jul mensual func'!O42)*14,2)</f>
        <v>14782.18</v>
      </c>
      <c r="P41" s="7">
        <f>ROUND(('jul mensual func'!P42)*14,2)</f>
        <v>13625.36</v>
      </c>
      <c r="Q41" s="7">
        <f>ROUND(('jul mensual func'!Q42)*14,2)</f>
        <v>11971.12</v>
      </c>
      <c r="R41" s="6">
        <f>ROUND(('jul mensual func'!R42)*14,2)</f>
        <v>11016.46</v>
      </c>
      <c r="S41" s="7">
        <f>ROUND(('jul mensual func'!S42)*14,2)</f>
        <v>10344.040000000001</v>
      </c>
      <c r="T41" s="6">
        <f>ROUND(('jul mensual func'!T42)*14,2)</f>
        <v>9057.86</v>
      </c>
      <c r="U41" s="90"/>
    </row>
    <row r="42" spans="1:21" s="5" customFormat="1" x14ac:dyDescent="0.25">
      <c r="I42" s="6" t="s">
        <v>9</v>
      </c>
      <c r="J42" s="6"/>
      <c r="K42" s="6">
        <f>ROUND(('jul mensual func'!K43)*14,2)</f>
        <v>2972.76</v>
      </c>
      <c r="L42" s="6">
        <f>ROUND(('jul mensual func'!L43)*14,2)</f>
        <v>2908.78</v>
      </c>
      <c r="M42" s="6">
        <f>ROUND(('jul mensual func'!M43)*14,2)</f>
        <v>2813.58</v>
      </c>
      <c r="N42" s="6">
        <f>ROUND(('jul mensual func'!N43)*14,2)</f>
        <v>2736.16</v>
      </c>
      <c r="O42" s="7">
        <f>ROUND(('jul mensual func'!O43)*14,2)</f>
        <v>2570.54</v>
      </c>
      <c r="P42" s="7">
        <f>ROUND(('jul mensual func'!P43)*14,2)</f>
        <v>2446.2199999999998</v>
      </c>
      <c r="Q42" s="7">
        <f>ROUND(('jul mensual func'!Q43)*14,2)</f>
        <v>2280.46</v>
      </c>
      <c r="R42" s="6">
        <f>ROUND(('jul mensual func'!R43)*14,2)</f>
        <v>2173.08</v>
      </c>
      <c r="S42" s="7">
        <f>ROUND(('jul mensual func'!S43)*14,2)</f>
        <v>2089.08</v>
      </c>
      <c r="T42" s="6">
        <f>ROUND(('jul mensual func'!T43)*14,2)</f>
        <v>1953.98</v>
      </c>
      <c r="U42" s="90"/>
    </row>
    <row r="43" spans="1:21" s="5" customFormat="1" x14ac:dyDescent="0.25">
      <c r="I43" s="6" t="s">
        <v>10</v>
      </c>
      <c r="J43" s="6"/>
      <c r="K43" s="6">
        <f>ROUND(('jul mensual func'!K44)*14,2)</f>
        <v>3062.36</v>
      </c>
      <c r="L43" s="6">
        <f>ROUND(('jul mensual func'!L44)*14,2)</f>
        <v>3037.44</v>
      </c>
      <c r="M43" s="6">
        <f>ROUND(('jul mensual func'!M44)*14,2)</f>
        <v>2863.7</v>
      </c>
      <c r="N43" s="6">
        <f>ROUND(('jul mensual func'!N44)*14,2)</f>
        <v>2742.46</v>
      </c>
      <c r="O43" s="7">
        <f>ROUND(('jul mensual func'!O44)*14,2)</f>
        <v>2357.04</v>
      </c>
      <c r="P43" s="7">
        <f>ROUND(('jul mensual func'!P44)*14,2)</f>
        <v>2095.52</v>
      </c>
      <c r="Q43" s="7">
        <f>ROUND(('jul mensual func'!Q44)*14,2)</f>
        <v>1709.96</v>
      </c>
      <c r="R43" s="6">
        <f>ROUND(('jul mensual func'!R44)*14,2)</f>
        <v>1499.12</v>
      </c>
      <c r="S43" s="7">
        <f>ROUND(('jul mensual func'!S44)*14,2)</f>
        <v>1358.98</v>
      </c>
      <c r="T43" s="6">
        <f>ROUND(('jul mensual func'!T44)*14,2)</f>
        <v>1065.26</v>
      </c>
      <c r="U43" s="90"/>
    </row>
    <row r="44" spans="1:21" s="5" customFormat="1" x14ac:dyDescent="0.25">
      <c r="J44" s="21"/>
      <c r="K44" s="6"/>
      <c r="L44" s="6"/>
      <c r="M44" s="6"/>
      <c r="N44" s="6"/>
      <c r="O44" s="7"/>
      <c r="P44" s="7"/>
      <c r="Q44" s="7"/>
      <c r="R44" s="6"/>
      <c r="S44" s="7"/>
      <c r="T44" s="6"/>
      <c r="U44" s="90"/>
    </row>
    <row r="45" spans="1:21" s="5" customFormat="1" x14ac:dyDescent="0.25">
      <c r="I45" s="6" t="s">
        <v>17</v>
      </c>
      <c r="J45" s="6"/>
      <c r="K45" s="6">
        <f>ROUND(('jul mensual func'!K46)*14,2)</f>
        <v>5743.08</v>
      </c>
      <c r="L45" s="6">
        <f>ROUND(('jul mensual func'!L46)*14,2)</f>
        <v>5521.32</v>
      </c>
      <c r="M45" s="6">
        <f>ROUND(('jul mensual func'!M46)*14,2)</f>
        <v>4799.4799999999996</v>
      </c>
      <c r="N45" s="6">
        <f>ROUND(('jul mensual func'!N46)*14,2)</f>
        <v>2658.32</v>
      </c>
      <c r="O45" s="7">
        <f>ROUND(('jul mensual func'!O46)*14,2)</f>
        <v>3137.4</v>
      </c>
      <c r="P45" s="7">
        <f>ROUND(('jul mensual func'!P46)*14,2)</f>
        <v>2325.6799999999998</v>
      </c>
      <c r="Q45" s="7">
        <f>ROUND(('jul mensual func'!Q46)*14,2)</f>
        <v>2858.94</v>
      </c>
      <c r="R45" s="6">
        <f>ROUND(('jul mensual func'!R46)*14,2)</f>
        <v>3168.9</v>
      </c>
      <c r="S45" s="7">
        <f>ROUND(('jul mensual func'!S46)*14,2)</f>
        <v>3026.66</v>
      </c>
      <c r="T45" s="6">
        <f>ROUND(('jul mensual func'!T46)*14,2)</f>
        <v>2577.6799999999998</v>
      </c>
      <c r="U45" s="90"/>
    </row>
    <row r="46" spans="1:21" s="5" customFormat="1" x14ac:dyDescent="0.25">
      <c r="I46" s="15"/>
      <c r="J46" s="15"/>
      <c r="K46" s="15">
        <f>SUM(K39:K45)</f>
        <v>47451.020000000004</v>
      </c>
      <c r="L46" s="15">
        <f t="shared" ref="L46:T46" si="2">SUM(L39:L45)</f>
        <v>46372.88</v>
      </c>
      <c r="M46" s="15">
        <f t="shared" si="2"/>
        <v>44241.099999999991</v>
      </c>
      <c r="N46" s="15">
        <f t="shared" si="2"/>
        <v>40970.14</v>
      </c>
      <c r="O46" s="16">
        <f t="shared" si="2"/>
        <v>38910.18</v>
      </c>
      <c r="P46" s="16">
        <f t="shared" si="2"/>
        <v>36222.18</v>
      </c>
      <c r="Q46" s="16">
        <f t="shared" si="2"/>
        <v>34214.86</v>
      </c>
      <c r="R46" s="15">
        <f t="shared" si="2"/>
        <v>32918.039999999994</v>
      </c>
      <c r="S46" s="16">
        <f t="shared" si="2"/>
        <v>31544.36</v>
      </c>
      <c r="T46" s="15">
        <f t="shared" si="2"/>
        <v>29045.78</v>
      </c>
      <c r="U46" s="90"/>
    </row>
    <row r="47" spans="1:21" s="5" customFormat="1" x14ac:dyDescent="0.25">
      <c r="R47" s="90"/>
      <c r="S47" s="90"/>
      <c r="T47" s="90"/>
      <c r="U47" s="90"/>
    </row>
    <row r="48" spans="1:21" x14ac:dyDescent="0.25">
      <c r="A48" s="1" t="s">
        <v>18</v>
      </c>
    </row>
    <row r="49" spans="1:23" x14ac:dyDescent="0.25">
      <c r="A49" t="s">
        <v>19</v>
      </c>
      <c r="C49" s="5">
        <v>27.95</v>
      </c>
    </row>
    <row r="50" spans="1:23" x14ac:dyDescent="0.25">
      <c r="C50" s="5"/>
      <c r="M50" s="22"/>
    </row>
    <row r="51" spans="1:23" x14ac:dyDescent="0.25">
      <c r="C51" s="5"/>
      <c r="N51" s="142">
        <v>18</v>
      </c>
      <c r="O51" s="2">
        <v>17</v>
      </c>
      <c r="P51" s="142">
        <v>16</v>
      </c>
      <c r="Q51" s="142">
        <v>15</v>
      </c>
      <c r="R51" s="126">
        <v>14</v>
      </c>
      <c r="S51" s="126">
        <v>13</v>
      </c>
      <c r="T51" s="126">
        <v>12</v>
      </c>
      <c r="U51" s="126">
        <v>11</v>
      </c>
      <c r="V51" s="142">
        <v>10</v>
      </c>
      <c r="W51" s="2">
        <v>9</v>
      </c>
    </row>
    <row r="52" spans="1:23" x14ac:dyDescent="0.25">
      <c r="C52" s="5"/>
      <c r="N52" s="149"/>
      <c r="O52" s="20"/>
      <c r="P52" s="149"/>
      <c r="Q52" s="149"/>
      <c r="R52" s="20"/>
      <c r="S52" s="20"/>
      <c r="T52" s="20"/>
      <c r="U52" s="20"/>
      <c r="V52" s="149"/>
      <c r="W52" s="20"/>
    </row>
    <row r="53" spans="1:23" x14ac:dyDescent="0.25">
      <c r="C53" s="5"/>
      <c r="M53" s="58"/>
      <c r="N53" s="150"/>
      <c r="O53" s="151"/>
      <c r="P53" s="150"/>
      <c r="Q53" s="150"/>
      <c r="R53" s="151"/>
      <c r="S53" s="151"/>
      <c r="T53" s="151"/>
      <c r="U53" s="151"/>
      <c r="V53" s="150"/>
      <c r="W53" s="33"/>
    </row>
    <row r="54" spans="1:23" x14ac:dyDescent="0.25">
      <c r="C54" s="5"/>
      <c r="M54" s="5"/>
      <c r="N54" s="141"/>
      <c r="O54" s="2"/>
      <c r="P54" s="141"/>
      <c r="Q54" s="141"/>
      <c r="R54" s="126"/>
      <c r="S54" s="126"/>
      <c r="T54" s="126"/>
      <c r="U54" s="126"/>
      <c r="V54" s="141"/>
      <c r="W54" s="13"/>
    </row>
    <row r="55" spans="1:23" x14ac:dyDescent="0.25">
      <c r="C55" s="5"/>
      <c r="M55" s="6" t="s">
        <v>6</v>
      </c>
      <c r="N55" s="104">
        <f>ROUND(('jul mensual func'!N54*12)+('jul mensual func'!$B$71*2),2)</f>
        <v>8914.36</v>
      </c>
      <c r="O55" s="7">
        <f>ROUND(('jul mensual func'!O54*12)+('jul mensual func'!$B$71*2),2)</f>
        <v>8914.36</v>
      </c>
      <c r="P55" s="104">
        <f>ROUND(('jul mensual func'!P54*12)+('jul mensual func'!$B$71*2),2)</f>
        <v>8914.36</v>
      </c>
      <c r="Q55" s="104">
        <f>ROUND(('jul mensual func'!Q54*12)+('jul mensual func'!$B$71*2),2)</f>
        <v>8914.36</v>
      </c>
      <c r="R55" s="7">
        <f>ROUND(('jul mensual func'!R54*12)+('jul mensual func'!$B$71*2),2)</f>
        <v>8914.36</v>
      </c>
      <c r="S55" s="7">
        <f>ROUND(('jul mensual func'!S54*12)+('jul mensual func'!$B$71*2),2)</f>
        <v>8914.36</v>
      </c>
      <c r="T55" s="7">
        <f>ROUND(('jul mensual func'!T54*12)+('jul mensual func'!$B$71*2),2)</f>
        <v>8914.36</v>
      </c>
      <c r="U55" s="7">
        <f>ROUND(('jul mensual func'!U54*12)+('jul mensual func'!$B$71*2),2)</f>
        <v>8914.36</v>
      </c>
      <c r="V55" s="104">
        <f>ROUND(('jul mensual func'!V54*12)+('jul mensual func'!$B$71*2),2)</f>
        <v>8914.36</v>
      </c>
      <c r="W55" s="7">
        <f>ROUND(('jul mensual func'!W54*12)+('jul mensual func'!$B$71*2),2)</f>
        <v>8914.36</v>
      </c>
    </row>
    <row r="56" spans="1:23" x14ac:dyDescent="0.25">
      <c r="C56" s="5"/>
      <c r="M56" s="6" t="s">
        <v>7</v>
      </c>
      <c r="N56" s="6">
        <f>ROUND(('jul mensual func'!N55)*14,2)</f>
        <v>5880.7</v>
      </c>
      <c r="O56" s="7">
        <f>ROUND(('jul mensual func'!O55)*14,2)</f>
        <v>5546.1</v>
      </c>
      <c r="P56" s="6">
        <f>ROUND(('jul mensual func'!P55)*14,2)</f>
        <v>5212.4799999999996</v>
      </c>
      <c r="Q56" s="6">
        <f>ROUND(('jul mensual func'!Q55)*14,2)</f>
        <v>4877.46</v>
      </c>
      <c r="R56" s="7">
        <f>ROUND(('jul mensual func'!R55)*14,2)</f>
        <v>4543.5600000000004</v>
      </c>
      <c r="S56" s="7">
        <f>ROUND(('jul mensual func'!S55)*14,2)</f>
        <v>4208.68</v>
      </c>
      <c r="T56" s="7">
        <f>ROUND(('jul mensual func'!T55)*14,2)</f>
        <v>3874.08</v>
      </c>
      <c r="U56" s="7">
        <f>ROUND(('jul mensual func'!U55)*14,2)</f>
        <v>3539.48</v>
      </c>
      <c r="V56" s="6">
        <f>ROUND(('jul mensual func'!V55)*14,2)</f>
        <v>3205.58</v>
      </c>
      <c r="W56" s="7">
        <f>ROUND(('jul mensual func'!W55)*14,2)</f>
        <v>3038.56</v>
      </c>
    </row>
    <row r="57" spans="1:23" x14ac:dyDescent="0.25">
      <c r="A57" t="s">
        <v>20</v>
      </c>
      <c r="C57" s="5">
        <v>19.02</v>
      </c>
      <c r="M57" s="6" t="s">
        <v>8</v>
      </c>
      <c r="N57" s="6">
        <f>ROUND(('jul mensual func'!N56)*14,2)</f>
        <v>14111.86</v>
      </c>
      <c r="O57" s="7">
        <f>ROUND(('jul mensual func'!O56)*14,2)</f>
        <v>13526.24</v>
      </c>
      <c r="P57" s="6">
        <f>ROUND(('jul mensual func'!P56)*14,2)</f>
        <v>13036.8</v>
      </c>
      <c r="Q57" s="6">
        <f>ROUND(('jul mensual func'!Q56)*14,2)</f>
        <v>11637.36</v>
      </c>
      <c r="R57" s="7">
        <f>ROUND(('jul mensual func'!R56)*14,2)</f>
        <v>10886.54</v>
      </c>
      <c r="S57" s="7">
        <f>ROUND(('jul mensual func'!S56)*14,2)</f>
        <v>9482.9</v>
      </c>
      <c r="T57" s="7">
        <f>ROUND(('jul mensual func'!T56)*14,2)</f>
        <v>9854.18</v>
      </c>
      <c r="U57" s="7">
        <f>ROUND(('jul mensual func'!U56)*14,2)</f>
        <v>9900.7999999999993</v>
      </c>
      <c r="V57" s="6">
        <f>ROUND(('jul mensual func'!V56)*14,2)</f>
        <v>8246.14</v>
      </c>
      <c r="W57" s="7">
        <f>ROUND(('jul mensual func'!W56)*14,2)</f>
        <v>6987.68</v>
      </c>
    </row>
    <row r="58" spans="1:23" x14ac:dyDescent="0.25">
      <c r="C58" s="5"/>
      <c r="M58" s="6" t="s">
        <v>21</v>
      </c>
      <c r="N58" s="6">
        <f>ROUND(('jul mensual func'!N57)*14,2)</f>
        <v>2402.96</v>
      </c>
      <c r="O58" s="7">
        <f>ROUND(('jul mensual func'!O57)*14,2)</f>
        <v>2332.2600000000002</v>
      </c>
      <c r="P58" s="6">
        <f>ROUND(('jul mensual func'!P57)*14,2)</f>
        <v>2258.06</v>
      </c>
      <c r="Q58" s="6">
        <f>ROUND(('jul mensual func'!Q57)*14,2)</f>
        <v>2185.4</v>
      </c>
      <c r="R58" s="7">
        <f>ROUND(('jul mensual func'!R57)*14,2)</f>
        <v>2097.1999999999998</v>
      </c>
      <c r="S58" s="7">
        <f>ROUND(('jul mensual func'!S57)*14,2)</f>
        <v>2014.6</v>
      </c>
      <c r="T58" s="7">
        <f>ROUND(('jul mensual func'!T57)*14,2)</f>
        <v>1886.92</v>
      </c>
      <c r="U58" s="7">
        <f>ROUND(('jul mensual func'!U57)*14,2)</f>
        <v>1862.84</v>
      </c>
      <c r="V58" s="6">
        <f>ROUND(('jul mensual func'!V57)*14,2)</f>
        <v>1697.22</v>
      </c>
      <c r="W58" s="7">
        <f>ROUND(('jul mensual func'!W57)*14,2)</f>
        <v>1578.36</v>
      </c>
    </row>
    <row r="59" spans="1:23" x14ac:dyDescent="0.25">
      <c r="C59" s="5"/>
      <c r="M59" s="6" t="s">
        <v>10</v>
      </c>
      <c r="N59" s="6">
        <f>ROUND(('jul mensual func'!N58)*14,2)</f>
        <v>2277.1</v>
      </c>
      <c r="O59" s="7">
        <f>ROUND(('jul mensual func'!O58)*14,2)</f>
        <v>2176.58</v>
      </c>
      <c r="P59" s="6">
        <f>ROUND(('jul mensual func'!P58)*14,2)</f>
        <v>2065.2800000000002</v>
      </c>
      <c r="Q59" s="6">
        <f>ROUND(('jul mensual func'!Q58)*14,2)</f>
        <v>1959.02</v>
      </c>
      <c r="R59" s="7">
        <f>ROUND(('jul mensual func'!R58)*14,2)</f>
        <v>1806.42</v>
      </c>
      <c r="S59" s="7">
        <f>ROUND(('jul mensual func'!S58)*14,2)</f>
        <v>1669.5</v>
      </c>
      <c r="T59" s="7">
        <f>ROUND(('jul mensual func'!T58)*14,2)</f>
        <v>1397.76</v>
      </c>
      <c r="U59" s="7">
        <f>ROUND(('jul mensual func'!U58)*14,2)</f>
        <v>1437.38</v>
      </c>
      <c r="V59" s="6">
        <f>ROUND(('jul mensual func'!V58)*14,2)</f>
        <v>1051.54</v>
      </c>
      <c r="W59" s="7">
        <f>ROUND(('jul mensual func'!W58)*14,2)</f>
        <v>750.96</v>
      </c>
    </row>
    <row r="60" spans="1:23" x14ac:dyDescent="0.25">
      <c r="C60" s="5"/>
      <c r="M60" s="6"/>
      <c r="N60" s="6"/>
      <c r="O60" s="7"/>
      <c r="P60" s="6"/>
      <c r="Q60" s="6"/>
      <c r="R60" s="7"/>
      <c r="S60" s="7"/>
      <c r="T60" s="7"/>
      <c r="U60" s="7"/>
      <c r="V60" s="6"/>
      <c r="W60" s="7"/>
    </row>
    <row r="61" spans="1:23" x14ac:dyDescent="0.25">
      <c r="M61" s="6" t="s">
        <v>17</v>
      </c>
      <c r="N61" s="6">
        <f>ROUND(('jul mensual func'!N60)*14,2)</f>
        <v>2954.7</v>
      </c>
      <c r="O61" s="7">
        <f>ROUND(('jul mensual func'!O60)*14,2)</f>
        <v>2015.86</v>
      </c>
      <c r="P61" s="6">
        <f>ROUND(('jul mensual func'!P60)*14,2)</f>
        <v>2289.6999999999998</v>
      </c>
      <c r="Q61" s="6">
        <f>ROUND(('jul mensual func'!Q60)*14,2)</f>
        <v>2820.72</v>
      </c>
      <c r="R61" s="7">
        <f>ROUND(('jul mensual func'!R60)*14,2)</f>
        <v>2764.16</v>
      </c>
      <c r="S61" s="7">
        <f>ROUND(('jul mensual func'!S60)*14,2)</f>
        <v>3339.7</v>
      </c>
      <c r="T61" s="7">
        <f>ROUND(('jul mensual func'!T60)*14,2)</f>
        <v>2561.44</v>
      </c>
      <c r="U61" s="7">
        <f>ROUND(('jul mensual func'!U60)*14,2)</f>
        <v>2755.2</v>
      </c>
      <c r="V61" s="6">
        <f>ROUND(('jul mensual func'!V60)*14,2)</f>
        <v>2367.96</v>
      </c>
      <c r="W61" s="7">
        <f>ROUND(('jul mensual func'!W60)*14,2)</f>
        <v>2265.9</v>
      </c>
    </row>
    <row r="62" spans="1:23" s="5" customFormat="1" x14ac:dyDescent="0.25">
      <c r="A62" s="34" t="s">
        <v>90</v>
      </c>
      <c r="B62" s="34"/>
      <c r="C62" s="34"/>
      <c r="D62" s="34"/>
      <c r="E62" s="34"/>
      <c r="G62" s="35"/>
      <c r="H62" s="35"/>
      <c r="I62" s="36" t="s">
        <v>23</v>
      </c>
      <c r="J62" s="35"/>
      <c r="K62" s="35"/>
      <c r="L62" s="35"/>
      <c r="M62" s="6"/>
      <c r="N62" s="139">
        <f>SUM(N55:N61)</f>
        <v>36541.68</v>
      </c>
      <c r="O62" s="16">
        <f t="shared" ref="O62:W62" si="3">SUM(O55:O61)</f>
        <v>34511.4</v>
      </c>
      <c r="P62" s="139">
        <f t="shared" si="3"/>
        <v>33776.68</v>
      </c>
      <c r="Q62" s="139">
        <f t="shared" si="3"/>
        <v>32394.320000000003</v>
      </c>
      <c r="R62" s="16">
        <f t="shared" si="3"/>
        <v>31012.240000000002</v>
      </c>
      <c r="S62" s="16">
        <f t="shared" si="3"/>
        <v>29629.74</v>
      </c>
      <c r="T62" s="16">
        <f t="shared" si="3"/>
        <v>28488.739999999998</v>
      </c>
      <c r="U62" s="16">
        <f t="shared" si="3"/>
        <v>28410.06</v>
      </c>
      <c r="V62" s="139">
        <f t="shared" si="3"/>
        <v>25482.800000000003</v>
      </c>
      <c r="W62" s="16">
        <f t="shared" si="3"/>
        <v>23535.82</v>
      </c>
    </row>
    <row r="63" spans="1:23" s="5" customFormat="1" x14ac:dyDescent="0.25">
      <c r="A63" s="38" t="s">
        <v>24</v>
      </c>
      <c r="G63" s="35"/>
      <c r="H63" s="35"/>
      <c r="I63" s="39" t="s">
        <v>25</v>
      </c>
      <c r="J63" s="35"/>
      <c r="K63" s="35"/>
      <c r="L63" s="35"/>
      <c r="M63" s="35"/>
      <c r="N63" s="35"/>
      <c r="O63" s="35"/>
      <c r="P63" s="35"/>
      <c r="Q63" s="35"/>
      <c r="R63" s="90"/>
      <c r="S63" s="90"/>
      <c r="T63" s="90"/>
      <c r="U63" s="90"/>
    </row>
    <row r="64" spans="1:23" s="5" customFormat="1" x14ac:dyDescent="0.25">
      <c r="A64" s="34" t="s">
        <v>26</v>
      </c>
      <c r="B64" s="40" t="s">
        <v>27</v>
      </c>
      <c r="C64" s="40" t="s">
        <v>28</v>
      </c>
      <c r="G64" s="35"/>
      <c r="H64" s="35"/>
      <c r="I64" s="41"/>
      <c r="J64" s="35"/>
      <c r="K64" s="35"/>
      <c r="L64" s="42" t="s">
        <v>29</v>
      </c>
      <c r="M64" s="35"/>
      <c r="N64" s="35"/>
      <c r="O64" s="35"/>
      <c r="P64" s="35"/>
      <c r="Q64" s="35"/>
      <c r="R64" s="90"/>
      <c r="S64" s="90"/>
      <c r="T64" s="90"/>
      <c r="U64" s="90"/>
    </row>
    <row r="65" spans="1:21" s="5" customFormat="1" x14ac:dyDescent="0.25">
      <c r="A65" s="5" t="s">
        <v>30</v>
      </c>
      <c r="B65" s="5">
        <v>726.35</v>
      </c>
      <c r="C65" s="5">
        <v>27.95</v>
      </c>
      <c r="G65" s="35"/>
      <c r="H65" s="35"/>
      <c r="I65" s="41"/>
      <c r="J65" s="35"/>
      <c r="K65" s="35"/>
      <c r="L65" s="35"/>
      <c r="M65" s="35"/>
      <c r="N65" s="35"/>
      <c r="O65" s="35"/>
      <c r="P65" s="35"/>
      <c r="Q65" s="35"/>
      <c r="R65" s="90"/>
      <c r="S65" s="90"/>
      <c r="T65" s="90"/>
      <c r="U65" s="90"/>
    </row>
    <row r="66" spans="1:21" s="5" customFormat="1" x14ac:dyDescent="0.25">
      <c r="A66" s="5" t="s">
        <v>31</v>
      </c>
      <c r="B66" s="5">
        <v>742.29</v>
      </c>
      <c r="C66" s="5">
        <v>26.93</v>
      </c>
      <c r="G66" s="35"/>
      <c r="H66" s="35"/>
      <c r="I66" s="41"/>
      <c r="J66" s="35"/>
      <c r="K66" s="35"/>
      <c r="L66" s="35" t="s">
        <v>32</v>
      </c>
      <c r="M66" s="35"/>
      <c r="N66" s="35"/>
      <c r="O66" s="35">
        <v>43.5</v>
      </c>
      <c r="P66" s="35"/>
      <c r="Q66" s="35"/>
      <c r="R66" s="90"/>
      <c r="S66" s="90"/>
      <c r="T66" s="90"/>
      <c r="U66" s="90"/>
    </row>
    <row r="67" spans="1:21" s="5" customFormat="1" x14ac:dyDescent="0.25">
      <c r="A67" s="5" t="s">
        <v>19</v>
      </c>
      <c r="B67" s="5">
        <v>660.48</v>
      </c>
      <c r="C67" s="5">
        <v>24.14</v>
      </c>
      <c r="G67" s="35"/>
      <c r="H67" s="35"/>
      <c r="I67" s="41"/>
      <c r="J67" s="35"/>
      <c r="K67" s="35"/>
      <c r="L67" s="35" t="s">
        <v>33</v>
      </c>
      <c r="M67" s="35"/>
      <c r="N67" s="35"/>
      <c r="O67" s="35">
        <v>136.30000000000001</v>
      </c>
      <c r="P67" s="35"/>
      <c r="Q67" s="35"/>
      <c r="R67" s="90"/>
      <c r="S67" s="90"/>
      <c r="T67" s="90"/>
      <c r="U67" s="90"/>
    </row>
    <row r="68" spans="1:21" s="5" customFormat="1" x14ac:dyDescent="0.25">
      <c r="A68" s="5" t="s">
        <v>20</v>
      </c>
      <c r="B68" s="5">
        <v>630.21</v>
      </c>
      <c r="C68" s="5">
        <v>18.84</v>
      </c>
      <c r="G68" s="35"/>
      <c r="H68" s="35"/>
      <c r="I68" s="41"/>
      <c r="J68" s="35"/>
      <c r="K68" s="35"/>
      <c r="L68" s="35"/>
      <c r="M68" s="35"/>
      <c r="N68" s="35"/>
      <c r="O68" s="35"/>
      <c r="P68" s="35"/>
      <c r="Q68" s="35"/>
      <c r="R68" s="90"/>
      <c r="S68" s="90"/>
      <c r="T68" s="90"/>
      <c r="U68" s="90"/>
    </row>
    <row r="69" spans="1:21" s="5" customFormat="1" x14ac:dyDescent="0.25">
      <c r="G69" s="35"/>
      <c r="H69" s="35"/>
      <c r="I69" s="41"/>
      <c r="J69" s="35"/>
      <c r="K69" s="35"/>
      <c r="L69" s="42" t="s">
        <v>34</v>
      </c>
      <c r="M69" s="35"/>
      <c r="N69" s="35"/>
      <c r="O69" s="35"/>
      <c r="P69" s="43" t="s">
        <v>35</v>
      </c>
      <c r="Q69" s="43" t="s">
        <v>36</v>
      </c>
      <c r="R69" s="90"/>
      <c r="S69" s="90"/>
      <c r="T69" s="90"/>
      <c r="U69" s="90"/>
    </row>
    <row r="70" spans="1:21" s="5" customFormat="1" x14ac:dyDescent="0.25">
      <c r="G70" s="35"/>
      <c r="H70" s="35"/>
      <c r="I70" s="41"/>
      <c r="J70" s="35"/>
      <c r="K70" s="35"/>
      <c r="L70" s="35" t="s">
        <v>37</v>
      </c>
      <c r="M70" s="35"/>
      <c r="N70" s="35"/>
      <c r="O70" s="44">
        <v>0.25569999999999998</v>
      </c>
      <c r="P70" s="35">
        <v>0.19</v>
      </c>
      <c r="Q70" s="44">
        <v>6.2199999999999998E-2</v>
      </c>
      <c r="R70" s="90"/>
      <c r="S70" s="90"/>
      <c r="T70" s="90"/>
      <c r="U70" s="90"/>
    </row>
    <row r="71" spans="1:21" s="5" customFormat="1" x14ac:dyDescent="0.25">
      <c r="G71" s="35"/>
      <c r="H71" s="35"/>
      <c r="I71" s="41" t="s">
        <v>38</v>
      </c>
      <c r="J71" s="35">
        <v>482.51</v>
      </c>
      <c r="K71" s="35"/>
      <c r="L71" s="35" t="s">
        <v>39</v>
      </c>
      <c r="M71" s="35"/>
      <c r="N71" s="35"/>
      <c r="O71" s="35">
        <v>9.1259999999999994</v>
      </c>
      <c r="P71" s="35">
        <v>0</v>
      </c>
      <c r="Q71" s="35">
        <v>9.1259999999999994</v>
      </c>
      <c r="R71" s="90"/>
      <c r="S71" s="90"/>
      <c r="T71" s="90"/>
      <c r="U71" s="90"/>
    </row>
    <row r="72" spans="1:21" s="5" customFormat="1" x14ac:dyDescent="0.25"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90"/>
      <c r="S72" s="90"/>
      <c r="T72" s="90"/>
      <c r="U72" s="90"/>
    </row>
    <row r="73" spans="1:21" s="5" customFormat="1" x14ac:dyDescent="0.25">
      <c r="R73" s="90"/>
      <c r="S73" s="90"/>
      <c r="T73" s="90"/>
      <c r="U73" s="90"/>
    </row>
    <row r="74" spans="1:21" s="5" customFormat="1" x14ac:dyDescent="0.25">
      <c r="R74" s="90"/>
      <c r="S74" s="90"/>
      <c r="T74" s="90"/>
      <c r="U74" s="90"/>
    </row>
    <row r="75" spans="1:21" s="5" customFormat="1" x14ac:dyDescent="0.25">
      <c r="R75" s="90"/>
      <c r="S75" s="90"/>
      <c r="T75" s="90"/>
      <c r="U75" s="9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opLeftCell="A31" workbookViewId="0">
      <selection activeCell="F34" sqref="F34"/>
    </sheetView>
  </sheetViews>
  <sheetFormatPr baseColWidth="10" defaultRowHeight="15" x14ac:dyDescent="0.25"/>
  <cols>
    <col min="1" max="1" width="27.140625" customWidth="1"/>
    <col min="2" max="2" width="11.42578125" style="46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1" spans="1:13" ht="21" x14ac:dyDescent="0.35">
      <c r="A1" s="249" t="s">
        <v>87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3" x14ac:dyDescent="0.25">
      <c r="A2" s="1" t="s">
        <v>88</v>
      </c>
      <c r="B2"/>
    </row>
    <row r="3" spans="1:13" x14ac:dyDescent="0.25">
      <c r="A3" s="1" t="s">
        <v>91</v>
      </c>
      <c r="B3"/>
    </row>
    <row r="4" spans="1:13" x14ac:dyDescent="0.25">
      <c r="A4" s="1" t="s">
        <v>86</v>
      </c>
      <c r="B4"/>
    </row>
    <row r="5" spans="1:13" ht="53.25" customHeight="1" x14ac:dyDescent="0.25">
      <c r="A5" s="256" t="s">
        <v>89</v>
      </c>
      <c r="B5" s="257"/>
      <c r="C5" s="257"/>
      <c r="D5" s="257"/>
      <c r="E5" s="257"/>
      <c r="F5" s="257"/>
      <c r="G5" s="258"/>
      <c r="H5" s="47" t="s">
        <v>43</v>
      </c>
      <c r="I5" s="48"/>
      <c r="J5" s="48"/>
      <c r="K5" s="49"/>
      <c r="L5" s="50" t="s">
        <v>44</v>
      </c>
    </row>
    <row r="6" spans="1:13" x14ac:dyDescent="0.25">
      <c r="A6" s="47"/>
      <c r="B6" s="51"/>
      <c r="C6" s="49"/>
      <c r="F6" s="52" t="s">
        <v>45</v>
      </c>
      <c r="G6" s="53">
        <f>(1.0225+0.025)</f>
        <v>1.0474999999999999</v>
      </c>
      <c r="L6" s="54"/>
      <c r="M6" s="55" t="s">
        <v>46</v>
      </c>
    </row>
    <row r="7" spans="1:13" x14ac:dyDescent="0.25">
      <c r="A7" s="47" t="s">
        <v>47</v>
      </c>
      <c r="B7" s="51"/>
      <c r="C7" s="143" t="s">
        <v>48</v>
      </c>
      <c r="F7" s="144" t="s">
        <v>49</v>
      </c>
      <c r="L7" s="54"/>
    </row>
    <row r="8" spans="1:13" s="5" customFormat="1" x14ac:dyDescent="0.25">
      <c r="B8" s="46"/>
      <c r="C8" s="6">
        <f>ROUND(('abril laborals'!C7*0.24467%)+('abril laborals'!C7),2)</f>
        <v>5801.59</v>
      </c>
      <c r="D8" s="145"/>
      <c r="E8" s="145"/>
      <c r="F8" s="6">
        <f>ROUND(('abril laborals'!F7*0.24467%)+('abril laborals'!F7),2)</f>
        <v>5801.59</v>
      </c>
      <c r="G8" s="6"/>
      <c r="H8" s="6">
        <f>F8</f>
        <v>5801.59</v>
      </c>
      <c r="I8" s="58"/>
      <c r="J8" s="60"/>
      <c r="K8" s="60"/>
      <c r="L8" s="61">
        <f>H8*14</f>
        <v>81222.260000000009</v>
      </c>
      <c r="M8" s="6">
        <v>77875.42</v>
      </c>
    </row>
    <row r="9" spans="1:13" x14ac:dyDescent="0.25">
      <c r="C9" s="146"/>
      <c r="D9" s="142"/>
      <c r="E9" s="142"/>
      <c r="F9" s="141"/>
      <c r="L9" s="54"/>
    </row>
    <row r="10" spans="1:13" x14ac:dyDescent="0.25">
      <c r="A10" s="62" t="s">
        <v>50</v>
      </c>
      <c r="L10" s="54"/>
    </row>
    <row r="11" spans="1:13" x14ac:dyDescent="0.25">
      <c r="A11" s="63"/>
      <c r="B11" s="64"/>
      <c r="C11" s="65" t="s">
        <v>51</v>
      </c>
      <c r="D11" s="52" t="s">
        <v>52</v>
      </c>
      <c r="E11" s="65" t="s">
        <v>53</v>
      </c>
      <c r="F11" s="52" t="s">
        <v>45</v>
      </c>
      <c r="G11" s="66"/>
      <c r="H11" s="52" t="s">
        <v>51</v>
      </c>
      <c r="I11" s="52" t="s">
        <v>52</v>
      </c>
      <c r="J11" s="67" t="s">
        <v>53</v>
      </c>
      <c r="K11" s="67" t="s">
        <v>45</v>
      </c>
      <c r="L11" s="68" t="s">
        <v>54</v>
      </c>
      <c r="M11" s="69"/>
    </row>
    <row r="12" spans="1:13" s="5" customFormat="1" x14ac:dyDescent="0.25">
      <c r="A12" s="70" t="s">
        <v>55</v>
      </c>
      <c r="B12" s="71" t="s">
        <v>56</v>
      </c>
      <c r="C12" s="72" t="s">
        <v>57</v>
      </c>
      <c r="D12" s="73" t="s">
        <v>58</v>
      </c>
      <c r="E12" s="72" t="s">
        <v>59</v>
      </c>
      <c r="F12" s="73" t="s">
        <v>49</v>
      </c>
      <c r="G12" s="74"/>
      <c r="H12" s="73" t="s">
        <v>57</v>
      </c>
      <c r="I12" s="73" t="s">
        <v>58</v>
      </c>
      <c r="J12" s="75" t="s">
        <v>59</v>
      </c>
      <c r="K12" s="75" t="s">
        <v>49</v>
      </c>
      <c r="L12" s="76" t="s">
        <v>60</v>
      </c>
      <c r="M12" s="73" t="s">
        <v>61</v>
      </c>
    </row>
    <row r="13" spans="1:13" s="5" customFormat="1" x14ac:dyDescent="0.25">
      <c r="B13" s="77">
        <v>28</v>
      </c>
      <c r="C13" s="6">
        <v>1179.96</v>
      </c>
      <c r="D13" s="6">
        <f>ROUND(('abril laborals'!D12*0.24467%)+('abril laborals'!D12),2)</f>
        <v>224.57</v>
      </c>
      <c r="E13" s="6">
        <f>ROUND(('abril laborals'!E12*0.24467%)+('abril laborals'!E12),2)</f>
        <v>3783.92</v>
      </c>
      <c r="F13" s="6">
        <f>C13+D13+E13</f>
        <v>5188.45</v>
      </c>
      <c r="H13" s="6">
        <v>728.13</v>
      </c>
      <c r="I13" s="6">
        <f>ROUND(('abril laborals'!I12*0.24467%)+('abril laborals'!I12),2)</f>
        <v>224.57</v>
      </c>
      <c r="J13" s="6">
        <f>ROUND(('abril laborals'!J12*0.24467%)+('abril laborals'!J12),2)</f>
        <v>3783.92</v>
      </c>
      <c r="K13" s="6">
        <f>H13+I13+J13</f>
        <v>4736.62</v>
      </c>
      <c r="L13" s="139">
        <f>ROUND((F13*12)+(K13*2),2)</f>
        <v>71734.64</v>
      </c>
      <c r="M13" s="6">
        <v>69804.346292174989</v>
      </c>
    </row>
    <row r="14" spans="1:13" s="5" customFormat="1" x14ac:dyDescent="0.25">
      <c r="B14" s="77">
        <v>27</v>
      </c>
      <c r="C14" s="6">
        <v>1179.96</v>
      </c>
      <c r="D14" s="6">
        <f>ROUND(('abril laborals'!D13*0.24467%)+('abril laborals'!D13),2)</f>
        <v>224.57</v>
      </c>
      <c r="E14" s="6">
        <f>ROUND(('abril laborals'!E13*0.24467%)+('abril laborals'!E13),2)</f>
        <v>3178.04</v>
      </c>
      <c r="F14" s="6">
        <f t="shared" ref="F14:F21" si="0">C14+D14+E14</f>
        <v>4582.57</v>
      </c>
      <c r="H14" s="6">
        <v>728.13</v>
      </c>
      <c r="I14" s="6">
        <f>ROUND(('abril laborals'!I13*0.24467%)+('abril laborals'!I13),2)</f>
        <v>224.57</v>
      </c>
      <c r="J14" s="6">
        <f>ROUND(('abril laborals'!J13*0.24467%)+('abril laborals'!J13),2)</f>
        <v>3178.04</v>
      </c>
      <c r="K14" s="6">
        <f t="shared" ref="K14:K21" si="1">H14+I14+J14</f>
        <v>4130.74</v>
      </c>
      <c r="L14" s="139">
        <f t="shared" ref="L14:L21" si="2">ROUND((F14*12)+(K14*2),2)</f>
        <v>63252.32</v>
      </c>
      <c r="M14" s="6">
        <v>61549.553992546993</v>
      </c>
    </row>
    <row r="15" spans="1:13" s="5" customFormat="1" x14ac:dyDescent="0.25">
      <c r="B15" s="77">
        <v>26</v>
      </c>
      <c r="C15" s="6">
        <v>1179.96</v>
      </c>
      <c r="D15" s="6">
        <f>ROUND(('abril laborals'!D14*0.24467%)+('abril laborals'!D14),2)</f>
        <v>224.57</v>
      </c>
      <c r="E15" s="6">
        <f>ROUND(('abril laborals'!E14*0.24467%)+('abril laborals'!E14),2)</f>
        <v>2765.46</v>
      </c>
      <c r="F15" s="6">
        <f t="shared" si="0"/>
        <v>4169.99</v>
      </c>
      <c r="H15" s="6">
        <v>728.13</v>
      </c>
      <c r="I15" s="6">
        <f>ROUND(('abril laborals'!I14*0.24467%)+('abril laborals'!I14),2)</f>
        <v>224.57</v>
      </c>
      <c r="J15" s="6">
        <f>ROUND(('abril laborals'!J14*0.24467%)+('abril laborals'!J14),2)</f>
        <v>2765.46</v>
      </c>
      <c r="K15" s="6">
        <f t="shared" si="1"/>
        <v>3718.16</v>
      </c>
      <c r="L15" s="139">
        <f t="shared" si="2"/>
        <v>57476.2</v>
      </c>
      <c r="M15" s="6">
        <v>55928.572541755995</v>
      </c>
    </row>
    <row r="16" spans="1:13" s="5" customFormat="1" x14ac:dyDescent="0.25">
      <c r="B16" s="77">
        <v>25</v>
      </c>
      <c r="C16" s="6">
        <v>1179.96</v>
      </c>
      <c r="D16" s="6">
        <f>ROUND(('abril laborals'!D15*0.24467%)+('abril laborals'!D15),2)</f>
        <v>224.57</v>
      </c>
      <c r="E16" s="6">
        <f>ROUND(('abril laborals'!E15*0.24467%)+('abril laborals'!E15),2)</f>
        <v>2677.52</v>
      </c>
      <c r="F16" s="6">
        <f t="shared" si="0"/>
        <v>4082.05</v>
      </c>
      <c r="H16" s="6">
        <v>728.13</v>
      </c>
      <c r="I16" s="6">
        <f>ROUND(('abril laborals'!I15*0.24467%)+('abril laborals'!I15),2)</f>
        <v>224.57</v>
      </c>
      <c r="J16" s="6">
        <f>ROUND(('abril laborals'!J15*0.24467%)+('abril laborals'!J15),2)</f>
        <v>2677.52</v>
      </c>
      <c r="K16" s="6">
        <f t="shared" si="1"/>
        <v>3630.2200000000003</v>
      </c>
      <c r="L16" s="139">
        <f t="shared" si="2"/>
        <v>56245.04</v>
      </c>
      <c r="M16" s="6">
        <v>54730.371757706489</v>
      </c>
    </row>
    <row r="17" spans="1:13" s="5" customFormat="1" x14ac:dyDescent="0.25">
      <c r="B17" s="77">
        <v>24</v>
      </c>
      <c r="C17" s="6">
        <v>1179.96</v>
      </c>
      <c r="D17" s="6">
        <f>ROUND(('abril laborals'!D16*0.24467%)+('abril laborals'!D16),2)</f>
        <v>224.57</v>
      </c>
      <c r="E17" s="6">
        <f>ROUND(('abril laborals'!E16*0.24467%)+('abril laborals'!E16),2)</f>
        <v>2584.62</v>
      </c>
      <c r="F17" s="6">
        <f t="shared" si="0"/>
        <v>3989.1499999999996</v>
      </c>
      <c r="H17" s="6">
        <v>728.13</v>
      </c>
      <c r="I17" s="6">
        <f>ROUND(('abril laborals'!I16*0.24467%)+('abril laborals'!I16),2)</f>
        <v>224.57</v>
      </c>
      <c r="J17" s="6">
        <f>ROUND(('abril laborals'!J16*0.24467%)+('abril laborals'!J16),2)</f>
        <v>2584.62</v>
      </c>
      <c r="K17" s="6">
        <f t="shared" si="1"/>
        <v>3537.3199999999997</v>
      </c>
      <c r="L17" s="139">
        <f t="shared" si="2"/>
        <v>54944.44</v>
      </c>
      <c r="M17" s="6">
        <v>53464.693857901992</v>
      </c>
    </row>
    <row r="18" spans="1:13" s="5" customFormat="1" x14ac:dyDescent="0.25">
      <c r="B18" s="77">
        <v>23</v>
      </c>
      <c r="C18" s="6">
        <v>1179.96</v>
      </c>
      <c r="D18" s="6">
        <f>ROUND(('abril laborals'!D17*0.24467%)+('abril laborals'!D17),2)</f>
        <v>224.57</v>
      </c>
      <c r="E18" s="6">
        <f>ROUND(('abril laborals'!E17*0.24467%)+('abril laborals'!E17),2)</f>
        <v>2506.9</v>
      </c>
      <c r="F18" s="6">
        <f t="shared" si="0"/>
        <v>3911.4300000000003</v>
      </c>
      <c r="H18" s="6">
        <v>728.13</v>
      </c>
      <c r="I18" s="6">
        <f>ROUND(('abril laborals'!I17*0.24467%)+('abril laborals'!I17),2)</f>
        <v>224.57</v>
      </c>
      <c r="J18" s="6">
        <f>ROUND(('abril laborals'!J17*0.24467%)+('abril laborals'!J17),2)</f>
        <v>2506.9</v>
      </c>
      <c r="K18" s="6">
        <f t="shared" si="1"/>
        <v>3459.6000000000004</v>
      </c>
      <c r="L18" s="139">
        <f t="shared" si="2"/>
        <v>53856.36</v>
      </c>
      <c r="M18" s="6">
        <v>52405.716265746982</v>
      </c>
    </row>
    <row r="19" spans="1:13" s="5" customFormat="1" x14ac:dyDescent="0.25">
      <c r="B19" s="77">
        <v>22</v>
      </c>
      <c r="C19" s="6">
        <v>1179.96</v>
      </c>
      <c r="D19" s="6">
        <f>ROUND(('abril laborals'!D18*0.24467%)+('abril laborals'!D18),2)</f>
        <v>224.57</v>
      </c>
      <c r="E19" s="6">
        <f>ROUND(('abril laborals'!E18*0.24467%)+('abril laborals'!E18),2)</f>
        <v>2432.29</v>
      </c>
      <c r="F19" s="6">
        <f t="shared" si="0"/>
        <v>3836.8199999999997</v>
      </c>
      <c r="H19" s="6">
        <v>728.13</v>
      </c>
      <c r="I19" s="6">
        <f>ROUND(('abril laborals'!I18*0.24467%)+('abril laborals'!I18),2)</f>
        <v>224.57</v>
      </c>
      <c r="J19" s="6">
        <f>ROUND(('abril laborals'!J18*0.24467%)+('abril laborals'!J18),2)</f>
        <v>2432.29</v>
      </c>
      <c r="K19" s="6">
        <f t="shared" si="1"/>
        <v>3384.99</v>
      </c>
      <c r="L19" s="139">
        <f t="shared" si="2"/>
        <v>52811.82</v>
      </c>
      <c r="M19" s="6">
        <v>51389.152860637994</v>
      </c>
    </row>
    <row r="20" spans="1:13" s="5" customFormat="1" x14ac:dyDescent="0.25">
      <c r="B20" s="77">
        <v>21</v>
      </c>
      <c r="C20" s="6">
        <v>1179.96</v>
      </c>
      <c r="D20" s="6">
        <f>ROUND(('abril laborals'!D19*0.24467%)+('abril laborals'!D19),2)</f>
        <v>224.57</v>
      </c>
      <c r="E20" s="6">
        <f>ROUND(('abril laborals'!E19*0.24467%)+('abril laborals'!E19),2)</f>
        <v>2236.5500000000002</v>
      </c>
      <c r="F20" s="6">
        <f t="shared" si="0"/>
        <v>3641.08</v>
      </c>
      <c r="H20" s="6">
        <v>728.13</v>
      </c>
      <c r="I20" s="6">
        <f>ROUND(('abril laborals'!I19*0.24467%)+('abril laborals'!I19),2)</f>
        <v>224.57</v>
      </c>
      <c r="J20" s="6">
        <f>ROUND(('abril laborals'!J19*0.24467%)+('abril laborals'!J19),2)</f>
        <v>2236.5500000000002</v>
      </c>
      <c r="K20" s="6">
        <f t="shared" si="1"/>
        <v>3189.25</v>
      </c>
      <c r="L20" s="139">
        <f t="shared" si="2"/>
        <v>50071.46</v>
      </c>
      <c r="M20" s="6">
        <v>48722.429704320508</v>
      </c>
    </row>
    <row r="21" spans="1:13" s="5" customFormat="1" x14ac:dyDescent="0.25">
      <c r="B21" s="77">
        <v>20</v>
      </c>
      <c r="C21" s="6">
        <v>1179.96</v>
      </c>
      <c r="D21" s="6">
        <f>ROUND(('abril laborals'!D20*0.24467%)+('abril laborals'!D20),2)</f>
        <v>224.57</v>
      </c>
      <c r="E21" s="6">
        <f>ROUND(('abril laborals'!E20*0.24467%)+('abril laborals'!E20),2)</f>
        <v>2046.05</v>
      </c>
      <c r="F21" s="6">
        <f t="shared" si="0"/>
        <v>3450.58</v>
      </c>
      <c r="H21" s="6">
        <v>728.13</v>
      </c>
      <c r="I21" s="6">
        <f>ROUND(('abril laborals'!I20*0.24467%)+('abril laborals'!I20),2)</f>
        <v>224.57</v>
      </c>
      <c r="J21" s="6">
        <f>ROUND(('abril laborals'!J20*0.24467%)+('abril laborals'!J20),2)</f>
        <v>2046.05</v>
      </c>
      <c r="K21" s="6">
        <f t="shared" si="1"/>
        <v>2998.75</v>
      </c>
      <c r="L21" s="139">
        <f t="shared" si="2"/>
        <v>47404.46</v>
      </c>
      <c r="M21" s="6">
        <v>46126.764082144997</v>
      </c>
    </row>
    <row r="22" spans="1:13" s="5" customFormat="1" x14ac:dyDescent="0.25">
      <c r="B22" s="46"/>
      <c r="L22" s="78"/>
    </row>
    <row r="23" spans="1:13" x14ac:dyDescent="0.25">
      <c r="A23" s="62" t="s">
        <v>62</v>
      </c>
      <c r="L23" s="54"/>
    </row>
    <row r="24" spans="1:13" x14ac:dyDescent="0.25">
      <c r="A24" s="63"/>
      <c r="B24" s="79"/>
      <c r="C24" s="52" t="s">
        <v>51</v>
      </c>
      <c r="D24" s="52" t="s">
        <v>52</v>
      </c>
      <c r="E24" s="52" t="s">
        <v>53</v>
      </c>
      <c r="F24" s="52" t="s">
        <v>45</v>
      </c>
      <c r="G24" s="80"/>
      <c r="H24" s="52" t="s">
        <v>51</v>
      </c>
      <c r="I24" s="52" t="s">
        <v>52</v>
      </c>
      <c r="J24" s="52" t="s">
        <v>53</v>
      </c>
      <c r="K24" s="52" t="s">
        <v>45</v>
      </c>
      <c r="L24" s="68" t="s">
        <v>54</v>
      </c>
      <c r="M24" s="81"/>
    </row>
    <row r="25" spans="1:13" x14ac:dyDescent="0.25">
      <c r="A25" s="82" t="s">
        <v>63</v>
      </c>
      <c r="B25" s="71" t="s">
        <v>56</v>
      </c>
      <c r="C25" s="57" t="s">
        <v>57</v>
      </c>
      <c r="D25" s="57" t="s">
        <v>58</v>
      </c>
      <c r="E25" s="57" t="s">
        <v>59</v>
      </c>
      <c r="F25" s="57" t="s">
        <v>49</v>
      </c>
      <c r="G25" s="80"/>
      <c r="H25" s="57" t="s">
        <v>57</v>
      </c>
      <c r="I25" s="57" t="s">
        <v>58</v>
      </c>
      <c r="J25" s="57" t="s">
        <v>59</v>
      </c>
      <c r="K25" s="57" t="s">
        <v>49</v>
      </c>
      <c r="L25" s="76" t="s">
        <v>60</v>
      </c>
      <c r="M25" s="57" t="s">
        <v>61</v>
      </c>
    </row>
    <row r="26" spans="1:13" s="141" customFormat="1" x14ac:dyDescent="0.25">
      <c r="B26" s="89">
        <v>27</v>
      </c>
      <c r="C26" s="104">
        <v>1020.28</v>
      </c>
      <c r="D26" s="104">
        <f>ROUND(('abril laborals'!D25*0.24467%)+('abril laborals'!D25),2)</f>
        <v>179.39</v>
      </c>
      <c r="E26" s="104">
        <f>ROUND(('abril laborals'!E25*0.24467%)+('abril laborals'!E25),2)</f>
        <v>3077.74</v>
      </c>
      <c r="F26" s="104">
        <f t="shared" ref="F26:F37" si="3">C26+D26+E26</f>
        <v>4277.41</v>
      </c>
      <c r="H26" s="104">
        <v>744.11</v>
      </c>
      <c r="I26" s="104">
        <f>ROUND(('abril laborals'!I25*0.24467%)+('abril laborals'!I25),2)</f>
        <v>179.39</v>
      </c>
      <c r="J26" s="104">
        <f>ROUND(('abril laborals'!J25*0.24467%)+('abril laborals'!J25),2)</f>
        <v>3077.74</v>
      </c>
      <c r="K26" s="104">
        <f>H26+I26+J26</f>
        <v>4001.24</v>
      </c>
      <c r="L26" s="139">
        <f t="shared" ref="L26:L37" si="4">ROUND((F26*12)+(K26*2),2)</f>
        <v>59331.4</v>
      </c>
      <c r="M26" s="104">
        <v>57734.97942799599</v>
      </c>
    </row>
    <row r="27" spans="1:13" s="5" customFormat="1" x14ac:dyDescent="0.25">
      <c r="B27" s="89">
        <v>26</v>
      </c>
      <c r="C27" s="6">
        <v>1020.28</v>
      </c>
      <c r="D27" s="6">
        <f>ROUND(('abril laborals'!D26*0.24467%)+('abril laborals'!D26),2)</f>
        <v>179.39</v>
      </c>
      <c r="E27" s="6">
        <f>ROUND(('abril laborals'!E26*0.24467%)+('abril laborals'!E26),2)</f>
        <v>2976.83</v>
      </c>
      <c r="F27" s="104">
        <f t="shared" si="3"/>
        <v>4176.5</v>
      </c>
      <c r="H27" s="104">
        <v>744.11</v>
      </c>
      <c r="I27" s="6">
        <f>ROUND(('abril laborals'!I26*0.24467%)+('abril laborals'!I26),2)</f>
        <v>179.39</v>
      </c>
      <c r="J27" s="6">
        <f>ROUND(('abril laborals'!J26*0.24467%)+('abril laborals'!J26),2)</f>
        <v>2976.83</v>
      </c>
      <c r="K27" s="6">
        <f t="shared" ref="K27:K37" si="5">H27+I27+J27</f>
        <v>3900.33</v>
      </c>
      <c r="L27" s="139">
        <f t="shared" si="4"/>
        <v>57918.66</v>
      </c>
      <c r="M27" s="6">
        <v>56360.098767387994</v>
      </c>
    </row>
    <row r="28" spans="1:13" s="5" customFormat="1" x14ac:dyDescent="0.25">
      <c r="B28" s="77">
        <v>25</v>
      </c>
      <c r="C28" s="6">
        <v>1020.28</v>
      </c>
      <c r="D28" s="6">
        <f>ROUND(('abril laborals'!D27*0.24467%)+('abril laborals'!D27),2)</f>
        <v>179.39</v>
      </c>
      <c r="E28" s="6">
        <f>ROUND(('abril laborals'!E27*0.24467%)+('abril laborals'!E27),2)</f>
        <v>2510.04</v>
      </c>
      <c r="F28" s="104">
        <f t="shared" si="3"/>
        <v>3709.71</v>
      </c>
      <c r="H28" s="104">
        <v>744.11</v>
      </c>
      <c r="I28" s="6">
        <f>ROUND(('abril laborals'!I27*0.24467%)+('abril laborals'!I27),2)</f>
        <v>179.39</v>
      </c>
      <c r="J28" s="6">
        <f>ROUND(('abril laborals'!J27*0.24467%)+('abril laborals'!J27),2)</f>
        <v>2510.04</v>
      </c>
      <c r="K28" s="6">
        <f t="shared" si="5"/>
        <v>3433.54</v>
      </c>
      <c r="L28" s="139">
        <f t="shared" si="4"/>
        <v>51383.6</v>
      </c>
      <c r="M28" s="6">
        <v>50000.311753279508</v>
      </c>
    </row>
    <row r="29" spans="1:13" s="5" customFormat="1" x14ac:dyDescent="0.25">
      <c r="B29" s="77">
        <v>24</v>
      </c>
      <c r="C29" s="6">
        <v>1020.28</v>
      </c>
      <c r="D29" s="6">
        <f>ROUND(('abril laborals'!D28*0.24467%)+('abril laborals'!D28),2)</f>
        <v>179.39</v>
      </c>
      <c r="E29" s="6">
        <f>ROUND(('abril laborals'!E28*0.24467%)+('abril laborals'!E28),2)</f>
        <v>2319.09</v>
      </c>
      <c r="F29" s="104">
        <f t="shared" si="3"/>
        <v>3518.76</v>
      </c>
      <c r="H29" s="104">
        <v>744.11</v>
      </c>
      <c r="I29" s="6">
        <f>ROUND(('abril laborals'!I28*0.24467%)+('abril laborals'!I28),2)</f>
        <v>179.39</v>
      </c>
      <c r="J29" s="6">
        <f>ROUND(('abril laborals'!J28*0.24467%)+('abril laborals'!J28),2)</f>
        <v>2319.09</v>
      </c>
      <c r="K29" s="6">
        <f t="shared" si="5"/>
        <v>3242.59</v>
      </c>
      <c r="L29" s="139">
        <f t="shared" si="4"/>
        <v>48710.3</v>
      </c>
      <c r="M29" s="6">
        <v>47398.72466992549</v>
      </c>
    </row>
    <row r="30" spans="1:13" s="5" customFormat="1" x14ac:dyDescent="0.25">
      <c r="B30" s="77">
        <v>23</v>
      </c>
      <c r="C30" s="6">
        <v>1020.28</v>
      </c>
      <c r="D30" s="6">
        <f>ROUND(('abril laborals'!D29*0.24467%)+('abril laborals'!D29),2)</f>
        <v>179.39</v>
      </c>
      <c r="E30" s="6">
        <f>ROUND(('abril laborals'!E29*0.24467%)+('abril laborals'!E29),2)</f>
        <v>2200.6799999999998</v>
      </c>
      <c r="F30" s="104">
        <f t="shared" si="3"/>
        <v>3400.35</v>
      </c>
      <c r="H30" s="104">
        <v>744.11</v>
      </c>
      <c r="I30" s="6">
        <f>ROUND(('abril laborals'!I29*0.24467%)+('abril laborals'!I29),2)</f>
        <v>179.39</v>
      </c>
      <c r="J30" s="6">
        <f>ROUND(('abril laborals'!J29*0.24467%)+('abril laborals'!J29),2)</f>
        <v>2200.6799999999998</v>
      </c>
      <c r="K30" s="6">
        <f t="shared" si="5"/>
        <v>3124.18</v>
      </c>
      <c r="L30" s="139">
        <f t="shared" si="4"/>
        <v>47052.56</v>
      </c>
      <c r="M30" s="6">
        <v>45785.470769783002</v>
      </c>
    </row>
    <row r="31" spans="1:13" s="5" customFormat="1" x14ac:dyDescent="0.25">
      <c r="B31" s="77">
        <v>22</v>
      </c>
      <c r="C31" s="6">
        <v>1020.28</v>
      </c>
      <c r="D31" s="6">
        <f>ROUND(('abril laborals'!D30*0.24467%)+('abril laborals'!D30),2)</f>
        <v>179.39</v>
      </c>
      <c r="E31" s="6">
        <f>ROUND(('abril laborals'!E30*0.24467%)+('abril laborals'!E30),2)</f>
        <v>2130.8000000000002</v>
      </c>
      <c r="F31" s="104">
        <f t="shared" si="3"/>
        <v>3330.4700000000003</v>
      </c>
      <c r="H31" s="104">
        <v>744.11</v>
      </c>
      <c r="I31" s="6">
        <f>ROUND(('abril laborals'!I30*0.24467%)+('abril laborals'!I30),2)</f>
        <v>179.39</v>
      </c>
      <c r="J31" s="6">
        <f>ROUND(('abril laborals'!J30*0.24467%)+('abril laborals'!J30),2)</f>
        <v>2130.8000000000002</v>
      </c>
      <c r="K31" s="6">
        <f t="shared" si="5"/>
        <v>3054.3</v>
      </c>
      <c r="L31" s="139">
        <f t="shared" si="4"/>
        <v>46074.239999999998</v>
      </c>
      <c r="M31" s="6">
        <v>44833.354895639997</v>
      </c>
    </row>
    <row r="32" spans="1:13" s="5" customFormat="1" x14ac:dyDescent="0.25">
      <c r="B32" s="77">
        <v>21</v>
      </c>
      <c r="C32" s="6">
        <v>1020.28</v>
      </c>
      <c r="D32" s="6">
        <f>ROUND(('abril laborals'!D31*0.24467%)+('abril laborals'!D31),2)</f>
        <v>179.39</v>
      </c>
      <c r="E32" s="6">
        <f>ROUND(('abril laborals'!E31*0.24467%)+('abril laborals'!E31),2)</f>
        <v>2055.4499999999998</v>
      </c>
      <c r="F32" s="104">
        <f t="shared" si="3"/>
        <v>3255.12</v>
      </c>
      <c r="H32" s="104">
        <v>744.11</v>
      </c>
      <c r="I32" s="6">
        <f>ROUND(('abril laborals'!I31*0.24467%)+('abril laborals'!I31),2)</f>
        <v>179.39</v>
      </c>
      <c r="J32" s="6">
        <f>ROUND(('abril laborals'!J31*0.24467%)+('abril laborals'!J31),2)</f>
        <v>2055.4499999999998</v>
      </c>
      <c r="K32" s="6">
        <f t="shared" si="5"/>
        <v>2978.95</v>
      </c>
      <c r="L32" s="139">
        <f t="shared" si="4"/>
        <v>45019.34</v>
      </c>
      <c r="M32" s="6">
        <v>43806.7387773675</v>
      </c>
    </row>
    <row r="33" spans="1:13" s="5" customFormat="1" x14ac:dyDescent="0.25">
      <c r="B33" s="77">
        <v>20</v>
      </c>
      <c r="C33" s="6">
        <v>1020.28</v>
      </c>
      <c r="D33" s="6">
        <f>ROUND(('abril laborals'!D32*0.24467%)+('abril laborals'!D32),2)</f>
        <v>179.39</v>
      </c>
      <c r="E33" s="6">
        <f>ROUND(('abril laborals'!E32*0.24467%)+('abril laborals'!E32),2)</f>
        <v>1982.34</v>
      </c>
      <c r="F33" s="104">
        <f t="shared" si="3"/>
        <v>3182.01</v>
      </c>
      <c r="H33" s="104">
        <v>744.11</v>
      </c>
      <c r="I33" s="6">
        <f>ROUND(('abril laborals'!I32*0.24467%)+('abril laborals'!I32),2)</f>
        <v>179.39</v>
      </c>
      <c r="J33" s="6">
        <f>ROUND(('abril laborals'!J32*0.24467%)+('abril laborals'!J32),2)</f>
        <v>1982.34</v>
      </c>
      <c r="K33" s="6">
        <f t="shared" si="5"/>
        <v>2905.84</v>
      </c>
      <c r="L33" s="139">
        <f t="shared" si="4"/>
        <v>43995.8</v>
      </c>
      <c r="M33" s="6">
        <v>42810.693923783998</v>
      </c>
    </row>
    <row r="34" spans="1:13" s="5" customFormat="1" x14ac:dyDescent="0.25">
      <c r="B34" s="77">
        <v>19</v>
      </c>
      <c r="C34" s="6">
        <v>1020.28</v>
      </c>
      <c r="D34" s="6">
        <f>ROUND(('abril laborals'!D33*0.24467%)+('abril laborals'!D33),2)</f>
        <v>179.39</v>
      </c>
      <c r="E34" s="6">
        <f>ROUND(('abril laborals'!E33*0.24467%)+('abril laborals'!E33),2)</f>
        <v>1934.62</v>
      </c>
      <c r="F34" s="104">
        <f t="shared" si="3"/>
        <v>3134.29</v>
      </c>
      <c r="H34" s="104">
        <v>744.11</v>
      </c>
      <c r="I34" s="6">
        <f>ROUND(('abril laborals'!I33*0.24467%)+('abril laborals'!I33),2)</f>
        <v>179.39</v>
      </c>
      <c r="J34" s="6">
        <f>ROUND(('abril laborals'!J33*0.24467%)+('abril laborals'!J33),2)</f>
        <v>1934.62</v>
      </c>
      <c r="K34" s="6">
        <f t="shared" si="5"/>
        <v>2858.12</v>
      </c>
      <c r="L34" s="139">
        <f t="shared" si="4"/>
        <v>43327.72</v>
      </c>
      <c r="M34" s="6">
        <v>42160.434861344991</v>
      </c>
    </row>
    <row r="35" spans="1:13" s="5" customFormat="1" x14ac:dyDescent="0.25">
      <c r="B35" s="83">
        <v>18</v>
      </c>
      <c r="C35" s="7">
        <v>1020.28</v>
      </c>
      <c r="D35" s="7">
        <f>ROUND(('abril laborals'!D34*0.24467%)+('abril laborals'!D34),2)</f>
        <v>179.39</v>
      </c>
      <c r="E35" s="7">
        <f>ROUND(('abril laborals'!E34*0.24467%)+('abril laborals'!E34),2)</f>
        <v>1787.7</v>
      </c>
      <c r="F35" s="7">
        <f t="shared" si="3"/>
        <v>2987.37</v>
      </c>
      <c r="G35" s="13"/>
      <c r="H35" s="7">
        <v>744.11</v>
      </c>
      <c r="I35" s="7">
        <f>ROUND(('abril laborals'!I34*0.24467%)+('abril laborals'!I34),2)</f>
        <v>179.39</v>
      </c>
      <c r="J35" s="7">
        <f>ROUND(('abril laborals'!J34*0.24467%)+('abril laborals'!J34),2)</f>
        <v>1787.7</v>
      </c>
      <c r="K35" s="7">
        <f t="shared" si="5"/>
        <v>2711.2</v>
      </c>
      <c r="L35" s="16">
        <f t="shared" si="4"/>
        <v>41270.839999999997</v>
      </c>
      <c r="M35" s="6">
        <v>40158.705566212993</v>
      </c>
    </row>
    <row r="36" spans="1:13" s="5" customFormat="1" x14ac:dyDescent="0.25">
      <c r="B36" s="77">
        <v>17</v>
      </c>
      <c r="C36" s="6">
        <v>1020.28</v>
      </c>
      <c r="D36" s="6">
        <f>ROUND(('abril laborals'!D35*0.24467%)+('abril laborals'!D35),2)</f>
        <v>179.39</v>
      </c>
      <c r="E36" s="6">
        <f>ROUND(('abril laborals'!E35*0.24467%)+('abril laborals'!E35),2)</f>
        <v>1695.89</v>
      </c>
      <c r="F36" s="104">
        <f t="shared" si="3"/>
        <v>2895.5600000000004</v>
      </c>
      <c r="H36" s="104">
        <v>744.11</v>
      </c>
      <c r="I36" s="6">
        <f>ROUND(('abril laborals'!I35*0.24467%)+('abril laborals'!I35),2)</f>
        <v>179.39</v>
      </c>
      <c r="J36" s="6">
        <f>ROUND(('abril laborals'!J35*0.24467%)+('abril laborals'!J35),2)</f>
        <v>1695.89</v>
      </c>
      <c r="K36" s="6">
        <f t="shared" si="5"/>
        <v>2619.3900000000003</v>
      </c>
      <c r="L36" s="139">
        <f t="shared" si="4"/>
        <v>39985.5</v>
      </c>
      <c r="M36" s="6">
        <v>38907.762465154992</v>
      </c>
    </row>
    <row r="37" spans="1:13" s="5" customFormat="1" x14ac:dyDescent="0.25">
      <c r="B37" s="77">
        <v>16</v>
      </c>
      <c r="C37" s="6">
        <v>1020.28</v>
      </c>
      <c r="D37" s="6">
        <f>ROUND(('abril laborals'!D36*0.24467%)+('abril laborals'!D36),2)</f>
        <v>179.39</v>
      </c>
      <c r="E37" s="6">
        <f>ROUND(('abril laborals'!E36*0.24467%)+('abril laborals'!E36),2)</f>
        <v>1596.94</v>
      </c>
      <c r="F37" s="104">
        <f t="shared" si="3"/>
        <v>2796.61</v>
      </c>
      <c r="H37" s="104">
        <v>744.11</v>
      </c>
      <c r="I37" s="6">
        <f>ROUND(('abril laborals'!I36*0.24467%)+('abril laborals'!I36),2)</f>
        <v>179.39</v>
      </c>
      <c r="J37" s="6">
        <f>ROUND(('abril laborals'!J36*0.24467%)+('abril laborals'!J36),2)</f>
        <v>1596.94</v>
      </c>
      <c r="K37" s="6">
        <f t="shared" si="5"/>
        <v>2520.44</v>
      </c>
      <c r="L37" s="139">
        <f t="shared" si="4"/>
        <v>38600.199999999997</v>
      </c>
      <c r="M37" s="6">
        <v>37559.73494244949</v>
      </c>
    </row>
    <row r="38" spans="1:13" x14ac:dyDescent="0.25">
      <c r="L38" s="54"/>
    </row>
    <row r="39" spans="1:13" x14ac:dyDescent="0.25">
      <c r="A39" s="62" t="s">
        <v>64</v>
      </c>
      <c r="L39" s="54"/>
    </row>
    <row r="40" spans="1:13" x14ac:dyDescent="0.25">
      <c r="A40" s="63"/>
      <c r="B40" s="79"/>
      <c r="C40" s="52" t="s">
        <v>51</v>
      </c>
      <c r="D40" s="52" t="s">
        <v>52</v>
      </c>
      <c r="E40" s="52" t="s">
        <v>53</v>
      </c>
      <c r="F40" s="52" t="s">
        <v>45</v>
      </c>
      <c r="G40" s="80"/>
      <c r="H40" s="52" t="s">
        <v>51</v>
      </c>
      <c r="I40" s="52" t="s">
        <v>52</v>
      </c>
      <c r="J40" s="52" t="s">
        <v>53</v>
      </c>
      <c r="K40" s="52" t="s">
        <v>45</v>
      </c>
      <c r="L40" s="68" t="s">
        <v>54</v>
      </c>
      <c r="M40" s="52"/>
    </row>
    <row r="41" spans="1:13" x14ac:dyDescent="0.25">
      <c r="A41" s="82" t="s">
        <v>65</v>
      </c>
      <c r="B41" s="71" t="s">
        <v>56</v>
      </c>
      <c r="C41" s="57" t="s">
        <v>57</v>
      </c>
      <c r="D41" s="57" t="s">
        <v>58</v>
      </c>
      <c r="E41" s="57" t="s">
        <v>59</v>
      </c>
      <c r="F41" s="57" t="s">
        <v>49</v>
      </c>
      <c r="G41" s="80"/>
      <c r="H41" s="57" t="s">
        <v>57</v>
      </c>
      <c r="I41" s="57" t="s">
        <v>58</v>
      </c>
      <c r="J41" s="57" t="s">
        <v>59</v>
      </c>
      <c r="K41" s="57" t="s">
        <v>49</v>
      </c>
      <c r="L41" s="76" t="s">
        <v>60</v>
      </c>
      <c r="M41" s="57" t="s">
        <v>61</v>
      </c>
    </row>
    <row r="42" spans="1:13" s="5" customFormat="1" x14ac:dyDescent="0.25">
      <c r="B42" s="77">
        <v>21</v>
      </c>
      <c r="C42" s="6">
        <v>766.06</v>
      </c>
      <c r="D42" s="6">
        <f>ROUND(('abril laborals'!D41*0.24467%)+('abril laborals'!D41),2)</f>
        <v>143.99</v>
      </c>
      <c r="E42" s="6">
        <f>ROUND(('abril laborals'!E41*0.24467%)+('abril laborals'!E41),2)</f>
        <v>2494.14</v>
      </c>
      <c r="F42" s="104">
        <f t="shared" ref="F42:F50" si="6">C42+D42+E42</f>
        <v>3404.1899999999996</v>
      </c>
      <c r="H42" s="6">
        <v>662.1</v>
      </c>
      <c r="I42" s="6">
        <f>ROUND(('abril laborals'!I41*0.24467%)+('abril laborals'!I41),2)</f>
        <v>143.99</v>
      </c>
      <c r="J42" s="6">
        <f>ROUND(('abril laborals'!J41*0.24467%)+('abril laborals'!J41),2)</f>
        <v>2494.14</v>
      </c>
      <c r="K42" s="6">
        <f t="shared" ref="K42:K50" si="7">H42+I42+J42</f>
        <v>3300.23</v>
      </c>
      <c r="L42" s="139">
        <f t="shared" ref="L42:L50" si="8">ROUND((F42*12)+(K42*2),2)</f>
        <v>47450.74</v>
      </c>
      <c r="M42" s="6">
        <v>46173.919466295498</v>
      </c>
    </row>
    <row r="43" spans="1:13" s="5" customFormat="1" x14ac:dyDescent="0.25">
      <c r="B43" s="77">
        <v>20</v>
      </c>
      <c r="C43" s="6">
        <v>766.06</v>
      </c>
      <c r="D43" s="6">
        <f>ROUND(('abril laborals'!D42*0.24467%)+('abril laborals'!D42),2)</f>
        <v>143.99</v>
      </c>
      <c r="E43" s="6">
        <f>ROUND(('abril laborals'!E42*0.24467%)+('abril laborals'!E42),2)</f>
        <v>2417.13</v>
      </c>
      <c r="F43" s="104">
        <f t="shared" si="6"/>
        <v>3327.1800000000003</v>
      </c>
      <c r="H43" s="6">
        <v>662.1</v>
      </c>
      <c r="I43" s="6">
        <f>ROUND(('abril laborals'!I42*0.24467%)+('abril laborals'!I42),2)</f>
        <v>143.99</v>
      </c>
      <c r="J43" s="6">
        <f>ROUND(('abril laborals'!J42*0.24467%)+('abril laborals'!J42),2)</f>
        <v>2417.13</v>
      </c>
      <c r="K43" s="6">
        <f t="shared" si="7"/>
        <v>3223.2200000000003</v>
      </c>
      <c r="L43" s="139">
        <f t="shared" si="8"/>
        <v>46372.6</v>
      </c>
      <c r="M43" s="6">
        <v>45124.856878904488</v>
      </c>
    </row>
    <row r="44" spans="1:13" s="5" customFormat="1" x14ac:dyDescent="0.25">
      <c r="B44" s="77">
        <v>19</v>
      </c>
      <c r="C44" s="6">
        <v>766.06</v>
      </c>
      <c r="D44" s="6">
        <f>ROUND(('abril laborals'!D43*0.24467%)+('abril laborals'!D43),2)</f>
        <v>143.99</v>
      </c>
      <c r="E44" s="6">
        <f>ROUND(('abril laborals'!E43*0.24467%)+('abril laborals'!E43),2)</f>
        <v>2264.87</v>
      </c>
      <c r="F44" s="104">
        <f t="shared" si="6"/>
        <v>3174.92</v>
      </c>
      <c r="H44" s="6">
        <v>662.1</v>
      </c>
      <c r="I44" s="6">
        <f>ROUND(('abril laborals'!I43*0.24467%)+('abril laborals'!I43),2)</f>
        <v>143.99</v>
      </c>
      <c r="J44" s="6">
        <f>ROUND(('abril laborals'!J43*0.24467%)+('abril laborals'!J43),2)</f>
        <v>2264.87</v>
      </c>
      <c r="K44" s="6">
        <f t="shared" si="7"/>
        <v>3070.96</v>
      </c>
      <c r="L44" s="139">
        <f t="shared" si="8"/>
        <v>44240.959999999999</v>
      </c>
      <c r="M44" s="6">
        <v>43050.417548836493</v>
      </c>
    </row>
    <row r="45" spans="1:13" s="5" customFormat="1" x14ac:dyDescent="0.25">
      <c r="B45" s="83">
        <v>18</v>
      </c>
      <c r="C45" s="7">
        <v>766.06</v>
      </c>
      <c r="D45" s="7">
        <f>ROUND(('abril laborals'!D44*0.24467%)+('abril laborals'!D44),2)</f>
        <v>143.99</v>
      </c>
      <c r="E45" s="7">
        <f>ROUND(('abril laborals'!E44*0.24467%)+('abril laborals'!E44),2)</f>
        <v>2031.2</v>
      </c>
      <c r="F45" s="7">
        <f t="shared" si="6"/>
        <v>2941.25</v>
      </c>
      <c r="G45" s="13"/>
      <c r="H45" s="7">
        <v>662.1</v>
      </c>
      <c r="I45" s="7">
        <f>ROUND(('abril laborals'!I44*0.24467%)+('abril laborals'!I44),2)</f>
        <v>143.99</v>
      </c>
      <c r="J45" s="7">
        <f>ROUND(('abril laborals'!J44*0.24467%)+('abril laborals'!J44),2)</f>
        <v>2031.2</v>
      </c>
      <c r="K45" s="7">
        <f t="shared" si="7"/>
        <v>2837.29</v>
      </c>
      <c r="L45" s="16">
        <f t="shared" si="8"/>
        <v>40969.58</v>
      </c>
      <c r="M45" s="6">
        <v>39866.874769195492</v>
      </c>
    </row>
    <row r="46" spans="1:13" s="5" customFormat="1" x14ac:dyDescent="0.25">
      <c r="B46" s="77">
        <v>17</v>
      </c>
      <c r="C46" s="6">
        <v>766.06</v>
      </c>
      <c r="D46" s="6">
        <f>ROUND(('abril laborals'!D45*0.24467%)+('abril laborals'!D45),2)</f>
        <v>143.99</v>
      </c>
      <c r="E46" s="6">
        <f>ROUND(('abril laborals'!E45*0.24467%)+('abril laborals'!E45),2)</f>
        <v>1884.06</v>
      </c>
      <c r="F46" s="104">
        <f t="shared" si="6"/>
        <v>2794.1099999999997</v>
      </c>
      <c r="H46" s="6">
        <v>662.1</v>
      </c>
      <c r="I46" s="6">
        <f>ROUND(('abril laborals'!I45*0.24467%)+('abril laborals'!I45),2)</f>
        <v>143.99</v>
      </c>
      <c r="J46" s="6">
        <f>ROUND(('abril laborals'!J45*0.24467%)+('abril laborals'!J45),2)</f>
        <v>1884.06</v>
      </c>
      <c r="K46" s="6">
        <f t="shared" si="7"/>
        <v>2690.15</v>
      </c>
      <c r="L46" s="139">
        <f t="shared" si="8"/>
        <v>38909.620000000003</v>
      </c>
      <c r="M46" s="6">
        <v>37861.978180874998</v>
      </c>
    </row>
    <row r="47" spans="1:13" s="5" customFormat="1" x14ac:dyDescent="0.25">
      <c r="B47" s="77">
        <v>16</v>
      </c>
      <c r="C47" s="6">
        <v>766.06</v>
      </c>
      <c r="D47" s="6">
        <f>ROUND(('abril laborals'!D46*0.24467%)+('abril laborals'!D46),2)</f>
        <v>143.99</v>
      </c>
      <c r="E47" s="6">
        <f>ROUND(('abril laborals'!E46*0.24467%)+('abril laborals'!E46),2)</f>
        <v>1692.09</v>
      </c>
      <c r="F47" s="104">
        <f t="shared" si="6"/>
        <v>2602.14</v>
      </c>
      <c r="H47" s="6">
        <v>662.1</v>
      </c>
      <c r="I47" s="6">
        <f>ROUND(('abril laborals'!I46*0.24467%)+('abril laborals'!I46),2)</f>
        <v>143.99</v>
      </c>
      <c r="J47" s="6">
        <f>ROUND(('abril laborals'!J46*0.24467%)+('abril laborals'!J46),2)</f>
        <v>1692.09</v>
      </c>
      <c r="K47" s="6">
        <f t="shared" si="7"/>
        <v>2498.1799999999998</v>
      </c>
      <c r="L47" s="139">
        <f t="shared" si="8"/>
        <v>36222.04</v>
      </c>
      <c r="M47" s="6">
        <v>35246.482549171495</v>
      </c>
    </row>
    <row r="48" spans="1:13" s="5" customFormat="1" x14ac:dyDescent="0.25">
      <c r="B48" s="83">
        <v>15</v>
      </c>
      <c r="C48" s="7">
        <v>766.06</v>
      </c>
      <c r="D48" s="7">
        <f>ROUND(('abril laborals'!D47*0.24467%)+('abril laborals'!D47),2)</f>
        <v>143.99</v>
      </c>
      <c r="E48" s="7">
        <f>ROUND(('abril laborals'!E47*0.24467%)+('abril laborals'!E47),2)</f>
        <v>1548.69</v>
      </c>
      <c r="F48" s="7">
        <f t="shared" si="6"/>
        <v>2458.7399999999998</v>
      </c>
      <c r="G48" s="13"/>
      <c r="H48" s="7">
        <v>662.1</v>
      </c>
      <c r="I48" s="7">
        <f>ROUND(('abril laborals'!I47*0.24467%)+('abril laborals'!I47),2)</f>
        <v>143.99</v>
      </c>
      <c r="J48" s="7">
        <f>ROUND(('abril laborals'!J47*0.24467%)+('abril laborals'!J47),2)</f>
        <v>1548.69</v>
      </c>
      <c r="K48" s="7">
        <f t="shared" si="7"/>
        <v>2354.7800000000002</v>
      </c>
      <c r="L48" s="16">
        <f t="shared" si="8"/>
        <v>34214.44</v>
      </c>
      <c r="M48" s="6">
        <v>33292.675777065495</v>
      </c>
    </row>
    <row r="49" spans="1:13" s="5" customFormat="1" x14ac:dyDescent="0.25">
      <c r="B49" s="77">
        <v>14</v>
      </c>
      <c r="C49" s="6">
        <v>766.06</v>
      </c>
      <c r="D49" s="6">
        <f>ROUND(('abril laborals'!D48*0.24467%)+('abril laborals'!D48),2)</f>
        <v>143.99</v>
      </c>
      <c r="E49" s="6">
        <f>ROUND(('abril laborals'!E48*0.24467%)+('abril laborals'!E48),2)</f>
        <v>1456.07</v>
      </c>
      <c r="F49" s="104">
        <f t="shared" si="6"/>
        <v>2366.12</v>
      </c>
      <c r="H49" s="6">
        <v>662.1</v>
      </c>
      <c r="I49" s="6">
        <f>ROUND(('abril laborals'!I48*0.24467%)+('abril laborals'!I48),2)</f>
        <v>143.99</v>
      </c>
      <c r="J49" s="6">
        <f>ROUND(('abril laborals'!J48*0.24467%)+('abril laborals'!J48),2)</f>
        <v>1456.07</v>
      </c>
      <c r="K49" s="6">
        <f t="shared" si="7"/>
        <v>2262.16</v>
      </c>
      <c r="L49" s="139">
        <f t="shared" si="8"/>
        <v>32917.760000000002</v>
      </c>
      <c r="M49" s="6">
        <v>32030.853712446995</v>
      </c>
    </row>
    <row r="50" spans="1:13" s="5" customFormat="1" x14ac:dyDescent="0.25">
      <c r="B50" s="77">
        <v>13</v>
      </c>
      <c r="C50" s="6">
        <v>766.06</v>
      </c>
      <c r="D50" s="6">
        <f>ROUND(('abril laborals'!D49*0.24467%)+('abril laborals'!D49),2)</f>
        <v>143.99</v>
      </c>
      <c r="E50" s="6">
        <f>ROUND(('abril laborals'!E49*0.24467%)+('abril laborals'!E49),2)</f>
        <v>1357.92</v>
      </c>
      <c r="F50" s="104">
        <f t="shared" si="6"/>
        <v>2267.9700000000003</v>
      </c>
      <c r="H50" s="6">
        <v>662.1</v>
      </c>
      <c r="I50" s="6">
        <f>ROUND(('abril laborals'!I49*0.24467%)+('abril laborals'!I49),2)</f>
        <v>143.99</v>
      </c>
      <c r="J50" s="6">
        <f>ROUND(('abril laborals'!J49*0.24467%)+('abril laborals'!J49),2)</f>
        <v>1357.92</v>
      </c>
      <c r="K50" s="6">
        <f t="shared" si="7"/>
        <v>2164.0100000000002</v>
      </c>
      <c r="L50" s="139">
        <f t="shared" si="8"/>
        <v>31543.66</v>
      </c>
      <c r="M50" s="6">
        <v>30693.705153301995</v>
      </c>
    </row>
    <row r="51" spans="1:13" s="5" customFormat="1" x14ac:dyDescent="0.25">
      <c r="B51" s="46"/>
      <c r="L51" s="84"/>
    </row>
    <row r="52" spans="1:13" x14ac:dyDescent="0.25">
      <c r="A52" s="62" t="s">
        <v>66</v>
      </c>
      <c r="L52" s="84"/>
    </row>
    <row r="53" spans="1:13" x14ac:dyDescent="0.25">
      <c r="A53" s="62" t="s">
        <v>67</v>
      </c>
      <c r="L53" s="84"/>
    </row>
    <row r="54" spans="1:13" x14ac:dyDescent="0.25">
      <c r="A54" s="62" t="s">
        <v>68</v>
      </c>
      <c r="B54" s="79"/>
      <c r="C54" s="52" t="s">
        <v>51</v>
      </c>
      <c r="D54" s="52" t="s">
        <v>52</v>
      </c>
      <c r="E54" s="52" t="s">
        <v>53</v>
      </c>
      <c r="F54" s="52" t="s">
        <v>45</v>
      </c>
      <c r="G54" s="80"/>
      <c r="H54" s="52" t="s">
        <v>51</v>
      </c>
      <c r="I54" s="52" t="s">
        <v>52</v>
      </c>
      <c r="J54" s="52" t="s">
        <v>53</v>
      </c>
      <c r="K54" s="52" t="s">
        <v>45</v>
      </c>
      <c r="L54" s="68" t="s">
        <v>54</v>
      </c>
      <c r="M54" s="80"/>
    </row>
    <row r="55" spans="1:13" x14ac:dyDescent="0.25">
      <c r="A55" s="85" t="s">
        <v>69</v>
      </c>
      <c r="B55" s="71" t="s">
        <v>56</v>
      </c>
      <c r="C55" s="57" t="s">
        <v>57</v>
      </c>
      <c r="D55" s="57" t="s">
        <v>58</v>
      </c>
      <c r="E55" s="57" t="s">
        <v>59</v>
      </c>
      <c r="F55" s="57" t="s">
        <v>49</v>
      </c>
      <c r="G55" s="80"/>
      <c r="H55" s="57" t="s">
        <v>57</v>
      </c>
      <c r="I55" s="57" t="s">
        <v>58</v>
      </c>
      <c r="J55" s="57" t="s">
        <v>59</v>
      </c>
      <c r="K55" s="57" t="s">
        <v>49</v>
      </c>
      <c r="L55" s="76" t="s">
        <v>60</v>
      </c>
      <c r="M55" s="80" t="s">
        <v>61</v>
      </c>
    </row>
    <row r="56" spans="1:13" s="5" customFormat="1" x14ac:dyDescent="0.25">
      <c r="A56" s="86" t="s">
        <v>70</v>
      </c>
      <c r="B56" s="77">
        <v>18</v>
      </c>
      <c r="C56" s="6">
        <v>637.57000000000005</v>
      </c>
      <c r="D56" s="6">
        <f>ROUND(('abril laborals'!D55*0.24467%)+('abril laborals'!D55),2)</f>
        <v>128.01</v>
      </c>
      <c r="E56" s="6">
        <f>ROUND(('abril laborals'!E55*0.24467%)+('abril laborals'!E55),2)</f>
        <v>1845.34</v>
      </c>
      <c r="F56" s="104">
        <f t="shared" ref="F56" si="9">C56+D56+E56</f>
        <v>2610.92</v>
      </c>
      <c r="H56" s="6">
        <v>631.76</v>
      </c>
      <c r="I56" s="6">
        <f>ROUND(('abril laborals'!I55*0.24467%)+('abril laborals'!I55),2)</f>
        <v>128.01</v>
      </c>
      <c r="J56" s="6">
        <f>ROUND(('abril laborals'!J55*0.24467%)+('abril laborals'!J55),2)</f>
        <v>1845.34</v>
      </c>
      <c r="K56" s="6">
        <f t="shared" ref="K56:K64" si="10">H56+I56+J56</f>
        <v>2605.1099999999997</v>
      </c>
      <c r="L56" s="139">
        <f t="shared" ref="L56:L64" si="11">ROUND((F56*12)+(K56*2),2)</f>
        <v>36541.26</v>
      </c>
      <c r="M56" s="6">
        <v>35487.819514392497</v>
      </c>
    </row>
    <row r="57" spans="1:13" s="5" customFormat="1" x14ac:dyDescent="0.25">
      <c r="A57" s="87" t="s">
        <v>71</v>
      </c>
      <c r="B57" s="83">
        <v>17</v>
      </c>
      <c r="C57" s="7">
        <v>637.57000000000005</v>
      </c>
      <c r="D57" s="7">
        <f>ROUND(('abril laborals'!D56*0.24467%)+('abril laborals'!D56),2)</f>
        <v>128.01</v>
      </c>
      <c r="E57" s="7">
        <f>ROUND(('abril laborals'!E56*0.24467%)+('abril laborals'!E56),2)</f>
        <v>1700.32</v>
      </c>
      <c r="F57" s="7">
        <f t="shared" ref="F57:F64" si="12">C57+D57+E57</f>
        <v>2465.9</v>
      </c>
      <c r="G57" s="13"/>
      <c r="H57" s="7">
        <v>631.76</v>
      </c>
      <c r="I57" s="7">
        <f>ROUND(('abril laborals'!I56*0.24467%)+('abril laborals'!I56),2)</f>
        <v>128.01</v>
      </c>
      <c r="J57" s="7">
        <f>ROUND(('abril laborals'!J56*0.24467%)+('abril laborals'!J56),2)</f>
        <v>1700.32</v>
      </c>
      <c r="K57" s="7">
        <f t="shared" si="10"/>
        <v>2460.09</v>
      </c>
      <c r="L57" s="16">
        <f t="shared" si="11"/>
        <v>34510.980000000003</v>
      </c>
      <c r="M57" s="6">
        <v>33581.797556912999</v>
      </c>
    </row>
    <row r="58" spans="1:13" s="5" customFormat="1" x14ac:dyDescent="0.25">
      <c r="A58" s="86" t="s">
        <v>72</v>
      </c>
      <c r="B58" s="77">
        <v>16</v>
      </c>
      <c r="C58" s="6">
        <v>637.57000000000005</v>
      </c>
      <c r="D58" s="6">
        <f>ROUND(('abril laborals'!D57*0.24467%)+('abril laborals'!D57),2)</f>
        <v>128.01</v>
      </c>
      <c r="E58" s="6">
        <f>ROUND(('abril laborals'!E57*0.24467%)+('abril laborals'!E57),2)</f>
        <v>1647.86</v>
      </c>
      <c r="F58" s="104">
        <f t="shared" si="12"/>
        <v>2413.44</v>
      </c>
      <c r="H58" s="6">
        <v>631.76</v>
      </c>
      <c r="I58" s="6">
        <f>ROUND(('abril laborals'!I57*0.24467%)+('abril laborals'!I57),2)</f>
        <v>128.01</v>
      </c>
      <c r="J58" s="6">
        <f>ROUND(('abril laborals'!J57*0.24467%)+('abril laborals'!J57),2)</f>
        <v>1647.86</v>
      </c>
      <c r="K58" s="6">
        <f t="shared" si="10"/>
        <v>2407.63</v>
      </c>
      <c r="L58" s="139">
        <f t="shared" si="11"/>
        <v>33776.54</v>
      </c>
      <c r="M58" s="6">
        <v>32801.954890544497</v>
      </c>
    </row>
    <row r="59" spans="1:13" s="5" customFormat="1" x14ac:dyDescent="0.25">
      <c r="A59" s="88" t="s">
        <v>73</v>
      </c>
      <c r="B59" s="77">
        <v>15</v>
      </c>
      <c r="C59" s="6">
        <v>637.57000000000005</v>
      </c>
      <c r="D59" s="6">
        <f>ROUND(('abril laborals'!D58*0.24467%)+('abril laborals'!D58),2)</f>
        <v>128.01</v>
      </c>
      <c r="E59" s="6">
        <f>ROUND(('abril laborals'!E58*0.24467%)+('abril laborals'!E58),2)</f>
        <v>1549.13</v>
      </c>
      <c r="F59" s="104">
        <f t="shared" si="12"/>
        <v>2314.71</v>
      </c>
      <c r="H59" s="6">
        <v>631.76</v>
      </c>
      <c r="I59" s="6">
        <f>ROUND(('abril laborals'!I58*0.24467%)+('abril laborals'!I58),2)</f>
        <v>128.01</v>
      </c>
      <c r="J59" s="6">
        <f>ROUND(('abril laborals'!J58*0.24467%)+('abril laborals'!J58),2)</f>
        <v>1549.13</v>
      </c>
      <c r="K59" s="6">
        <f t="shared" si="10"/>
        <v>2308.9</v>
      </c>
      <c r="L59" s="139">
        <f t="shared" si="11"/>
        <v>32394.32</v>
      </c>
      <c r="M59" s="6">
        <v>32296.289647580496</v>
      </c>
    </row>
    <row r="60" spans="1:13" s="5" customFormat="1" x14ac:dyDescent="0.25">
      <c r="B60" s="83">
        <v>14</v>
      </c>
      <c r="C60" s="7">
        <v>637.57000000000005</v>
      </c>
      <c r="D60" s="7">
        <f>ROUND(('abril laborals'!D59*0.24467%)+('abril laborals'!D59),2)</f>
        <v>128.01</v>
      </c>
      <c r="E60" s="7">
        <f>ROUND(('abril laborals'!E59*0.24467%)+('abril laborals'!E59),2)</f>
        <v>1450.39</v>
      </c>
      <c r="F60" s="7">
        <f t="shared" si="12"/>
        <v>2215.9700000000003</v>
      </c>
      <c r="G60" s="13"/>
      <c r="H60" s="7">
        <v>631.76</v>
      </c>
      <c r="I60" s="7">
        <f>ROUND(('abril laborals'!I59*0.24467%)+('abril laborals'!I59),2)</f>
        <v>128.01</v>
      </c>
      <c r="J60" s="7">
        <f>ROUND(('abril laborals'!J59*0.24467%)+('abril laborals'!J59),2)</f>
        <v>1450.39</v>
      </c>
      <c r="K60" s="7">
        <f t="shared" si="10"/>
        <v>2210.16</v>
      </c>
      <c r="L60" s="16">
        <f t="shared" si="11"/>
        <v>31011.96</v>
      </c>
      <c r="M60" s="6">
        <v>30979.108806362994</v>
      </c>
    </row>
    <row r="61" spans="1:13" s="5" customFormat="1" x14ac:dyDescent="0.25">
      <c r="B61" s="77">
        <v>13</v>
      </c>
      <c r="C61" s="6">
        <v>637.57000000000005</v>
      </c>
      <c r="D61" s="6">
        <f>ROUND(('abril laborals'!D60*0.24467%)+('abril laborals'!D60),2)</f>
        <v>128.01</v>
      </c>
      <c r="E61" s="6">
        <f>ROUND(('abril laborals'!E60*0.24467%)+('abril laborals'!E60),2)</f>
        <v>1351.65</v>
      </c>
      <c r="F61" s="104">
        <f t="shared" si="12"/>
        <v>2117.23</v>
      </c>
      <c r="H61" s="6">
        <v>631.76</v>
      </c>
      <c r="I61" s="6">
        <f>ROUND(('abril laborals'!I60*0.24467%)+('abril laborals'!I60),2)</f>
        <v>128.01</v>
      </c>
      <c r="J61" s="6">
        <f>ROUND(('abril laborals'!J60*0.24467%)+('abril laborals'!J60),2)</f>
        <v>1351.65</v>
      </c>
      <c r="K61" s="6">
        <f t="shared" si="10"/>
        <v>2111.42</v>
      </c>
      <c r="L61" s="139">
        <f t="shared" si="11"/>
        <v>29629.599999999999</v>
      </c>
      <c r="M61" s="6">
        <v>30358.319341416998</v>
      </c>
    </row>
    <row r="62" spans="1:13" s="5" customFormat="1" x14ac:dyDescent="0.25">
      <c r="B62" s="83">
        <v>12</v>
      </c>
      <c r="C62" s="7">
        <v>637.57000000000005</v>
      </c>
      <c r="D62" s="7">
        <f>ROUND(('abril laborals'!D61*0.24467%)+('abril laborals'!D61),2)</f>
        <v>128.01</v>
      </c>
      <c r="E62" s="7">
        <f>ROUND(('abril laborals'!E61*0.24467%)+('abril laborals'!E61),2)</f>
        <v>1270.1300000000001</v>
      </c>
      <c r="F62" s="7">
        <f t="shared" si="12"/>
        <v>2035.71</v>
      </c>
      <c r="G62" s="13"/>
      <c r="H62" s="7">
        <v>631.76</v>
      </c>
      <c r="I62" s="7">
        <f>ROUND(('abril laborals'!I61*0.24467%)+('abril laborals'!I61),2)</f>
        <v>128.01</v>
      </c>
      <c r="J62" s="7">
        <f>ROUND(('abril laborals'!J61*0.24467%)+('abril laborals'!J61),2)</f>
        <v>1270.1300000000001</v>
      </c>
      <c r="K62" s="7">
        <f t="shared" si="10"/>
        <v>2029.9</v>
      </c>
      <c r="L62" s="16">
        <f t="shared" si="11"/>
        <v>28488.32</v>
      </c>
      <c r="M62" s="6">
        <v>27720.652657393995</v>
      </c>
    </row>
    <row r="63" spans="1:13" s="5" customFormat="1" x14ac:dyDescent="0.25">
      <c r="B63" s="83">
        <v>11</v>
      </c>
      <c r="C63" s="7">
        <v>637.57000000000005</v>
      </c>
      <c r="D63" s="7">
        <f>ROUND(('abril laborals'!D62*0.24467%)+('abril laborals'!D62),2)</f>
        <v>128.01</v>
      </c>
      <c r="E63" s="7">
        <f>ROUND(('abril laborals'!E62*0.24467%)+('abril laborals'!E62),2)</f>
        <v>1264.54</v>
      </c>
      <c r="F63" s="7">
        <f t="shared" si="12"/>
        <v>2030.12</v>
      </c>
      <c r="G63" s="13"/>
      <c r="H63" s="7">
        <v>631.76</v>
      </c>
      <c r="I63" s="7">
        <f>ROUND(('abril laborals'!I62*0.24467%)+('abril laborals'!I62),2)</f>
        <v>128.01</v>
      </c>
      <c r="J63" s="7">
        <f>ROUND(('abril laborals'!J62*0.24467%)+('abril laborals'!J62),2)</f>
        <v>1264.54</v>
      </c>
      <c r="K63" s="7">
        <f t="shared" si="10"/>
        <v>2024.31</v>
      </c>
      <c r="L63" s="16">
        <f t="shared" si="11"/>
        <v>28410.06</v>
      </c>
      <c r="M63" s="6">
        <v>27644.362204071</v>
      </c>
    </row>
    <row r="64" spans="1:13" s="5" customFormat="1" x14ac:dyDescent="0.25">
      <c r="B64" s="89">
        <v>10</v>
      </c>
      <c r="C64" s="6">
        <v>637.57000000000005</v>
      </c>
      <c r="D64" s="6">
        <f>ROUND(('abril laborals'!D63*0.24467%)+('abril laborals'!D63),2)</f>
        <v>128.01</v>
      </c>
      <c r="E64" s="6">
        <f>ROUND(('abril laborals'!E63*0.24467%)+('abril laborals'!E63),2)</f>
        <v>1055.43</v>
      </c>
      <c r="F64" s="104">
        <f t="shared" si="12"/>
        <v>1821.0100000000002</v>
      </c>
      <c r="H64" s="6">
        <v>631.76</v>
      </c>
      <c r="I64" s="6">
        <f>ROUND(('abril laborals'!I63*0.24467%)+('abril laborals'!I63),2)</f>
        <v>128.01</v>
      </c>
      <c r="J64" s="6">
        <f>ROUND(('abril laborals'!J63*0.24467%)+('abril laborals'!J63),2)</f>
        <v>1055.43</v>
      </c>
      <c r="K64" s="6">
        <f t="shared" si="10"/>
        <v>1815.2</v>
      </c>
      <c r="L64" s="139">
        <f t="shared" si="11"/>
        <v>25482.52</v>
      </c>
      <c r="M64" s="90"/>
    </row>
    <row r="65" spans="1:15" s="5" customFormat="1" x14ac:dyDescent="0.25">
      <c r="B65" s="46"/>
      <c r="L65" s="78"/>
    </row>
    <row r="66" spans="1:15" x14ac:dyDescent="0.25">
      <c r="A66" s="62" t="s">
        <v>74</v>
      </c>
      <c r="L66" s="54"/>
    </row>
    <row r="67" spans="1:15" x14ac:dyDescent="0.25">
      <c r="A67" s="85" t="s">
        <v>71</v>
      </c>
      <c r="B67" s="79"/>
      <c r="C67" s="52" t="s">
        <v>51</v>
      </c>
      <c r="D67" s="52" t="s">
        <v>52</v>
      </c>
      <c r="E67" s="52" t="s">
        <v>53</v>
      </c>
      <c r="F67" s="52" t="s">
        <v>45</v>
      </c>
      <c r="G67" s="80"/>
      <c r="H67" s="52" t="s">
        <v>51</v>
      </c>
      <c r="I67" s="52" t="s">
        <v>52</v>
      </c>
      <c r="J67" s="52" t="s">
        <v>53</v>
      </c>
      <c r="K67" s="52" t="s">
        <v>45</v>
      </c>
      <c r="L67" s="68" t="s">
        <v>54</v>
      </c>
      <c r="M67" s="81"/>
    </row>
    <row r="68" spans="1:15" x14ac:dyDescent="0.25">
      <c r="A68" s="82" t="s">
        <v>72</v>
      </c>
      <c r="B68" s="71" t="s">
        <v>56</v>
      </c>
      <c r="C68" s="57" t="s">
        <v>57</v>
      </c>
      <c r="D68" s="57" t="s">
        <v>58</v>
      </c>
      <c r="E68" s="57" t="s">
        <v>59</v>
      </c>
      <c r="F68" s="57" t="s">
        <v>49</v>
      </c>
      <c r="G68" s="80"/>
      <c r="H68" s="57" t="s">
        <v>57</v>
      </c>
      <c r="I68" s="57" t="s">
        <v>58</v>
      </c>
      <c r="J68" s="57" t="s">
        <v>59</v>
      </c>
      <c r="K68" s="57" t="s">
        <v>49</v>
      </c>
      <c r="L68" s="76" t="s">
        <v>60</v>
      </c>
      <c r="M68" s="91" t="s">
        <v>61</v>
      </c>
      <c r="O68" s="142"/>
    </row>
    <row r="69" spans="1:15" s="5" customFormat="1" x14ac:dyDescent="0.25">
      <c r="A69" s="88" t="s">
        <v>73</v>
      </c>
      <c r="B69" s="77">
        <v>14</v>
      </c>
      <c r="C69" s="6">
        <v>583.54</v>
      </c>
      <c r="D69" s="6">
        <f>ROUND(('abril laborals'!D68*0.24467%)+('abril laborals'!D68),2)</f>
        <v>110.67</v>
      </c>
      <c r="E69" s="6">
        <f>ROUND(('abril laborals'!E68*0.24467%)+('abril laborals'!E68),2)</f>
        <v>1773.8</v>
      </c>
      <c r="F69" s="104">
        <f t="shared" ref="F69" si="13">C69+D69+E69</f>
        <v>2468.0099999999998</v>
      </c>
      <c r="H69" s="6">
        <v>583.54</v>
      </c>
      <c r="I69" s="6">
        <f>ROUND(('abril laborals'!I68*0.24467%)+('abril laborals'!I68),2)</f>
        <v>110.67</v>
      </c>
      <c r="J69" s="6">
        <f>ROUND(('abril laborals'!J68*0.24467%)+('abril laborals'!J68),2)</f>
        <v>1773.8</v>
      </c>
      <c r="K69" s="6">
        <f t="shared" ref="K69" si="14">H69+I69+J69</f>
        <v>2468.0099999999998</v>
      </c>
      <c r="L69" s="139">
        <f t="shared" ref="L69" si="15">ROUND((F69*12)+(K69*2),2)</f>
        <v>34552.14</v>
      </c>
      <c r="M69" s="6">
        <v>33588.008721111997</v>
      </c>
    </row>
    <row r="70" spans="1:15" s="5" customFormat="1" x14ac:dyDescent="0.25">
      <c r="B70" s="77">
        <v>13</v>
      </c>
      <c r="C70" s="6">
        <v>583.54</v>
      </c>
      <c r="D70" s="6">
        <f>ROUND(('abril laborals'!D69*0.24467%)+('abril laborals'!D69),2)</f>
        <v>110.67</v>
      </c>
      <c r="E70" s="6">
        <f>ROUND(('abril laborals'!E69*0.24467%)+('abril laborals'!E69),2)</f>
        <v>1539.61</v>
      </c>
      <c r="F70" s="104">
        <f t="shared" ref="F70:F73" si="16">C70+D70+E70</f>
        <v>2233.8199999999997</v>
      </c>
      <c r="H70" s="6">
        <v>583.54</v>
      </c>
      <c r="I70" s="6">
        <f>ROUND(('abril laborals'!I69*0.24467%)+('abril laborals'!I69),2)</f>
        <v>110.67</v>
      </c>
      <c r="J70" s="6">
        <f>ROUND(('abril laborals'!J69*0.24467%)+('abril laborals'!J69),2)</f>
        <v>1539.61</v>
      </c>
      <c r="K70" s="6">
        <f t="shared" ref="K70:K73" si="17">H70+I70+J70</f>
        <v>2233.8199999999997</v>
      </c>
      <c r="L70" s="139">
        <f t="shared" ref="L70:L73" si="18">ROUND((F70*12)+(K70*2),2)</f>
        <v>31273.48</v>
      </c>
      <c r="M70" s="6">
        <v>30401.955636163002</v>
      </c>
    </row>
    <row r="71" spans="1:15" s="5" customFormat="1" x14ac:dyDescent="0.25">
      <c r="B71" s="77">
        <v>12</v>
      </c>
      <c r="C71" s="6">
        <v>583.54</v>
      </c>
      <c r="D71" s="6">
        <f>ROUND(('abril laborals'!D70*0.24467%)+('abril laborals'!D70),2)</f>
        <v>110.67</v>
      </c>
      <c r="E71" s="6">
        <f>ROUND(('abril laborals'!E70*0.24467%)+('abril laborals'!E70),2)</f>
        <v>1340.15</v>
      </c>
      <c r="F71" s="104">
        <f t="shared" si="16"/>
        <v>2034.3600000000001</v>
      </c>
      <c r="H71" s="6">
        <v>583.54</v>
      </c>
      <c r="I71" s="6">
        <f>ROUND(('abril laborals'!I70*0.24467%)+('abril laborals'!I70),2)</f>
        <v>110.67</v>
      </c>
      <c r="J71" s="6">
        <f>ROUND(('abril laborals'!J70*0.24467%)+('abril laborals'!J70),2)</f>
        <v>1340.15</v>
      </c>
      <c r="K71" s="6">
        <f t="shared" si="17"/>
        <v>2034.3600000000001</v>
      </c>
      <c r="L71" s="139">
        <f t="shared" si="18"/>
        <v>28481.040000000001</v>
      </c>
      <c r="M71" s="6">
        <v>27688.261839349001</v>
      </c>
    </row>
    <row r="72" spans="1:15" s="5" customFormat="1" x14ac:dyDescent="0.25">
      <c r="B72" s="83">
        <v>11</v>
      </c>
      <c r="C72" s="7">
        <v>583.54</v>
      </c>
      <c r="D72" s="7">
        <f>ROUND(('abril laborals'!D71*0.24467%)+('abril laborals'!D71),2)</f>
        <v>110.67</v>
      </c>
      <c r="E72" s="7">
        <f>ROUND(('abril laborals'!E71*0.24467%)+('abril laborals'!E71),2)</f>
        <v>1334.73</v>
      </c>
      <c r="F72" s="7">
        <f t="shared" si="16"/>
        <v>2028.94</v>
      </c>
      <c r="G72" s="13"/>
      <c r="H72" s="7">
        <v>583.54</v>
      </c>
      <c r="I72" s="7">
        <f>ROUND(('abril laborals'!I71*0.24467%)+('abril laborals'!I71),2)</f>
        <v>110.67</v>
      </c>
      <c r="J72" s="7">
        <f>ROUND(('abril laborals'!J71*0.24467%)+('abril laborals'!J71),2)</f>
        <v>1334.73</v>
      </c>
      <c r="K72" s="7">
        <f t="shared" si="17"/>
        <v>2028.94</v>
      </c>
      <c r="L72" s="16">
        <f t="shared" si="18"/>
        <v>28405.16</v>
      </c>
      <c r="M72" s="6">
        <v>27614.279511250999</v>
      </c>
    </row>
    <row r="73" spans="1:15" s="5" customFormat="1" x14ac:dyDescent="0.25">
      <c r="B73" s="77">
        <v>10</v>
      </c>
      <c r="C73" s="6">
        <v>583.54</v>
      </c>
      <c r="D73" s="6">
        <f>ROUND(('abril laborals'!D72*0.24467%)+('abril laborals'!D72),2)</f>
        <v>110.67</v>
      </c>
      <c r="E73" s="6">
        <f>ROUND(('abril laborals'!E72*0.24467%)+('abril laborals'!E72),2)</f>
        <v>1083.9100000000001</v>
      </c>
      <c r="F73" s="104">
        <f t="shared" si="16"/>
        <v>1778.12</v>
      </c>
      <c r="H73" s="6">
        <v>583.54</v>
      </c>
      <c r="I73" s="6">
        <f>ROUND(('abril laborals'!I72*0.24467%)+('abril laborals'!I72),2)</f>
        <v>110.67</v>
      </c>
      <c r="J73" s="6">
        <f>ROUND(('abril laborals'!J72*0.24467%)+('abril laborals'!J72),2)</f>
        <v>1083.9100000000001</v>
      </c>
      <c r="K73" s="6">
        <f t="shared" si="17"/>
        <v>1778.12</v>
      </c>
      <c r="L73" s="139">
        <f t="shared" si="18"/>
        <v>24893.68</v>
      </c>
      <c r="M73" s="6">
        <v>24201.879006135994</v>
      </c>
    </row>
    <row r="74" spans="1:15" s="5" customFormat="1" x14ac:dyDescent="0.25">
      <c r="B74" s="46"/>
    </row>
    <row r="75" spans="1:15" x14ac:dyDescent="0.25">
      <c r="C75" s="259" t="s">
        <v>75</v>
      </c>
      <c r="D75" s="259"/>
      <c r="F75" s="92" t="s">
        <v>76</v>
      </c>
      <c r="G75" s="93"/>
      <c r="H75" s="93"/>
    </row>
    <row r="76" spans="1:15" x14ac:dyDescent="0.25">
      <c r="C76" s="94" t="s">
        <v>77</v>
      </c>
      <c r="D76" s="94" t="s">
        <v>78</v>
      </c>
    </row>
    <row r="77" spans="1:15" x14ac:dyDescent="0.25">
      <c r="B77" s="95" t="s">
        <v>26</v>
      </c>
      <c r="C77" s="94" t="s">
        <v>79</v>
      </c>
      <c r="D77" s="94" t="s">
        <v>80</v>
      </c>
      <c r="F77" s="96" t="s">
        <v>32</v>
      </c>
      <c r="G77" s="96"/>
      <c r="H77" s="96"/>
      <c r="I77" s="97"/>
      <c r="J77" s="97">
        <v>522.03</v>
      </c>
      <c r="K77" s="97"/>
    </row>
    <row r="78" spans="1:15" x14ac:dyDescent="0.25">
      <c r="B78" s="46" t="s">
        <v>30</v>
      </c>
      <c r="C78">
        <v>45.41</v>
      </c>
      <c r="D78">
        <v>28.02</v>
      </c>
      <c r="F78" s="96" t="s">
        <v>33</v>
      </c>
      <c r="G78" s="96"/>
      <c r="H78" s="96"/>
      <c r="I78" s="97"/>
      <c r="J78" s="97">
        <v>1635.55</v>
      </c>
      <c r="K78" s="97"/>
    </row>
    <row r="79" spans="1:15" x14ac:dyDescent="0.25">
      <c r="B79" s="46" t="s">
        <v>31</v>
      </c>
      <c r="C79">
        <v>37.03</v>
      </c>
      <c r="D79" s="100">
        <v>27</v>
      </c>
      <c r="F79" s="98"/>
      <c r="G79" s="98"/>
      <c r="H79" s="98"/>
      <c r="I79" s="99"/>
      <c r="J79" s="99"/>
      <c r="K79" s="99"/>
    </row>
    <row r="80" spans="1:15" x14ac:dyDescent="0.25">
      <c r="B80" s="46" t="s">
        <v>19</v>
      </c>
      <c r="C80">
        <v>28.02</v>
      </c>
      <c r="D80" s="100">
        <v>24.2</v>
      </c>
      <c r="F80" s="101" t="s">
        <v>81</v>
      </c>
      <c r="G80" s="102"/>
      <c r="H80" s="102"/>
      <c r="I80" s="99"/>
      <c r="J80" s="99" t="s">
        <v>35</v>
      </c>
      <c r="K80" s="99" t="s">
        <v>36</v>
      </c>
    </row>
    <row r="81" spans="2:11" x14ac:dyDescent="0.25">
      <c r="B81" s="46" t="s">
        <v>20</v>
      </c>
      <c r="C81" s="100">
        <v>19.07</v>
      </c>
      <c r="D81">
        <v>18.89</v>
      </c>
      <c r="F81" s="96" t="s">
        <v>82</v>
      </c>
      <c r="G81" s="96"/>
      <c r="H81" s="96"/>
      <c r="I81" s="103">
        <v>0.25569999999999998</v>
      </c>
      <c r="J81" s="97">
        <v>0.19</v>
      </c>
      <c r="K81" s="103">
        <v>6.2199999999999998E-2</v>
      </c>
    </row>
    <row r="82" spans="2:11" x14ac:dyDescent="0.25">
      <c r="B82" s="46" t="s">
        <v>83</v>
      </c>
      <c r="C82" s="100">
        <v>14.36</v>
      </c>
      <c r="D82" s="100">
        <v>14.36</v>
      </c>
      <c r="F82" s="96" t="s">
        <v>39</v>
      </c>
      <c r="G82" s="96"/>
      <c r="H82" s="96"/>
      <c r="I82" s="112">
        <v>9.1259999999999994</v>
      </c>
      <c r="J82" s="112">
        <v>0</v>
      </c>
      <c r="K82" s="112">
        <v>9.1259999999999994</v>
      </c>
    </row>
    <row r="83" spans="2:11" x14ac:dyDescent="0.25">
      <c r="F83" s="96" t="s">
        <v>84</v>
      </c>
      <c r="G83" s="96"/>
      <c r="H83" s="96"/>
      <c r="I83" s="97">
        <v>184.16300000000001</v>
      </c>
      <c r="J83" s="97"/>
      <c r="K83" s="97"/>
    </row>
    <row r="84" spans="2:11" x14ac:dyDescent="0.25">
      <c r="I84" s="5"/>
      <c r="J84" s="5"/>
      <c r="K84" s="5"/>
    </row>
    <row r="85" spans="2:11" x14ac:dyDescent="0.25">
      <c r="I85" s="5"/>
      <c r="J85" s="5"/>
      <c r="K85" s="5"/>
    </row>
    <row r="86" spans="2:11" x14ac:dyDescent="0.25">
      <c r="I86" s="5"/>
      <c r="J86" s="5"/>
      <c r="K86" s="5"/>
    </row>
  </sheetData>
  <mergeCells count="3">
    <mergeCell ref="A5:G5"/>
    <mergeCell ref="C75:D75"/>
    <mergeCell ref="A1:J1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5"/>
  <sheetViews>
    <sheetView topLeftCell="A13" workbookViewId="0">
      <selection activeCell="F34" sqref="F34"/>
    </sheetView>
  </sheetViews>
  <sheetFormatPr baseColWidth="10" defaultRowHeight="15" x14ac:dyDescent="0.25"/>
  <cols>
    <col min="1" max="1" width="13" customWidth="1"/>
    <col min="2" max="2" width="16.140625" customWidth="1"/>
    <col min="3" max="18" width="11" customWidth="1"/>
  </cols>
  <sheetData>
    <row r="1" spans="1:25" ht="21" x14ac:dyDescent="0.35">
      <c r="A1" s="249" t="s">
        <v>93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S1" s="125"/>
      <c r="T1" s="125"/>
      <c r="U1" s="125"/>
      <c r="V1" s="125"/>
      <c r="W1" s="125"/>
      <c r="X1" s="125"/>
      <c r="Y1" s="125"/>
    </row>
    <row r="2" spans="1:25" x14ac:dyDescent="0.25">
      <c r="A2" s="1" t="s">
        <v>88</v>
      </c>
      <c r="B2" s="1"/>
      <c r="S2" s="125"/>
      <c r="T2" s="125"/>
      <c r="U2" s="125"/>
      <c r="V2" s="125"/>
      <c r="W2" s="125"/>
      <c r="X2" s="125"/>
      <c r="Y2" s="125"/>
    </row>
    <row r="3" spans="1:25" x14ac:dyDescent="0.25">
      <c r="A3" s="1" t="s">
        <v>91</v>
      </c>
      <c r="B3" s="1"/>
    </row>
    <row r="4" spans="1:25" x14ac:dyDescent="0.25">
      <c r="A4" s="1" t="s">
        <v>86</v>
      </c>
      <c r="B4" s="1"/>
      <c r="S4" s="152"/>
      <c r="T4" s="152"/>
      <c r="U4" s="152"/>
      <c r="V4" s="152"/>
      <c r="W4" s="152"/>
      <c r="X4" s="152"/>
      <c r="Y4" s="152"/>
    </row>
    <row r="5" spans="1:25" x14ac:dyDescent="0.25">
      <c r="A5" s="1" t="s">
        <v>92</v>
      </c>
      <c r="B5" s="1"/>
      <c r="S5" s="152"/>
      <c r="T5" s="152"/>
      <c r="U5" s="152"/>
      <c r="V5" s="152"/>
      <c r="W5" s="152"/>
      <c r="X5" s="152"/>
      <c r="Y5" s="152"/>
    </row>
    <row r="6" spans="1:25" x14ac:dyDescent="0.25">
      <c r="S6" s="260"/>
      <c r="T6" s="260"/>
      <c r="U6" s="260"/>
      <c r="V6" s="260"/>
      <c r="W6" s="260"/>
      <c r="X6" s="260"/>
      <c r="Y6" s="260"/>
    </row>
    <row r="7" spans="1:25" x14ac:dyDescent="0.25">
      <c r="A7" s="1" t="s">
        <v>2</v>
      </c>
      <c r="B7" s="1"/>
      <c r="S7" s="125"/>
      <c r="T7" s="125"/>
      <c r="U7" s="125"/>
      <c r="V7" s="125"/>
      <c r="W7" s="125"/>
      <c r="X7" s="125"/>
      <c r="Y7" s="125"/>
    </row>
    <row r="8" spans="1:25" x14ac:dyDescent="0.25">
      <c r="C8">
        <v>30</v>
      </c>
      <c r="D8">
        <v>29</v>
      </c>
      <c r="E8">
        <v>28</v>
      </c>
      <c r="F8">
        <v>27</v>
      </c>
      <c r="G8" s="2">
        <v>26</v>
      </c>
      <c r="H8">
        <v>25</v>
      </c>
      <c r="I8">
        <v>24</v>
      </c>
      <c r="J8">
        <v>23</v>
      </c>
      <c r="K8">
        <v>22</v>
      </c>
      <c r="L8">
        <v>21</v>
      </c>
      <c r="M8" s="2">
        <v>20</v>
      </c>
      <c r="N8" s="3" t="s">
        <v>3</v>
      </c>
      <c r="O8" s="3" t="s">
        <v>4</v>
      </c>
      <c r="P8" s="4" t="s">
        <v>5</v>
      </c>
      <c r="S8" s="125"/>
      <c r="T8" s="125"/>
      <c r="U8" s="125"/>
      <c r="V8" s="125"/>
      <c r="W8" s="125"/>
      <c r="X8" s="125"/>
      <c r="Y8" s="125"/>
    </row>
    <row r="9" spans="1:25" s="5" customFormat="1" x14ac:dyDescent="0.25">
      <c r="C9" s="6"/>
      <c r="D9" s="6"/>
      <c r="E9" s="6"/>
      <c r="F9" s="6"/>
      <c r="G9" s="7"/>
      <c r="H9" s="6"/>
      <c r="I9" s="6"/>
      <c r="J9" s="6"/>
      <c r="K9" s="6"/>
      <c r="L9" s="6"/>
      <c r="M9" s="7"/>
      <c r="N9" s="6"/>
      <c r="O9" s="6"/>
      <c r="P9" s="8"/>
    </row>
    <row r="10" spans="1:25" s="5" customFormat="1" x14ac:dyDescent="0.25">
      <c r="G10" s="13"/>
      <c r="M10" s="13"/>
      <c r="P10" s="14"/>
    </row>
    <row r="11" spans="1:25" s="5" customFormat="1" x14ac:dyDescent="0.25">
      <c r="A11" s="58" t="s">
        <v>6</v>
      </c>
      <c r="B11" s="6"/>
      <c r="C11" s="6">
        <v>1179.96</v>
      </c>
      <c r="D11" s="6">
        <v>1179.96</v>
      </c>
      <c r="E11" s="6">
        <v>1179.96</v>
      </c>
      <c r="F11" s="6">
        <v>1179.96</v>
      </c>
      <c r="G11" s="7">
        <v>1179.96</v>
      </c>
      <c r="H11" s="6">
        <v>1179.96</v>
      </c>
      <c r="I11" s="6">
        <v>1179.96</v>
      </c>
      <c r="J11" s="6">
        <v>1179.96</v>
      </c>
      <c r="K11" s="6">
        <v>1179.96</v>
      </c>
      <c r="L11" s="6">
        <v>1179.96</v>
      </c>
      <c r="M11" s="7">
        <v>1179.96</v>
      </c>
      <c r="N11" s="6">
        <v>1179.96</v>
      </c>
      <c r="O11" s="6">
        <v>1179.96</v>
      </c>
      <c r="P11" s="6">
        <v>1179.96</v>
      </c>
    </row>
    <row r="12" spans="1:25" s="5" customFormat="1" x14ac:dyDescent="0.25">
      <c r="A12" s="58" t="s">
        <v>7</v>
      </c>
      <c r="B12" s="6"/>
      <c r="C12" s="6">
        <v>1030.69</v>
      </c>
      <c r="D12" s="6">
        <v>924.48</v>
      </c>
      <c r="E12" s="6">
        <v>885.63</v>
      </c>
      <c r="F12" s="6">
        <v>846.72</v>
      </c>
      <c r="G12" s="7">
        <v>742.86</v>
      </c>
      <c r="H12" s="6">
        <v>659.07</v>
      </c>
      <c r="I12" s="6">
        <v>620.19000000000005</v>
      </c>
      <c r="J12" s="6">
        <v>581.36</v>
      </c>
      <c r="K12" s="6">
        <v>542.45000000000005</v>
      </c>
      <c r="L12" s="6">
        <v>503.63</v>
      </c>
      <c r="M12" s="7">
        <v>467.83</v>
      </c>
      <c r="N12" s="6">
        <v>467.83</v>
      </c>
      <c r="O12" s="6">
        <v>467.83</v>
      </c>
      <c r="P12" s="6">
        <v>467.83</v>
      </c>
    </row>
    <row r="13" spans="1:25" s="5" customFormat="1" x14ac:dyDescent="0.25">
      <c r="A13" s="58" t="s">
        <v>8</v>
      </c>
      <c r="B13" s="6"/>
      <c r="C13" s="6">
        <f>ROUND(('abril mensual funcionaris'!B12*0.24467%)+('abril mensual funcionaris'!B12),2)</f>
        <v>2468.4699999999998</v>
      </c>
      <c r="D13" s="6">
        <f>ROUND(('abril mensual funcionaris'!C12*0.24467%)+('abril mensual funcionaris'!C12),2)</f>
        <v>2330.88</v>
      </c>
      <c r="E13" s="6">
        <f>ROUND(('abril mensual funcionaris'!D12*0.24467%)+('abril mensual funcionaris'!D12),2)</f>
        <v>2142.8000000000002</v>
      </c>
      <c r="F13" s="6">
        <f>ROUND(('abril mensual funcionaris'!E12*0.24467%)+('abril mensual funcionaris'!E12),2)</f>
        <v>1733.14</v>
      </c>
      <c r="G13" s="7">
        <f>ROUND(('abril mensual funcionaris'!F12*0.24467%)+('abril mensual funcionaris'!F12),2)</f>
        <v>1516.03</v>
      </c>
      <c r="H13" s="6">
        <f>ROUND(('abril mensual funcionaris'!G12*0.24467%)+('abril mensual funcionaris'!G12),2)</f>
        <v>1511.6</v>
      </c>
      <c r="I13" s="6">
        <f>ROUND(('abril mensual funcionaris'!H12*0.24467%)+('abril mensual funcionaris'!H12),2)</f>
        <v>1473.5</v>
      </c>
      <c r="J13" s="6">
        <f>ROUND(('abril mensual funcionaris'!I12*0.24467%)+('abril mensual funcionaris'!I12),2)</f>
        <v>1447.52</v>
      </c>
      <c r="K13" s="6">
        <f>ROUND(('abril mensual funcionaris'!J12*0.24467%)+('abril mensual funcionaris'!J12),2)</f>
        <v>1421.56</v>
      </c>
      <c r="L13" s="6">
        <f>ROUND(('abril mensual funcionaris'!K12*0.24467%)+('abril mensual funcionaris'!K12),2)</f>
        <v>1312.36</v>
      </c>
      <c r="M13" s="7">
        <f>ROUND(('abril mensual funcionaris'!L12*0.24467%)+('abril mensual funcionaris'!L12),2)</f>
        <v>1200.94</v>
      </c>
      <c r="N13" s="6">
        <f>ROUND(('abril mensual funcionaris'!M12*0.24467%)+('abril mensual funcionaris'!M12),2)</f>
        <v>1002.84</v>
      </c>
      <c r="O13" s="6">
        <f>ROUND(('abril mensual funcionaris'!N12*0.24467%)+('abril mensual funcionaris'!N12),2)</f>
        <v>792.9</v>
      </c>
      <c r="P13" s="6">
        <f>ROUND(('abril mensual funcionaris'!O12*0.24467%)+('abril mensual funcionaris'!O12),2)</f>
        <v>561.92999999999995</v>
      </c>
    </row>
    <row r="14" spans="1:25" s="5" customFormat="1" x14ac:dyDescent="0.25">
      <c r="A14" s="58" t="s">
        <v>97</v>
      </c>
      <c r="B14" s="6"/>
      <c r="C14" s="6">
        <f>'jul mensual func'!B15+'jul mensual func'!B16+'jul mensual func'!B18</f>
        <v>1178.94</v>
      </c>
      <c r="D14" s="6">
        <f>'jul mensual func'!C15+'jul mensual func'!C16+'jul mensual func'!C18</f>
        <v>1133.0700000000002</v>
      </c>
      <c r="E14" s="6">
        <f>'jul mensual func'!D15+'jul mensual func'!D16+'jul mensual func'!D18</f>
        <v>980.07999999999993</v>
      </c>
      <c r="F14" s="6">
        <f>'jul mensual func'!E15+'jul mensual func'!E16+'jul mensual func'!E18</f>
        <v>822.72</v>
      </c>
      <c r="G14" s="7">
        <f>'jul mensual func'!F15+'jul mensual func'!F16+'jul mensual func'!F18</f>
        <v>731.17000000000007</v>
      </c>
      <c r="H14" s="6">
        <f>'jul mensual func'!G15+'jul mensual func'!G16+'jul mensual func'!G18</f>
        <v>731.42000000000007</v>
      </c>
      <c r="I14" s="6">
        <f>'jul mensual func'!H15+'jul mensual func'!H16+'jul mensual func'!H18</f>
        <v>715.5</v>
      </c>
      <c r="J14" s="6">
        <f>'jul mensual func'!I15+'jul mensual func'!I16+'jul mensual func'!I18</f>
        <v>702.61</v>
      </c>
      <c r="K14" s="6">
        <f>'jul mensual func'!J15+'jul mensual func'!J16+'jul mensual func'!J18</f>
        <v>692.86</v>
      </c>
      <c r="L14" s="6">
        <f>'jul mensual func'!K15+'jul mensual func'!K16+'jul mensual func'!K18</f>
        <v>645.16999999999996</v>
      </c>
      <c r="M14" s="7">
        <f>'jul mensual func'!L15+'jul mensual func'!L16+'jul mensual func'!L18</f>
        <v>601.87</v>
      </c>
      <c r="N14" s="6">
        <f>'jul mensual func'!M15+'jul mensual func'!M16+'jul mensual func'!M18</f>
        <v>581.34999999999991</v>
      </c>
      <c r="O14" s="6">
        <f>'jul mensual func'!N15+'jul mensual func'!N16+'jul mensual func'!N18</f>
        <v>495.6</v>
      </c>
      <c r="P14" s="6">
        <f>'jul mensual func'!O15+'jul mensual func'!O16+'jul mensual func'!O18</f>
        <v>401.27</v>
      </c>
    </row>
    <row r="15" spans="1:25" s="38" customFormat="1" x14ac:dyDescent="0.25">
      <c r="A15" s="156">
        <v>0.5</v>
      </c>
      <c r="B15" s="157" t="s">
        <v>94</v>
      </c>
      <c r="C15" s="157">
        <f>C14*$A$15</f>
        <v>589.47</v>
      </c>
      <c r="D15" s="157">
        <f t="shared" ref="D15:P15" si="0">D14*$A$15</f>
        <v>566.53500000000008</v>
      </c>
      <c r="E15" s="157">
        <f t="shared" si="0"/>
        <v>490.03999999999996</v>
      </c>
      <c r="F15" s="157">
        <f t="shared" si="0"/>
        <v>411.36</v>
      </c>
      <c r="G15" s="170">
        <f t="shared" si="0"/>
        <v>365.58500000000004</v>
      </c>
      <c r="H15" s="157">
        <f t="shared" si="0"/>
        <v>365.71000000000004</v>
      </c>
      <c r="I15" s="157">
        <f t="shared" si="0"/>
        <v>357.75</v>
      </c>
      <c r="J15" s="157">
        <f t="shared" si="0"/>
        <v>351.30500000000001</v>
      </c>
      <c r="K15" s="157">
        <f t="shared" si="0"/>
        <v>346.43</v>
      </c>
      <c r="L15" s="157">
        <f t="shared" si="0"/>
        <v>322.58499999999998</v>
      </c>
      <c r="M15" s="170">
        <f t="shared" si="0"/>
        <v>300.935</v>
      </c>
      <c r="N15" s="157">
        <f t="shared" si="0"/>
        <v>290.67499999999995</v>
      </c>
      <c r="O15" s="157">
        <f t="shared" si="0"/>
        <v>247.8</v>
      </c>
      <c r="P15" s="157">
        <f t="shared" si="0"/>
        <v>200.63499999999999</v>
      </c>
    </row>
    <row r="16" spans="1:25" s="38" customFormat="1" x14ac:dyDescent="0.25">
      <c r="A16" s="156">
        <v>0.3</v>
      </c>
      <c r="B16" s="157" t="s">
        <v>95</v>
      </c>
      <c r="C16" s="157">
        <f>C14*$A$16</f>
        <v>353.68200000000002</v>
      </c>
      <c r="D16" s="157">
        <f t="shared" ref="D16:P16" si="1">D14*$A$16</f>
        <v>339.92100000000005</v>
      </c>
      <c r="E16" s="157">
        <f t="shared" si="1"/>
        <v>294.02399999999994</v>
      </c>
      <c r="F16" s="157">
        <f t="shared" si="1"/>
        <v>246.816</v>
      </c>
      <c r="G16" s="170">
        <f t="shared" si="1"/>
        <v>219.35100000000003</v>
      </c>
      <c r="H16" s="157">
        <f t="shared" si="1"/>
        <v>219.42600000000002</v>
      </c>
      <c r="I16" s="157">
        <f t="shared" si="1"/>
        <v>214.65</v>
      </c>
      <c r="J16" s="157">
        <f t="shared" si="1"/>
        <v>210.78299999999999</v>
      </c>
      <c r="K16" s="157">
        <f t="shared" si="1"/>
        <v>207.858</v>
      </c>
      <c r="L16" s="157">
        <f t="shared" si="1"/>
        <v>193.55099999999999</v>
      </c>
      <c r="M16" s="170">
        <f t="shared" si="1"/>
        <v>180.56100000000001</v>
      </c>
      <c r="N16" s="157">
        <f t="shared" si="1"/>
        <v>174.40499999999997</v>
      </c>
      <c r="O16" s="157">
        <f t="shared" si="1"/>
        <v>148.68</v>
      </c>
      <c r="P16" s="157">
        <f t="shared" si="1"/>
        <v>120.38099999999999</v>
      </c>
    </row>
    <row r="17" spans="1:18" s="38" customFormat="1" x14ac:dyDescent="0.25">
      <c r="A17" s="156">
        <v>0.2</v>
      </c>
      <c r="B17" s="157" t="s">
        <v>96</v>
      </c>
      <c r="C17" s="157">
        <f>C14*$A$17</f>
        <v>235.78800000000001</v>
      </c>
      <c r="D17" s="157">
        <f t="shared" ref="D17:P17" si="2">D14*$A$17</f>
        <v>226.61400000000003</v>
      </c>
      <c r="E17" s="157">
        <f t="shared" si="2"/>
        <v>196.01599999999999</v>
      </c>
      <c r="F17" s="157">
        <f t="shared" si="2"/>
        <v>164.54400000000001</v>
      </c>
      <c r="G17" s="170">
        <f t="shared" si="2"/>
        <v>146.23400000000001</v>
      </c>
      <c r="H17" s="157">
        <f t="shared" si="2"/>
        <v>146.28400000000002</v>
      </c>
      <c r="I17" s="157">
        <f t="shared" si="2"/>
        <v>143.1</v>
      </c>
      <c r="J17" s="157">
        <f t="shared" si="2"/>
        <v>140.52200000000002</v>
      </c>
      <c r="K17" s="157">
        <f t="shared" si="2"/>
        <v>138.572</v>
      </c>
      <c r="L17" s="157">
        <f t="shared" si="2"/>
        <v>129.03399999999999</v>
      </c>
      <c r="M17" s="170">
        <f t="shared" si="2"/>
        <v>120.37400000000001</v>
      </c>
      <c r="N17" s="157">
        <f t="shared" si="2"/>
        <v>116.26999999999998</v>
      </c>
      <c r="O17" s="157">
        <f t="shared" si="2"/>
        <v>99.12</v>
      </c>
      <c r="P17" s="157">
        <f t="shared" si="2"/>
        <v>80.254000000000005</v>
      </c>
    </row>
    <row r="18" spans="1:18" s="5" customFormat="1" x14ac:dyDescent="0.25">
      <c r="A18" s="58"/>
      <c r="B18" s="6"/>
      <c r="C18" s="15">
        <f>C14+C13+C12+C11</f>
        <v>5858.06</v>
      </c>
      <c r="D18" s="15">
        <f t="shared" ref="D18:P18" si="3">D14+D13+D12+D11</f>
        <v>5568.39</v>
      </c>
      <c r="E18" s="15">
        <f t="shared" si="3"/>
        <v>5188.47</v>
      </c>
      <c r="F18" s="15">
        <f t="shared" si="3"/>
        <v>4582.54</v>
      </c>
      <c r="G18" s="16">
        <f t="shared" si="3"/>
        <v>4170.0200000000004</v>
      </c>
      <c r="H18" s="15">
        <f t="shared" si="3"/>
        <v>4082.05</v>
      </c>
      <c r="I18" s="15">
        <f t="shared" si="3"/>
        <v>3989.15</v>
      </c>
      <c r="J18" s="15">
        <f t="shared" si="3"/>
        <v>3911.4500000000003</v>
      </c>
      <c r="K18" s="15">
        <f t="shared" si="3"/>
        <v>3836.83</v>
      </c>
      <c r="L18" s="15">
        <f t="shared" si="3"/>
        <v>3641.12</v>
      </c>
      <c r="M18" s="7">
        <f t="shared" si="3"/>
        <v>3450.6</v>
      </c>
      <c r="N18" s="15">
        <f t="shared" si="3"/>
        <v>3231.98</v>
      </c>
      <c r="O18" s="15">
        <f t="shared" si="3"/>
        <v>2936.29</v>
      </c>
      <c r="P18" s="15">
        <f t="shared" si="3"/>
        <v>2610.9899999999998</v>
      </c>
    </row>
    <row r="19" spans="1:18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8" x14ac:dyDescent="0.25">
      <c r="A20" s="1" t="s">
        <v>12</v>
      </c>
      <c r="B20" s="1"/>
      <c r="C20" s="5"/>
    </row>
    <row r="21" spans="1:18" x14ac:dyDescent="0.25">
      <c r="F21" s="18" t="s">
        <v>13</v>
      </c>
      <c r="G21" s="3" t="s">
        <v>14</v>
      </c>
      <c r="H21" s="3">
        <v>25</v>
      </c>
      <c r="I21" s="3">
        <v>24</v>
      </c>
      <c r="J21" s="3">
        <v>23</v>
      </c>
      <c r="K21" s="3">
        <v>22</v>
      </c>
      <c r="L21" s="18">
        <v>21</v>
      </c>
      <c r="M21" s="18">
        <v>20</v>
      </c>
      <c r="N21" s="3">
        <v>19</v>
      </c>
      <c r="O21" s="18">
        <v>18</v>
      </c>
      <c r="P21" s="3">
        <v>17</v>
      </c>
      <c r="Q21" s="18">
        <v>16</v>
      </c>
      <c r="R21" s="3" t="s">
        <v>15</v>
      </c>
    </row>
    <row r="22" spans="1:18" x14ac:dyDescent="0.25">
      <c r="F22" s="20"/>
      <c r="G22" s="19"/>
      <c r="H22" s="19"/>
      <c r="I22" s="19"/>
      <c r="J22" s="19"/>
      <c r="K22" s="19"/>
      <c r="L22" s="20"/>
      <c r="M22" s="20"/>
      <c r="N22" s="19"/>
      <c r="O22" s="20"/>
      <c r="P22" s="19"/>
      <c r="Q22" s="20"/>
      <c r="R22" s="19"/>
    </row>
    <row r="23" spans="1:18" s="5" customFormat="1" x14ac:dyDescent="0.25">
      <c r="E23" s="6" t="s">
        <v>6</v>
      </c>
      <c r="F23" s="7">
        <v>1020.28</v>
      </c>
      <c r="G23" s="104">
        <v>1020.28</v>
      </c>
      <c r="H23" s="104">
        <v>1020.28</v>
      </c>
      <c r="I23" s="104">
        <v>1020.28</v>
      </c>
      <c r="J23" s="104">
        <v>1020.28</v>
      </c>
      <c r="K23" s="104">
        <v>1020.28</v>
      </c>
      <c r="L23" s="7">
        <v>1020.28</v>
      </c>
      <c r="M23" s="7">
        <v>1020.28</v>
      </c>
      <c r="N23" s="104">
        <v>1020.28</v>
      </c>
      <c r="O23" s="7">
        <v>1020.28</v>
      </c>
      <c r="P23" s="104">
        <v>1020.28</v>
      </c>
      <c r="Q23" s="7">
        <v>1020.28</v>
      </c>
      <c r="R23" s="104">
        <v>1020.28</v>
      </c>
    </row>
    <row r="24" spans="1:18" s="5" customFormat="1" x14ac:dyDescent="0.25">
      <c r="E24" s="6" t="s">
        <v>7</v>
      </c>
      <c r="F24" s="7">
        <v>742.86</v>
      </c>
      <c r="G24" s="6">
        <v>742.86</v>
      </c>
      <c r="H24" s="6">
        <v>659.07</v>
      </c>
      <c r="I24" s="6">
        <v>620.19000000000005</v>
      </c>
      <c r="J24" s="6">
        <v>581.36</v>
      </c>
      <c r="K24" s="6">
        <v>542.45000000000005</v>
      </c>
      <c r="L24" s="7">
        <v>503.63</v>
      </c>
      <c r="M24" s="7">
        <v>467.83</v>
      </c>
      <c r="N24" s="6">
        <v>443.95</v>
      </c>
      <c r="O24" s="7">
        <v>420.05</v>
      </c>
      <c r="P24" s="104">
        <v>396.15</v>
      </c>
      <c r="Q24" s="7">
        <v>372.32</v>
      </c>
      <c r="R24" s="6">
        <v>371.41</v>
      </c>
    </row>
    <row r="25" spans="1:18" s="5" customFormat="1" x14ac:dyDescent="0.25">
      <c r="E25" s="6" t="s">
        <v>8</v>
      </c>
      <c r="F25" s="7">
        <f>ROUND(('abril mensual funcionaris'!E26*0.24467%)+('abril mensual funcionaris'!E26),2)</f>
        <v>1553.62</v>
      </c>
      <c r="G25" s="104">
        <f>ROUND(('abril mensual funcionaris'!F26*0.24467%)+('abril mensual funcionaris'!F26),2)</f>
        <v>1300.55</v>
      </c>
      <c r="H25" s="104">
        <f>ROUND(('abril mensual funcionaris'!G26*0.24467%)+('abril mensual funcionaris'!G26),2)</f>
        <v>1228.49</v>
      </c>
      <c r="I25" s="104">
        <f>ROUND(('abril mensual funcionaris'!H26*0.24467%)+('abril mensual funcionaris'!H26),2)</f>
        <v>1217.19</v>
      </c>
      <c r="J25" s="104">
        <f>ROUND(('abril mensual funcionaris'!I26*0.24467%)+('abril mensual funcionaris'!I26),2)</f>
        <v>1197.6199999999999</v>
      </c>
      <c r="K25" s="104">
        <f>ROUND(('abril mensual funcionaris'!J26*0.24467%)+('abril mensual funcionaris'!J26),2)</f>
        <v>1178.17</v>
      </c>
      <c r="L25" s="7">
        <f>ROUND(('abril mensual funcionaris'!K26*0.24467%)+('abril mensual funcionaris'!K26),2)</f>
        <v>1152.0999999999999</v>
      </c>
      <c r="M25" s="7">
        <f>ROUND(('abril mensual funcionaris'!L26*0.24467%)+('abril mensual funcionaris'!L26),2)</f>
        <v>1123.76</v>
      </c>
      <c r="N25" s="104">
        <f>ROUND(('abril mensual funcionaris'!M26*0.24467%)+('abril mensual funcionaris'!M26),2)</f>
        <v>1107.1400000000001</v>
      </c>
      <c r="O25" s="7">
        <f>ROUND(('abril mensual funcionaris'!N26*0.24467%)+('abril mensual funcionaris'!N26),2)</f>
        <v>1021.38</v>
      </c>
      <c r="P25" s="104">
        <f>ROUND(('abril mensual funcionaris'!O26*0.24467%)+('abril mensual funcionaris'!O26),2)</f>
        <v>970.17</v>
      </c>
      <c r="Q25" s="7">
        <f>ROUND(('abril mensual funcionaris'!P26*0.24467%)+('abril mensual funcionaris'!P26),2)</f>
        <v>918.92</v>
      </c>
      <c r="R25" s="104">
        <f>ROUND(('abril mensual funcionaris'!Q26*0.24467%)+('abril mensual funcionaris'!Q26),2)</f>
        <v>796.09</v>
      </c>
    </row>
    <row r="26" spans="1:18" s="5" customFormat="1" x14ac:dyDescent="0.25">
      <c r="E26" s="58" t="s">
        <v>97</v>
      </c>
      <c r="F26" s="7">
        <f>'jul mensual func'!E29+'jul mensual func'!E30+'jul mensual func'!E32</f>
        <v>960.65000000000009</v>
      </c>
      <c r="G26" s="104">
        <f>'jul mensual func'!F29+'jul mensual func'!F30+'jul mensual func'!F32</f>
        <v>708.4</v>
      </c>
      <c r="H26" s="104">
        <f>'jul mensual func'!G29+'jul mensual func'!G30+'jul mensual func'!G32</f>
        <v>801.85</v>
      </c>
      <c r="I26" s="104">
        <f>'jul mensual func'!H29+'jul mensual func'!H30+'jul mensual func'!H32</f>
        <v>661.09</v>
      </c>
      <c r="J26" s="104">
        <f>'jul mensual func'!I29+'jul mensual func'!I30+'jul mensual func'!I32</f>
        <v>601.07999999999993</v>
      </c>
      <c r="K26" s="104">
        <f>'jul mensual func'!J29+'jul mensual func'!J30+'jul mensual func'!J32</f>
        <v>589.56000000000006</v>
      </c>
      <c r="L26" s="7">
        <f>'jul mensual func'!K29+'jul mensual func'!K30+'jul mensual func'!K32</f>
        <v>579.11</v>
      </c>
      <c r="M26" s="7">
        <f>'jul mensual func'!L29+'jul mensual func'!L30+'jul mensual func'!L32</f>
        <v>570.1400000000001</v>
      </c>
      <c r="N26" s="104">
        <f>'jul mensual func'!M29+'jul mensual func'!M30+'jul mensual func'!M32</f>
        <v>562.94000000000005</v>
      </c>
      <c r="O26" s="7">
        <f>'jul mensual func'!N29+'jul mensual func'!N30+'jul mensual func'!N32</f>
        <v>525.64</v>
      </c>
      <c r="P26" s="104">
        <f>'jul mensual func'!O29+'jul mensual func'!O30+'jul mensual func'!O32</f>
        <v>508.95</v>
      </c>
      <c r="Q26" s="7">
        <f>'jul mensual func'!P29+'jul mensual func'!P30+'jul mensual func'!P32</f>
        <v>485.08000000000004</v>
      </c>
      <c r="R26" s="104">
        <f>'jul mensual func'!Q29+'jul mensual func'!Q30+'jul mensual func'!Q32</f>
        <v>481.52</v>
      </c>
    </row>
    <row r="27" spans="1:18" s="5" customFormat="1" x14ac:dyDescent="0.25">
      <c r="C27" s="261" t="s">
        <v>94</v>
      </c>
      <c r="D27" s="262"/>
      <c r="E27" s="159">
        <v>0.5</v>
      </c>
      <c r="F27" s="168">
        <f>F26*$E$27</f>
        <v>480.32500000000005</v>
      </c>
      <c r="G27" s="169">
        <f t="shared" ref="G27:R27" si="4">G26*$E$27</f>
        <v>354.2</v>
      </c>
      <c r="H27" s="169">
        <f t="shared" si="4"/>
        <v>400.92500000000001</v>
      </c>
      <c r="I27" s="169">
        <f t="shared" si="4"/>
        <v>330.54500000000002</v>
      </c>
      <c r="J27" s="169">
        <f t="shared" si="4"/>
        <v>300.53999999999996</v>
      </c>
      <c r="K27" s="169">
        <f t="shared" si="4"/>
        <v>294.78000000000003</v>
      </c>
      <c r="L27" s="168">
        <f t="shared" si="4"/>
        <v>289.55500000000001</v>
      </c>
      <c r="M27" s="168">
        <f t="shared" si="4"/>
        <v>285.07000000000005</v>
      </c>
      <c r="N27" s="169">
        <f t="shared" si="4"/>
        <v>281.47000000000003</v>
      </c>
      <c r="O27" s="168">
        <f t="shared" si="4"/>
        <v>262.82</v>
      </c>
      <c r="P27" s="169">
        <f t="shared" si="4"/>
        <v>254.47499999999999</v>
      </c>
      <c r="Q27" s="168">
        <f t="shared" si="4"/>
        <v>242.54000000000002</v>
      </c>
      <c r="R27" s="169">
        <f t="shared" si="4"/>
        <v>240.76</v>
      </c>
    </row>
    <row r="28" spans="1:18" s="5" customFormat="1" x14ac:dyDescent="0.25">
      <c r="C28" s="261" t="s">
        <v>95</v>
      </c>
      <c r="D28" s="262"/>
      <c r="E28" s="159">
        <v>0.3</v>
      </c>
      <c r="F28" s="168">
        <f>F26*$E$28</f>
        <v>288.19499999999999</v>
      </c>
      <c r="G28" s="169">
        <f t="shared" ref="G28:R28" si="5">G26*$E$28</f>
        <v>212.51999999999998</v>
      </c>
      <c r="H28" s="169">
        <f t="shared" si="5"/>
        <v>240.55500000000001</v>
      </c>
      <c r="I28" s="169">
        <f t="shared" si="5"/>
        <v>198.327</v>
      </c>
      <c r="J28" s="169">
        <f t="shared" si="5"/>
        <v>180.32399999999998</v>
      </c>
      <c r="K28" s="169">
        <f t="shared" si="5"/>
        <v>176.86800000000002</v>
      </c>
      <c r="L28" s="168">
        <f t="shared" si="5"/>
        <v>173.733</v>
      </c>
      <c r="M28" s="168">
        <f t="shared" si="5"/>
        <v>171.04200000000003</v>
      </c>
      <c r="N28" s="169">
        <f t="shared" si="5"/>
        <v>168.88200000000001</v>
      </c>
      <c r="O28" s="168">
        <f t="shared" si="5"/>
        <v>157.69199999999998</v>
      </c>
      <c r="P28" s="169">
        <f t="shared" si="5"/>
        <v>152.685</v>
      </c>
      <c r="Q28" s="168">
        <f t="shared" si="5"/>
        <v>145.524</v>
      </c>
      <c r="R28" s="169">
        <f t="shared" si="5"/>
        <v>144.45599999999999</v>
      </c>
    </row>
    <row r="29" spans="1:18" s="5" customFormat="1" x14ac:dyDescent="0.25">
      <c r="C29" s="261" t="s">
        <v>96</v>
      </c>
      <c r="D29" s="262"/>
      <c r="E29" s="159">
        <v>0.2</v>
      </c>
      <c r="F29" s="168">
        <f>F26*$E$29</f>
        <v>192.13000000000002</v>
      </c>
      <c r="G29" s="169">
        <f t="shared" ref="G29:R29" si="6">G26*$E$29</f>
        <v>141.68</v>
      </c>
      <c r="H29" s="169">
        <f t="shared" si="6"/>
        <v>160.37</v>
      </c>
      <c r="I29" s="169">
        <f t="shared" si="6"/>
        <v>132.21800000000002</v>
      </c>
      <c r="J29" s="169">
        <f t="shared" si="6"/>
        <v>120.21599999999999</v>
      </c>
      <c r="K29" s="169">
        <f t="shared" si="6"/>
        <v>117.91200000000002</v>
      </c>
      <c r="L29" s="168">
        <f t="shared" si="6"/>
        <v>115.822</v>
      </c>
      <c r="M29" s="168">
        <f t="shared" si="6"/>
        <v>114.02800000000002</v>
      </c>
      <c r="N29" s="169">
        <f t="shared" si="6"/>
        <v>112.58800000000002</v>
      </c>
      <c r="O29" s="168">
        <f t="shared" si="6"/>
        <v>105.128</v>
      </c>
      <c r="P29" s="169">
        <f t="shared" si="6"/>
        <v>101.79</v>
      </c>
      <c r="Q29" s="168">
        <f t="shared" si="6"/>
        <v>97.01600000000002</v>
      </c>
      <c r="R29" s="169">
        <f t="shared" si="6"/>
        <v>96.304000000000002</v>
      </c>
    </row>
    <row r="30" spans="1:18" s="5" customFormat="1" x14ac:dyDescent="0.25">
      <c r="E30" s="15"/>
      <c r="F30" s="16">
        <f>F23+F24+F25+F26</f>
        <v>4277.41</v>
      </c>
      <c r="G30" s="139">
        <f t="shared" ref="G30:R30" si="7">G23+G24+G25+G26</f>
        <v>3772.0899999999997</v>
      </c>
      <c r="H30" s="139">
        <f t="shared" si="7"/>
        <v>3709.69</v>
      </c>
      <c r="I30" s="139">
        <f t="shared" si="7"/>
        <v>3518.75</v>
      </c>
      <c r="J30" s="139">
        <f t="shared" si="7"/>
        <v>3400.3399999999997</v>
      </c>
      <c r="K30" s="139">
        <f t="shared" si="7"/>
        <v>3330.46</v>
      </c>
      <c r="L30" s="7">
        <f t="shared" si="7"/>
        <v>3255.12</v>
      </c>
      <c r="M30" s="7">
        <f t="shared" si="7"/>
        <v>3182.01</v>
      </c>
      <c r="N30" s="139">
        <f t="shared" si="7"/>
        <v>3134.31</v>
      </c>
      <c r="O30" s="16">
        <f t="shared" si="7"/>
        <v>2987.35</v>
      </c>
      <c r="P30" s="139">
        <f t="shared" si="7"/>
        <v>2895.5499999999997</v>
      </c>
      <c r="Q30" s="7">
        <f t="shared" si="7"/>
        <v>2796.6</v>
      </c>
      <c r="R30" s="139">
        <f t="shared" si="7"/>
        <v>2669.3</v>
      </c>
    </row>
    <row r="31" spans="1:18" s="5" customFormat="1" x14ac:dyDescent="0.25"/>
    <row r="32" spans="1:18" x14ac:dyDescent="0.25">
      <c r="A32" s="1" t="s">
        <v>16</v>
      </c>
      <c r="B32" s="1"/>
      <c r="D32" s="5"/>
    </row>
    <row r="33" spans="1:24" x14ac:dyDescent="0.25">
      <c r="D33" s="5"/>
      <c r="K33">
        <v>22</v>
      </c>
      <c r="L33">
        <v>21</v>
      </c>
      <c r="M33">
        <v>20</v>
      </c>
      <c r="N33">
        <v>19</v>
      </c>
      <c r="O33">
        <v>18</v>
      </c>
      <c r="P33" s="2">
        <v>17</v>
      </c>
      <c r="Q33" s="2">
        <v>16</v>
      </c>
      <c r="R33" s="2">
        <v>15</v>
      </c>
      <c r="S33">
        <v>14</v>
      </c>
      <c r="T33" s="2">
        <v>13</v>
      </c>
      <c r="U33">
        <v>12</v>
      </c>
    </row>
    <row r="34" spans="1:24" x14ac:dyDescent="0.25">
      <c r="K34" s="19"/>
      <c r="L34" s="19"/>
      <c r="M34" s="19"/>
      <c r="N34" s="19"/>
      <c r="O34" s="19"/>
      <c r="P34" s="20"/>
      <c r="Q34" s="20"/>
      <c r="R34" s="20"/>
      <c r="S34" s="19"/>
      <c r="T34" s="20"/>
      <c r="U34" s="19"/>
    </row>
    <row r="35" spans="1:24" s="5" customFormat="1" x14ac:dyDescent="0.25">
      <c r="J35" s="9"/>
      <c r="K35" s="10"/>
      <c r="L35" s="10"/>
      <c r="M35" s="10"/>
      <c r="N35" s="10"/>
      <c r="O35" s="10"/>
      <c r="P35" s="11"/>
      <c r="Q35" s="11"/>
      <c r="R35" s="11"/>
      <c r="S35" s="10"/>
      <c r="T35" s="11"/>
      <c r="U35" s="10"/>
    </row>
    <row r="36" spans="1:24" s="5" customFormat="1" x14ac:dyDescent="0.25">
      <c r="P36" s="13"/>
      <c r="Q36" s="13"/>
      <c r="R36" s="13"/>
      <c r="T36" s="13"/>
    </row>
    <row r="37" spans="1:24" s="5" customFormat="1" x14ac:dyDescent="0.25">
      <c r="J37" s="6" t="s">
        <v>6</v>
      </c>
      <c r="K37" s="6"/>
      <c r="L37" s="6">
        <v>766.06</v>
      </c>
      <c r="M37" s="6">
        <v>766.06</v>
      </c>
      <c r="N37" s="6">
        <v>766.06</v>
      </c>
      <c r="O37" s="6">
        <v>766.06</v>
      </c>
      <c r="P37" s="7">
        <v>766.06</v>
      </c>
      <c r="Q37" s="7">
        <v>766.06</v>
      </c>
      <c r="R37" s="7">
        <v>766.06</v>
      </c>
      <c r="S37" s="6">
        <v>766.06</v>
      </c>
      <c r="T37" s="7">
        <v>766.06</v>
      </c>
      <c r="U37" s="6">
        <v>766.06</v>
      </c>
    </row>
    <row r="38" spans="1:24" s="5" customFormat="1" x14ac:dyDescent="0.25">
      <c r="J38" s="6" t="s">
        <v>7</v>
      </c>
      <c r="K38" s="6"/>
      <c r="L38" s="104">
        <v>503.63</v>
      </c>
      <c r="M38" s="104">
        <v>467.83</v>
      </c>
      <c r="N38" s="6">
        <v>443.95</v>
      </c>
      <c r="O38" s="104">
        <v>420.05</v>
      </c>
      <c r="P38" s="7">
        <v>396.15</v>
      </c>
      <c r="Q38" s="7">
        <v>372.32</v>
      </c>
      <c r="R38" s="7">
        <v>348.39</v>
      </c>
      <c r="S38" s="6">
        <v>324.54000000000002</v>
      </c>
      <c r="T38" s="7">
        <v>300.62</v>
      </c>
      <c r="U38" s="6">
        <v>276.72000000000003</v>
      </c>
    </row>
    <row r="39" spans="1:24" s="5" customFormat="1" x14ac:dyDescent="0.25">
      <c r="J39" s="6" t="s">
        <v>8</v>
      </c>
      <c r="K39" s="6"/>
      <c r="L39" s="104">
        <f>ROUND(('abril mensual funcionaris'!K40*0.24467%)+('abril mensual funcionaris'!K40),2)</f>
        <v>1293.22</v>
      </c>
      <c r="M39" s="104">
        <f>ROUND(('abril mensual funcionaris'!L40*0.24467%)+('abril mensual funcionaris'!L40),2)</f>
        <v>1274.2</v>
      </c>
      <c r="N39" s="104">
        <f>ROUND(('abril mensual funcionaris'!M40*0.24467%)+('abril mensual funcionaris'!M40),2)</f>
        <v>1216.58</v>
      </c>
      <c r="O39" s="104">
        <f>ROUND(('abril mensual funcionaris'!N40*0.24467%)+('abril mensual funcionaris'!N40),2)</f>
        <v>1173.97</v>
      </c>
      <c r="P39" s="7">
        <f>ROUND(('abril mensual funcionaris'!O40*0.24467%)+('abril mensual funcionaris'!O40),2)</f>
        <v>1055.8699999999999</v>
      </c>
      <c r="Q39" s="7">
        <f>ROUND(('abril mensual funcionaris'!P40*0.24467%)+('abril mensual funcionaris'!P40),2)</f>
        <v>973.24</v>
      </c>
      <c r="R39" s="7">
        <f>ROUND(('abril mensual funcionaris'!Q40*0.24467%)+('abril mensual funcionaris'!Q40),2)</f>
        <v>855.08</v>
      </c>
      <c r="S39" s="104">
        <f>ROUND(('abril mensual funcionaris'!R40*0.24467%)+('abril mensual funcionaris'!R40),2)</f>
        <v>786.89</v>
      </c>
      <c r="T39" s="7">
        <f>ROUND(('abril mensual funcionaris'!S40*0.24467%)+('abril mensual funcionaris'!S40),2)</f>
        <v>738.86</v>
      </c>
      <c r="U39" s="104">
        <f>ROUND(('abril mensual funcionaris'!T40*0.24467%)+('abril mensual funcionaris'!T40),2)</f>
        <v>646.99</v>
      </c>
    </row>
    <row r="40" spans="1:24" s="5" customFormat="1" x14ac:dyDescent="0.25">
      <c r="J40" s="58" t="s">
        <v>97</v>
      </c>
      <c r="K40" s="6"/>
      <c r="L40" s="104">
        <f>'jul mensual func'!K43+'jul mensual func'!K44+'jul mensual func'!K46</f>
        <v>841.30000000000007</v>
      </c>
      <c r="M40" s="104">
        <f>'jul mensual func'!L43+'jul mensual func'!L44+'jul mensual func'!L46</f>
        <v>819.11</v>
      </c>
      <c r="N40" s="104">
        <f>'jul mensual func'!M43+'jul mensual func'!M44+'jul mensual func'!M46</f>
        <v>748.33999999999992</v>
      </c>
      <c r="O40" s="104">
        <f>'jul mensual func'!N43+'jul mensual func'!N44+'jul mensual func'!N46</f>
        <v>581.21</v>
      </c>
      <c r="P40" s="7">
        <f>'jul mensual func'!O43+'jul mensual func'!O44+'jul mensual func'!O46</f>
        <v>576.07000000000005</v>
      </c>
      <c r="Q40" s="7">
        <f>'jul mensual func'!P43+'jul mensual func'!P44+'jul mensual func'!P46</f>
        <v>490.53</v>
      </c>
      <c r="R40" s="7">
        <f>'jul mensual func'!Q43+'jul mensual func'!Q44+'jul mensual func'!Q46</f>
        <v>489.24</v>
      </c>
      <c r="S40" s="104">
        <f>'jul mensual func'!R43+'jul mensual func'!R44+'jul mensual func'!R46</f>
        <v>488.65</v>
      </c>
      <c r="T40" s="7">
        <f>'jul mensual func'!S43+'jul mensual func'!S44+'jul mensual func'!S46</f>
        <v>462.48</v>
      </c>
      <c r="U40" s="104">
        <f>'jul mensual func'!T43+'jul mensual func'!T44+'jul mensual func'!T46</f>
        <v>399.78</v>
      </c>
    </row>
    <row r="41" spans="1:24" s="5" customFormat="1" x14ac:dyDescent="0.25">
      <c r="I41" s="261" t="s">
        <v>94</v>
      </c>
      <c r="J41" s="262"/>
      <c r="K41" s="159">
        <v>0.5</v>
      </c>
      <c r="L41" s="158">
        <f>L40*$K$41</f>
        <v>420.65000000000003</v>
      </c>
      <c r="M41" s="158">
        <f t="shared" ref="M41:U41" si="8">M40*$K$41</f>
        <v>409.55500000000001</v>
      </c>
      <c r="N41" s="158">
        <f t="shared" si="8"/>
        <v>374.16999999999996</v>
      </c>
      <c r="O41" s="158">
        <f t="shared" si="8"/>
        <v>290.60500000000002</v>
      </c>
      <c r="P41" s="170">
        <f t="shared" si="8"/>
        <v>288.03500000000003</v>
      </c>
      <c r="Q41" s="170">
        <f t="shared" si="8"/>
        <v>245.26499999999999</v>
      </c>
      <c r="R41" s="170">
        <f t="shared" si="8"/>
        <v>244.62</v>
      </c>
      <c r="S41" s="158">
        <f t="shared" si="8"/>
        <v>244.32499999999999</v>
      </c>
      <c r="T41" s="170">
        <f t="shared" si="8"/>
        <v>231.24</v>
      </c>
      <c r="U41" s="158">
        <f t="shared" si="8"/>
        <v>199.89</v>
      </c>
    </row>
    <row r="42" spans="1:24" s="5" customFormat="1" x14ac:dyDescent="0.25">
      <c r="I42" s="261" t="s">
        <v>95</v>
      </c>
      <c r="J42" s="262"/>
      <c r="K42" s="159">
        <v>0.3</v>
      </c>
      <c r="L42" s="158">
        <f>$K$42*L40</f>
        <v>252.39000000000001</v>
      </c>
      <c r="M42" s="158">
        <f t="shared" ref="M42:U42" si="9">$K$42*M40</f>
        <v>245.733</v>
      </c>
      <c r="N42" s="158">
        <f t="shared" si="9"/>
        <v>224.50199999999998</v>
      </c>
      <c r="O42" s="158">
        <f t="shared" si="9"/>
        <v>174.363</v>
      </c>
      <c r="P42" s="170">
        <f t="shared" si="9"/>
        <v>172.821</v>
      </c>
      <c r="Q42" s="170">
        <f t="shared" si="9"/>
        <v>147.15899999999999</v>
      </c>
      <c r="R42" s="170">
        <f t="shared" si="9"/>
        <v>146.77199999999999</v>
      </c>
      <c r="S42" s="158">
        <f t="shared" si="9"/>
        <v>146.595</v>
      </c>
      <c r="T42" s="170">
        <f t="shared" si="9"/>
        <v>138.744</v>
      </c>
      <c r="U42" s="158">
        <f t="shared" si="9"/>
        <v>119.93399999999998</v>
      </c>
    </row>
    <row r="43" spans="1:24" s="5" customFormat="1" x14ac:dyDescent="0.25">
      <c r="I43" s="261" t="s">
        <v>96</v>
      </c>
      <c r="J43" s="262"/>
      <c r="K43" s="159">
        <v>0.2</v>
      </c>
      <c r="L43" s="158">
        <f>L40*$K$43</f>
        <v>168.26000000000002</v>
      </c>
      <c r="M43" s="158">
        <f t="shared" ref="M43:U43" si="10">M40*$K$43</f>
        <v>163.822</v>
      </c>
      <c r="N43" s="158">
        <f t="shared" si="10"/>
        <v>149.66799999999998</v>
      </c>
      <c r="O43" s="158">
        <f t="shared" si="10"/>
        <v>116.24200000000002</v>
      </c>
      <c r="P43" s="170">
        <f t="shared" si="10"/>
        <v>115.21400000000001</v>
      </c>
      <c r="Q43" s="170">
        <f t="shared" si="10"/>
        <v>98.105999999999995</v>
      </c>
      <c r="R43" s="170">
        <f t="shared" si="10"/>
        <v>97.848000000000013</v>
      </c>
      <c r="S43" s="158">
        <f t="shared" si="10"/>
        <v>97.73</v>
      </c>
      <c r="T43" s="170">
        <f t="shared" si="10"/>
        <v>92.496000000000009</v>
      </c>
      <c r="U43" s="158">
        <f t="shared" si="10"/>
        <v>79.956000000000003</v>
      </c>
    </row>
    <row r="44" spans="1:24" s="5" customFormat="1" x14ac:dyDescent="0.25">
      <c r="J44" s="15"/>
      <c r="K44" s="15"/>
      <c r="L44" s="17">
        <f>SUM(L37:L40)</f>
        <v>3404.21</v>
      </c>
      <c r="M44" s="17">
        <f t="shared" ref="M44:U44" si="11">SUM(M37:M40)</f>
        <v>3327.2000000000003</v>
      </c>
      <c r="N44" s="17">
        <f t="shared" si="11"/>
        <v>3174.9300000000003</v>
      </c>
      <c r="O44" s="17">
        <f t="shared" si="11"/>
        <v>2941.29</v>
      </c>
      <c r="P44" s="7">
        <f t="shared" si="11"/>
        <v>2794.15</v>
      </c>
      <c r="Q44" s="7">
        <f t="shared" si="11"/>
        <v>2602.1499999999996</v>
      </c>
      <c r="R44" s="7">
        <f t="shared" si="11"/>
        <v>2458.7699999999995</v>
      </c>
      <c r="S44" s="17">
        <f t="shared" si="11"/>
        <v>2366.14</v>
      </c>
      <c r="T44" s="7">
        <f t="shared" si="11"/>
        <v>2268.02</v>
      </c>
      <c r="U44" s="17">
        <f t="shared" si="11"/>
        <v>2089.5500000000002</v>
      </c>
    </row>
    <row r="45" spans="1:24" s="5" customFormat="1" x14ac:dyDescent="0.25"/>
    <row r="46" spans="1:24" x14ac:dyDescent="0.25">
      <c r="A46" s="1" t="s">
        <v>18</v>
      </c>
      <c r="B46" s="1"/>
    </row>
    <row r="47" spans="1:24" x14ac:dyDescent="0.25">
      <c r="O47" s="142">
        <v>18</v>
      </c>
      <c r="P47" s="2">
        <v>17</v>
      </c>
      <c r="Q47" s="142">
        <v>16</v>
      </c>
      <c r="R47" s="142">
        <v>15</v>
      </c>
      <c r="S47" s="2">
        <v>14</v>
      </c>
      <c r="T47" s="2">
        <v>13</v>
      </c>
      <c r="U47" s="2">
        <v>12</v>
      </c>
      <c r="V47" s="2">
        <v>11</v>
      </c>
      <c r="W47" s="142">
        <v>10</v>
      </c>
      <c r="X47" s="2">
        <v>9</v>
      </c>
    </row>
    <row r="48" spans="1:24" x14ac:dyDescent="0.25">
      <c r="N48" s="19"/>
      <c r="O48" s="149"/>
      <c r="P48" s="20"/>
      <c r="Q48" s="149"/>
      <c r="R48" s="149"/>
      <c r="S48" s="20"/>
      <c r="T48" s="20"/>
      <c r="U48" s="20"/>
      <c r="V48" s="20"/>
      <c r="W48" s="149"/>
      <c r="X48" s="20"/>
    </row>
    <row r="49" spans="1:24" s="5" customFormat="1" x14ac:dyDescent="0.25">
      <c r="N49" s="58"/>
      <c r="O49" s="150"/>
      <c r="P49" s="148"/>
      <c r="Q49" s="150"/>
      <c r="R49" s="150"/>
      <c r="S49" s="148"/>
      <c r="T49" s="148"/>
      <c r="U49" s="148"/>
      <c r="V49" s="148"/>
      <c r="W49" s="150"/>
      <c r="X49" s="33"/>
    </row>
    <row r="50" spans="1:24" s="5" customFormat="1" x14ac:dyDescent="0.25">
      <c r="O50" s="141"/>
      <c r="P50" s="13"/>
      <c r="Q50" s="141"/>
      <c r="R50" s="141"/>
      <c r="S50" s="7"/>
      <c r="T50" s="7"/>
      <c r="U50" s="7"/>
      <c r="V50" s="7"/>
      <c r="W50" s="141"/>
      <c r="X50" s="13"/>
    </row>
    <row r="51" spans="1:24" s="5" customFormat="1" x14ac:dyDescent="0.25">
      <c r="N51" s="6" t="s">
        <v>6</v>
      </c>
      <c r="O51" s="104">
        <v>637.57000000000005</v>
      </c>
      <c r="P51" s="7">
        <v>637.57000000000005</v>
      </c>
      <c r="Q51" s="104">
        <v>637.57000000000005</v>
      </c>
      <c r="R51" s="104">
        <v>637.57000000000005</v>
      </c>
      <c r="S51" s="7">
        <v>637.57000000000005</v>
      </c>
      <c r="T51" s="7">
        <v>637.57000000000005</v>
      </c>
      <c r="U51" s="7">
        <v>637.57000000000005</v>
      </c>
      <c r="V51" s="7">
        <v>637.57000000000005</v>
      </c>
      <c r="W51" s="104">
        <v>637.57000000000005</v>
      </c>
      <c r="X51" s="7">
        <v>637.57000000000005</v>
      </c>
    </row>
    <row r="52" spans="1:24" s="5" customFormat="1" x14ac:dyDescent="0.25">
      <c r="N52" s="6" t="s">
        <v>7</v>
      </c>
      <c r="O52" s="104">
        <v>420.05</v>
      </c>
      <c r="P52" s="7">
        <v>396.15</v>
      </c>
      <c r="Q52" s="104">
        <v>372.32</v>
      </c>
      <c r="R52" s="104">
        <v>348.39</v>
      </c>
      <c r="S52" s="7">
        <v>324.54000000000002</v>
      </c>
      <c r="T52" s="7">
        <v>300.62</v>
      </c>
      <c r="U52" s="7">
        <v>276.72000000000003</v>
      </c>
      <c r="V52" s="7">
        <v>252.82</v>
      </c>
      <c r="W52" s="104">
        <v>228.97</v>
      </c>
      <c r="X52" s="7">
        <v>217.04</v>
      </c>
    </row>
    <row r="53" spans="1:24" s="5" customFormat="1" x14ac:dyDescent="0.25">
      <c r="N53" s="6" t="s">
        <v>8</v>
      </c>
      <c r="O53" s="104">
        <f>ROUND(('abril mensual funcionaris'!N54*0.24467%)+('abril mensual funcionaris'!N54),2)</f>
        <v>1007.99</v>
      </c>
      <c r="P53" s="7">
        <f>ROUND(('abril mensual funcionaris'!O54*0.24467%)+('abril mensual funcionaris'!O54),2)</f>
        <v>966.16</v>
      </c>
      <c r="Q53" s="104">
        <f>ROUND(('abril mensual funcionaris'!P54*0.24467%)+('abril mensual funcionaris'!P54),2)</f>
        <v>931.2</v>
      </c>
      <c r="R53" s="104">
        <f>ROUND(('abril mensual funcionaris'!Q54*0.24467%)+('abril mensual funcionaris'!Q54),2)</f>
        <v>831.24</v>
      </c>
      <c r="S53" s="7">
        <f>ROUND(('abril mensual funcionaris'!R54*0.24467%)+('abril mensual funcionaris'!R54),2)</f>
        <v>777.61</v>
      </c>
      <c r="T53" s="7">
        <f>ROUND(('abril mensual funcionaris'!S54*0.24467%)+('abril mensual funcionaris'!S54),2)</f>
        <v>677.35</v>
      </c>
      <c r="U53" s="7">
        <f>ROUND(('abril mensual funcionaris'!T54*0.24467%)+('abril mensual funcionaris'!T54),2)</f>
        <v>703.87</v>
      </c>
      <c r="V53" s="7">
        <f>ROUND(('abril mensual funcionaris'!U54*0.24467%)+('abril mensual funcionaris'!U54),2)</f>
        <v>707.2</v>
      </c>
      <c r="W53" s="104">
        <f>ROUND(('abril mensual funcionaris'!V54*0.24467%)+('abril mensual funcionaris'!V54),2)</f>
        <v>589.01</v>
      </c>
      <c r="X53" s="7">
        <f>ROUND(('abril mensual funcionaris'!W54*0.24467%)+('abril mensual funcionaris'!W54),2)</f>
        <v>499.12</v>
      </c>
    </row>
    <row r="54" spans="1:24" s="5" customFormat="1" x14ac:dyDescent="0.25">
      <c r="A54" s="38" t="s">
        <v>41</v>
      </c>
      <c r="B54" s="38"/>
      <c r="N54" s="58" t="s">
        <v>97</v>
      </c>
      <c r="O54" s="104">
        <f>'jul mensual func'!N57+'jul mensual func'!N58+'jul mensual func'!N60</f>
        <v>545.33999999999992</v>
      </c>
      <c r="P54" s="7">
        <f>'jul mensual func'!O57+'jul mensual func'!O58+'jul mensual func'!O60</f>
        <v>466.05</v>
      </c>
      <c r="Q54" s="104">
        <f>'jul mensual func'!P57+'jul mensual func'!P58+'jul mensual func'!P60</f>
        <v>472.36</v>
      </c>
      <c r="R54" s="104">
        <f>'jul mensual func'!Q57+'jul mensual func'!Q58+'jul mensual func'!Q60</f>
        <v>497.51</v>
      </c>
      <c r="S54" s="7">
        <f>'jul mensual func'!R57+'jul mensual func'!R58+'jul mensual func'!R60</f>
        <v>476.27000000000004</v>
      </c>
      <c r="T54" s="7">
        <f>'jul mensual func'!S57+'jul mensual func'!S58+'jul mensual func'!S60</f>
        <v>501.7</v>
      </c>
      <c r="U54" s="7">
        <f>'jul mensual func'!T57+'jul mensual func'!T58+'jul mensual func'!T60</f>
        <v>417.58000000000004</v>
      </c>
      <c r="V54" s="7">
        <f>'jul mensual func'!U57+'jul mensual func'!U58+'jul mensual func'!U60</f>
        <v>432.53000000000003</v>
      </c>
      <c r="W54" s="104">
        <f>'jul mensual func'!V57+'jul mensual func'!V58+'jul mensual func'!V60</f>
        <v>365.48</v>
      </c>
      <c r="X54" s="7">
        <f>'jul mensual func'!W57+'jul mensual func'!W58+'jul mensual func'!W60</f>
        <v>328.23</v>
      </c>
    </row>
    <row r="55" spans="1:24" s="5" customFormat="1" x14ac:dyDescent="0.25">
      <c r="A55" s="38"/>
      <c r="B55" s="38"/>
      <c r="L55" s="261" t="s">
        <v>94</v>
      </c>
      <c r="M55" s="262"/>
      <c r="N55" s="159">
        <v>0.5</v>
      </c>
      <c r="O55" s="158">
        <f>O54*$N$55</f>
        <v>272.66999999999996</v>
      </c>
      <c r="P55" s="170">
        <f t="shared" ref="P55:X55" si="12">P54*$N$55</f>
        <v>233.02500000000001</v>
      </c>
      <c r="Q55" s="158">
        <f t="shared" si="12"/>
        <v>236.18</v>
      </c>
      <c r="R55" s="158">
        <f t="shared" si="12"/>
        <v>248.755</v>
      </c>
      <c r="S55" s="170">
        <f t="shared" si="12"/>
        <v>238.13500000000002</v>
      </c>
      <c r="T55" s="170">
        <f t="shared" si="12"/>
        <v>250.85</v>
      </c>
      <c r="U55" s="170">
        <f t="shared" si="12"/>
        <v>208.79000000000002</v>
      </c>
      <c r="V55" s="170">
        <f t="shared" si="12"/>
        <v>216.26500000000001</v>
      </c>
      <c r="W55" s="158">
        <f t="shared" si="12"/>
        <v>182.74</v>
      </c>
      <c r="X55" s="170">
        <f t="shared" si="12"/>
        <v>164.11500000000001</v>
      </c>
    </row>
    <row r="56" spans="1:24" s="5" customFormat="1" x14ac:dyDescent="0.25">
      <c r="A56" s="38"/>
      <c r="B56" s="38"/>
      <c r="L56" s="261" t="s">
        <v>95</v>
      </c>
      <c r="M56" s="262"/>
      <c r="N56" s="159">
        <v>0.3</v>
      </c>
      <c r="O56" s="158">
        <f>O54*$N$56</f>
        <v>163.60199999999998</v>
      </c>
      <c r="P56" s="170">
        <f t="shared" ref="P56:X56" si="13">P54*$N$56</f>
        <v>139.815</v>
      </c>
      <c r="Q56" s="158">
        <f t="shared" si="13"/>
        <v>141.708</v>
      </c>
      <c r="R56" s="158">
        <f t="shared" si="13"/>
        <v>149.25299999999999</v>
      </c>
      <c r="S56" s="170">
        <f t="shared" si="13"/>
        <v>142.881</v>
      </c>
      <c r="T56" s="170">
        <f t="shared" si="13"/>
        <v>150.51</v>
      </c>
      <c r="U56" s="170">
        <f t="shared" si="13"/>
        <v>125.274</v>
      </c>
      <c r="V56" s="170">
        <f t="shared" si="13"/>
        <v>129.75900000000001</v>
      </c>
      <c r="W56" s="158">
        <f t="shared" si="13"/>
        <v>109.64400000000001</v>
      </c>
      <c r="X56" s="170">
        <f t="shared" si="13"/>
        <v>98.469000000000008</v>
      </c>
    </row>
    <row r="57" spans="1:24" s="5" customFormat="1" x14ac:dyDescent="0.25">
      <c r="A57" s="34"/>
      <c r="B57" s="34"/>
      <c r="C57" s="34"/>
      <c r="D57" s="40"/>
      <c r="L57" s="261" t="s">
        <v>96</v>
      </c>
      <c r="M57" s="262"/>
      <c r="N57" s="159">
        <v>0.2</v>
      </c>
      <c r="O57" s="158">
        <f>O54*$N$57</f>
        <v>109.06799999999998</v>
      </c>
      <c r="P57" s="170">
        <f t="shared" ref="P57:X57" si="14">P54*$N$57</f>
        <v>93.210000000000008</v>
      </c>
      <c r="Q57" s="158">
        <f t="shared" si="14"/>
        <v>94.472000000000008</v>
      </c>
      <c r="R57" s="158">
        <f t="shared" si="14"/>
        <v>99.50200000000001</v>
      </c>
      <c r="S57" s="170">
        <f t="shared" si="14"/>
        <v>95.254000000000019</v>
      </c>
      <c r="T57" s="170">
        <f t="shared" si="14"/>
        <v>100.34</v>
      </c>
      <c r="U57" s="170">
        <f t="shared" si="14"/>
        <v>83.51600000000002</v>
      </c>
      <c r="V57" s="170">
        <f t="shared" si="14"/>
        <v>86.506000000000014</v>
      </c>
      <c r="W57" s="158">
        <f t="shared" si="14"/>
        <v>73.096000000000004</v>
      </c>
      <c r="X57" s="170">
        <f t="shared" si="14"/>
        <v>65.646000000000001</v>
      </c>
    </row>
    <row r="58" spans="1:24" s="5" customFormat="1" x14ac:dyDescent="0.25">
      <c r="A58" s="34" t="s">
        <v>26</v>
      </c>
      <c r="B58" s="34"/>
      <c r="C58" s="34"/>
      <c r="D58" s="40" t="s">
        <v>28</v>
      </c>
      <c r="N58" s="6"/>
      <c r="O58" s="139">
        <f>O54+O53+O52+O51</f>
        <v>2610.9499999999998</v>
      </c>
      <c r="P58" s="7">
        <f t="shared" ref="P58:X58" si="15">P54+P53+P52+P51</f>
        <v>2465.9300000000003</v>
      </c>
      <c r="Q58" s="139">
        <f t="shared" si="15"/>
        <v>2413.4499999999998</v>
      </c>
      <c r="R58" s="139">
        <f t="shared" si="15"/>
        <v>2314.71</v>
      </c>
      <c r="S58" s="7">
        <f t="shared" si="15"/>
        <v>2215.9900000000002</v>
      </c>
      <c r="T58" s="7">
        <f t="shared" si="15"/>
        <v>2117.2400000000002</v>
      </c>
      <c r="U58" s="7">
        <f t="shared" si="15"/>
        <v>2035.7400000000002</v>
      </c>
      <c r="V58" s="7">
        <f t="shared" si="15"/>
        <v>2030.12</v>
      </c>
      <c r="W58" s="139">
        <f t="shared" si="15"/>
        <v>1821.0300000000002</v>
      </c>
      <c r="X58" s="7">
        <f t="shared" si="15"/>
        <v>1681.96</v>
      </c>
    </row>
    <row r="59" spans="1:24" x14ac:dyDescent="0.25">
      <c r="A59" s="5" t="s">
        <v>30</v>
      </c>
      <c r="B59" s="5"/>
      <c r="C59" s="5"/>
      <c r="D59" s="5">
        <v>45.41</v>
      </c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s="5" t="s">
        <v>31</v>
      </c>
      <c r="B60" s="5"/>
      <c r="C60" s="5"/>
      <c r="D60" s="5">
        <v>37.03</v>
      </c>
    </row>
    <row r="61" spans="1:24" x14ac:dyDescent="0.25">
      <c r="A61" t="s">
        <v>19</v>
      </c>
      <c r="D61" s="5">
        <v>28.02</v>
      </c>
    </row>
    <row r="62" spans="1:24" s="5" customFormat="1" x14ac:dyDescent="0.25">
      <c r="A62" t="s">
        <v>20</v>
      </c>
      <c r="B62"/>
      <c r="C62"/>
      <c r="D62" s="5">
        <v>19.07</v>
      </c>
      <c r="E62" s="34"/>
      <c r="F62" s="34"/>
      <c r="H62" s="35"/>
      <c r="I62" s="35"/>
      <c r="J62" s="36" t="s">
        <v>23</v>
      </c>
      <c r="K62" s="35"/>
      <c r="L62" s="35"/>
      <c r="M62" s="35"/>
      <c r="N62" s="35"/>
      <c r="O62" s="35"/>
      <c r="P62" s="35"/>
      <c r="Q62" s="35"/>
      <c r="R62" s="35"/>
      <c r="T62" s="141"/>
    </row>
    <row r="63" spans="1:24" s="5" customFormat="1" x14ac:dyDescent="0.25">
      <c r="A63" s="34" t="s">
        <v>90</v>
      </c>
      <c r="B63" s="34"/>
      <c r="C63" s="34"/>
      <c r="D63" s="34"/>
      <c r="H63" s="35"/>
      <c r="I63" s="35"/>
      <c r="J63" s="39" t="s">
        <v>25</v>
      </c>
      <c r="K63" s="35"/>
      <c r="L63" s="35"/>
      <c r="M63" s="35"/>
      <c r="N63" s="35"/>
      <c r="O63" s="35"/>
      <c r="P63" s="35"/>
      <c r="Q63" s="35"/>
      <c r="R63" s="35"/>
    </row>
    <row r="64" spans="1:24" s="5" customFormat="1" x14ac:dyDescent="0.25">
      <c r="A64" s="38" t="s">
        <v>24</v>
      </c>
      <c r="B64" s="38"/>
      <c r="H64" s="35"/>
      <c r="I64" s="35"/>
      <c r="J64" s="41"/>
      <c r="K64" s="35"/>
      <c r="L64" s="35"/>
      <c r="M64" s="42" t="s">
        <v>29</v>
      </c>
      <c r="N64" s="35"/>
      <c r="O64" s="35"/>
      <c r="P64" s="35"/>
      <c r="Q64" s="35"/>
      <c r="R64" s="35"/>
    </row>
    <row r="65" spans="1:18" s="5" customFormat="1" x14ac:dyDescent="0.25">
      <c r="A65" s="34" t="s">
        <v>26</v>
      </c>
      <c r="B65" s="34"/>
      <c r="C65" s="40" t="s">
        <v>27</v>
      </c>
      <c r="D65" s="40" t="s">
        <v>28</v>
      </c>
      <c r="H65" s="35"/>
      <c r="I65" s="35"/>
      <c r="J65" s="41"/>
      <c r="K65" s="35"/>
      <c r="L65" s="35"/>
      <c r="M65" s="35"/>
      <c r="N65" s="35"/>
      <c r="O65" s="35"/>
      <c r="P65" s="35"/>
      <c r="Q65" s="35"/>
      <c r="R65" s="35"/>
    </row>
    <row r="66" spans="1:18" s="5" customFormat="1" x14ac:dyDescent="0.25">
      <c r="A66" s="5" t="s">
        <v>30</v>
      </c>
      <c r="C66" s="5">
        <v>728.13</v>
      </c>
      <c r="D66" s="5">
        <v>28.02</v>
      </c>
      <c r="H66" s="35"/>
      <c r="I66" s="35"/>
      <c r="J66" s="41"/>
      <c r="K66" s="35"/>
      <c r="L66" s="35"/>
      <c r="M66" s="35" t="s">
        <v>32</v>
      </c>
      <c r="N66" s="35"/>
      <c r="O66" s="35"/>
      <c r="P66" s="35">
        <v>43.5</v>
      </c>
      <c r="Q66" s="35"/>
      <c r="R66" s="35"/>
    </row>
    <row r="67" spans="1:18" s="5" customFormat="1" x14ac:dyDescent="0.25">
      <c r="A67" s="5" t="s">
        <v>31</v>
      </c>
      <c r="C67" s="5">
        <v>744.11</v>
      </c>
      <c r="D67" s="5">
        <v>27</v>
      </c>
      <c r="H67" s="35"/>
      <c r="I67" s="35"/>
      <c r="J67" s="41"/>
      <c r="K67" s="35"/>
      <c r="L67" s="35"/>
      <c r="M67" s="35" t="s">
        <v>33</v>
      </c>
      <c r="N67" s="35"/>
      <c r="O67" s="35"/>
      <c r="P67" s="35">
        <v>136.30000000000001</v>
      </c>
      <c r="Q67" s="35"/>
      <c r="R67" s="35"/>
    </row>
    <row r="68" spans="1:18" s="5" customFormat="1" x14ac:dyDescent="0.25">
      <c r="A68" s="5" t="s">
        <v>19</v>
      </c>
      <c r="C68" s="5">
        <v>662.1</v>
      </c>
      <c r="D68" s="5">
        <v>24.2</v>
      </c>
      <c r="H68" s="35"/>
      <c r="I68" s="35"/>
      <c r="J68" s="41"/>
      <c r="K68" s="35"/>
      <c r="L68" s="35"/>
      <c r="M68" s="35"/>
      <c r="N68" s="35"/>
      <c r="O68" s="35"/>
      <c r="P68" s="35"/>
      <c r="Q68" s="35"/>
      <c r="R68" s="35"/>
    </row>
    <row r="69" spans="1:18" s="5" customFormat="1" x14ac:dyDescent="0.25">
      <c r="A69" s="5" t="s">
        <v>20</v>
      </c>
      <c r="C69" s="5">
        <v>631.76</v>
      </c>
      <c r="D69" s="5">
        <v>18.89</v>
      </c>
      <c r="H69" s="35"/>
      <c r="I69" s="35"/>
      <c r="J69" s="41"/>
      <c r="K69" s="35"/>
      <c r="L69" s="35"/>
      <c r="M69" s="42" t="s">
        <v>34</v>
      </c>
      <c r="N69" s="35"/>
      <c r="O69" s="35"/>
      <c r="P69" s="35"/>
      <c r="Q69" s="43" t="s">
        <v>35</v>
      </c>
      <c r="R69" s="43" t="s">
        <v>36</v>
      </c>
    </row>
    <row r="70" spans="1:18" s="5" customFormat="1" x14ac:dyDescent="0.25">
      <c r="H70" s="35"/>
      <c r="I70" s="35"/>
      <c r="J70" s="41"/>
      <c r="K70" s="35"/>
      <c r="L70" s="35"/>
      <c r="M70" s="35" t="s">
        <v>37</v>
      </c>
      <c r="N70" s="35"/>
      <c r="O70" s="35"/>
      <c r="P70" s="44">
        <v>0.25569999999999998</v>
      </c>
      <c r="Q70" s="35">
        <v>0.19</v>
      </c>
      <c r="R70" s="44">
        <v>6.2199999999999998E-2</v>
      </c>
    </row>
    <row r="71" spans="1:18" s="5" customFormat="1" x14ac:dyDescent="0.25">
      <c r="H71" s="35"/>
      <c r="I71" s="35"/>
      <c r="J71" s="41" t="s">
        <v>38</v>
      </c>
      <c r="K71" s="35">
        <f>ROUND(('abril mensual funcionaris'!J72*0.24467%)+('abril mensual funcionaris'!J72),2)</f>
        <v>482.51</v>
      </c>
      <c r="L71" s="35"/>
      <c r="M71" s="35" t="s">
        <v>39</v>
      </c>
      <c r="N71" s="35"/>
      <c r="O71" s="35"/>
      <c r="P71" s="35">
        <v>9.1259999999999994</v>
      </c>
      <c r="Q71" s="35">
        <v>0</v>
      </c>
      <c r="R71" s="35">
        <v>9.1259999999999994</v>
      </c>
    </row>
    <row r="72" spans="1:18" s="5" customFormat="1" x14ac:dyDescent="0.25"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</row>
    <row r="73" spans="1:18" s="5" customFormat="1" x14ac:dyDescent="0.25"/>
    <row r="74" spans="1:18" s="5" customFormat="1" x14ac:dyDescent="0.25"/>
    <row r="75" spans="1:18" s="5" customFormat="1" x14ac:dyDescent="0.25"/>
  </sheetData>
  <mergeCells count="11">
    <mergeCell ref="A1:K1"/>
    <mergeCell ref="S6:Y6"/>
    <mergeCell ref="C27:D27"/>
    <mergeCell ref="C28:D28"/>
    <mergeCell ref="C29:D29"/>
    <mergeCell ref="L55:M55"/>
    <mergeCell ref="L56:M56"/>
    <mergeCell ref="L57:M57"/>
    <mergeCell ref="I41:J41"/>
    <mergeCell ref="I42:J42"/>
    <mergeCell ref="I43:J43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0,3+2% ESBOR</vt:lpstr>
      <vt:lpstr>0,3+2% ESBORR ANY</vt:lpstr>
      <vt:lpstr>abril anual funcionaris</vt:lpstr>
      <vt:lpstr>abril mensual funcionaris</vt:lpstr>
      <vt:lpstr>abril laborals</vt:lpstr>
      <vt:lpstr>jul mensual func</vt:lpstr>
      <vt:lpstr>jul anual fun</vt:lpstr>
      <vt:lpstr>jul lab</vt:lpstr>
      <vt:lpstr>Oct mes fun</vt:lpstr>
      <vt:lpstr>Octubre anual fun</vt:lpstr>
      <vt:lpstr>octubre lab</vt:lpstr>
      <vt:lpstr>2020</vt:lpstr>
      <vt:lpstr>CE mes</vt:lpstr>
      <vt:lpstr>CE any</vt:lpstr>
      <vt:lpstr>0,3 Fun mes</vt:lpstr>
      <vt:lpstr>Fun Fun any</vt:lpstr>
      <vt:lpstr>RDL 2-2020 2%</vt:lpstr>
      <vt:lpstr>0,3+2% ANY FUN</vt:lpstr>
      <vt:lpstr>0,3+2% MES FUN</vt:lpstr>
      <vt:lpstr>0,3+2% LAB</vt:lpstr>
      <vt:lpstr>ENDERRERIMENTS FEBRER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Nuria Ibañez Perez</cp:lastModifiedBy>
  <cp:lastPrinted>2020-03-04T09:30:54Z</cp:lastPrinted>
  <dcterms:created xsi:type="dcterms:W3CDTF">2019-04-02T09:44:47Z</dcterms:created>
  <dcterms:modified xsi:type="dcterms:W3CDTF">2020-08-05T12:13:09Z</dcterms:modified>
</cp:coreProperties>
</file>