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ml.chartshape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queryTables/queryTable1.xml" ContentType="application/vnd.openxmlformats-officedocument.spreadsheetml.query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G:\#TBG\TRANSPARÈNCIA 7-8-2023\COMISSIONS D'INTEGRITAT MUNICIPAL\COMISSIÓ TBG\Exp. 2026-XXXXX Sessió ordinària XX-XX-26\Memòria de transparència 2025\"/>
    </mc:Choice>
  </mc:AlternateContent>
  <bookViews>
    <workbookView xWindow="-120" yWindow="-120" windowWidth="29040" windowHeight="15720" tabRatio="825"/>
  </bookViews>
  <sheets>
    <sheet name="1_Plantejament" sheetId="10" r:id="rId1"/>
    <sheet name="2_Avaluació" sheetId="11" r:id="rId2"/>
    <sheet name="3_Informe" sheetId="13" r:id="rId3"/>
    <sheet name="4_Resultats" sheetId="12" state="hidden" r:id="rId4"/>
    <sheet name="5_DadesObertes" sheetId="20" state="hidden" r:id="rId5"/>
    <sheet name="6_Metodologia" sheetId="9" state="hidden" r:id="rId6"/>
    <sheet name="7_Fases" sheetId="21" state="hidden" r:id="rId7"/>
    <sheet name="8_Selectors" sheetId="14" state="hidden" r:id="rId8"/>
  </sheets>
  <definedNames>
    <definedName name="AnyAvaluacio">'1_Plantejament'!$B$9</definedName>
    <definedName name="_xlnm.Print_Area" localSheetId="2">'3_Informe'!$A$1:$H$255</definedName>
    <definedName name="DataAvaluacio">'1_Plantejament'!$B$10</definedName>
    <definedName name="DatosExternos_1" localSheetId="5" hidden="1">'6_Metodologia'!$A$1:$V$148</definedName>
    <definedName name="Desp1_TipusEns">Taula1_TipusEns[Tipus d''ens]</definedName>
    <definedName name="Desp2_Fases">Taula2_Fases[Fase d''avaluació]</definedName>
    <definedName name="Desp3_Avaluable">Taula3_Avaluable[Avaluable]</definedName>
    <definedName name="Desp4_ValorsAvaluacio">Taula4_ValorsAvaluacio[Valors avaluació]</definedName>
    <definedName name="FaseAvaluacio">'1_Plantejament'!$B$7</definedName>
    <definedName name="Graf5_ActualitzacioFases">INDEX(ResultatsFase[Actualització],MATCH('4_Resultats'!$A$33,ResultatsFase[Fase d''avaluació],0)):INDEX(ResultatsFase[Actualització],MATCH(LOOKUP(2,1/(ResultatsFase[Fase d''avaluació]&lt;&gt;""),ResultatsFase[Fase d''avaluació]),ResultatsFase[Fase d''avaluació],0))</definedName>
    <definedName name="Graf5_ContingutFases">INDEX(ResultatsFase[Contingut],MATCH('4_Resultats'!$A$33,ResultatsFase[Fase d''avaluació],0)):INDEX(ResultatsFase[Contingut],MATCH(LOOKUP(2,1/(ResultatsFase[Fase d''avaluació]&lt;&gt;""),ResultatsFase[Fase d''avaluació]),ResultatsFase[Fase d''avaluació],0))</definedName>
    <definedName name="Graf5_ReutilitzacioFases">INDEX(#REF!,MATCH('4_Resultats'!$A$33,ResultatsFase[Fase d''avaluació],0)):INDEX(#REF!,MATCH(LOOKUP(2,1/(ResultatsFase[Fase d''avaluació]&lt;&gt;""),ResultatsFase[Fase d''avaluació]),ResultatsFase[Fase d''avaluació],0))</definedName>
    <definedName name="Graf56_FasesAvaluacio">INDEX(ResultatsFase[Fase d''avaluació],MATCH('4_Resultats'!$A$33,ResultatsFase[Fase d''avaluació],0)):INDEX(ResultatsFase[Fase d''avaluació],MATCH(LOOKUP(2,1/(ResultatsFase[Fase d''avaluació]&lt;&gt;""),ResultatsFase[Fase d''avaluació]),ResultatsFase[Fase d''avaluació],0))</definedName>
    <definedName name="Graf6_CompleixParcialFases">INDEX(ResultatsFase[Compleix parcialment],MATCH('4_Resultats'!$A$33,ResultatsFase[Fase d''avaluació],0)):INDEX(ResultatsFase[Compleix parcialment],MATCH(LOOKUP(2,1/(ResultatsFase[Fase d''avaluació]&lt;&gt;""),ResultatsFase[Fase d''avaluació]),ResultatsFase[Fase d''avaluació],0))</definedName>
    <definedName name="Graf6_CompleixTotalFases">INDEX(ResultatsFase[Compleix totalment],MATCH('4_Resultats'!$A$33,ResultatsFase[Fase d''avaluació],0)):INDEX(ResultatsFase[Compleix totalment],MATCH(LOOKUP(2,1/(ResultatsFase[Fase d''avaluació]&lt;&gt;""),ResultatsFase[Fase d''avaluació]),ResultatsFase[Fase d''avaluació],0))</definedName>
    <definedName name="Graf6_NoCompleixFases">INDEX(ResultatsFase[No compleix],MATCH('4_Resultats'!$A$33,ResultatsFase[Fase d''avaluació],0)):INDEX(ResultatsFase[No compleix],MATCH(LOOKUP(2,1/(ResultatsFase[Fase d''avaluació]&lt;&gt;""),ResultatsFase[Fase d''avaluació]),ResultatsFase[Fase d''avaluació],0))</definedName>
    <definedName name="Graf7_Families">INDEX(ResultatsFamilia[Família],MATCH('4_Resultats'!$A$24,ResultatsFamilia[Família],0)):INDEX(ResultatsFamilia[Família],MATCH(LOOKUP(2,1/(ResultatsFamilia[Família]&lt;&gt;""),ResultatsFamilia[Família]),ResultatsFamilia[Família],0))</definedName>
    <definedName name="Graf7_PercentComplimentFamilies">INDEX(ResultatsFamilia[% compliment],MATCH('4_Resultats'!$A$24,ResultatsFamilia[Família],0)):INDEX(ResultatsFamilia[% compliment],MATCH(LOOKUP(2,1/(ResultatsFamilia[Família]&lt;&gt;""),ResultatsFamilia[Família]),ResultatsFamilia[Família],0))</definedName>
    <definedName name="Graf8_CompleixParcialSubfamilies">INDEX(ResultatsSubfamilia[Compleix parcialment],MATCH('4_Resultats'!$A$2,ResultatsSubfamilia[Subfamília],0)):INDEX(ResultatsSubfamilia[Compleix parcialment],MATCH(LOOKUP(2,1/(ResultatsSubfamilia[Subfamília]&lt;&gt;""),ResultatsSubfamilia[Subfamília]),ResultatsSubfamilia[Subfamília],0))</definedName>
    <definedName name="Graf8_CompleixTotalSubfamilies">INDEX(ResultatsSubfamilia[Compleix totalment],MATCH('4_Resultats'!$A$2,ResultatsSubfamilia[Subfamília],0)):INDEX(ResultatsSubfamilia[Compleix totalment],MATCH(LOOKUP(2,1/(ResultatsSubfamilia[Subfamília]&lt;&gt;""),ResultatsSubfamilia[Subfamília]),ResultatsSubfamilia[Subfamília],0))</definedName>
    <definedName name="Graf8_NoCompleixSubfamilies">INDEX(ResultatsSubfamilia[No compleix],MATCH('4_Resultats'!$A$2,ResultatsSubfamilia[Subfamília],0)):INDEX(ResultatsSubfamilia[No compleix],MATCH(LOOKUP(2,1/(ResultatsSubfamilia[Subfamília]&lt;&gt;""),ResultatsSubfamilia[Subfamília]),ResultatsSubfamilia[Subfamília],0))</definedName>
    <definedName name="Graf8_Subfamilies">INDEX(ResultatsSubfamilia[Subfamília],MATCH('4_Resultats'!$A$2,ResultatsSubfamilia[Subfamília],0)):INDEX(ResultatsSubfamilia[Subfamília],MATCH(LOOKUP(2,1/(ResultatsSubfamilia[Subfamília]&lt;&gt;""),ResultatsSubfamilia[Subfamília]),ResultatsSubfamilia[Subfamília],0))</definedName>
    <definedName name="NomEns">'1_Plantejament'!$B$5</definedName>
    <definedName name="NumItemsAvaluats">'1_Plantejament'!$B$8</definedName>
    <definedName name="TipusEns">'1_Plantejament'!$B$6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3" i="11" l="1"/>
  <c r="A4" i="13"/>
  <c r="A2" i="13"/>
  <c r="A1" i="13"/>
  <c r="H13" i="13"/>
  <c r="E13" i="13"/>
  <c r="L2" i="11"/>
  <c r="L3" i="11"/>
  <c r="L4" i="11"/>
  <c r="L5" i="11"/>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121"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8" i="11"/>
  <c r="A33" i="12" l="1"/>
  <c r="A34" i="12"/>
  <c r="A35" i="12"/>
  <c r="A36" i="12"/>
  <c r="A37" i="12"/>
  <c r="I2" i="9"/>
  <c r="I3" i="9"/>
  <c r="I4" i="9"/>
  <c r="I5" i="9"/>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K2" i="21" l="1"/>
  <c r="K3" i="21"/>
  <c r="K4" i="21"/>
  <c r="K5" i="21"/>
  <c r="K6" i="21"/>
  <c r="J2" i="21"/>
  <c r="J3" i="21"/>
  <c r="J4" i="21"/>
  <c r="J5" i="21"/>
  <c r="J6" i="21"/>
  <c r="I2" i="21"/>
  <c r="I3" i="21"/>
  <c r="I4" i="21"/>
  <c r="I5" i="21"/>
  <c r="I6" i="21"/>
  <c r="H2" i="21"/>
  <c r="H3" i="21"/>
  <c r="H4" i="21"/>
  <c r="H5" i="21"/>
  <c r="H6" i="21"/>
  <c r="G2" i="21"/>
  <c r="G3" i="21"/>
  <c r="G4" i="21"/>
  <c r="G5" i="21"/>
  <c r="G6" i="21"/>
  <c r="F2" i="21"/>
  <c r="F3" i="21"/>
  <c r="F4" i="21"/>
  <c r="F5" i="21"/>
  <c r="F6" i="21"/>
  <c r="E2" i="21"/>
  <c r="E3" i="21"/>
  <c r="E4" i="21"/>
  <c r="E5" i="21"/>
  <c r="E6" i="21"/>
  <c r="D2" i="21"/>
  <c r="D3" i="21"/>
  <c r="D4" i="21"/>
  <c r="D5" i="21"/>
  <c r="D6" i="21"/>
  <c r="C2" i="21"/>
  <c r="C3" i="21"/>
  <c r="C4" i="21"/>
  <c r="C5" i="21"/>
  <c r="C6" i="21"/>
  <c r="C7" i="21" l="1"/>
  <c r="H7" i="21"/>
  <c r="K7" i="21"/>
  <c r="D7" i="21"/>
  <c r="G7" i="21"/>
  <c r="E7" i="21"/>
  <c r="J7" i="21"/>
  <c r="I7" i="21"/>
  <c r="F7" i="21"/>
  <c r="C143" i="11"/>
  <c r="D143" i="11"/>
  <c r="E143" i="11"/>
  <c r="F143" i="11"/>
  <c r="N143" i="11"/>
  <c r="C144" i="11"/>
  <c r="D144" i="11"/>
  <c r="E144" i="11"/>
  <c r="F144" i="11"/>
  <c r="N144" i="11"/>
  <c r="C145" i="11"/>
  <c r="D145" i="11"/>
  <c r="E145" i="11"/>
  <c r="F145" i="11"/>
  <c r="N145" i="11"/>
  <c r="C146" i="11"/>
  <c r="D146" i="11"/>
  <c r="E146" i="11"/>
  <c r="F146" i="11"/>
  <c r="N146" i="11"/>
  <c r="C147" i="11"/>
  <c r="D147" i="11"/>
  <c r="E147" i="11"/>
  <c r="F147" i="11"/>
  <c r="N147" i="11"/>
  <c r="C148" i="11"/>
  <c r="D148" i="11"/>
  <c r="E148" i="11"/>
  <c r="F148" i="11"/>
  <c r="N148" i="11"/>
  <c r="F2" i="11"/>
  <c r="F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4" i="11"/>
  <c r="F125" i="11"/>
  <c r="F126" i="11"/>
  <c r="F127" i="11"/>
  <c r="F128" i="11"/>
  <c r="F129" i="11"/>
  <c r="F130" i="11"/>
  <c r="F131" i="11"/>
  <c r="F132" i="11"/>
  <c r="F133" i="11"/>
  <c r="F134" i="11"/>
  <c r="F135" i="11"/>
  <c r="F136" i="11"/>
  <c r="F137" i="11"/>
  <c r="F138" i="11"/>
  <c r="F139" i="11"/>
  <c r="F140" i="11"/>
  <c r="F141" i="11"/>
  <c r="F142" i="11"/>
  <c r="E2" i="11"/>
  <c r="E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D2" i="11"/>
  <c r="D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C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N2" i="11"/>
  <c r="B34" i="12" l="1"/>
  <c r="B37" i="12"/>
  <c r="B36" i="12"/>
  <c r="B35" i="12"/>
  <c r="B33" i="12"/>
  <c r="N3" i="11"/>
  <c r="N4" i="11"/>
  <c r="N5" i="11"/>
  <c r="N6" i="11"/>
  <c r="N7" i="11"/>
  <c r="N8" i="11"/>
  <c r="N9" i="11"/>
  <c r="N10"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B38" i="12" l="1"/>
  <c r="B41" i="12" l="1"/>
  <c r="B42" i="12"/>
  <c r="B43" i="12" l="1"/>
  <c r="C2" i="14"/>
  <c r="C3" i="14"/>
  <c r="C4" i="14"/>
  <c r="C5" i="14"/>
  <c r="C6" i="14"/>
  <c r="C7" i="14"/>
  <c r="C8" i="14"/>
  <c r="C9" i="14"/>
  <c r="C10" i="14"/>
  <c r="C11" i="14"/>
  <c r="C12" i="14"/>
  <c r="C13" i="14"/>
  <c r="C14" i="14"/>
  <c r="B148" i="11" l="1"/>
  <c r="B147" i="11"/>
  <c r="B146" i="11"/>
  <c r="B145" i="11"/>
  <c r="B144" i="11"/>
  <c r="B143" i="11"/>
  <c r="B7" i="11"/>
  <c r="B15" i="11"/>
  <c r="B23" i="11"/>
  <c r="B31" i="11"/>
  <c r="B39" i="11"/>
  <c r="B47" i="11"/>
  <c r="B55" i="11"/>
  <c r="B63" i="11"/>
  <c r="B71" i="11"/>
  <c r="B79" i="11"/>
  <c r="B87" i="11"/>
  <c r="B95" i="11"/>
  <c r="B103" i="11"/>
  <c r="B111" i="11"/>
  <c r="B119" i="11"/>
  <c r="B127" i="11"/>
  <c r="B135" i="11"/>
  <c r="B8" i="11"/>
  <c r="B16" i="11"/>
  <c r="B24" i="11"/>
  <c r="B32" i="11"/>
  <c r="B40" i="11"/>
  <c r="B48" i="11"/>
  <c r="B56" i="11"/>
  <c r="B64" i="11"/>
  <c r="B9" i="11"/>
  <c r="B17" i="11"/>
  <c r="B25" i="11"/>
  <c r="B33" i="11"/>
  <c r="B41" i="11"/>
  <c r="B49" i="11"/>
  <c r="B57" i="11"/>
  <c r="B65" i="11"/>
  <c r="B73" i="11"/>
  <c r="B81" i="11"/>
  <c r="B89" i="11"/>
  <c r="B97" i="11"/>
  <c r="B105" i="11"/>
  <c r="B113" i="11"/>
  <c r="B121" i="11"/>
  <c r="B129" i="11"/>
  <c r="B137" i="11"/>
  <c r="B2" i="11"/>
  <c r="B10" i="11"/>
  <c r="B18" i="11"/>
  <c r="B26" i="11"/>
  <c r="B34" i="11"/>
  <c r="B42" i="11"/>
  <c r="B50" i="11"/>
  <c r="B58" i="11"/>
  <c r="B66" i="11"/>
  <c r="B74" i="11"/>
  <c r="B82" i="11"/>
  <c r="B90" i="11"/>
  <c r="B98" i="11"/>
  <c r="B106" i="11"/>
  <c r="B114" i="11"/>
  <c r="B122" i="11"/>
  <c r="B130" i="11"/>
  <c r="B138" i="11"/>
  <c r="B77" i="11"/>
  <c r="B109" i="11"/>
  <c r="B133" i="11"/>
  <c r="B3" i="11"/>
  <c r="B11" i="11"/>
  <c r="B19" i="11"/>
  <c r="B27" i="11"/>
  <c r="B35" i="11"/>
  <c r="B43" i="11"/>
  <c r="B51" i="11"/>
  <c r="B59" i="11"/>
  <c r="B67" i="11"/>
  <c r="B75" i="11"/>
  <c r="B83" i="11"/>
  <c r="B91" i="11"/>
  <c r="B99" i="11"/>
  <c r="B107" i="11"/>
  <c r="B115" i="11"/>
  <c r="B123" i="11"/>
  <c r="B131" i="11"/>
  <c r="B139" i="11"/>
  <c r="B5" i="11"/>
  <c r="B29" i="11"/>
  <c r="B45" i="11"/>
  <c r="B61" i="11"/>
  <c r="B85" i="11"/>
  <c r="B101" i="11"/>
  <c r="B125" i="11"/>
  <c r="B4" i="11"/>
  <c r="B12" i="11"/>
  <c r="B20" i="11"/>
  <c r="B28" i="11"/>
  <c r="B36" i="11"/>
  <c r="B44" i="11"/>
  <c r="B52" i="11"/>
  <c r="B60" i="11"/>
  <c r="B68" i="11"/>
  <c r="B76" i="11"/>
  <c r="B84" i="11"/>
  <c r="B92" i="11"/>
  <c r="B100" i="11"/>
  <c r="B108" i="11"/>
  <c r="B116" i="11"/>
  <c r="B124" i="11"/>
  <c r="B132" i="11"/>
  <c r="B140" i="11"/>
  <c r="B13" i="11"/>
  <c r="B21" i="11"/>
  <c r="B37" i="11"/>
  <c r="B53" i="11"/>
  <c r="B69" i="11"/>
  <c r="B93" i="11"/>
  <c r="B117" i="11"/>
  <c r="B141" i="11"/>
  <c r="B46" i="11"/>
  <c r="B88" i="11"/>
  <c r="B120" i="11"/>
  <c r="B54" i="11"/>
  <c r="B94" i="11"/>
  <c r="B126" i="11"/>
  <c r="B104" i="11"/>
  <c r="B22" i="11"/>
  <c r="B38" i="11"/>
  <c r="B62" i="11"/>
  <c r="B96" i="11"/>
  <c r="B128" i="11"/>
  <c r="B142" i="11"/>
  <c r="B112" i="11"/>
  <c r="B6" i="11"/>
  <c r="B70" i="11"/>
  <c r="B102" i="11"/>
  <c r="B134" i="11"/>
  <c r="B14" i="11"/>
  <c r="B136" i="11"/>
  <c r="B110" i="11"/>
  <c r="B30" i="11"/>
  <c r="B86" i="11"/>
  <c r="B72" i="11"/>
  <c r="B78" i="11"/>
  <c r="B80" i="11"/>
  <c r="B118" i="11"/>
  <c r="G6" i="11" l="1"/>
  <c r="H6" i="11"/>
  <c r="M6" i="11"/>
  <c r="C34" i="12"/>
  <c r="C36" i="12"/>
  <c r="C35" i="12"/>
  <c r="C37" i="12"/>
  <c r="C33" i="12"/>
  <c r="A2" i="12" a="1"/>
  <c r="A2" i="12" s="1"/>
  <c r="A24" i="12" a="1"/>
  <c r="A24" i="12" s="1"/>
  <c r="A109" i="13" a="1"/>
  <c r="A109" i="13" s="1"/>
  <c r="E2" i="20" a="1"/>
  <c r="E2" i="20" s="1"/>
  <c r="C42" i="12"/>
  <c r="C41" i="12"/>
  <c r="B8" i="10"/>
  <c r="B149" i="11"/>
  <c r="A106" i="13" l="1"/>
  <c r="B13" i="13"/>
  <c r="B109" i="13" a="1"/>
  <c r="B109" i="13" s="1"/>
  <c r="F109" i="13" a="1"/>
  <c r="F109" i="13" s="1"/>
  <c r="G109" i="13" a="1"/>
  <c r="G109" i="13" s="1"/>
  <c r="K65" i="11"/>
  <c r="J65" i="11" s="1"/>
  <c r="D37" i="12"/>
  <c r="F37" i="12" s="1"/>
  <c r="J6" i="11"/>
  <c r="K6" i="11"/>
  <c r="D35" i="12"/>
  <c r="F35" i="12" s="1"/>
  <c r="D34" i="12"/>
  <c r="F34" i="12" s="1"/>
  <c r="K4" i="11"/>
  <c r="D33" i="12"/>
  <c r="F33" i="12" s="1"/>
  <c r="D36" i="12"/>
  <c r="F36" i="12" s="1"/>
  <c r="A25" i="12" a="1"/>
  <c r="A25" i="12" s="1"/>
  <c r="A26" i="12" s="1" a="1"/>
  <c r="A26" i="12" s="1"/>
  <c r="A27" i="12" s="1" a="1"/>
  <c r="A27" i="12" s="1"/>
  <c r="A3" i="12" a="1"/>
  <c r="A3" i="12" s="1"/>
  <c r="A4" i="12" s="1" a="1"/>
  <c r="A4" i="12" s="1"/>
  <c r="C38" i="12"/>
  <c r="C43" i="12"/>
  <c r="A110" i="13" a="1"/>
  <c r="A110" i="13" s="1"/>
  <c r="B110" i="13" s="1" a="1"/>
  <c r="B110" i="13" s="1"/>
  <c r="E3" i="20" a="1"/>
  <c r="E3" i="20" s="1"/>
  <c r="I3" i="20" s="1" a="1"/>
  <c r="I3" i="20" s="1"/>
  <c r="F2" i="20" a="1"/>
  <c r="F2" i="20" s="1"/>
  <c r="B2" i="20" a="1"/>
  <c r="B2" i="20" s="1"/>
  <c r="G2" i="20" a="1"/>
  <c r="G2" i="20" s="1"/>
  <c r="I2" i="20" a="1"/>
  <c r="I2" i="20" s="1"/>
  <c r="C2" i="20" a="1"/>
  <c r="C2" i="20" s="1"/>
  <c r="H2" i="20" a="1"/>
  <c r="H2" i="20" s="1"/>
  <c r="D2" i="20" a="1"/>
  <c r="D2" i="20" s="1"/>
  <c r="A2" i="20" a="1"/>
  <c r="A2" i="20" s="1"/>
  <c r="C2" i="12"/>
  <c r="B2" i="12"/>
  <c r="D2" i="12"/>
  <c r="F2" i="12" s="1"/>
  <c r="D42" i="12"/>
  <c r="F42" i="12" s="1"/>
  <c r="D41" i="12"/>
  <c r="G149" i="11"/>
  <c r="F110" i="13" l="1" a="1"/>
  <c r="F110" i="13" s="1"/>
  <c r="K144" i="11"/>
  <c r="J144" i="11" s="1"/>
  <c r="K2" i="11"/>
  <c r="J2" i="11" s="1"/>
  <c r="K14" i="11"/>
  <c r="J14" i="11" s="1"/>
  <c r="K13" i="11"/>
  <c r="J13" i="11" s="1"/>
  <c r="K29" i="11"/>
  <c r="J29" i="11" s="1"/>
  <c r="K61" i="11"/>
  <c r="J61" i="11" s="1"/>
  <c r="K21" i="11"/>
  <c r="J21" i="11" s="1"/>
  <c r="K124" i="11"/>
  <c r="J124" i="11" s="1"/>
  <c r="K41" i="11"/>
  <c r="J41" i="11" s="1"/>
  <c r="K55" i="11"/>
  <c r="J55" i="11" s="1"/>
  <c r="K119" i="11"/>
  <c r="J119" i="11" s="1"/>
  <c r="K113" i="11"/>
  <c r="J113" i="11" s="1"/>
  <c r="K85" i="11"/>
  <c r="J85" i="11" s="1"/>
  <c r="K58" i="11"/>
  <c r="J58" i="11" s="1"/>
  <c r="K70" i="11"/>
  <c r="J70" i="11" s="1"/>
  <c r="K115" i="11"/>
  <c r="J115" i="11" s="1"/>
  <c r="K108" i="11"/>
  <c r="J108" i="11" s="1"/>
  <c r="K51" i="11"/>
  <c r="J51" i="11" s="1"/>
  <c r="K22" i="11"/>
  <c r="J22" i="11" s="1"/>
  <c r="K19" i="11"/>
  <c r="J19" i="11" s="1"/>
  <c r="K73" i="11"/>
  <c r="J73" i="11" s="1"/>
  <c r="K104" i="11"/>
  <c r="J104" i="11" s="1"/>
  <c r="K37" i="11"/>
  <c r="J37" i="11" s="1"/>
  <c r="K50" i="11"/>
  <c r="J50" i="11" s="1"/>
  <c r="K146" i="11"/>
  <c r="J146" i="11" s="1"/>
  <c r="K24" i="11"/>
  <c r="J24" i="11" s="1"/>
  <c r="K86" i="11"/>
  <c r="J86" i="11" s="1"/>
  <c r="K38" i="11"/>
  <c r="J38" i="11" s="1"/>
  <c r="K68" i="11"/>
  <c r="J68" i="11" s="1"/>
  <c r="K114" i="11"/>
  <c r="J114" i="11" s="1"/>
  <c r="K118" i="11"/>
  <c r="J118" i="11" s="1"/>
  <c r="K112" i="11"/>
  <c r="J112" i="11" s="1"/>
  <c r="K92" i="11"/>
  <c r="J92" i="11" s="1"/>
  <c r="K45" i="11"/>
  <c r="J45" i="11" s="1"/>
  <c r="K57" i="11"/>
  <c r="J57" i="11" s="1"/>
  <c r="K127" i="11"/>
  <c r="J127" i="11" s="1"/>
  <c r="K110" i="11"/>
  <c r="J110" i="11" s="1"/>
  <c r="K94" i="11"/>
  <c r="J94" i="11" s="1"/>
  <c r="K91" i="11"/>
  <c r="J91" i="11" s="1"/>
  <c r="K130" i="11"/>
  <c r="J130" i="11" s="1"/>
  <c r="K49" i="11"/>
  <c r="J49" i="11" s="1"/>
  <c r="K16" i="11"/>
  <c r="J16" i="11" s="1"/>
  <c r="K97" i="11"/>
  <c r="J97" i="11" s="1"/>
  <c r="K48" i="11"/>
  <c r="J48" i="11" s="1"/>
  <c r="K77" i="11"/>
  <c r="J77" i="11" s="1"/>
  <c r="K12" i="11"/>
  <c r="J12" i="11" s="1"/>
  <c r="K122" i="11"/>
  <c r="J122" i="11" s="1"/>
  <c r="K8" i="11"/>
  <c r="J8" i="11" s="1"/>
  <c r="K117" i="11"/>
  <c r="J117" i="11" s="1"/>
  <c r="K123" i="11"/>
  <c r="J123" i="11" s="1"/>
  <c r="K34" i="11"/>
  <c r="J34" i="11" s="1"/>
  <c r="K75" i="11"/>
  <c r="K69" i="11"/>
  <c r="J69" i="11" s="1"/>
  <c r="K126" i="11"/>
  <c r="J126" i="11" s="1"/>
  <c r="K30" i="11"/>
  <c r="J30" i="11" s="1"/>
  <c r="K105" i="11"/>
  <c r="J105" i="11" s="1"/>
  <c r="K145" i="11"/>
  <c r="J145" i="11" s="1"/>
  <c r="K36" i="11"/>
  <c r="J36" i="11" s="1"/>
  <c r="K11" i="11"/>
  <c r="J11" i="11" s="1"/>
  <c r="K135" i="11"/>
  <c r="J135" i="11" s="1"/>
  <c r="K132" i="11"/>
  <c r="J132" i="11" s="1"/>
  <c r="K107" i="11"/>
  <c r="J107" i="11" s="1"/>
  <c r="K103" i="11"/>
  <c r="J103" i="11" s="1"/>
  <c r="K3" i="11"/>
  <c r="G110" i="13" a="1"/>
  <c r="G110" i="13" s="1"/>
  <c r="K25" i="11"/>
  <c r="J25" i="11" s="1"/>
  <c r="K95" i="11"/>
  <c r="J95" i="11" s="1"/>
  <c r="K134" i="11"/>
  <c r="J134" i="11" s="1"/>
  <c r="K102" i="11"/>
  <c r="J102" i="11" s="1"/>
  <c r="K46" i="11"/>
  <c r="J46" i="11" s="1"/>
  <c r="K43" i="11"/>
  <c r="J43" i="11" s="1"/>
  <c r="K129" i="11"/>
  <c r="J129" i="11" s="1"/>
  <c r="K39" i="11"/>
  <c r="J39" i="11" s="1"/>
  <c r="K96" i="11"/>
  <c r="J96" i="11" s="1"/>
  <c r="K88" i="11"/>
  <c r="J88" i="11" s="1"/>
  <c r="K28" i="11"/>
  <c r="J28" i="11" s="1"/>
  <c r="K99" i="11"/>
  <c r="J99" i="11" s="1"/>
  <c r="K138" i="11"/>
  <c r="J138" i="11" s="1"/>
  <c r="K56" i="11"/>
  <c r="J56" i="11" s="1"/>
  <c r="K63" i="11"/>
  <c r="J63" i="11" s="1"/>
  <c r="K62" i="11"/>
  <c r="J62" i="11" s="1"/>
  <c r="K142" i="11"/>
  <c r="J142" i="11" s="1"/>
  <c r="K116" i="11"/>
  <c r="J116" i="11" s="1"/>
  <c r="K101" i="11"/>
  <c r="J101" i="11" s="1"/>
  <c r="K81" i="11"/>
  <c r="J81" i="11" s="1"/>
  <c r="K125" i="11"/>
  <c r="J125" i="11" s="1"/>
  <c r="K89" i="11"/>
  <c r="J89" i="11" s="1"/>
  <c r="K9" i="11"/>
  <c r="J9" i="11" s="1"/>
  <c r="K53" i="11"/>
  <c r="J53" i="11" s="1"/>
  <c r="K60" i="11"/>
  <c r="J60" i="11" s="1"/>
  <c r="K131" i="11"/>
  <c r="J131" i="11" s="1"/>
  <c r="K128" i="11"/>
  <c r="J128" i="11" s="1"/>
  <c r="K140" i="11"/>
  <c r="J140" i="11" s="1"/>
  <c r="K83" i="11"/>
  <c r="J83" i="11" s="1"/>
  <c r="K15" i="11"/>
  <c r="J15" i="11" s="1"/>
  <c r="K93" i="11"/>
  <c r="J93" i="11" s="1"/>
  <c r="K20" i="11"/>
  <c r="J20" i="11" s="1"/>
  <c r="K59" i="11"/>
  <c r="J59" i="11" s="1"/>
  <c r="K98" i="11"/>
  <c r="J98" i="11" s="1"/>
  <c r="K26" i="11"/>
  <c r="J26" i="11" s="1"/>
  <c r="K47" i="11"/>
  <c r="J47" i="11" s="1"/>
  <c r="K100" i="11"/>
  <c r="J100" i="11" s="1"/>
  <c r="K18" i="11"/>
  <c r="J18" i="11" s="1"/>
  <c r="K71" i="11"/>
  <c r="J71" i="11" s="1"/>
  <c r="K17" i="11"/>
  <c r="J17" i="11" s="1"/>
  <c r="K148" i="11"/>
  <c r="J148" i="11" s="1"/>
  <c r="K33" i="11"/>
  <c r="J33" i="11" s="1"/>
  <c r="K67" i="11"/>
  <c r="J67" i="11" s="1"/>
  <c r="K141" i="11"/>
  <c r="J141" i="11" s="1"/>
  <c r="K120" i="11"/>
  <c r="J120" i="11" s="1"/>
  <c r="K64" i="11"/>
  <c r="J64" i="11" s="1"/>
  <c r="K121" i="11"/>
  <c r="J121" i="11" s="1"/>
  <c r="K80" i="11"/>
  <c r="J80" i="11" s="1"/>
  <c r="K7" i="11"/>
  <c r="J7" i="11" s="1"/>
  <c r="K76" i="11"/>
  <c r="J76" i="11" s="1"/>
  <c r="K42" i="11"/>
  <c r="J42" i="11" s="1"/>
  <c r="K136" i="11"/>
  <c r="J136" i="11" s="1"/>
  <c r="K109" i="11"/>
  <c r="J109" i="11" s="1"/>
  <c r="K82" i="11"/>
  <c r="J82" i="11" s="1"/>
  <c r="K31" i="11"/>
  <c r="J31" i="11" s="1"/>
  <c r="K90" i="11"/>
  <c r="J90" i="11" s="1"/>
  <c r="K147" i="11"/>
  <c r="J147" i="11" s="1"/>
  <c r="K5" i="11"/>
  <c r="J5" i="11" s="1"/>
  <c r="K40" i="11"/>
  <c r="J40" i="11" s="1"/>
  <c r="K133" i="11"/>
  <c r="J133" i="11" s="1"/>
  <c r="K72" i="11"/>
  <c r="J72" i="11" s="1"/>
  <c r="K10" i="11"/>
  <c r="J10" i="11" s="1"/>
  <c r="K84" i="11"/>
  <c r="K79" i="11"/>
  <c r="J79" i="11" s="1"/>
  <c r="K87" i="11"/>
  <c r="J87" i="11" s="1"/>
  <c r="K137" i="11"/>
  <c r="J137" i="11" s="1"/>
  <c r="K54" i="11"/>
  <c r="J75" i="11"/>
  <c r="K74" i="11"/>
  <c r="J74" i="11" s="1"/>
  <c r="K66" i="11"/>
  <c r="J66" i="11" s="1"/>
  <c r="K44" i="11"/>
  <c r="J44" i="11" s="1"/>
  <c r="K78" i="11"/>
  <c r="K35" i="11"/>
  <c r="J35" i="11" s="1"/>
  <c r="K27" i="11"/>
  <c r="J27" i="11" s="1"/>
  <c r="K111" i="11"/>
  <c r="J111" i="11" s="1"/>
  <c r="K139" i="11"/>
  <c r="J139" i="11" s="1"/>
  <c r="K32" i="11"/>
  <c r="J32" i="11" s="1"/>
  <c r="K106" i="11"/>
  <c r="J106" i="11" s="1"/>
  <c r="K143" i="11"/>
  <c r="J143" i="11" s="1"/>
  <c r="K52" i="11"/>
  <c r="J52" i="11" s="1"/>
  <c r="K23" i="11"/>
  <c r="J23" i="11" s="1"/>
  <c r="D38" i="12"/>
  <c r="F38" i="12" s="1"/>
  <c r="E36" i="12"/>
  <c r="G36" i="12" s="1"/>
  <c r="E35" i="12"/>
  <c r="G35" i="12" s="1"/>
  <c r="E37" i="12"/>
  <c r="G37" i="12" s="1"/>
  <c r="E34" i="12"/>
  <c r="G34" i="12" s="1"/>
  <c r="E33" i="12"/>
  <c r="D4" i="12"/>
  <c r="F4" i="12" s="1"/>
  <c r="A28" i="12" a="1"/>
  <c r="A28" i="12" s="1"/>
  <c r="A29" i="12" s="1" a="1"/>
  <c r="A29" i="12" s="1"/>
  <c r="A5" i="12" a="1"/>
  <c r="A5" i="12" s="1"/>
  <c r="F41" i="12"/>
  <c r="F43" i="12" s="1"/>
  <c r="D43" i="12"/>
  <c r="J2" i="20" a="1"/>
  <c r="J2" i="20" s="1"/>
  <c r="K2" i="20" a="1"/>
  <c r="K2" i="20" s="1"/>
  <c r="A111" i="13" a="1"/>
  <c r="A111" i="13" s="1"/>
  <c r="G111" i="13" s="1" a="1"/>
  <c r="G111" i="13" s="1"/>
  <c r="H3" i="20" a="1"/>
  <c r="H3" i="20" s="1"/>
  <c r="D3" i="20" a="1"/>
  <c r="D3" i="20" s="1"/>
  <c r="F3" i="20" a="1"/>
  <c r="F3" i="20" s="1"/>
  <c r="B3" i="20" a="1"/>
  <c r="B3" i="20" s="1"/>
  <c r="G3" i="20" a="1"/>
  <c r="G3" i="20" s="1"/>
  <c r="A3" i="20" a="1"/>
  <c r="A3" i="20" s="1"/>
  <c r="C3" i="20" a="1"/>
  <c r="C3" i="20" s="1"/>
  <c r="E4" i="20" a="1"/>
  <c r="E4" i="20" s="1"/>
  <c r="K3" i="20" a="1"/>
  <c r="K3" i="20" s="1"/>
  <c r="J3" i="20" a="1"/>
  <c r="J3" i="20" s="1"/>
  <c r="D3" i="12"/>
  <c r="F3" i="12" s="1"/>
  <c r="B4" i="12"/>
  <c r="C4" i="12"/>
  <c r="B3" i="12"/>
  <c r="C3" i="12"/>
  <c r="E41" i="12"/>
  <c r="E42" i="12"/>
  <c r="G42" i="12" s="1"/>
  <c r="E3" i="12"/>
  <c r="G3" i="12" s="1"/>
  <c r="E4" i="12"/>
  <c r="G4" i="12" s="1"/>
  <c r="E2" i="12"/>
  <c r="G2" i="12" s="1"/>
  <c r="H149" i="11"/>
  <c r="J3" i="11" l="1"/>
  <c r="M3" i="11"/>
  <c r="A112" i="13" a="1"/>
  <c r="A112" i="13" s="1"/>
  <c r="B112" i="13" s="1" a="1"/>
  <c r="B112" i="13" s="1"/>
  <c r="F111" i="13" a="1"/>
  <c r="F111" i="13" s="1"/>
  <c r="M60" i="11"/>
  <c r="M133" i="11"/>
  <c r="M19" i="11"/>
  <c r="M148" i="11"/>
  <c r="M105" i="11"/>
  <c r="M27" i="11"/>
  <c r="M104" i="11"/>
  <c r="M35" i="11"/>
  <c r="L34" i="12"/>
  <c r="M95" i="11"/>
  <c r="M57" i="11"/>
  <c r="M92" i="11"/>
  <c r="M33" i="11"/>
  <c r="M42" i="11"/>
  <c r="M119" i="11"/>
  <c r="M36" i="11"/>
  <c r="M54" i="11"/>
  <c r="M84" i="11"/>
  <c r="L37" i="12"/>
  <c r="J78" i="11"/>
  <c r="M125" i="11"/>
  <c r="M142" i="11"/>
  <c r="L36" i="12"/>
  <c r="M38" i="11"/>
  <c r="M71" i="11"/>
  <c r="M79" i="11"/>
  <c r="M5" i="11"/>
  <c r="M87" i="11"/>
  <c r="M61" i="11"/>
  <c r="M124" i="11"/>
  <c r="M103" i="11"/>
  <c r="M90" i="11"/>
  <c r="M89" i="11"/>
  <c r="M108" i="11"/>
  <c r="J84" i="11"/>
  <c r="M34" i="11"/>
  <c r="M72" i="11"/>
  <c r="M31" i="11"/>
  <c r="M7" i="11"/>
  <c r="M143" i="11"/>
  <c r="M43" i="11"/>
  <c r="M73" i="11"/>
  <c r="M76" i="11"/>
  <c r="M17" i="11"/>
  <c r="M49" i="11"/>
  <c r="M130" i="11"/>
  <c r="M107" i="11"/>
  <c r="M75" i="11"/>
  <c r="M112" i="11"/>
  <c r="M22" i="11"/>
  <c r="M65" i="11"/>
  <c r="L35" i="12"/>
  <c r="J54" i="11"/>
  <c r="M11" i="11"/>
  <c r="M74" i="11"/>
  <c r="M114" i="11"/>
  <c r="M106" i="11"/>
  <c r="M132" i="11"/>
  <c r="M58" i="11"/>
  <c r="M69" i="11"/>
  <c r="M147" i="11"/>
  <c r="M127" i="11"/>
  <c r="M91" i="11"/>
  <c r="M145" i="11"/>
  <c r="M144" i="11"/>
  <c r="M9" i="11"/>
  <c r="M126" i="11"/>
  <c r="M23" i="11"/>
  <c r="M63" i="11"/>
  <c r="M67" i="11"/>
  <c r="M14" i="11"/>
  <c r="M48" i="11"/>
  <c r="J4" i="11"/>
  <c r="M137" i="11"/>
  <c r="M94" i="11"/>
  <c r="M39" i="11"/>
  <c r="M88" i="11"/>
  <c r="M110" i="11"/>
  <c r="M32" i="11"/>
  <c r="M85" i="11"/>
  <c r="M113" i="11"/>
  <c r="M81" i="11"/>
  <c r="M59" i="11"/>
  <c r="M80" i="11"/>
  <c r="M20" i="11"/>
  <c r="M97" i="11"/>
  <c r="M102" i="11"/>
  <c r="M135" i="11"/>
  <c r="M56" i="11"/>
  <c r="M131" i="11"/>
  <c r="M15" i="11"/>
  <c r="M128" i="11"/>
  <c r="M21" i="11"/>
  <c r="M70" i="11"/>
  <c r="L41" i="12"/>
  <c r="M101" i="11"/>
  <c r="M96" i="11"/>
  <c r="M136" i="11"/>
  <c r="M118" i="11"/>
  <c r="M86" i="11"/>
  <c r="M82" i="11"/>
  <c r="M40" i="11"/>
  <c r="M141" i="11"/>
  <c r="M8" i="11"/>
  <c r="M12" i="11"/>
  <c r="M122" i="11"/>
  <c r="G33" i="12"/>
  <c r="E38" i="12"/>
  <c r="G38" i="12" s="1"/>
  <c r="L30" i="12"/>
  <c r="M62" i="11"/>
  <c r="M50" i="11"/>
  <c r="M18" i="11"/>
  <c r="M121" i="11"/>
  <c r="M100" i="11"/>
  <c r="M26" i="11"/>
  <c r="M55" i="11"/>
  <c r="M123" i="11"/>
  <c r="M64" i="11"/>
  <c r="M51" i="11"/>
  <c r="M138" i="11"/>
  <c r="M52" i="11"/>
  <c r="M30" i="11"/>
  <c r="M134" i="11"/>
  <c r="M129" i="11"/>
  <c r="M83" i="11"/>
  <c r="M16" i="11"/>
  <c r="M41" i="11"/>
  <c r="M93" i="11"/>
  <c r="L38" i="12"/>
  <c r="L21" i="12"/>
  <c r="M24" i="11"/>
  <c r="M98" i="11"/>
  <c r="M10" i="11"/>
  <c r="M66" i="11"/>
  <c r="M28" i="11"/>
  <c r="M120" i="11"/>
  <c r="M109" i="11"/>
  <c r="M13" i="11"/>
  <c r="M139" i="11"/>
  <c r="M78" i="11"/>
  <c r="M4" i="11"/>
  <c r="L33" i="12"/>
  <c r="M25" i="11"/>
  <c r="M68" i="11"/>
  <c r="M140" i="11"/>
  <c r="M29" i="11"/>
  <c r="M115" i="11"/>
  <c r="M53" i="11"/>
  <c r="M2" i="11"/>
  <c r="M99" i="11"/>
  <c r="M46" i="11"/>
  <c r="M45" i="11"/>
  <c r="M116" i="11"/>
  <c r="M146" i="11"/>
  <c r="M47" i="11"/>
  <c r="M44" i="11"/>
  <c r="M77" i="11"/>
  <c r="M111" i="11"/>
  <c r="M37" i="11"/>
  <c r="M117" i="11"/>
  <c r="A6" i="12" a="1"/>
  <c r="A6" i="12" s="1"/>
  <c r="A7" i="12" s="1" a="1"/>
  <c r="A7" i="12" s="1"/>
  <c r="G41" i="12"/>
  <c r="G43" i="12" s="1"/>
  <c r="E43" i="12"/>
  <c r="E5" i="12"/>
  <c r="G5" i="12" s="1"/>
  <c r="B111" i="13" a="1"/>
  <c r="B111" i="13" s="1"/>
  <c r="H4" i="20" a="1"/>
  <c r="H4" i="20" s="1"/>
  <c r="C4" i="20" a="1"/>
  <c r="C4" i="20" s="1"/>
  <c r="F4" i="20" a="1"/>
  <c r="F4" i="20" s="1"/>
  <c r="G4" i="20" a="1"/>
  <c r="G4" i="20" s="1"/>
  <c r="A4" i="20" a="1"/>
  <c r="A4" i="20" s="1"/>
  <c r="B4" i="20" a="1"/>
  <c r="B4" i="20" s="1"/>
  <c r="D4" i="20" a="1"/>
  <c r="D4" i="20" s="1"/>
  <c r="I4" i="20" a="1"/>
  <c r="I4" i="20" s="1"/>
  <c r="K4" i="20" a="1"/>
  <c r="K4" i="20" s="1"/>
  <c r="J4" i="20" a="1"/>
  <c r="J4" i="20" s="1"/>
  <c r="M2" i="20" a="1"/>
  <c r="M2" i="20" s="1"/>
  <c r="E5" i="20" a="1"/>
  <c r="E5" i="20" s="1"/>
  <c r="M4" i="20" a="1"/>
  <c r="M4" i="20" s="1"/>
  <c r="M3" i="20" a="1"/>
  <c r="M3" i="20" s="1"/>
  <c r="B5" i="12"/>
  <c r="C5" i="12"/>
  <c r="D5" i="12"/>
  <c r="F5" i="12" s="1"/>
  <c r="L4" i="12"/>
  <c r="L5" i="12"/>
  <c r="L2" i="12"/>
  <c r="L3" i="12"/>
  <c r="L42" i="12"/>
  <c r="K149" i="11"/>
  <c r="A113" i="13" l="1" a="1"/>
  <c r="A113" i="13" s="1"/>
  <c r="A114" i="13" s="1" a="1"/>
  <c r="A114" i="13" s="1"/>
  <c r="F112" i="13" a="1"/>
  <c r="F112" i="13" s="1"/>
  <c r="G112" i="13" a="1"/>
  <c r="G112" i="13" s="1"/>
  <c r="I37" i="12"/>
  <c r="J37" i="12"/>
  <c r="H37" i="12"/>
  <c r="K37" i="12"/>
  <c r="H34" i="12"/>
  <c r="I34" i="12"/>
  <c r="J34" i="12"/>
  <c r="K34" i="12"/>
  <c r="I36" i="12"/>
  <c r="J36" i="12"/>
  <c r="H36" i="12"/>
  <c r="K36" i="12"/>
  <c r="H33" i="12"/>
  <c r="J33" i="12"/>
  <c r="K33" i="12"/>
  <c r="K38" i="12" s="1"/>
  <c r="I33" i="12"/>
  <c r="L43" i="12"/>
  <c r="A8" i="12" a="1"/>
  <c r="A8" i="12" s="1"/>
  <c r="A9" i="12" s="1" a="1"/>
  <c r="A9" i="12" s="1"/>
  <c r="A10" i="12" s="1" a="1"/>
  <c r="A10" i="12" s="1"/>
  <c r="A11" i="12" s="1" a="1"/>
  <c r="A11" i="12" s="1"/>
  <c r="A12" i="12" s="1" a="1"/>
  <c r="A12" i="12" s="1"/>
  <c r="E6" i="20" a="1"/>
  <c r="E6" i="20" s="1"/>
  <c r="L6" i="20" s="1" a="1"/>
  <c r="L6" i="20" s="1"/>
  <c r="H5" i="20" a="1"/>
  <c r="H5" i="20" s="1"/>
  <c r="D5" i="20" a="1"/>
  <c r="D5" i="20" s="1"/>
  <c r="C5" i="20" a="1"/>
  <c r="C5" i="20" s="1"/>
  <c r="A5" i="20" a="1"/>
  <c r="A5" i="20" s="1"/>
  <c r="B5" i="20" a="1"/>
  <c r="B5" i="20" s="1"/>
  <c r="F5" i="20" a="1"/>
  <c r="F5" i="20" s="1"/>
  <c r="G5" i="20" a="1"/>
  <c r="G5" i="20" s="1"/>
  <c r="I5" i="20" a="1"/>
  <c r="I5" i="20" s="1"/>
  <c r="J5" i="20" a="1"/>
  <c r="J5" i="20" s="1"/>
  <c r="K5" i="20" a="1"/>
  <c r="K5" i="20" s="1"/>
  <c r="M5" i="20" a="1"/>
  <c r="M5" i="20" s="1"/>
  <c r="L5" i="20" a="1"/>
  <c r="L5" i="20" s="1"/>
  <c r="H112" i="13" a="1"/>
  <c r="H112" i="13" s="1"/>
  <c r="L4" i="20" a="1"/>
  <c r="L4" i="20" s="1"/>
  <c r="H111" i="13" a="1"/>
  <c r="H111" i="13" s="1"/>
  <c r="B6" i="12"/>
  <c r="C6" i="12"/>
  <c r="D6" i="12"/>
  <c r="F6" i="12" s="1"/>
  <c r="E6" i="12"/>
  <c r="G6" i="12" s="1"/>
  <c r="L6" i="12"/>
  <c r="K5" i="12"/>
  <c r="J5" i="12"/>
  <c r="I5" i="12"/>
  <c r="H5" i="12"/>
  <c r="H3" i="12"/>
  <c r="H4" i="12"/>
  <c r="H6" i="12"/>
  <c r="I3" i="12"/>
  <c r="I4" i="12"/>
  <c r="I6" i="12"/>
  <c r="K6" i="12"/>
  <c r="J6" i="12"/>
  <c r="K3" i="12"/>
  <c r="J3" i="12"/>
  <c r="K4" i="12"/>
  <c r="J4" i="12"/>
  <c r="A82" i="13"/>
  <c r="A90" i="13"/>
  <c r="A73" i="13"/>
  <c r="A85" i="13"/>
  <c r="A93" i="13"/>
  <c r="A76" i="13"/>
  <c r="A96" i="13"/>
  <c r="A99" i="13"/>
  <c r="A79" i="13"/>
  <c r="A102" i="13"/>
  <c r="H114" i="13" l="1" a="1"/>
  <c r="H114" i="13" s="1"/>
  <c r="A115" i="13" a="1"/>
  <c r="A115" i="13" s="1"/>
  <c r="F115" i="13" s="1" a="1"/>
  <c r="F115" i="13" s="1"/>
  <c r="G113" i="13" a="1"/>
  <c r="G113" i="13" s="1"/>
  <c r="F113" i="13" a="1"/>
  <c r="F113" i="13" s="1"/>
  <c r="H113" i="13" a="1"/>
  <c r="H113" i="13" s="1"/>
  <c r="B113" i="13" a="1"/>
  <c r="B113" i="13" s="1"/>
  <c r="B114" i="13" a="1"/>
  <c r="B114" i="13" s="1"/>
  <c r="F114" i="13" a="1"/>
  <c r="F114" i="13" s="1"/>
  <c r="G114" i="13" a="1"/>
  <c r="G114" i="13" s="1"/>
  <c r="A13" i="12" a="1"/>
  <c r="A13" i="12" s="1"/>
  <c r="A14" i="12" s="1" a="1"/>
  <c r="A14" i="12" s="1"/>
  <c r="A15" i="12" s="1" a="1"/>
  <c r="A15" i="12" s="1"/>
  <c r="A16" i="12" s="1" a="1"/>
  <c r="A16" i="12" s="1"/>
  <c r="A17" i="12" s="1" a="1"/>
  <c r="A17" i="12" s="1"/>
  <c r="A18" i="12" s="1" a="1"/>
  <c r="A18" i="12" s="1"/>
  <c r="A19" i="12" s="1" a="1"/>
  <c r="A19" i="12" s="1"/>
  <c r="A20" i="12" s="1" a="1"/>
  <c r="A20" i="12" s="1"/>
  <c r="E7" i="20" a="1"/>
  <c r="E7" i="20" s="1"/>
  <c r="E8" i="20" s="1" a="1"/>
  <c r="E8" i="20" s="1"/>
  <c r="H6" i="20" a="1"/>
  <c r="H6" i="20" s="1"/>
  <c r="F6" i="20" a="1"/>
  <c r="F6" i="20" s="1"/>
  <c r="C6" i="20" a="1"/>
  <c r="C6" i="20" s="1"/>
  <c r="G6" i="20" a="1"/>
  <c r="G6" i="20" s="1"/>
  <c r="B6" i="20" a="1"/>
  <c r="B6" i="20" s="1"/>
  <c r="D6" i="20" a="1"/>
  <c r="D6" i="20" s="1"/>
  <c r="A6" i="20" a="1"/>
  <c r="A6" i="20" s="1"/>
  <c r="I6" i="20" a="1"/>
  <c r="I6" i="20" s="1"/>
  <c r="J6" i="20" a="1"/>
  <c r="J6" i="20" s="1"/>
  <c r="K6" i="20" a="1"/>
  <c r="K6" i="20" s="1"/>
  <c r="M6" i="20" a="1"/>
  <c r="M6" i="20" s="1"/>
  <c r="K7" i="12"/>
  <c r="J7" i="12"/>
  <c r="I7" i="12"/>
  <c r="H7" i="12"/>
  <c r="B8" i="12"/>
  <c r="C8" i="12"/>
  <c r="D8" i="12"/>
  <c r="F8" i="12" s="1"/>
  <c r="E8" i="12"/>
  <c r="G8" i="12" s="1"/>
  <c r="L8" i="12"/>
  <c r="H8" i="12"/>
  <c r="I8" i="12"/>
  <c r="J8" i="12"/>
  <c r="K8" i="12"/>
  <c r="B7" i="12"/>
  <c r="C7" i="12"/>
  <c r="D7" i="12"/>
  <c r="F7" i="12" s="1"/>
  <c r="E7" i="12"/>
  <c r="G7" i="12" s="1"/>
  <c r="L7" i="12"/>
  <c r="A116" i="13" l="1" a="1"/>
  <c r="A116" i="13" s="1"/>
  <c r="F116" i="13" s="1" a="1"/>
  <c r="F116" i="13" s="1"/>
  <c r="G115" i="13" a="1"/>
  <c r="G115" i="13" s="1"/>
  <c r="H115" i="13" a="1"/>
  <c r="H115" i="13" s="1"/>
  <c r="B115" i="13" a="1"/>
  <c r="B115" i="13" s="1"/>
  <c r="E9" i="20" a="1"/>
  <c r="E9" i="20" s="1"/>
  <c r="E10" i="20" s="1" a="1"/>
  <c r="E10" i="20" s="1"/>
  <c r="G8" i="20" a="1"/>
  <c r="G8" i="20" s="1"/>
  <c r="A8" i="20" a="1"/>
  <c r="A8" i="20" s="1"/>
  <c r="C8" i="20" a="1"/>
  <c r="C8" i="20" s="1"/>
  <c r="F8" i="20" a="1"/>
  <c r="F8" i="20" s="1"/>
  <c r="B8" i="20" a="1"/>
  <c r="B8" i="20" s="1"/>
  <c r="D8" i="20" a="1"/>
  <c r="D8" i="20" s="1"/>
  <c r="H8" i="20" a="1"/>
  <c r="H8" i="20" s="1"/>
  <c r="I8" i="20" a="1"/>
  <c r="I8" i="20" s="1"/>
  <c r="K8" i="20" a="1"/>
  <c r="K8" i="20" s="1"/>
  <c r="J8" i="20" a="1"/>
  <c r="J8" i="20" s="1"/>
  <c r="M8" i="20" a="1"/>
  <c r="M8" i="20" s="1"/>
  <c r="L8" i="20" a="1"/>
  <c r="L8" i="20" s="1"/>
  <c r="H7" i="20" a="1"/>
  <c r="H7" i="20" s="1"/>
  <c r="A7" i="20" a="1"/>
  <c r="A7" i="20" s="1"/>
  <c r="G7" i="20" a="1"/>
  <c r="G7" i="20" s="1"/>
  <c r="B7" i="20" a="1"/>
  <c r="B7" i="20" s="1"/>
  <c r="F7" i="20" a="1"/>
  <c r="F7" i="20" s="1"/>
  <c r="C7" i="20" a="1"/>
  <c r="C7" i="20" s="1"/>
  <c r="D7" i="20" a="1"/>
  <c r="D7" i="20" s="1"/>
  <c r="I7" i="20" a="1"/>
  <c r="I7" i="20" s="1"/>
  <c r="K7" i="20" a="1"/>
  <c r="K7" i="20" s="1"/>
  <c r="J7" i="20" a="1"/>
  <c r="J7" i="20" s="1"/>
  <c r="M7" i="20" a="1"/>
  <c r="M7" i="20" s="1"/>
  <c r="L7" i="20" a="1"/>
  <c r="L7" i="20" s="1"/>
  <c r="B9" i="12"/>
  <c r="C9" i="12"/>
  <c r="D9" i="12"/>
  <c r="F9" i="12" s="1"/>
  <c r="E9" i="12"/>
  <c r="G9" i="12" s="1"/>
  <c r="L9" i="12"/>
  <c r="I9" i="12"/>
  <c r="H9" i="12"/>
  <c r="K9" i="12"/>
  <c r="J9" i="12"/>
  <c r="H116" i="13" l="1" a="1"/>
  <c r="H116" i="13" s="1"/>
  <c r="A117" i="13" a="1"/>
  <c r="A117" i="13" s="1"/>
  <c r="B117" i="13" s="1" a="1"/>
  <c r="B117" i="13" s="1"/>
  <c r="G116" i="13" a="1"/>
  <c r="G116" i="13" s="1"/>
  <c r="B116" i="13" a="1"/>
  <c r="B116" i="13" s="1"/>
  <c r="H9" i="20" a="1"/>
  <c r="H9" i="20" s="1"/>
  <c r="A9" i="20" a="1"/>
  <c r="A9" i="20" s="1"/>
  <c r="C9" i="20" a="1"/>
  <c r="C9" i="20" s="1"/>
  <c r="F9" i="20" a="1"/>
  <c r="F9" i="20" s="1"/>
  <c r="B9" i="20" a="1"/>
  <c r="B9" i="20" s="1"/>
  <c r="G9" i="20" a="1"/>
  <c r="G9" i="20" s="1"/>
  <c r="D9" i="20" a="1"/>
  <c r="D9" i="20" s="1"/>
  <c r="I9" i="20" a="1"/>
  <c r="I9" i="20" s="1"/>
  <c r="J9" i="20" a="1"/>
  <c r="J9" i="20" s="1"/>
  <c r="K9" i="20" a="1"/>
  <c r="K9" i="20" s="1"/>
  <c r="M9" i="20" a="1"/>
  <c r="M9" i="20" s="1"/>
  <c r="L9" i="20" a="1"/>
  <c r="L9" i="20" s="1"/>
  <c r="E11" i="20" a="1"/>
  <c r="E11" i="20" s="1"/>
  <c r="H10" i="20" a="1"/>
  <c r="H10" i="20" s="1"/>
  <c r="G10" i="20" a="1"/>
  <c r="G10" i="20" s="1"/>
  <c r="A10" i="20" a="1"/>
  <c r="A10" i="20" s="1"/>
  <c r="F10" i="20" a="1"/>
  <c r="F10" i="20" s="1"/>
  <c r="C10" i="20" a="1"/>
  <c r="C10" i="20" s="1"/>
  <c r="D10" i="20" a="1"/>
  <c r="D10" i="20" s="1"/>
  <c r="B10" i="20" a="1"/>
  <c r="B10" i="20" s="1"/>
  <c r="I10" i="20" a="1"/>
  <c r="I10" i="20" s="1"/>
  <c r="K10" i="20" a="1"/>
  <c r="K10" i="20" s="1"/>
  <c r="J10" i="20" a="1"/>
  <c r="J10" i="20" s="1"/>
  <c r="M10" i="20" a="1"/>
  <c r="M10" i="20" s="1"/>
  <c r="L10" i="20" a="1"/>
  <c r="L10" i="20" s="1"/>
  <c r="B10" i="12"/>
  <c r="C10" i="12"/>
  <c r="D10" i="12"/>
  <c r="F10" i="12" s="1"/>
  <c r="E10" i="12"/>
  <c r="G10" i="12" s="1"/>
  <c r="L10" i="12"/>
  <c r="H10" i="12"/>
  <c r="K10" i="12"/>
  <c r="J10" i="12"/>
  <c r="I10" i="12"/>
  <c r="G117" i="13" l="1" a="1"/>
  <c r="G117" i="13" s="1"/>
  <c r="F117" i="13" a="1"/>
  <c r="F117" i="13" s="1"/>
  <c r="A118" i="13" a="1"/>
  <c r="A118" i="13" s="1"/>
  <c r="A119" i="13" s="1" a="1"/>
  <c r="A119" i="13" s="1"/>
  <c r="H119" i="13" s="1" a="1"/>
  <c r="H119" i="13" s="1"/>
  <c r="H117" i="13" a="1"/>
  <c r="H117" i="13" s="1"/>
  <c r="H11" i="20" a="1"/>
  <c r="H11" i="20" s="1"/>
  <c r="A11" i="20" a="1"/>
  <c r="A11" i="20" s="1"/>
  <c r="G11" i="20" a="1"/>
  <c r="G11" i="20" s="1"/>
  <c r="B11" i="20" a="1"/>
  <c r="B11" i="20" s="1"/>
  <c r="F11" i="20" a="1"/>
  <c r="F11" i="20" s="1"/>
  <c r="C11" i="20" a="1"/>
  <c r="C11" i="20" s="1"/>
  <c r="D11" i="20" a="1"/>
  <c r="D11" i="20" s="1"/>
  <c r="I11" i="20" a="1"/>
  <c r="I11" i="20" s="1"/>
  <c r="K11" i="20" a="1"/>
  <c r="K11" i="20" s="1"/>
  <c r="J11" i="20" a="1"/>
  <c r="J11" i="20" s="1"/>
  <c r="M11" i="20" a="1"/>
  <c r="M11" i="20" s="1"/>
  <c r="L11" i="20" a="1"/>
  <c r="L11" i="20" s="1"/>
  <c r="E12" i="20" a="1"/>
  <c r="E12" i="20" s="1"/>
  <c r="B11" i="12"/>
  <c r="C11" i="12"/>
  <c r="D11" i="12"/>
  <c r="F11" i="12" s="1"/>
  <c r="E11" i="12"/>
  <c r="G11" i="12" s="1"/>
  <c r="L11" i="12"/>
  <c r="K11" i="12"/>
  <c r="H11" i="12"/>
  <c r="I11" i="12"/>
  <c r="J11" i="12"/>
  <c r="G119" i="13" l="1" a="1"/>
  <c r="G119" i="13" s="1"/>
  <c r="B119" i="13" a="1"/>
  <c r="B119" i="13" s="1"/>
  <c r="G118" i="13" a="1"/>
  <c r="G118" i="13" s="1"/>
  <c r="F119" i="13" a="1"/>
  <c r="F119" i="13" s="1"/>
  <c r="A120" i="13" a="1"/>
  <c r="A120" i="13" s="1"/>
  <c r="G120" i="13" s="1" a="1"/>
  <c r="G120" i="13" s="1"/>
  <c r="B118" i="13" a="1"/>
  <c r="B118" i="13" s="1"/>
  <c r="F118" i="13" a="1"/>
  <c r="F118" i="13" s="1"/>
  <c r="H118" i="13" a="1"/>
  <c r="H118" i="13" s="1"/>
  <c r="E13" i="20" a="1"/>
  <c r="E13" i="20" s="1"/>
  <c r="H12" i="20" a="1"/>
  <c r="H12" i="20" s="1"/>
  <c r="B12" i="20" a="1"/>
  <c r="B12" i="20" s="1"/>
  <c r="G12" i="20" a="1"/>
  <c r="G12" i="20" s="1"/>
  <c r="C12" i="20" a="1"/>
  <c r="C12" i="20" s="1"/>
  <c r="F12" i="20" a="1"/>
  <c r="F12" i="20" s="1"/>
  <c r="A12" i="20" a="1"/>
  <c r="A12" i="20" s="1"/>
  <c r="D12" i="20" a="1"/>
  <c r="D12" i="20" s="1"/>
  <c r="I12" i="20" a="1"/>
  <c r="I12" i="20" s="1"/>
  <c r="J12" i="20" a="1"/>
  <c r="J12" i="20" s="1"/>
  <c r="K12" i="20" a="1"/>
  <c r="K12" i="20" s="1"/>
  <c r="M12" i="20" a="1"/>
  <c r="M12" i="20" s="1"/>
  <c r="L12" i="20" a="1"/>
  <c r="L12" i="20" s="1"/>
  <c r="B12" i="12"/>
  <c r="C12" i="12"/>
  <c r="D12" i="12"/>
  <c r="F12" i="12" s="1"/>
  <c r="E12" i="12"/>
  <c r="G12" i="12" s="1"/>
  <c r="L12" i="12"/>
  <c r="J12" i="12"/>
  <c r="K12" i="12"/>
  <c r="H12" i="12"/>
  <c r="I12" i="12"/>
  <c r="B120" i="13" l="1" a="1"/>
  <c r="B120" i="13" s="1"/>
  <c r="F120" i="13" a="1"/>
  <c r="F120" i="13" s="1"/>
  <c r="H120" i="13" a="1"/>
  <c r="H120" i="13" s="1"/>
  <c r="A121" i="13" a="1"/>
  <c r="A121" i="13" s="1"/>
  <c r="B121" i="13" s="1" a="1"/>
  <c r="B121" i="13" s="1"/>
  <c r="K35" i="12"/>
  <c r="J35" i="12"/>
  <c r="J38" i="12" s="1"/>
  <c r="I35" i="12"/>
  <c r="I38" i="12" s="1"/>
  <c r="H35" i="12"/>
  <c r="H38" i="12" s="1"/>
  <c r="H2" i="12"/>
  <c r="H109" i="13" a="1"/>
  <c r="H109" i="13" s="1"/>
  <c r="L2" i="20" a="1"/>
  <c r="L2" i="20" s="1"/>
  <c r="H13" i="20" a="1"/>
  <c r="H13" i="20" s="1"/>
  <c r="A13" i="20" a="1"/>
  <c r="A13" i="20" s="1"/>
  <c r="C13" i="20" a="1"/>
  <c r="C13" i="20" s="1"/>
  <c r="F13" i="20" a="1"/>
  <c r="F13" i="20" s="1"/>
  <c r="B13" i="20" a="1"/>
  <c r="B13" i="20" s="1"/>
  <c r="G13" i="20" a="1"/>
  <c r="G13" i="20" s="1"/>
  <c r="D13" i="20" a="1"/>
  <c r="D13" i="20" s="1"/>
  <c r="I13" i="20" a="1"/>
  <c r="I13" i="20" s="1"/>
  <c r="K13" i="20" a="1"/>
  <c r="K13" i="20" s="1"/>
  <c r="J13" i="20" a="1"/>
  <c r="J13" i="20" s="1"/>
  <c r="M13" i="20" a="1"/>
  <c r="M13" i="20" s="1"/>
  <c r="L13" i="20" a="1"/>
  <c r="L13" i="20" s="1"/>
  <c r="E14" i="20" a="1"/>
  <c r="E14" i="20" s="1"/>
  <c r="H110" i="13" a="1"/>
  <c r="H110" i="13" s="1"/>
  <c r="L3" i="20" a="1"/>
  <c r="L3" i="20" s="1"/>
  <c r="B13" i="12"/>
  <c r="C13" i="12"/>
  <c r="D13" i="12"/>
  <c r="F13" i="12" s="1"/>
  <c r="E13" i="12"/>
  <c r="G13" i="12" s="1"/>
  <c r="L13" i="12"/>
  <c r="H13" i="12"/>
  <c r="K13" i="12"/>
  <c r="I13" i="12"/>
  <c r="J13" i="12"/>
  <c r="I2" i="12"/>
  <c r="K2" i="12"/>
  <c r="K21" i="12" s="1"/>
  <c r="J2" i="12"/>
  <c r="H41" i="12"/>
  <c r="K41" i="12"/>
  <c r="K42" i="12"/>
  <c r="H42" i="12"/>
  <c r="J42" i="12"/>
  <c r="J41" i="12"/>
  <c r="I42" i="12"/>
  <c r="I41" i="12"/>
  <c r="J149" i="11"/>
  <c r="H121" i="13" l="1" a="1"/>
  <c r="H121" i="13" s="1"/>
  <c r="G121" i="13" a="1"/>
  <c r="G121" i="13" s="1"/>
  <c r="A122" i="13" a="1"/>
  <c r="A122" i="13" s="1"/>
  <c r="F122" i="13" s="1" a="1"/>
  <c r="F122" i="13" s="1"/>
  <c r="F121" i="13" a="1"/>
  <c r="F121" i="13" s="1"/>
  <c r="H43" i="12"/>
  <c r="J43" i="12"/>
  <c r="I43" i="12"/>
  <c r="K43" i="12"/>
  <c r="H14" i="20" a="1"/>
  <c r="H14" i="20" s="1"/>
  <c r="G14" i="20" a="1"/>
  <c r="G14" i="20" s="1"/>
  <c r="D14" i="20" a="1"/>
  <c r="D14" i="20" s="1"/>
  <c r="F14" i="20" a="1"/>
  <c r="F14" i="20" s="1"/>
  <c r="C14" i="20" a="1"/>
  <c r="C14" i="20" s="1"/>
  <c r="B14" i="20" a="1"/>
  <c r="B14" i="20" s="1"/>
  <c r="A14" i="20" a="1"/>
  <c r="A14" i="20" s="1"/>
  <c r="I14" i="20" a="1"/>
  <c r="I14" i="20" s="1"/>
  <c r="J14" i="20" a="1"/>
  <c r="J14" i="20" s="1"/>
  <c r="K14" i="20" a="1"/>
  <c r="K14" i="20" s="1"/>
  <c r="M14" i="20" a="1"/>
  <c r="M14" i="20" s="1"/>
  <c r="L14" i="20" a="1"/>
  <c r="L14" i="20" s="1"/>
  <c r="E15" i="20" a="1"/>
  <c r="E15" i="20" s="1"/>
  <c r="B14" i="12"/>
  <c r="C14" i="12"/>
  <c r="D14" i="12"/>
  <c r="F14" i="12" s="1"/>
  <c r="E14" i="12"/>
  <c r="G14" i="12" s="1"/>
  <c r="L14" i="12"/>
  <c r="K14" i="12"/>
  <c r="I14" i="12"/>
  <c r="H14" i="12"/>
  <c r="J14" i="12"/>
  <c r="J21" i="12" s="1"/>
  <c r="A123" i="13" l="1" a="1"/>
  <c r="A123" i="13" s="1"/>
  <c r="G123" i="13" s="1" a="1"/>
  <c r="G123" i="13" s="1"/>
  <c r="B122" i="13" a="1"/>
  <c r="B122" i="13" s="1"/>
  <c r="G122" i="13" a="1"/>
  <c r="G122" i="13" s="1"/>
  <c r="H122" i="13" a="1"/>
  <c r="H122" i="13" s="1"/>
  <c r="H15" i="20" a="1"/>
  <c r="H15" i="20" s="1"/>
  <c r="A15" i="20" a="1"/>
  <c r="A15" i="20" s="1"/>
  <c r="G15" i="20" a="1"/>
  <c r="G15" i="20" s="1"/>
  <c r="C15" i="20" a="1"/>
  <c r="C15" i="20" s="1"/>
  <c r="F15" i="20" a="1"/>
  <c r="F15" i="20" s="1"/>
  <c r="B15" i="20" a="1"/>
  <c r="B15" i="20" s="1"/>
  <c r="D15" i="20" a="1"/>
  <c r="D15" i="20" s="1"/>
  <c r="I15" i="20" a="1"/>
  <c r="I15" i="20" s="1"/>
  <c r="J15" i="20" a="1"/>
  <c r="J15" i="20" s="1"/>
  <c r="K15" i="20" a="1"/>
  <c r="K15" i="20" s="1"/>
  <c r="M15" i="20" a="1"/>
  <c r="M15" i="20" s="1"/>
  <c r="L15" i="20" a="1"/>
  <c r="L15" i="20" s="1"/>
  <c r="E16" i="20" a="1"/>
  <c r="E16" i="20" s="1"/>
  <c r="B15" i="12"/>
  <c r="C15" i="12"/>
  <c r="D15" i="12"/>
  <c r="F15" i="12" s="1"/>
  <c r="E15" i="12"/>
  <c r="G15" i="12" s="1"/>
  <c r="L15" i="12"/>
  <c r="K15" i="12"/>
  <c r="H15" i="12"/>
  <c r="I15" i="12"/>
  <c r="J15" i="12"/>
  <c r="H123" i="13" l="1" a="1"/>
  <c r="H123" i="13" s="1"/>
  <c r="F123" i="13" a="1"/>
  <c r="F123" i="13" s="1"/>
  <c r="B123" i="13" a="1"/>
  <c r="B123" i="13" s="1"/>
  <c r="A124" i="13" a="1"/>
  <c r="A124" i="13" s="1"/>
  <c r="F124" i="13" s="1" a="1"/>
  <c r="F124" i="13" s="1"/>
  <c r="H16" i="20" a="1"/>
  <c r="H16" i="20" s="1"/>
  <c r="B16" i="20" a="1"/>
  <c r="B16" i="20" s="1"/>
  <c r="G16" i="20" a="1"/>
  <c r="G16" i="20" s="1"/>
  <c r="C16" i="20" a="1"/>
  <c r="C16" i="20" s="1"/>
  <c r="F16" i="20" a="1"/>
  <c r="F16" i="20" s="1"/>
  <c r="A16" i="20" a="1"/>
  <c r="A16" i="20" s="1"/>
  <c r="D16" i="20" a="1"/>
  <c r="D16" i="20" s="1"/>
  <c r="I16" i="20" a="1"/>
  <c r="I16" i="20" s="1"/>
  <c r="K16" i="20" a="1"/>
  <c r="K16" i="20" s="1"/>
  <c r="J16" i="20" a="1"/>
  <c r="J16" i="20" s="1"/>
  <c r="M16" i="20" a="1"/>
  <c r="M16" i="20" s="1"/>
  <c r="L16" i="20" a="1"/>
  <c r="L16" i="20" s="1"/>
  <c r="E17" i="20" a="1"/>
  <c r="E17" i="20" s="1"/>
  <c r="B16" i="12"/>
  <c r="C16" i="12"/>
  <c r="D16" i="12"/>
  <c r="F16" i="12" s="1"/>
  <c r="E16" i="12"/>
  <c r="G16" i="12" s="1"/>
  <c r="L16" i="12"/>
  <c r="J16" i="12"/>
  <c r="H16" i="12"/>
  <c r="I16" i="12"/>
  <c r="K16" i="12"/>
  <c r="A125" i="13" l="1" a="1"/>
  <c r="A125" i="13" s="1"/>
  <c r="F125" i="13" s="1" a="1"/>
  <c r="F125" i="13" s="1"/>
  <c r="B124" i="13" a="1"/>
  <c r="B124" i="13" s="1"/>
  <c r="G124" i="13" a="1"/>
  <c r="G124" i="13" s="1"/>
  <c r="H124" i="13" a="1"/>
  <c r="H124" i="13" s="1"/>
  <c r="H17" i="20" a="1"/>
  <c r="H17" i="20" s="1"/>
  <c r="A17" i="20" a="1"/>
  <c r="A17" i="20" s="1"/>
  <c r="C17" i="20" a="1"/>
  <c r="C17" i="20" s="1"/>
  <c r="G17" i="20" a="1"/>
  <c r="G17" i="20" s="1"/>
  <c r="B17" i="20" a="1"/>
  <c r="B17" i="20" s="1"/>
  <c r="D17" i="20" a="1"/>
  <c r="D17" i="20" s="1"/>
  <c r="F17" i="20" a="1"/>
  <c r="F17" i="20" s="1"/>
  <c r="I17" i="20" a="1"/>
  <c r="I17" i="20" s="1"/>
  <c r="K17" i="20" a="1"/>
  <c r="K17" i="20" s="1"/>
  <c r="J17" i="20" a="1"/>
  <c r="J17" i="20" s="1"/>
  <c r="M17" i="20" a="1"/>
  <c r="M17" i="20" s="1"/>
  <c r="L17" i="20" a="1"/>
  <c r="L17" i="20" s="1"/>
  <c r="E18" i="20" a="1"/>
  <c r="E18" i="20" s="1"/>
  <c r="B17" i="12"/>
  <c r="C17" i="12"/>
  <c r="D17" i="12"/>
  <c r="F17" i="12" s="1"/>
  <c r="E17" i="12"/>
  <c r="G17" i="12" s="1"/>
  <c r="L17" i="12"/>
  <c r="H17" i="12"/>
  <c r="J17" i="12"/>
  <c r="I17" i="12"/>
  <c r="K17" i="12"/>
  <c r="A126" i="13" l="1" a="1"/>
  <c r="A126" i="13" s="1"/>
  <c r="G126" i="13" s="1" a="1"/>
  <c r="G126" i="13" s="1"/>
  <c r="B125" i="13" a="1"/>
  <c r="B125" i="13" s="1"/>
  <c r="G125" i="13" a="1"/>
  <c r="G125" i="13" s="1"/>
  <c r="H125" i="13" a="1"/>
  <c r="H125" i="13" s="1"/>
  <c r="H18" i="20" a="1"/>
  <c r="H18" i="20" s="1"/>
  <c r="D18" i="20" a="1"/>
  <c r="D18" i="20" s="1"/>
  <c r="A18" i="20" a="1"/>
  <c r="A18" i="20" s="1"/>
  <c r="F18" i="20" a="1"/>
  <c r="F18" i="20" s="1"/>
  <c r="C18" i="20" a="1"/>
  <c r="C18" i="20" s="1"/>
  <c r="G18" i="20" a="1"/>
  <c r="G18" i="20" s="1"/>
  <c r="B18" i="20" a="1"/>
  <c r="B18" i="20" s="1"/>
  <c r="I18" i="20" a="1"/>
  <c r="I18" i="20" s="1"/>
  <c r="J18" i="20" a="1"/>
  <c r="J18" i="20" s="1"/>
  <c r="K18" i="20" a="1"/>
  <c r="K18" i="20" s="1"/>
  <c r="M18" i="20" a="1"/>
  <c r="M18" i="20" s="1"/>
  <c r="L18" i="20" a="1"/>
  <c r="L18" i="20" s="1"/>
  <c r="E19" i="20" a="1"/>
  <c r="E19" i="20" s="1"/>
  <c r="B18" i="12"/>
  <c r="C18" i="12"/>
  <c r="D18" i="12"/>
  <c r="F18" i="12" s="1"/>
  <c r="E18" i="12"/>
  <c r="G18" i="12" s="1"/>
  <c r="L18" i="12"/>
  <c r="K18" i="12"/>
  <c r="I18" i="12"/>
  <c r="J18" i="12"/>
  <c r="H18" i="12"/>
  <c r="H126" i="13" l="1" a="1"/>
  <c r="H126" i="13" s="1"/>
  <c r="F126" i="13" a="1"/>
  <c r="F126" i="13" s="1"/>
  <c r="A127" i="13" a="1"/>
  <c r="A127" i="13" s="1"/>
  <c r="F127" i="13" s="1" a="1"/>
  <c r="F127" i="13" s="1"/>
  <c r="B126" i="13" a="1"/>
  <c r="B126" i="13" s="1"/>
  <c r="G19" i="20" a="1"/>
  <c r="G19" i="20" s="1"/>
  <c r="C19" i="20" a="1"/>
  <c r="C19" i="20" s="1"/>
  <c r="F19" i="20" a="1"/>
  <c r="F19" i="20" s="1"/>
  <c r="H19" i="20" a="1"/>
  <c r="H19" i="20" s="1"/>
  <c r="D19" i="20" a="1"/>
  <c r="D19" i="20" s="1"/>
  <c r="B19" i="20" a="1"/>
  <c r="B19" i="20" s="1"/>
  <c r="A19" i="20" a="1"/>
  <c r="A19" i="20" s="1"/>
  <c r="I19" i="20" a="1"/>
  <c r="I19" i="20" s="1"/>
  <c r="J19" i="20" a="1"/>
  <c r="J19" i="20" s="1"/>
  <c r="K19" i="20" a="1"/>
  <c r="K19" i="20" s="1"/>
  <c r="M19" i="20" a="1"/>
  <c r="M19" i="20" s="1"/>
  <c r="L19" i="20" a="1"/>
  <c r="L19" i="20" s="1"/>
  <c r="E20" i="20" a="1"/>
  <c r="E20" i="20" s="1"/>
  <c r="B20" i="12"/>
  <c r="H20" i="12"/>
  <c r="C20" i="12"/>
  <c r="I20" i="12"/>
  <c r="D20" i="12"/>
  <c r="F20" i="12" s="1"/>
  <c r="J20" i="12"/>
  <c r="E20" i="12"/>
  <c r="G20" i="12" s="1"/>
  <c r="K20" i="12"/>
  <c r="L20" i="12"/>
  <c r="B19" i="12"/>
  <c r="C19" i="12"/>
  <c r="D19" i="12"/>
  <c r="F19" i="12" s="1"/>
  <c r="E19" i="12"/>
  <c r="G19" i="12" s="1"/>
  <c r="L19" i="12"/>
  <c r="K19" i="12"/>
  <c r="H19" i="12"/>
  <c r="J19" i="12"/>
  <c r="I19" i="12"/>
  <c r="A128" i="13" l="1" a="1"/>
  <c r="A128" i="13" s="1"/>
  <c r="G128" i="13" s="1" a="1"/>
  <c r="G128" i="13" s="1"/>
  <c r="B127" i="13" a="1"/>
  <c r="B127" i="13" s="1"/>
  <c r="G127" i="13" a="1"/>
  <c r="G127" i="13" s="1"/>
  <c r="H127" i="13" a="1"/>
  <c r="H127" i="13" s="1"/>
  <c r="I21" i="12"/>
  <c r="H21" i="12"/>
  <c r="B21" i="12"/>
  <c r="D21" i="12"/>
  <c r="F21" i="12" s="1"/>
  <c r="C21" i="12"/>
  <c r="E21" i="12"/>
  <c r="G21" i="12" s="1"/>
  <c r="H20" i="20" a="1"/>
  <c r="H20" i="20" s="1"/>
  <c r="C20" i="20" a="1"/>
  <c r="C20" i="20" s="1"/>
  <c r="G20" i="20" a="1"/>
  <c r="G20" i="20" s="1"/>
  <c r="A20" i="20" a="1"/>
  <c r="A20" i="20" s="1"/>
  <c r="F20" i="20" a="1"/>
  <c r="F20" i="20" s="1"/>
  <c r="B20" i="20" a="1"/>
  <c r="B20" i="20" s="1"/>
  <c r="D20" i="20" a="1"/>
  <c r="D20" i="20" s="1"/>
  <c r="I20" i="20" a="1"/>
  <c r="I20" i="20" s="1"/>
  <c r="J20" i="20" a="1"/>
  <c r="J20" i="20" s="1"/>
  <c r="K20" i="20" a="1"/>
  <c r="K20" i="20" s="1"/>
  <c r="M20" i="20" a="1"/>
  <c r="M20" i="20" s="1"/>
  <c r="L20" i="20" a="1"/>
  <c r="L20" i="20" s="1"/>
  <c r="E21" i="20" a="1"/>
  <c r="E21" i="20" s="1"/>
  <c r="F128" i="13" l="1" a="1"/>
  <c r="F128" i="13" s="1"/>
  <c r="B128" i="13" a="1"/>
  <c r="B128" i="13" s="1"/>
  <c r="H128" i="13" a="1"/>
  <c r="H128" i="13" s="1"/>
  <c r="A129" i="13" a="1"/>
  <c r="A129" i="13" s="1"/>
  <c r="F129" i="13" s="1" a="1"/>
  <c r="F129" i="13" s="1"/>
  <c r="H21" i="20" a="1"/>
  <c r="H21" i="20" s="1"/>
  <c r="D21" i="20" a="1"/>
  <c r="D21" i="20" s="1"/>
  <c r="C21" i="20" a="1"/>
  <c r="C21" i="20" s="1"/>
  <c r="A21" i="20" a="1"/>
  <c r="A21" i="20" s="1"/>
  <c r="B21" i="20" a="1"/>
  <c r="B21" i="20" s="1"/>
  <c r="F21" i="20" a="1"/>
  <c r="F21" i="20" s="1"/>
  <c r="G21" i="20" a="1"/>
  <c r="G21" i="20" s="1"/>
  <c r="I21" i="20" a="1"/>
  <c r="I21" i="20" s="1"/>
  <c r="J21" i="20" a="1"/>
  <c r="J21" i="20" s="1"/>
  <c r="K21" i="20" a="1"/>
  <c r="K21" i="20" s="1"/>
  <c r="M21" i="20" a="1"/>
  <c r="M21" i="20" s="1"/>
  <c r="L21" i="20" a="1"/>
  <c r="L21" i="20" s="1"/>
  <c r="E22" i="20" a="1"/>
  <c r="E22" i="20" s="1"/>
  <c r="A130" i="13" l="1" a="1"/>
  <c r="A130" i="13" s="1"/>
  <c r="G130" i="13" s="1" a="1"/>
  <c r="G130" i="13" s="1"/>
  <c r="G129" i="13" a="1"/>
  <c r="G129" i="13" s="1"/>
  <c r="H129" i="13" a="1"/>
  <c r="H129" i="13" s="1"/>
  <c r="B129" i="13" a="1"/>
  <c r="B129" i="13" s="1"/>
  <c r="H22" i="20" a="1"/>
  <c r="H22" i="20" s="1"/>
  <c r="F22" i="20" a="1"/>
  <c r="F22" i="20" s="1"/>
  <c r="C22" i="20" a="1"/>
  <c r="C22" i="20" s="1"/>
  <c r="G22" i="20" a="1"/>
  <c r="G22" i="20" s="1"/>
  <c r="B22" i="20" a="1"/>
  <c r="B22" i="20" s="1"/>
  <c r="D22" i="20" a="1"/>
  <c r="D22" i="20" s="1"/>
  <c r="A22" i="20" a="1"/>
  <c r="A22" i="20" s="1"/>
  <c r="I22" i="20" a="1"/>
  <c r="I22" i="20" s="1"/>
  <c r="K22" i="20" a="1"/>
  <c r="K22" i="20" s="1"/>
  <c r="J22" i="20" a="1"/>
  <c r="J22" i="20" s="1"/>
  <c r="M22" i="20" a="1"/>
  <c r="M22" i="20" s="1"/>
  <c r="L22" i="20" a="1"/>
  <c r="L22" i="20" s="1"/>
  <c r="E23" i="20" a="1"/>
  <c r="E23" i="20" s="1"/>
  <c r="B130" i="13" l="1" a="1"/>
  <c r="B130" i="13" s="1"/>
  <c r="F130" i="13" a="1"/>
  <c r="F130" i="13" s="1"/>
  <c r="A131" i="13" a="1"/>
  <c r="A131" i="13" s="1"/>
  <c r="F131" i="13" s="1" a="1"/>
  <c r="F131" i="13" s="1"/>
  <c r="H130" i="13" a="1"/>
  <c r="H130" i="13" s="1"/>
  <c r="H23" i="20" a="1"/>
  <c r="H23" i="20" s="1"/>
  <c r="A23" i="20" a="1"/>
  <c r="A23" i="20" s="1"/>
  <c r="G23" i="20" a="1"/>
  <c r="G23" i="20" s="1"/>
  <c r="B23" i="20" a="1"/>
  <c r="B23" i="20" s="1"/>
  <c r="F23" i="20" a="1"/>
  <c r="F23" i="20" s="1"/>
  <c r="C23" i="20" a="1"/>
  <c r="C23" i="20" s="1"/>
  <c r="D23" i="20" a="1"/>
  <c r="D23" i="20" s="1"/>
  <c r="I23" i="20" a="1"/>
  <c r="I23" i="20" s="1"/>
  <c r="K23" i="20" a="1"/>
  <c r="K23" i="20" s="1"/>
  <c r="J23" i="20" a="1"/>
  <c r="J23" i="20" s="1"/>
  <c r="M23" i="20" a="1"/>
  <c r="M23" i="20" s="1"/>
  <c r="L23" i="20" a="1"/>
  <c r="L23" i="20" s="1"/>
  <c r="E24" i="20" a="1"/>
  <c r="E24" i="20" s="1"/>
  <c r="A132" i="13" l="1" a="1"/>
  <c r="A132" i="13" s="1"/>
  <c r="G132" i="13" s="1" a="1"/>
  <c r="G132" i="13" s="1"/>
  <c r="B131" i="13" a="1"/>
  <c r="B131" i="13" s="1"/>
  <c r="G131" i="13" a="1"/>
  <c r="G131" i="13" s="1"/>
  <c r="H131" i="13" a="1"/>
  <c r="H131" i="13" s="1"/>
  <c r="H24" i="20" a="1"/>
  <c r="H24" i="20" s="1"/>
  <c r="A24" i="20" a="1"/>
  <c r="A24" i="20" s="1"/>
  <c r="G24" i="20" a="1"/>
  <c r="G24" i="20" s="1"/>
  <c r="B24" i="20" a="1"/>
  <c r="B24" i="20" s="1"/>
  <c r="F24" i="20" a="1"/>
  <c r="F24" i="20" s="1"/>
  <c r="C24" i="20" a="1"/>
  <c r="C24" i="20" s="1"/>
  <c r="D24" i="20" a="1"/>
  <c r="D24" i="20" s="1"/>
  <c r="I24" i="20" a="1"/>
  <c r="I24" i="20" s="1"/>
  <c r="J24" i="20" a="1"/>
  <c r="J24" i="20" s="1"/>
  <c r="K24" i="20" a="1"/>
  <c r="K24" i="20" s="1"/>
  <c r="M24" i="20" a="1"/>
  <c r="M24" i="20" s="1"/>
  <c r="L24" i="20" a="1"/>
  <c r="L24" i="20" s="1"/>
  <c r="E25" i="20" a="1"/>
  <c r="E25" i="20" s="1"/>
  <c r="H132" i="13" l="1" a="1"/>
  <c r="H132" i="13" s="1"/>
  <c r="F132" i="13" a="1"/>
  <c r="F132" i="13" s="1"/>
  <c r="A133" i="13" a="1"/>
  <c r="A133" i="13" s="1"/>
  <c r="F133" i="13" s="1" a="1"/>
  <c r="F133" i="13" s="1"/>
  <c r="B132" i="13" a="1"/>
  <c r="B132" i="13" s="1"/>
  <c r="H25" i="20" a="1"/>
  <c r="H25" i="20" s="1"/>
  <c r="A25" i="20" a="1"/>
  <c r="A25" i="20" s="1"/>
  <c r="C25" i="20" a="1"/>
  <c r="C25" i="20" s="1"/>
  <c r="F25" i="20" a="1"/>
  <c r="F25" i="20" s="1"/>
  <c r="B25" i="20" a="1"/>
  <c r="B25" i="20" s="1"/>
  <c r="G25" i="20" a="1"/>
  <c r="G25" i="20" s="1"/>
  <c r="D25" i="20" a="1"/>
  <c r="D25" i="20" s="1"/>
  <c r="I25" i="20" a="1"/>
  <c r="I25" i="20" s="1"/>
  <c r="K25" i="20" a="1"/>
  <c r="K25" i="20" s="1"/>
  <c r="J25" i="20" a="1"/>
  <c r="J25" i="20" s="1"/>
  <c r="M25" i="20" a="1"/>
  <c r="M25" i="20" s="1"/>
  <c r="L25" i="20" a="1"/>
  <c r="L25" i="20" s="1"/>
  <c r="E26" i="20" a="1"/>
  <c r="E26" i="20" s="1"/>
  <c r="A134" i="13" l="1" a="1"/>
  <c r="A134" i="13" s="1"/>
  <c r="G134" i="13" s="1" a="1"/>
  <c r="G134" i="13" s="1"/>
  <c r="B133" i="13" a="1"/>
  <c r="B133" i="13" s="1"/>
  <c r="G133" i="13" a="1"/>
  <c r="G133" i="13" s="1"/>
  <c r="H133" i="13" a="1"/>
  <c r="H133" i="13" s="1"/>
  <c r="H26" i="20" a="1"/>
  <c r="H26" i="20" s="1"/>
  <c r="G26" i="20" a="1"/>
  <c r="G26" i="20" s="1"/>
  <c r="A26" i="20" a="1"/>
  <c r="A26" i="20" s="1"/>
  <c r="F26" i="20" a="1"/>
  <c r="F26" i="20" s="1"/>
  <c r="C26" i="20" a="1"/>
  <c r="C26" i="20" s="1"/>
  <c r="D26" i="20" a="1"/>
  <c r="D26" i="20" s="1"/>
  <c r="B26" i="20" a="1"/>
  <c r="B26" i="20" s="1"/>
  <c r="I26" i="20" a="1"/>
  <c r="I26" i="20" s="1"/>
  <c r="K26" i="20" a="1"/>
  <c r="K26" i="20" s="1"/>
  <c r="J26" i="20" a="1"/>
  <c r="J26" i="20" s="1"/>
  <c r="M26" i="20" a="1"/>
  <c r="M26" i="20" s="1"/>
  <c r="L26" i="20" a="1"/>
  <c r="L26" i="20" s="1"/>
  <c r="E27" i="20" a="1"/>
  <c r="E27" i="20" s="1"/>
  <c r="B134" i="13" l="1" a="1"/>
  <c r="B134" i="13" s="1"/>
  <c r="F134" i="13" a="1"/>
  <c r="F134" i="13" s="1"/>
  <c r="H134" i="13" a="1"/>
  <c r="H134" i="13" s="1"/>
  <c r="A135" i="13" a="1"/>
  <c r="A135" i="13" s="1"/>
  <c r="F135" i="13" s="1" a="1"/>
  <c r="F135" i="13" s="1"/>
  <c r="H27" i="20" a="1"/>
  <c r="H27" i="20" s="1"/>
  <c r="A27" i="20" a="1"/>
  <c r="A27" i="20" s="1"/>
  <c r="G27" i="20" a="1"/>
  <c r="G27" i="20" s="1"/>
  <c r="B27" i="20" a="1"/>
  <c r="B27" i="20" s="1"/>
  <c r="F27" i="20" a="1"/>
  <c r="F27" i="20" s="1"/>
  <c r="C27" i="20" a="1"/>
  <c r="C27" i="20" s="1"/>
  <c r="D27" i="20" a="1"/>
  <c r="D27" i="20" s="1"/>
  <c r="I27" i="20" a="1"/>
  <c r="I27" i="20" s="1"/>
  <c r="K27" i="20" a="1"/>
  <c r="K27" i="20" s="1"/>
  <c r="J27" i="20" a="1"/>
  <c r="J27" i="20" s="1"/>
  <c r="M27" i="20" a="1"/>
  <c r="M27" i="20" s="1"/>
  <c r="L27" i="20" a="1"/>
  <c r="L27" i="20" s="1"/>
  <c r="E28" i="20" a="1"/>
  <c r="E28" i="20" s="1"/>
  <c r="A136" i="13" l="1" a="1"/>
  <c r="A136" i="13" s="1"/>
  <c r="G136" i="13" s="1" a="1"/>
  <c r="G136" i="13" s="1"/>
  <c r="B135" i="13" a="1"/>
  <c r="B135" i="13" s="1"/>
  <c r="G135" i="13" a="1"/>
  <c r="G135" i="13" s="1"/>
  <c r="H135" i="13" a="1"/>
  <c r="H135" i="13" s="1"/>
  <c r="H28" i="20" a="1"/>
  <c r="H28" i="20" s="1"/>
  <c r="B28" i="20" a="1"/>
  <c r="B28" i="20" s="1"/>
  <c r="G28" i="20" a="1"/>
  <c r="G28" i="20" s="1"/>
  <c r="C28" i="20" a="1"/>
  <c r="C28" i="20" s="1"/>
  <c r="F28" i="20" a="1"/>
  <c r="F28" i="20" s="1"/>
  <c r="A28" i="20" a="1"/>
  <c r="A28" i="20" s="1"/>
  <c r="D28" i="20" a="1"/>
  <c r="D28" i="20" s="1"/>
  <c r="I28" i="20" a="1"/>
  <c r="I28" i="20" s="1"/>
  <c r="K28" i="20" a="1"/>
  <c r="K28" i="20" s="1"/>
  <c r="J28" i="20" a="1"/>
  <c r="J28" i="20" s="1"/>
  <c r="M28" i="20" a="1"/>
  <c r="M28" i="20" s="1"/>
  <c r="L28" i="20" a="1"/>
  <c r="L28" i="20" s="1"/>
  <c r="E29" i="20" a="1"/>
  <c r="E29" i="20" s="1"/>
  <c r="H136" i="13" l="1" a="1"/>
  <c r="H136" i="13" s="1"/>
  <c r="F136" i="13" a="1"/>
  <c r="F136" i="13" s="1"/>
  <c r="A137" i="13" a="1"/>
  <c r="A137" i="13" s="1"/>
  <c r="H137" i="13" s="1" a="1"/>
  <c r="H137" i="13" s="1"/>
  <c r="B136" i="13" a="1"/>
  <c r="B136" i="13" s="1"/>
  <c r="H29" i="20" a="1"/>
  <c r="H29" i="20" s="1"/>
  <c r="F29" i="20" a="1"/>
  <c r="F29" i="20" s="1"/>
  <c r="C29" i="20" a="1"/>
  <c r="C29" i="20" s="1"/>
  <c r="A29" i="20" a="1"/>
  <c r="A29" i="20" s="1"/>
  <c r="B29" i="20" a="1"/>
  <c r="B29" i="20" s="1"/>
  <c r="G29" i="20" a="1"/>
  <c r="G29" i="20" s="1"/>
  <c r="D29" i="20" a="1"/>
  <c r="D29" i="20" s="1"/>
  <c r="I29" i="20" a="1"/>
  <c r="I29" i="20" s="1"/>
  <c r="K29" i="20" a="1"/>
  <c r="K29" i="20" s="1"/>
  <c r="J29" i="20" a="1"/>
  <c r="J29" i="20" s="1"/>
  <c r="M29" i="20" a="1"/>
  <c r="M29" i="20" s="1"/>
  <c r="L29" i="20" a="1"/>
  <c r="L29" i="20" s="1"/>
  <c r="E30" i="20" a="1"/>
  <c r="E30" i="20" s="1"/>
  <c r="F137" i="13" l="1" a="1"/>
  <c r="F137" i="13" s="1"/>
  <c r="A138" i="13" a="1"/>
  <c r="A138" i="13" s="1"/>
  <c r="G138" i="13" s="1" a="1"/>
  <c r="G138" i="13" s="1"/>
  <c r="B137" i="13" a="1"/>
  <c r="B137" i="13" s="1"/>
  <c r="G137" i="13" a="1"/>
  <c r="G137" i="13" s="1"/>
  <c r="H30" i="20" a="1"/>
  <c r="H30" i="20" s="1"/>
  <c r="F30" i="20" a="1"/>
  <c r="F30" i="20" s="1"/>
  <c r="C30" i="20" a="1"/>
  <c r="C30" i="20" s="1"/>
  <c r="A30" i="20" a="1"/>
  <c r="A30" i="20" s="1"/>
  <c r="B30" i="20" a="1"/>
  <c r="B30" i="20" s="1"/>
  <c r="G30" i="20" a="1"/>
  <c r="G30" i="20" s="1"/>
  <c r="D30" i="20" a="1"/>
  <c r="D30" i="20" s="1"/>
  <c r="I30" i="20" a="1"/>
  <c r="I30" i="20" s="1"/>
  <c r="J30" i="20" a="1"/>
  <c r="J30" i="20" s="1"/>
  <c r="K30" i="20" a="1"/>
  <c r="K30" i="20" s="1"/>
  <c r="M30" i="20" a="1"/>
  <c r="M30" i="20" s="1"/>
  <c r="L30" i="20" a="1"/>
  <c r="L30" i="20" s="1"/>
  <c r="E31" i="20" a="1"/>
  <c r="E31" i="20" s="1"/>
  <c r="H138" i="13" l="1" a="1"/>
  <c r="H138" i="13" s="1"/>
  <c r="F138" i="13" a="1"/>
  <c r="F138" i="13" s="1"/>
  <c r="A139" i="13" a="1"/>
  <c r="A139" i="13" s="1"/>
  <c r="G139" i="13" s="1" a="1"/>
  <c r="G139" i="13" s="1"/>
  <c r="B138" i="13" a="1"/>
  <c r="B138" i="13" s="1"/>
  <c r="H31" i="20" a="1"/>
  <c r="H31" i="20" s="1"/>
  <c r="C31" i="20" a="1"/>
  <c r="C31" i="20" s="1"/>
  <c r="G31" i="20" a="1"/>
  <c r="G31" i="20" s="1"/>
  <c r="A31" i="20" a="1"/>
  <c r="A31" i="20" s="1"/>
  <c r="F31" i="20" a="1"/>
  <c r="F31" i="20" s="1"/>
  <c r="B31" i="20" a="1"/>
  <c r="B31" i="20" s="1"/>
  <c r="D31" i="20" a="1"/>
  <c r="D31" i="20" s="1"/>
  <c r="I31" i="20" a="1"/>
  <c r="I31" i="20" s="1"/>
  <c r="K31" i="20" a="1"/>
  <c r="K31" i="20" s="1"/>
  <c r="J31" i="20" a="1"/>
  <c r="J31" i="20" s="1"/>
  <c r="M31" i="20" a="1"/>
  <c r="M31" i="20" s="1"/>
  <c r="L31" i="20" a="1"/>
  <c r="L31" i="20" s="1"/>
  <c r="E32" i="20" a="1"/>
  <c r="E32" i="20" s="1"/>
  <c r="B139" i="13" l="1" a="1"/>
  <c r="B139" i="13" s="1"/>
  <c r="F139" i="13" a="1"/>
  <c r="F139" i="13" s="1"/>
  <c r="H139" i="13" a="1"/>
  <c r="H139" i="13" s="1"/>
  <c r="A140" i="13" a="1"/>
  <c r="A140" i="13" s="1"/>
  <c r="G140" i="13" s="1" a="1"/>
  <c r="G140" i="13" s="1"/>
  <c r="H32" i="20" a="1"/>
  <c r="H32" i="20" s="1"/>
  <c r="B32" i="20" a="1"/>
  <c r="B32" i="20" s="1"/>
  <c r="G32" i="20" a="1"/>
  <c r="G32" i="20" s="1"/>
  <c r="C32" i="20" a="1"/>
  <c r="C32" i="20" s="1"/>
  <c r="F32" i="20" a="1"/>
  <c r="F32" i="20" s="1"/>
  <c r="A32" i="20" a="1"/>
  <c r="A32" i="20" s="1"/>
  <c r="D32" i="20" a="1"/>
  <c r="D32" i="20" s="1"/>
  <c r="I32" i="20" a="1"/>
  <c r="I32" i="20" s="1"/>
  <c r="J32" i="20" a="1"/>
  <c r="J32" i="20" s="1"/>
  <c r="K32" i="20" a="1"/>
  <c r="K32" i="20" s="1"/>
  <c r="M32" i="20" a="1"/>
  <c r="M32" i="20" s="1"/>
  <c r="L32" i="20" a="1"/>
  <c r="L32" i="20" s="1"/>
  <c r="E33" i="20" a="1"/>
  <c r="E33" i="20" s="1"/>
  <c r="A141" i="13" l="1" a="1"/>
  <c r="A141" i="13" s="1"/>
  <c r="F141" i="13" s="1" a="1"/>
  <c r="F141" i="13" s="1"/>
  <c r="H140" i="13" a="1"/>
  <c r="H140" i="13" s="1"/>
  <c r="F140" i="13" a="1"/>
  <c r="F140" i="13" s="1"/>
  <c r="B140" i="13" a="1"/>
  <c r="B140" i="13" s="1"/>
  <c r="H33" i="20" a="1"/>
  <c r="H33" i="20" s="1"/>
  <c r="A33" i="20" a="1"/>
  <c r="A33" i="20" s="1"/>
  <c r="C33" i="20" a="1"/>
  <c r="C33" i="20" s="1"/>
  <c r="G33" i="20" a="1"/>
  <c r="G33" i="20" s="1"/>
  <c r="B33" i="20" a="1"/>
  <c r="B33" i="20" s="1"/>
  <c r="D33" i="20" a="1"/>
  <c r="D33" i="20" s="1"/>
  <c r="F33" i="20" a="1"/>
  <c r="F33" i="20" s="1"/>
  <c r="I33" i="20" a="1"/>
  <c r="I33" i="20" s="1"/>
  <c r="J33" i="20" a="1"/>
  <c r="J33" i="20" s="1"/>
  <c r="K33" i="20" a="1"/>
  <c r="K33" i="20" s="1"/>
  <c r="M33" i="20" a="1"/>
  <c r="M33" i="20" s="1"/>
  <c r="L33" i="20" a="1"/>
  <c r="L33" i="20" s="1"/>
  <c r="E34" i="20" a="1"/>
  <c r="E34" i="20" s="1"/>
  <c r="A142" i="13" l="1" a="1"/>
  <c r="A142" i="13" s="1"/>
  <c r="G142" i="13" s="1" a="1"/>
  <c r="G142" i="13" s="1"/>
  <c r="B141" i="13" a="1"/>
  <c r="B141" i="13" s="1"/>
  <c r="G141" i="13" a="1"/>
  <c r="G141" i="13" s="1"/>
  <c r="H141" i="13" a="1"/>
  <c r="H141" i="13" s="1"/>
  <c r="H34" i="20" a="1"/>
  <c r="H34" i="20" s="1"/>
  <c r="A34" i="20" a="1"/>
  <c r="A34" i="20" s="1"/>
  <c r="C34" i="20" a="1"/>
  <c r="C34" i="20" s="1"/>
  <c r="F34" i="20" a="1"/>
  <c r="F34" i="20" s="1"/>
  <c r="B34" i="20" a="1"/>
  <c r="B34" i="20" s="1"/>
  <c r="G34" i="20" a="1"/>
  <c r="G34" i="20" s="1"/>
  <c r="D34" i="20" a="1"/>
  <c r="D34" i="20" s="1"/>
  <c r="I34" i="20" a="1"/>
  <c r="I34" i="20" s="1"/>
  <c r="K34" i="20" a="1"/>
  <c r="K34" i="20" s="1"/>
  <c r="J34" i="20" a="1"/>
  <c r="J34" i="20" s="1"/>
  <c r="M34" i="20" a="1"/>
  <c r="M34" i="20" s="1"/>
  <c r="L34" i="20" a="1"/>
  <c r="L34" i="20" s="1"/>
  <c r="E35" i="20" a="1"/>
  <c r="E35" i="20" s="1"/>
  <c r="H142" i="13" l="1" a="1"/>
  <c r="H142" i="13" s="1"/>
  <c r="F142" i="13" a="1"/>
  <c r="F142" i="13" s="1"/>
  <c r="A143" i="13" a="1"/>
  <c r="A143" i="13" s="1"/>
  <c r="F143" i="13" s="1" a="1"/>
  <c r="F143" i="13" s="1"/>
  <c r="B142" i="13" a="1"/>
  <c r="B142" i="13" s="1"/>
  <c r="H35" i="20" a="1"/>
  <c r="H35" i="20" s="1"/>
  <c r="C35" i="20" a="1"/>
  <c r="C35" i="20" s="1"/>
  <c r="G35" i="20" a="1"/>
  <c r="G35" i="20" s="1"/>
  <c r="B35" i="20" a="1"/>
  <c r="B35" i="20" s="1"/>
  <c r="F35" i="20" a="1"/>
  <c r="F35" i="20" s="1"/>
  <c r="A35" i="20" a="1"/>
  <c r="A35" i="20" s="1"/>
  <c r="D35" i="20" a="1"/>
  <c r="D35" i="20" s="1"/>
  <c r="I35" i="20" a="1"/>
  <c r="I35" i="20" s="1"/>
  <c r="K35" i="20" a="1"/>
  <c r="K35" i="20" s="1"/>
  <c r="J35" i="20" a="1"/>
  <c r="J35" i="20" s="1"/>
  <c r="M35" i="20" a="1"/>
  <c r="M35" i="20" s="1"/>
  <c r="L35" i="20" a="1"/>
  <c r="L35" i="20" s="1"/>
  <c r="E36" i="20" a="1"/>
  <c r="E36" i="20" s="1"/>
  <c r="A144" i="13" l="1" a="1"/>
  <c r="A144" i="13" s="1"/>
  <c r="F144" i="13" s="1" a="1"/>
  <c r="F144" i="13" s="1"/>
  <c r="B143" i="13" a="1"/>
  <c r="B143" i="13" s="1"/>
  <c r="G143" i="13" a="1"/>
  <c r="G143" i="13" s="1"/>
  <c r="H143" i="13" a="1"/>
  <c r="H143" i="13" s="1"/>
  <c r="H36" i="20" a="1"/>
  <c r="H36" i="20" s="1"/>
  <c r="C36" i="20" a="1"/>
  <c r="C36" i="20" s="1"/>
  <c r="G36" i="20" a="1"/>
  <c r="G36" i="20" s="1"/>
  <c r="B36" i="20" a="1"/>
  <c r="B36" i="20" s="1"/>
  <c r="F36" i="20" a="1"/>
  <c r="F36" i="20" s="1"/>
  <c r="A36" i="20" a="1"/>
  <c r="A36" i="20" s="1"/>
  <c r="D36" i="20" a="1"/>
  <c r="D36" i="20" s="1"/>
  <c r="I36" i="20" a="1"/>
  <c r="I36" i="20" s="1"/>
  <c r="K36" i="20" a="1"/>
  <c r="K36" i="20" s="1"/>
  <c r="J36" i="20" a="1"/>
  <c r="J36" i="20" s="1"/>
  <c r="M36" i="20" a="1"/>
  <c r="M36" i="20" s="1"/>
  <c r="L36" i="20" a="1"/>
  <c r="L36" i="20" s="1"/>
  <c r="E37" i="20" a="1"/>
  <c r="E37" i="20" s="1"/>
  <c r="A145" i="13" l="1" a="1"/>
  <c r="A145" i="13" s="1"/>
  <c r="G145" i="13" s="1" a="1"/>
  <c r="G145" i="13" s="1"/>
  <c r="B144" i="13" a="1"/>
  <c r="B144" i="13" s="1"/>
  <c r="G144" i="13" a="1"/>
  <c r="G144" i="13" s="1"/>
  <c r="H144" i="13" a="1"/>
  <c r="H144" i="13" s="1"/>
  <c r="H37" i="20" a="1"/>
  <c r="H37" i="20" s="1"/>
  <c r="A37" i="20" a="1"/>
  <c r="A37" i="20" s="1"/>
  <c r="C37" i="20" a="1"/>
  <c r="C37" i="20" s="1"/>
  <c r="D37" i="20" a="1"/>
  <c r="D37" i="20" s="1"/>
  <c r="B37" i="20" a="1"/>
  <c r="B37" i="20" s="1"/>
  <c r="F37" i="20" a="1"/>
  <c r="F37" i="20" s="1"/>
  <c r="G37" i="20" a="1"/>
  <c r="G37" i="20" s="1"/>
  <c r="I37" i="20" a="1"/>
  <c r="I37" i="20" s="1"/>
  <c r="K37" i="20" a="1"/>
  <c r="K37" i="20" s="1"/>
  <c r="J37" i="20" a="1"/>
  <c r="J37" i="20" s="1"/>
  <c r="M37" i="20" a="1"/>
  <c r="M37" i="20" s="1"/>
  <c r="L37" i="20" a="1"/>
  <c r="L37" i="20" s="1"/>
  <c r="E38" i="20" a="1"/>
  <c r="E38" i="20" s="1"/>
  <c r="H145" i="13" l="1" a="1"/>
  <c r="H145" i="13" s="1"/>
  <c r="F145" i="13" a="1"/>
  <c r="F145" i="13" s="1"/>
  <c r="A146" i="13" a="1"/>
  <c r="A146" i="13" s="1"/>
  <c r="F146" i="13" s="1" a="1"/>
  <c r="F146" i="13" s="1"/>
  <c r="B145" i="13" a="1"/>
  <c r="B145" i="13" s="1"/>
  <c r="H38" i="20" a="1"/>
  <c r="H38" i="20" s="1"/>
  <c r="G38" i="20" a="1"/>
  <c r="G38" i="20" s="1"/>
  <c r="C38" i="20" a="1"/>
  <c r="C38" i="20" s="1"/>
  <c r="A38" i="20" a="1"/>
  <c r="A38" i="20" s="1"/>
  <c r="B38" i="20" a="1"/>
  <c r="B38" i="20" s="1"/>
  <c r="D38" i="20" a="1"/>
  <c r="D38" i="20" s="1"/>
  <c r="F38" i="20" a="1"/>
  <c r="F38" i="20" s="1"/>
  <c r="I38" i="20" a="1"/>
  <c r="I38" i="20" s="1"/>
  <c r="K38" i="20" a="1"/>
  <c r="K38" i="20" s="1"/>
  <c r="J38" i="20" a="1"/>
  <c r="J38" i="20" s="1"/>
  <c r="M38" i="20" a="1"/>
  <c r="M38" i="20" s="1"/>
  <c r="L38" i="20" a="1"/>
  <c r="L38" i="20" s="1"/>
  <c r="E39" i="20" a="1"/>
  <c r="E39" i="20" s="1"/>
  <c r="A147" i="13" l="1" a="1"/>
  <c r="A147" i="13" s="1"/>
  <c r="A148" i="13" s="1" a="1"/>
  <c r="A148" i="13" s="1"/>
  <c r="B146" i="13" a="1"/>
  <c r="B146" i="13" s="1"/>
  <c r="G146" i="13" a="1"/>
  <c r="G146" i="13" s="1"/>
  <c r="H146" i="13" a="1"/>
  <c r="H146" i="13" s="1"/>
  <c r="H39" i="20" a="1"/>
  <c r="H39" i="20" s="1"/>
  <c r="A39" i="20" a="1"/>
  <c r="A39" i="20" s="1"/>
  <c r="G39" i="20" a="1"/>
  <c r="G39" i="20" s="1"/>
  <c r="B39" i="20" a="1"/>
  <c r="B39" i="20" s="1"/>
  <c r="F39" i="20" a="1"/>
  <c r="F39" i="20" s="1"/>
  <c r="D39" i="20" a="1"/>
  <c r="D39" i="20" s="1"/>
  <c r="C39" i="20" a="1"/>
  <c r="C39" i="20" s="1"/>
  <c r="I39" i="20" a="1"/>
  <c r="I39" i="20" s="1"/>
  <c r="K39" i="20" a="1"/>
  <c r="K39" i="20" s="1"/>
  <c r="J39" i="20" a="1"/>
  <c r="J39" i="20" s="1"/>
  <c r="M39" i="20" a="1"/>
  <c r="M39" i="20" s="1"/>
  <c r="L39" i="20" a="1"/>
  <c r="L39" i="20" s="1"/>
  <c r="E40" i="20" a="1"/>
  <c r="E40" i="20" s="1"/>
  <c r="B147" i="13" l="1" a="1"/>
  <c r="B147" i="13" s="1"/>
  <c r="G147" i="13" a="1"/>
  <c r="G147" i="13" s="1"/>
  <c r="H147" i="13" a="1"/>
  <c r="H147" i="13" s="1"/>
  <c r="F147" i="13" a="1"/>
  <c r="F147" i="13" s="1"/>
  <c r="B148" i="13" a="1"/>
  <c r="B148" i="13" s="1"/>
  <c r="F148" i="13" a="1"/>
  <c r="F148" i="13" s="1"/>
  <c r="G148" i="13" a="1"/>
  <c r="G148" i="13" s="1"/>
  <c r="G40" i="20" a="1"/>
  <c r="G40" i="20" s="1"/>
  <c r="B40" i="20" a="1"/>
  <c r="B40" i="20" s="1"/>
  <c r="F40" i="20" a="1"/>
  <c r="F40" i="20" s="1"/>
  <c r="H40" i="20" a="1"/>
  <c r="H40" i="20" s="1"/>
  <c r="D40" i="20" a="1"/>
  <c r="D40" i="20" s="1"/>
  <c r="C40" i="20" a="1"/>
  <c r="C40" i="20" s="1"/>
  <c r="A40" i="20" a="1"/>
  <c r="A40" i="20" s="1"/>
  <c r="I40" i="20" a="1"/>
  <c r="I40" i="20" s="1"/>
  <c r="J40" i="20" a="1"/>
  <c r="J40" i="20" s="1"/>
  <c r="K40" i="20" a="1"/>
  <c r="K40" i="20" s="1"/>
  <c r="M40" i="20" a="1"/>
  <c r="M40" i="20" s="1"/>
  <c r="L40" i="20" a="1"/>
  <c r="L40" i="20" s="1"/>
  <c r="E41" i="20" a="1"/>
  <c r="E41" i="20" s="1"/>
  <c r="A149" i="13" a="1"/>
  <c r="A149" i="13" s="1"/>
  <c r="H148" i="13" a="1"/>
  <c r="H148" i="13" s="1"/>
  <c r="F149" i="13" l="1" a="1"/>
  <c r="F149" i="13" s="1"/>
  <c r="G149" i="13" a="1"/>
  <c r="G149" i="13" s="1"/>
  <c r="H41" i="20" a="1"/>
  <c r="H41" i="20" s="1"/>
  <c r="A41" i="20" a="1"/>
  <c r="A41" i="20" s="1"/>
  <c r="C41" i="20" a="1"/>
  <c r="C41" i="20" s="1"/>
  <c r="F41" i="20" a="1"/>
  <c r="F41" i="20" s="1"/>
  <c r="B41" i="20" a="1"/>
  <c r="B41" i="20" s="1"/>
  <c r="G41" i="20" a="1"/>
  <c r="G41" i="20" s="1"/>
  <c r="D41" i="20" a="1"/>
  <c r="D41" i="20" s="1"/>
  <c r="I41" i="20" a="1"/>
  <c r="I41" i="20" s="1"/>
  <c r="K41" i="20" a="1"/>
  <c r="K41" i="20" s="1"/>
  <c r="J41" i="20" a="1"/>
  <c r="J41" i="20" s="1"/>
  <c r="M41" i="20" a="1"/>
  <c r="M41" i="20" s="1"/>
  <c r="L41" i="20" a="1"/>
  <c r="L41" i="20" s="1"/>
  <c r="E42" i="20" a="1"/>
  <c r="E42" i="20" s="1"/>
  <c r="A150" i="13" a="1"/>
  <c r="A150" i="13" s="1"/>
  <c r="H149" i="13" a="1"/>
  <c r="H149" i="13" s="1"/>
  <c r="B149" i="13" a="1"/>
  <c r="B149" i="13" s="1"/>
  <c r="B150" i="13" l="1" a="1"/>
  <c r="B150" i="13" s="1"/>
  <c r="F150" i="13" a="1"/>
  <c r="F150" i="13" s="1"/>
  <c r="G150" i="13" a="1"/>
  <c r="G150" i="13" s="1"/>
  <c r="H42" i="20" a="1"/>
  <c r="H42" i="20" s="1"/>
  <c r="A42" i="20" a="1"/>
  <c r="A42" i="20" s="1"/>
  <c r="C42" i="20" a="1"/>
  <c r="C42" i="20" s="1"/>
  <c r="F42" i="20" a="1"/>
  <c r="F42" i="20" s="1"/>
  <c r="B42" i="20" a="1"/>
  <c r="B42" i="20" s="1"/>
  <c r="D42" i="20" a="1"/>
  <c r="D42" i="20" s="1"/>
  <c r="G42" i="20" a="1"/>
  <c r="G42" i="20" s="1"/>
  <c r="I42" i="20" a="1"/>
  <c r="I42" i="20" s="1"/>
  <c r="K42" i="20" a="1"/>
  <c r="K42" i="20" s="1"/>
  <c r="J42" i="20" a="1"/>
  <c r="J42" i="20" s="1"/>
  <c r="M42" i="20" a="1"/>
  <c r="M42" i="20" s="1"/>
  <c r="L42" i="20" a="1"/>
  <c r="L42" i="20" s="1"/>
  <c r="E43" i="20" a="1"/>
  <c r="E43" i="20" s="1"/>
  <c r="A151" i="13" a="1"/>
  <c r="A151" i="13" s="1"/>
  <c r="H150" i="13" a="1"/>
  <c r="H150" i="13" s="1"/>
  <c r="F151" i="13" l="1" a="1"/>
  <c r="F151" i="13" s="1"/>
  <c r="G151" i="13" a="1"/>
  <c r="G151" i="13" s="1"/>
  <c r="H43" i="20" a="1"/>
  <c r="H43" i="20" s="1"/>
  <c r="B43" i="20" a="1"/>
  <c r="B43" i="20" s="1"/>
  <c r="G43" i="20" a="1"/>
  <c r="G43" i="20" s="1"/>
  <c r="C43" i="20" a="1"/>
  <c r="C43" i="20" s="1"/>
  <c r="F43" i="20" a="1"/>
  <c r="F43" i="20" s="1"/>
  <c r="A43" i="20" a="1"/>
  <c r="A43" i="20" s="1"/>
  <c r="D43" i="20" a="1"/>
  <c r="D43" i="20" s="1"/>
  <c r="I43" i="20" a="1"/>
  <c r="I43" i="20" s="1"/>
  <c r="J43" i="20" a="1"/>
  <c r="J43" i="20" s="1"/>
  <c r="K43" i="20" a="1"/>
  <c r="K43" i="20" s="1"/>
  <c r="M43" i="20" a="1"/>
  <c r="M43" i="20" s="1"/>
  <c r="L43" i="20" a="1"/>
  <c r="L43" i="20" s="1"/>
  <c r="E44" i="20" a="1"/>
  <c r="E44" i="20" s="1"/>
  <c r="A152" i="13" a="1"/>
  <c r="A152" i="13" s="1"/>
  <c r="H151" i="13" a="1"/>
  <c r="H151" i="13" s="1"/>
  <c r="B151" i="13" a="1"/>
  <c r="B151" i="13" s="1"/>
  <c r="B152" i="13" l="1" a="1"/>
  <c r="B152" i="13" s="1"/>
  <c r="F152" i="13" a="1"/>
  <c r="F152" i="13" s="1"/>
  <c r="G152" i="13" a="1"/>
  <c r="G152" i="13" s="1"/>
  <c r="H44" i="20" a="1"/>
  <c r="H44" i="20" s="1"/>
  <c r="A44" i="20" a="1"/>
  <c r="A44" i="20" s="1"/>
  <c r="G44" i="20" a="1"/>
  <c r="G44" i="20" s="1"/>
  <c r="B44" i="20" a="1"/>
  <c r="B44" i="20" s="1"/>
  <c r="F44" i="20" a="1"/>
  <c r="F44" i="20" s="1"/>
  <c r="C44" i="20" a="1"/>
  <c r="C44" i="20" s="1"/>
  <c r="D44" i="20" a="1"/>
  <c r="D44" i="20" s="1"/>
  <c r="I44" i="20" a="1"/>
  <c r="I44" i="20" s="1"/>
  <c r="J44" i="20" a="1"/>
  <c r="J44" i="20" s="1"/>
  <c r="K44" i="20" a="1"/>
  <c r="K44" i="20" s="1"/>
  <c r="M44" i="20" a="1"/>
  <c r="M44" i="20" s="1"/>
  <c r="L44" i="20" a="1"/>
  <c r="L44" i="20" s="1"/>
  <c r="E45" i="20" a="1"/>
  <c r="E45" i="20" s="1"/>
  <c r="A153" i="13" a="1"/>
  <c r="A153" i="13" s="1"/>
  <c r="H152" i="13" a="1"/>
  <c r="H152" i="13" s="1"/>
  <c r="B153" i="13" l="1" a="1"/>
  <c r="B153" i="13" s="1"/>
  <c r="F153" i="13" a="1"/>
  <c r="F153" i="13" s="1"/>
  <c r="G153" i="13" a="1"/>
  <c r="G153" i="13" s="1"/>
  <c r="H45" i="20" a="1"/>
  <c r="H45" i="20" s="1"/>
  <c r="F45" i="20" a="1"/>
  <c r="F45" i="20" s="1"/>
  <c r="C45" i="20" a="1"/>
  <c r="C45" i="20" s="1"/>
  <c r="A45" i="20" a="1"/>
  <c r="A45" i="20" s="1"/>
  <c r="B45" i="20" a="1"/>
  <c r="B45" i="20" s="1"/>
  <c r="G45" i="20" a="1"/>
  <c r="G45" i="20" s="1"/>
  <c r="D45" i="20" a="1"/>
  <c r="D45" i="20" s="1"/>
  <c r="I45" i="20" a="1"/>
  <c r="I45" i="20" s="1"/>
  <c r="K45" i="20" a="1"/>
  <c r="K45" i="20" s="1"/>
  <c r="J45" i="20" a="1"/>
  <c r="J45" i="20" s="1"/>
  <c r="M45" i="20" a="1"/>
  <c r="M45" i="20" s="1"/>
  <c r="L45" i="20" a="1"/>
  <c r="L45" i="20" s="1"/>
  <c r="E46" i="20" a="1"/>
  <c r="E46" i="20" s="1"/>
  <c r="A154" i="13" a="1"/>
  <c r="A154" i="13" s="1"/>
  <c r="H153" i="13" a="1"/>
  <c r="H153" i="13" s="1"/>
  <c r="B154" i="13" l="1" a="1"/>
  <c r="B154" i="13" s="1"/>
  <c r="F154" i="13" a="1"/>
  <c r="F154" i="13" s="1"/>
  <c r="G154" i="13" a="1"/>
  <c r="G154" i="13" s="1"/>
  <c r="H46" i="20" a="1"/>
  <c r="H46" i="20" s="1"/>
  <c r="D46" i="20" a="1"/>
  <c r="D46" i="20" s="1"/>
  <c r="C46" i="20" a="1"/>
  <c r="C46" i="20" s="1"/>
  <c r="F46" i="20" a="1"/>
  <c r="F46" i="20" s="1"/>
  <c r="B46" i="20" a="1"/>
  <c r="B46" i="20" s="1"/>
  <c r="A46" i="20" a="1"/>
  <c r="A46" i="20" s="1"/>
  <c r="G46" i="20" a="1"/>
  <c r="G46" i="20" s="1"/>
  <c r="I46" i="20" a="1"/>
  <c r="I46" i="20" s="1"/>
  <c r="J46" i="20" a="1"/>
  <c r="J46" i="20" s="1"/>
  <c r="K46" i="20" a="1"/>
  <c r="K46" i="20" s="1"/>
  <c r="M46" i="20" a="1"/>
  <c r="M46" i="20" s="1"/>
  <c r="L46" i="20" a="1"/>
  <c r="L46" i="20" s="1"/>
  <c r="E47" i="20" a="1"/>
  <c r="E47" i="20" s="1"/>
  <c r="H154" i="13" a="1"/>
  <c r="H154" i="13" s="1"/>
  <c r="A155" i="13" a="1"/>
  <c r="A155" i="13" s="1"/>
  <c r="B155" i="13" l="1" a="1"/>
  <c r="B155" i="13" s="1"/>
  <c r="F155" i="13" a="1"/>
  <c r="F155" i="13" s="1"/>
  <c r="G155" i="13" a="1"/>
  <c r="G155" i="13" s="1"/>
  <c r="H47" i="20" a="1"/>
  <c r="H47" i="20" s="1"/>
  <c r="C47" i="20" a="1"/>
  <c r="C47" i="20" s="1"/>
  <c r="G47" i="20" a="1"/>
  <c r="G47" i="20" s="1"/>
  <c r="A47" i="20" a="1"/>
  <c r="A47" i="20" s="1"/>
  <c r="F47" i="20" a="1"/>
  <c r="F47" i="20" s="1"/>
  <c r="B47" i="20" a="1"/>
  <c r="B47" i="20" s="1"/>
  <c r="D47" i="20" a="1"/>
  <c r="D47" i="20" s="1"/>
  <c r="I47" i="20" a="1"/>
  <c r="I47" i="20" s="1"/>
  <c r="K47" i="20" a="1"/>
  <c r="K47" i="20" s="1"/>
  <c r="J47" i="20" a="1"/>
  <c r="J47" i="20" s="1"/>
  <c r="M47" i="20" a="1"/>
  <c r="M47" i="20" s="1"/>
  <c r="L47" i="20" a="1"/>
  <c r="L47" i="20" s="1"/>
  <c r="E48" i="20" a="1"/>
  <c r="E48" i="20" s="1"/>
  <c r="A156" i="13" a="1"/>
  <c r="A156" i="13" s="1"/>
  <c r="H155" i="13" a="1"/>
  <c r="H155" i="13" s="1"/>
  <c r="F156" i="13" l="1" a="1"/>
  <c r="F156" i="13" s="1"/>
  <c r="G156" i="13" a="1"/>
  <c r="G156" i="13" s="1"/>
  <c r="H48" i="20" a="1"/>
  <c r="H48" i="20" s="1"/>
  <c r="B48" i="20" a="1"/>
  <c r="B48" i="20" s="1"/>
  <c r="G48" i="20" a="1"/>
  <c r="G48" i="20" s="1"/>
  <c r="C48" i="20" a="1"/>
  <c r="C48" i="20" s="1"/>
  <c r="F48" i="20" a="1"/>
  <c r="F48" i="20" s="1"/>
  <c r="A48" i="20" a="1"/>
  <c r="A48" i="20" s="1"/>
  <c r="D48" i="20" a="1"/>
  <c r="D48" i="20" s="1"/>
  <c r="I48" i="20" a="1"/>
  <c r="I48" i="20" s="1"/>
  <c r="K48" i="20" a="1"/>
  <c r="K48" i="20" s="1"/>
  <c r="J48" i="20" a="1"/>
  <c r="J48" i="20" s="1"/>
  <c r="M48" i="20" a="1"/>
  <c r="M48" i="20" s="1"/>
  <c r="L48" i="20" a="1"/>
  <c r="L48" i="20" s="1"/>
  <c r="E49" i="20" a="1"/>
  <c r="E49" i="20" s="1"/>
  <c r="A157" i="13" a="1"/>
  <c r="A157" i="13" s="1"/>
  <c r="H156" i="13" a="1"/>
  <c r="H156" i="13" s="1"/>
  <c r="B156" i="13" a="1"/>
  <c r="B156" i="13" s="1"/>
  <c r="F157" i="13" l="1" a="1"/>
  <c r="F157" i="13" s="1"/>
  <c r="G157" i="13" a="1"/>
  <c r="G157" i="13" s="1"/>
  <c r="H49" i="20" a="1"/>
  <c r="H49" i="20" s="1"/>
  <c r="G49" i="20" a="1"/>
  <c r="G49" i="20" s="1"/>
  <c r="C49" i="20" a="1"/>
  <c r="C49" i="20" s="1"/>
  <c r="D49" i="20" a="1"/>
  <c r="D49" i="20" s="1"/>
  <c r="B49" i="20" a="1"/>
  <c r="B49" i="20" s="1"/>
  <c r="A49" i="20" a="1"/>
  <c r="A49" i="20" s="1"/>
  <c r="F49" i="20" a="1"/>
  <c r="F49" i="20" s="1"/>
  <c r="I49" i="20" a="1"/>
  <c r="I49" i="20" s="1"/>
  <c r="J49" i="20" a="1"/>
  <c r="J49" i="20" s="1"/>
  <c r="K49" i="20" a="1"/>
  <c r="K49" i="20" s="1"/>
  <c r="M49" i="20" a="1"/>
  <c r="M49" i="20" s="1"/>
  <c r="L49" i="20" a="1"/>
  <c r="L49" i="20" s="1"/>
  <c r="E50" i="20" a="1"/>
  <c r="E50" i="20" s="1"/>
  <c r="H157" i="13" a="1"/>
  <c r="H157" i="13" s="1"/>
  <c r="B157" i="13" a="1"/>
  <c r="B157" i="13" s="1"/>
  <c r="A158" i="13" a="1"/>
  <c r="A158" i="13" s="1"/>
  <c r="F158" i="13" l="1" a="1"/>
  <c r="F158" i="13" s="1"/>
  <c r="G158" i="13" a="1"/>
  <c r="G158" i="13" s="1"/>
  <c r="H50" i="20" a="1"/>
  <c r="H50" i="20" s="1"/>
  <c r="A50" i="20" a="1"/>
  <c r="A50" i="20" s="1"/>
  <c r="C50" i="20" a="1"/>
  <c r="C50" i="20" s="1"/>
  <c r="F50" i="20" a="1"/>
  <c r="F50" i="20" s="1"/>
  <c r="B50" i="20" a="1"/>
  <c r="B50" i="20" s="1"/>
  <c r="G50" i="20" a="1"/>
  <c r="G50" i="20" s="1"/>
  <c r="D50" i="20" a="1"/>
  <c r="D50" i="20" s="1"/>
  <c r="I50" i="20" a="1"/>
  <c r="I50" i="20" s="1"/>
  <c r="J50" i="20" a="1"/>
  <c r="J50" i="20" s="1"/>
  <c r="K50" i="20" a="1"/>
  <c r="K50" i="20" s="1"/>
  <c r="M50" i="20" a="1"/>
  <c r="M50" i="20" s="1"/>
  <c r="L50" i="20" a="1"/>
  <c r="L50" i="20" s="1"/>
  <c r="E51" i="20" a="1"/>
  <c r="E51" i="20" s="1"/>
  <c r="A159" i="13" a="1"/>
  <c r="A159" i="13" s="1"/>
  <c r="B158" i="13" a="1"/>
  <c r="B158" i="13" s="1"/>
  <c r="H158" i="13" a="1"/>
  <c r="H158" i="13" s="1"/>
  <c r="F159" i="13" l="1" a="1"/>
  <c r="F159" i="13" s="1"/>
  <c r="G159" i="13" a="1"/>
  <c r="G159" i="13" s="1"/>
  <c r="G51" i="20" a="1"/>
  <c r="G51" i="20" s="1"/>
  <c r="B51" i="20" a="1"/>
  <c r="B51" i="20" s="1"/>
  <c r="F51" i="20" a="1"/>
  <c r="F51" i="20" s="1"/>
  <c r="A51" i="20" a="1"/>
  <c r="A51" i="20" s="1"/>
  <c r="D51" i="20" a="1"/>
  <c r="D51" i="20" s="1"/>
  <c r="C51" i="20" a="1"/>
  <c r="C51" i="20" s="1"/>
  <c r="H51" i="20" a="1"/>
  <c r="H51" i="20" s="1"/>
  <c r="I51" i="20" a="1"/>
  <c r="I51" i="20" s="1"/>
  <c r="J51" i="20" a="1"/>
  <c r="J51" i="20" s="1"/>
  <c r="K51" i="20" a="1"/>
  <c r="K51" i="20" s="1"/>
  <c r="M51" i="20" a="1"/>
  <c r="M51" i="20" s="1"/>
  <c r="L51" i="20" a="1"/>
  <c r="L51" i="20" s="1"/>
  <c r="E52" i="20" a="1"/>
  <c r="E52" i="20" s="1"/>
  <c r="A160" i="13" a="1"/>
  <c r="A160" i="13" s="1"/>
  <c r="H159" i="13" a="1"/>
  <c r="H159" i="13" s="1"/>
  <c r="B159" i="13" a="1"/>
  <c r="B159" i="13" s="1"/>
  <c r="B160" i="13" l="1" a="1"/>
  <c r="B160" i="13" s="1"/>
  <c r="F160" i="13" a="1"/>
  <c r="F160" i="13" s="1"/>
  <c r="G160" i="13" a="1"/>
  <c r="G160" i="13" s="1"/>
  <c r="H52" i="20" a="1"/>
  <c r="H52" i="20" s="1"/>
  <c r="C52" i="20" a="1"/>
  <c r="C52" i="20" s="1"/>
  <c r="G52" i="20" a="1"/>
  <c r="G52" i="20" s="1"/>
  <c r="B52" i="20" a="1"/>
  <c r="B52" i="20" s="1"/>
  <c r="F52" i="20" a="1"/>
  <c r="F52" i="20" s="1"/>
  <c r="A52" i="20" a="1"/>
  <c r="A52" i="20" s="1"/>
  <c r="D52" i="20" a="1"/>
  <c r="D52" i="20" s="1"/>
  <c r="I52" i="20" a="1"/>
  <c r="I52" i="20" s="1"/>
  <c r="K52" i="20" a="1"/>
  <c r="K52" i="20" s="1"/>
  <c r="J52" i="20" a="1"/>
  <c r="J52" i="20" s="1"/>
  <c r="M52" i="20" a="1"/>
  <c r="M52" i="20" s="1"/>
  <c r="L52" i="20" a="1"/>
  <c r="L52" i="20" s="1"/>
  <c r="E53" i="20" a="1"/>
  <c r="E53" i="20" s="1"/>
  <c r="A161" i="13" a="1"/>
  <c r="A161" i="13" s="1"/>
  <c r="H160" i="13" a="1"/>
  <c r="H160" i="13" s="1"/>
  <c r="F161" i="13" l="1" a="1"/>
  <c r="F161" i="13" s="1"/>
  <c r="G161" i="13" a="1"/>
  <c r="G161" i="13" s="1"/>
  <c r="H53" i="20" a="1"/>
  <c r="H53" i="20" s="1"/>
  <c r="F53" i="20" a="1"/>
  <c r="F53" i="20" s="1"/>
  <c r="C53" i="20" a="1"/>
  <c r="C53" i="20" s="1"/>
  <c r="A53" i="20" a="1"/>
  <c r="A53" i="20" s="1"/>
  <c r="B53" i="20" a="1"/>
  <c r="B53" i="20" s="1"/>
  <c r="D53" i="20" a="1"/>
  <c r="D53" i="20" s="1"/>
  <c r="G53" i="20" a="1"/>
  <c r="G53" i="20" s="1"/>
  <c r="I53" i="20" a="1"/>
  <c r="I53" i="20" s="1"/>
  <c r="J53" i="20" a="1"/>
  <c r="J53" i="20" s="1"/>
  <c r="K53" i="20" a="1"/>
  <c r="K53" i="20" s="1"/>
  <c r="M53" i="20" a="1"/>
  <c r="M53" i="20" s="1"/>
  <c r="L53" i="20" a="1"/>
  <c r="L53" i="20" s="1"/>
  <c r="E54" i="20" a="1"/>
  <c r="E54" i="20" s="1"/>
  <c r="A162" i="13" a="1"/>
  <c r="A162" i="13" s="1"/>
  <c r="H161" i="13" a="1"/>
  <c r="H161" i="13" s="1"/>
  <c r="B161" i="13" a="1"/>
  <c r="B161" i="13" s="1"/>
  <c r="B162" i="13" l="1" a="1"/>
  <c r="B162" i="13" s="1"/>
  <c r="F162" i="13" a="1"/>
  <c r="F162" i="13" s="1"/>
  <c r="G162" i="13" a="1"/>
  <c r="G162" i="13" s="1"/>
  <c r="H54" i="20" a="1"/>
  <c r="H54" i="20" s="1"/>
  <c r="G54" i="20" a="1"/>
  <c r="G54" i="20" s="1"/>
  <c r="C54" i="20" a="1"/>
  <c r="C54" i="20" s="1"/>
  <c r="A54" i="20" a="1"/>
  <c r="A54" i="20" s="1"/>
  <c r="B54" i="20" a="1"/>
  <c r="B54" i="20" s="1"/>
  <c r="D54" i="20" a="1"/>
  <c r="D54" i="20" s="1"/>
  <c r="F54" i="20" a="1"/>
  <c r="F54" i="20" s="1"/>
  <c r="I54" i="20" a="1"/>
  <c r="I54" i="20" s="1"/>
  <c r="J54" i="20" a="1"/>
  <c r="J54" i="20" s="1"/>
  <c r="K54" i="20" a="1"/>
  <c r="K54" i="20" s="1"/>
  <c r="M54" i="20" a="1"/>
  <c r="M54" i="20" s="1"/>
  <c r="L54" i="20" a="1"/>
  <c r="L54" i="20" s="1"/>
  <c r="E55" i="20" a="1"/>
  <c r="E55" i="20" s="1"/>
  <c r="H162" i="13" a="1"/>
  <c r="H162" i="13" s="1"/>
  <c r="A163" i="13" a="1"/>
  <c r="A163" i="13" s="1"/>
  <c r="B163" i="13" l="1" a="1"/>
  <c r="B163" i="13" s="1"/>
  <c r="F163" i="13" a="1"/>
  <c r="F163" i="13" s="1"/>
  <c r="G163" i="13" a="1"/>
  <c r="G163" i="13" s="1"/>
  <c r="H55" i="20" a="1"/>
  <c r="H55" i="20" s="1"/>
  <c r="A55" i="20" a="1"/>
  <c r="A55" i="20" s="1"/>
  <c r="G55" i="20" a="1"/>
  <c r="G55" i="20" s="1"/>
  <c r="B55" i="20" a="1"/>
  <c r="B55" i="20" s="1"/>
  <c r="F55" i="20" a="1"/>
  <c r="F55" i="20" s="1"/>
  <c r="C55" i="20" a="1"/>
  <c r="C55" i="20" s="1"/>
  <c r="D55" i="20" a="1"/>
  <c r="D55" i="20" s="1"/>
  <c r="I55" i="20" a="1"/>
  <c r="I55" i="20" s="1"/>
  <c r="J55" i="20" a="1"/>
  <c r="J55" i="20" s="1"/>
  <c r="K55" i="20" a="1"/>
  <c r="K55" i="20" s="1"/>
  <c r="M55" i="20" a="1"/>
  <c r="M55" i="20" s="1"/>
  <c r="L55" i="20" a="1"/>
  <c r="L55" i="20" s="1"/>
  <c r="E56" i="20" a="1"/>
  <c r="E56" i="20" s="1"/>
  <c r="A164" i="13" a="1"/>
  <c r="A164" i="13" s="1"/>
  <c r="H163" i="13" a="1"/>
  <c r="H163" i="13" s="1"/>
  <c r="B164" i="13" l="1" a="1"/>
  <c r="B164" i="13" s="1"/>
  <c r="F164" i="13" a="1"/>
  <c r="F164" i="13" s="1"/>
  <c r="G164" i="13" a="1"/>
  <c r="G164" i="13" s="1"/>
  <c r="H56" i="20" a="1"/>
  <c r="H56" i="20" s="1"/>
  <c r="C56" i="20" a="1"/>
  <c r="C56" i="20" s="1"/>
  <c r="G56" i="20" a="1"/>
  <c r="G56" i="20" s="1"/>
  <c r="A56" i="20" a="1"/>
  <c r="A56" i="20" s="1"/>
  <c r="F56" i="20" a="1"/>
  <c r="F56" i="20" s="1"/>
  <c r="B56" i="20" a="1"/>
  <c r="B56" i="20" s="1"/>
  <c r="D56" i="20" a="1"/>
  <c r="D56" i="20" s="1"/>
  <c r="I56" i="20" a="1"/>
  <c r="I56" i="20" s="1"/>
  <c r="K56" i="20" a="1"/>
  <c r="K56" i="20" s="1"/>
  <c r="J56" i="20" a="1"/>
  <c r="J56" i="20" s="1"/>
  <c r="L56" i="20" a="1"/>
  <c r="L56" i="20" s="1"/>
  <c r="M56" i="20" a="1"/>
  <c r="M56" i="20" s="1"/>
  <c r="E57" i="20" a="1"/>
  <c r="E57" i="20" s="1"/>
  <c r="A165" i="13" a="1"/>
  <c r="A165" i="13" s="1"/>
  <c r="H164" i="13" a="1"/>
  <c r="H164" i="13" s="1"/>
  <c r="B165" i="13" l="1" a="1"/>
  <c r="B165" i="13" s="1"/>
  <c r="F165" i="13" a="1"/>
  <c r="F165" i="13" s="1"/>
  <c r="G165" i="13" a="1"/>
  <c r="G165" i="13" s="1"/>
  <c r="H57" i="20" a="1"/>
  <c r="H57" i="20" s="1"/>
  <c r="D57" i="20" a="1"/>
  <c r="D57" i="20" s="1"/>
  <c r="C57" i="20" a="1"/>
  <c r="C57" i="20" s="1"/>
  <c r="F57" i="20" a="1"/>
  <c r="F57" i="20" s="1"/>
  <c r="B57" i="20" a="1"/>
  <c r="B57" i="20" s="1"/>
  <c r="G57" i="20" a="1"/>
  <c r="G57" i="20" s="1"/>
  <c r="A57" i="20" a="1"/>
  <c r="A57" i="20" s="1"/>
  <c r="I57" i="20" a="1"/>
  <c r="I57" i="20" s="1"/>
  <c r="J57" i="20" a="1"/>
  <c r="J57" i="20" s="1"/>
  <c r="K57" i="20" a="1"/>
  <c r="K57" i="20" s="1"/>
  <c r="M57" i="20" a="1"/>
  <c r="M57" i="20" s="1"/>
  <c r="L57" i="20" a="1"/>
  <c r="L57" i="20" s="1"/>
  <c r="E58" i="20" a="1"/>
  <c r="E58" i="20" s="1"/>
  <c r="A166" i="13" a="1"/>
  <c r="A166" i="13" s="1"/>
  <c r="H165" i="13" a="1"/>
  <c r="H165" i="13" s="1"/>
  <c r="F166" i="13" l="1" a="1"/>
  <c r="F166" i="13" s="1"/>
  <c r="G166" i="13" a="1"/>
  <c r="G166" i="13" s="1"/>
  <c r="H58" i="20" a="1"/>
  <c r="H58" i="20" s="1"/>
  <c r="A58" i="20" a="1"/>
  <c r="A58" i="20" s="1"/>
  <c r="C58" i="20" a="1"/>
  <c r="C58" i="20" s="1"/>
  <c r="D58" i="20" a="1"/>
  <c r="D58" i="20" s="1"/>
  <c r="B58" i="20" a="1"/>
  <c r="B58" i="20" s="1"/>
  <c r="F58" i="20" a="1"/>
  <c r="F58" i="20" s="1"/>
  <c r="G58" i="20" a="1"/>
  <c r="G58" i="20" s="1"/>
  <c r="I58" i="20" a="1"/>
  <c r="I58" i="20" s="1"/>
  <c r="K58" i="20" a="1"/>
  <c r="K58" i="20" s="1"/>
  <c r="J58" i="20" a="1"/>
  <c r="J58" i="20" s="1"/>
  <c r="M58" i="20" a="1"/>
  <c r="M58" i="20" s="1"/>
  <c r="L58" i="20" a="1"/>
  <c r="L58" i="20" s="1"/>
  <c r="E59" i="20" a="1"/>
  <c r="E59" i="20" s="1"/>
  <c r="A167" i="13" a="1"/>
  <c r="A167" i="13" s="1"/>
  <c r="H166" i="13" a="1"/>
  <c r="H166" i="13" s="1"/>
  <c r="B166" i="13" a="1"/>
  <c r="B166" i="13" s="1"/>
  <c r="B167" i="13" l="1" a="1"/>
  <c r="B167" i="13" s="1"/>
  <c r="F167" i="13" a="1"/>
  <c r="F167" i="13" s="1"/>
  <c r="G167" i="13" a="1"/>
  <c r="G167" i="13" s="1"/>
  <c r="H59" i="20" a="1"/>
  <c r="H59" i="20" s="1"/>
  <c r="B59" i="20" a="1"/>
  <c r="B59" i="20" s="1"/>
  <c r="G59" i="20" a="1"/>
  <c r="G59" i="20" s="1"/>
  <c r="C59" i="20" a="1"/>
  <c r="C59" i="20" s="1"/>
  <c r="F59" i="20" a="1"/>
  <c r="F59" i="20" s="1"/>
  <c r="A59" i="20" a="1"/>
  <c r="A59" i="20" s="1"/>
  <c r="D59" i="20" a="1"/>
  <c r="D59" i="20" s="1"/>
  <c r="I59" i="20" a="1"/>
  <c r="I59" i="20" s="1"/>
  <c r="J59" i="20" a="1"/>
  <c r="J59" i="20" s="1"/>
  <c r="K59" i="20" a="1"/>
  <c r="K59" i="20" s="1"/>
  <c r="M59" i="20" a="1"/>
  <c r="M59" i="20" s="1"/>
  <c r="L59" i="20" a="1"/>
  <c r="L59" i="20" s="1"/>
  <c r="E60" i="20" a="1"/>
  <c r="E60" i="20" s="1"/>
  <c r="A168" i="13" a="1"/>
  <c r="A168" i="13" s="1"/>
  <c r="H167" i="13" a="1"/>
  <c r="H167" i="13" s="1"/>
  <c r="B168" i="13" l="1" a="1"/>
  <c r="B168" i="13" s="1"/>
  <c r="F168" i="13" a="1"/>
  <c r="F168" i="13" s="1"/>
  <c r="G168" i="13" a="1"/>
  <c r="G168" i="13" s="1"/>
  <c r="H60" i="20" a="1"/>
  <c r="H60" i="20" s="1"/>
  <c r="B60" i="20" a="1"/>
  <c r="B60" i="20" s="1"/>
  <c r="G60" i="20" a="1"/>
  <c r="G60" i="20" s="1"/>
  <c r="C60" i="20" a="1"/>
  <c r="C60" i="20" s="1"/>
  <c r="F60" i="20" a="1"/>
  <c r="F60" i="20" s="1"/>
  <c r="A60" i="20" a="1"/>
  <c r="A60" i="20" s="1"/>
  <c r="D60" i="20" a="1"/>
  <c r="D60" i="20" s="1"/>
  <c r="I60" i="20" a="1"/>
  <c r="I60" i="20" s="1"/>
  <c r="J60" i="20" a="1"/>
  <c r="J60" i="20" s="1"/>
  <c r="K60" i="20" a="1"/>
  <c r="K60" i="20" s="1"/>
  <c r="M60" i="20" a="1"/>
  <c r="M60" i="20" s="1"/>
  <c r="L60" i="20" a="1"/>
  <c r="L60" i="20" s="1"/>
  <c r="E61" i="20" a="1"/>
  <c r="E61" i="20" s="1"/>
  <c r="A169" i="13" a="1"/>
  <c r="A169" i="13" s="1"/>
  <c r="H168" i="13" a="1"/>
  <c r="H168" i="13" s="1"/>
  <c r="F169" i="13" l="1" a="1"/>
  <c r="F169" i="13" s="1"/>
  <c r="G169" i="13" a="1"/>
  <c r="G169" i="13" s="1"/>
  <c r="H61" i="20" a="1"/>
  <c r="H61" i="20" s="1"/>
  <c r="F61" i="20" a="1"/>
  <c r="F61" i="20" s="1"/>
  <c r="C61" i="20" a="1"/>
  <c r="C61" i="20" s="1"/>
  <c r="A61" i="20" a="1"/>
  <c r="A61" i="20" s="1"/>
  <c r="B61" i="20" a="1"/>
  <c r="B61" i="20" s="1"/>
  <c r="G61" i="20" a="1"/>
  <c r="G61" i="20" s="1"/>
  <c r="D61" i="20" a="1"/>
  <c r="D61" i="20" s="1"/>
  <c r="I61" i="20" a="1"/>
  <c r="I61" i="20" s="1"/>
  <c r="J61" i="20" a="1"/>
  <c r="J61" i="20" s="1"/>
  <c r="K61" i="20" a="1"/>
  <c r="K61" i="20" s="1"/>
  <c r="M61" i="20" a="1"/>
  <c r="M61" i="20" s="1"/>
  <c r="L61" i="20" a="1"/>
  <c r="L61" i="20" s="1"/>
  <c r="E62" i="20" a="1"/>
  <c r="E62" i="20" s="1"/>
  <c r="A170" i="13" a="1"/>
  <c r="A170" i="13" s="1"/>
  <c r="H169" i="13" a="1"/>
  <c r="H169" i="13" s="1"/>
  <c r="B169" i="13" a="1"/>
  <c r="B169" i="13" s="1"/>
  <c r="F170" i="13" l="1" a="1"/>
  <c r="F170" i="13" s="1"/>
  <c r="G170" i="13" a="1"/>
  <c r="G170" i="13" s="1"/>
  <c r="H62" i="20" a="1"/>
  <c r="H62" i="20" s="1"/>
  <c r="F62" i="20" a="1"/>
  <c r="F62" i="20" s="1"/>
  <c r="C62" i="20" a="1"/>
  <c r="C62" i="20" s="1"/>
  <c r="A62" i="20" a="1"/>
  <c r="A62" i="20" s="1"/>
  <c r="B62" i="20" a="1"/>
  <c r="B62" i="20" s="1"/>
  <c r="G62" i="20" a="1"/>
  <c r="G62" i="20" s="1"/>
  <c r="D62" i="20" a="1"/>
  <c r="D62" i="20" s="1"/>
  <c r="I62" i="20" a="1"/>
  <c r="I62" i="20" s="1"/>
  <c r="K62" i="20" a="1"/>
  <c r="K62" i="20" s="1"/>
  <c r="J62" i="20" a="1"/>
  <c r="J62" i="20" s="1"/>
  <c r="M62" i="20" a="1"/>
  <c r="M62" i="20" s="1"/>
  <c r="L62" i="20" a="1"/>
  <c r="L62" i="20" s="1"/>
  <c r="E63" i="20" a="1"/>
  <c r="E63" i="20" s="1"/>
  <c r="H170" i="13" a="1"/>
  <c r="H170" i="13" s="1"/>
  <c r="B170" i="13" a="1"/>
  <c r="B170" i="13" s="1"/>
  <c r="A171" i="13" a="1"/>
  <c r="A171" i="13" s="1"/>
  <c r="B171" i="13" l="1" a="1"/>
  <c r="B171" i="13" s="1"/>
  <c r="F171" i="13" a="1"/>
  <c r="F171" i="13" s="1"/>
  <c r="G171" i="13" a="1"/>
  <c r="G171" i="13" s="1"/>
  <c r="H63" i="20" a="1"/>
  <c r="H63" i="20" s="1"/>
  <c r="C63" i="20" a="1"/>
  <c r="C63" i="20" s="1"/>
  <c r="G63" i="20" a="1"/>
  <c r="G63" i="20" s="1"/>
  <c r="A63" i="20" a="1"/>
  <c r="A63" i="20" s="1"/>
  <c r="F63" i="20" a="1"/>
  <c r="F63" i="20" s="1"/>
  <c r="B63" i="20" a="1"/>
  <c r="B63" i="20" s="1"/>
  <c r="D63" i="20" a="1"/>
  <c r="D63" i="20" s="1"/>
  <c r="I63" i="20" a="1"/>
  <c r="I63" i="20" s="1"/>
  <c r="J63" i="20" a="1"/>
  <c r="J63" i="20" s="1"/>
  <c r="K63" i="20" a="1"/>
  <c r="K63" i="20" s="1"/>
  <c r="M63" i="20" a="1"/>
  <c r="M63" i="20" s="1"/>
  <c r="L63" i="20" a="1"/>
  <c r="L63" i="20" s="1"/>
  <c r="E64" i="20" a="1"/>
  <c r="E64" i="20" s="1"/>
  <c r="A172" i="13" a="1"/>
  <c r="A172" i="13" s="1"/>
  <c r="H171" i="13" a="1"/>
  <c r="H171" i="13" s="1"/>
  <c r="F172" i="13" l="1" a="1"/>
  <c r="F172" i="13" s="1"/>
  <c r="G172" i="13" a="1"/>
  <c r="G172" i="13" s="1"/>
  <c r="H64" i="20" a="1"/>
  <c r="H64" i="20" s="1"/>
  <c r="B64" i="20" a="1"/>
  <c r="B64" i="20" s="1"/>
  <c r="G64" i="20" a="1"/>
  <c r="G64" i="20" s="1"/>
  <c r="C64" i="20" a="1"/>
  <c r="C64" i="20" s="1"/>
  <c r="F64" i="20" a="1"/>
  <c r="F64" i="20" s="1"/>
  <c r="A64" i="20" a="1"/>
  <c r="A64" i="20" s="1"/>
  <c r="D64" i="20" a="1"/>
  <c r="D64" i="20" s="1"/>
  <c r="I64" i="20" a="1"/>
  <c r="I64" i="20" s="1"/>
  <c r="K64" i="20" a="1"/>
  <c r="K64" i="20" s="1"/>
  <c r="J64" i="20" a="1"/>
  <c r="J64" i="20" s="1"/>
  <c r="M64" i="20" a="1"/>
  <c r="M64" i="20" s="1"/>
  <c r="L64" i="20" a="1"/>
  <c r="L64" i="20" s="1"/>
  <c r="E65" i="20" a="1"/>
  <c r="E65" i="20" s="1"/>
  <c r="A173" i="13" a="1"/>
  <c r="A173" i="13" s="1"/>
  <c r="H172" i="13" a="1"/>
  <c r="H172" i="13" s="1"/>
  <c r="B172" i="13" a="1"/>
  <c r="B172" i="13" s="1"/>
  <c r="F173" i="13" l="1" a="1"/>
  <c r="F173" i="13" s="1"/>
  <c r="G173" i="13" a="1"/>
  <c r="G173" i="13" s="1"/>
  <c r="H65" i="20" a="1"/>
  <c r="H65" i="20" s="1"/>
  <c r="A65" i="20" a="1"/>
  <c r="A65" i="20" s="1"/>
  <c r="C65" i="20" a="1"/>
  <c r="C65" i="20" s="1"/>
  <c r="G65" i="20" a="1"/>
  <c r="G65" i="20" s="1"/>
  <c r="B65" i="20" a="1"/>
  <c r="B65" i="20" s="1"/>
  <c r="D65" i="20" a="1"/>
  <c r="D65" i="20" s="1"/>
  <c r="F65" i="20" a="1"/>
  <c r="F65" i="20" s="1"/>
  <c r="I65" i="20" a="1"/>
  <c r="I65" i="20" s="1"/>
  <c r="J65" i="20" a="1"/>
  <c r="J65" i="20" s="1"/>
  <c r="K65" i="20" a="1"/>
  <c r="K65" i="20" s="1"/>
  <c r="M65" i="20" a="1"/>
  <c r="M65" i="20" s="1"/>
  <c r="L65" i="20" a="1"/>
  <c r="L65" i="20" s="1"/>
  <c r="E66" i="20" a="1"/>
  <c r="E66" i="20" s="1"/>
  <c r="A174" i="13" a="1"/>
  <c r="A174" i="13" s="1"/>
  <c r="H173" i="13" a="1"/>
  <c r="H173" i="13" s="1"/>
  <c r="B173" i="13" a="1"/>
  <c r="B173" i="13" s="1"/>
  <c r="F174" i="13" l="1" a="1"/>
  <c r="F174" i="13" s="1"/>
  <c r="G174" i="13" a="1"/>
  <c r="G174" i="13" s="1"/>
  <c r="H66" i="20" a="1"/>
  <c r="H66" i="20" s="1"/>
  <c r="A66" i="20" a="1"/>
  <c r="A66" i="20" s="1"/>
  <c r="C66" i="20" a="1"/>
  <c r="C66" i="20" s="1"/>
  <c r="F66" i="20" a="1"/>
  <c r="F66" i="20" s="1"/>
  <c r="B66" i="20" a="1"/>
  <c r="B66" i="20" s="1"/>
  <c r="G66" i="20" a="1"/>
  <c r="G66" i="20" s="1"/>
  <c r="D66" i="20" a="1"/>
  <c r="D66" i="20" s="1"/>
  <c r="I66" i="20" a="1"/>
  <c r="I66" i="20" s="1"/>
  <c r="J66" i="20" a="1"/>
  <c r="J66" i="20" s="1"/>
  <c r="K66" i="20" a="1"/>
  <c r="K66" i="20" s="1"/>
  <c r="M66" i="20" a="1"/>
  <c r="M66" i="20" s="1"/>
  <c r="L66" i="20" a="1"/>
  <c r="L66" i="20" s="1"/>
  <c r="E67" i="20" a="1"/>
  <c r="E67" i="20" s="1"/>
  <c r="H174" i="13" a="1"/>
  <c r="H174" i="13" s="1"/>
  <c r="B174" i="13" a="1"/>
  <c r="B174" i="13" s="1"/>
  <c r="A175" i="13" a="1"/>
  <c r="A175" i="13" s="1"/>
  <c r="B175" i="13" l="1" a="1"/>
  <c r="B175" i="13" s="1"/>
  <c r="F175" i="13" a="1"/>
  <c r="F175" i="13" s="1"/>
  <c r="G175" i="13" a="1"/>
  <c r="G175" i="13" s="1"/>
  <c r="H67" i="20" a="1"/>
  <c r="H67" i="20" s="1"/>
  <c r="B67" i="20" a="1"/>
  <c r="B67" i="20" s="1"/>
  <c r="G67" i="20" a="1"/>
  <c r="G67" i="20" s="1"/>
  <c r="A67" i="20" a="1"/>
  <c r="A67" i="20" s="1"/>
  <c r="F67" i="20" a="1"/>
  <c r="F67" i="20" s="1"/>
  <c r="C67" i="20" a="1"/>
  <c r="C67" i="20" s="1"/>
  <c r="D67" i="20" a="1"/>
  <c r="D67" i="20" s="1"/>
  <c r="I67" i="20" a="1"/>
  <c r="I67" i="20" s="1"/>
  <c r="J67" i="20" a="1"/>
  <c r="J67" i="20" s="1"/>
  <c r="K67" i="20" a="1"/>
  <c r="K67" i="20" s="1"/>
  <c r="M67" i="20" a="1"/>
  <c r="M67" i="20" s="1"/>
  <c r="L67" i="20" a="1"/>
  <c r="L67" i="20" s="1"/>
  <c r="E68" i="20" a="1"/>
  <c r="E68" i="20" s="1"/>
  <c r="A176" i="13" a="1"/>
  <c r="A176" i="13" s="1"/>
  <c r="H175" i="13" a="1"/>
  <c r="H175" i="13" s="1"/>
  <c r="F176" i="13" l="1" a="1"/>
  <c r="F176" i="13" s="1"/>
  <c r="G176" i="13" a="1"/>
  <c r="G176" i="13" s="1"/>
  <c r="H68" i="20" a="1"/>
  <c r="H68" i="20" s="1"/>
  <c r="C68" i="20" a="1"/>
  <c r="C68" i="20" s="1"/>
  <c r="G68" i="20" a="1"/>
  <c r="G68" i="20" s="1"/>
  <c r="B68" i="20" a="1"/>
  <c r="B68" i="20" s="1"/>
  <c r="F68" i="20" a="1"/>
  <c r="F68" i="20" s="1"/>
  <c r="A68" i="20" a="1"/>
  <c r="A68" i="20" s="1"/>
  <c r="D68" i="20" a="1"/>
  <c r="D68" i="20" s="1"/>
  <c r="I68" i="20" a="1"/>
  <c r="I68" i="20" s="1"/>
  <c r="K68" i="20" a="1"/>
  <c r="K68" i="20" s="1"/>
  <c r="J68" i="20" a="1"/>
  <c r="J68" i="20" s="1"/>
  <c r="M68" i="20" a="1"/>
  <c r="M68" i="20" s="1"/>
  <c r="L68" i="20" a="1"/>
  <c r="L68" i="20" s="1"/>
  <c r="E69" i="20" a="1"/>
  <c r="E69" i="20" s="1"/>
  <c r="A177" i="13" a="1"/>
  <c r="A177" i="13" s="1"/>
  <c r="H176" i="13" a="1"/>
  <c r="H176" i="13" s="1"/>
  <c r="B176" i="13" a="1"/>
  <c r="B176" i="13" s="1"/>
  <c r="F177" i="13" l="1" a="1"/>
  <c r="F177" i="13" s="1"/>
  <c r="G177" i="13" a="1"/>
  <c r="G177" i="13" s="1"/>
  <c r="H69" i="20" a="1"/>
  <c r="H69" i="20" s="1"/>
  <c r="A69" i="20" a="1"/>
  <c r="A69" i="20" s="1"/>
  <c r="C69" i="20" a="1"/>
  <c r="C69" i="20" s="1"/>
  <c r="D69" i="20" a="1"/>
  <c r="D69" i="20" s="1"/>
  <c r="B69" i="20" a="1"/>
  <c r="B69" i="20" s="1"/>
  <c r="F69" i="20" a="1"/>
  <c r="F69" i="20" s="1"/>
  <c r="G69" i="20" a="1"/>
  <c r="G69" i="20" s="1"/>
  <c r="I69" i="20" a="1"/>
  <c r="I69" i="20" s="1"/>
  <c r="J69" i="20" a="1"/>
  <c r="J69" i="20" s="1"/>
  <c r="K69" i="20" a="1"/>
  <c r="K69" i="20" s="1"/>
  <c r="M69" i="20" a="1"/>
  <c r="M69" i="20" s="1"/>
  <c r="L69" i="20" a="1"/>
  <c r="L69" i="20" s="1"/>
  <c r="E70" i="20" a="1"/>
  <c r="E70" i="20" s="1"/>
  <c r="B177" i="13" a="1"/>
  <c r="B177" i="13" s="1"/>
  <c r="A178" i="13" a="1"/>
  <c r="A178" i="13" s="1"/>
  <c r="H177" i="13" a="1"/>
  <c r="H177" i="13" s="1"/>
  <c r="F178" i="13" l="1" a="1"/>
  <c r="F178" i="13" s="1"/>
  <c r="G178" i="13" a="1"/>
  <c r="G178" i="13" s="1"/>
  <c r="H70" i="20" a="1"/>
  <c r="H70" i="20" s="1"/>
  <c r="G70" i="20" a="1"/>
  <c r="G70" i="20" s="1"/>
  <c r="C70" i="20" a="1"/>
  <c r="C70" i="20" s="1"/>
  <c r="A70" i="20" a="1"/>
  <c r="A70" i="20" s="1"/>
  <c r="B70" i="20" a="1"/>
  <c r="B70" i="20" s="1"/>
  <c r="D70" i="20" a="1"/>
  <c r="D70" i="20" s="1"/>
  <c r="F70" i="20" a="1"/>
  <c r="F70" i="20" s="1"/>
  <c r="I70" i="20" a="1"/>
  <c r="I70" i="20" s="1"/>
  <c r="J70" i="20" a="1"/>
  <c r="J70" i="20" s="1"/>
  <c r="K70" i="20" a="1"/>
  <c r="K70" i="20" s="1"/>
  <c r="M70" i="20" a="1"/>
  <c r="M70" i="20" s="1"/>
  <c r="L70" i="20" a="1"/>
  <c r="L70" i="20" s="1"/>
  <c r="E71" i="20" a="1"/>
  <c r="E71" i="20" s="1"/>
  <c r="H178" i="13" a="1"/>
  <c r="H178" i="13" s="1"/>
  <c r="B178" i="13" a="1"/>
  <c r="B178" i="13" s="1"/>
  <c r="A179" i="13" a="1"/>
  <c r="A179" i="13" s="1"/>
  <c r="F179" i="13" l="1" a="1"/>
  <c r="F179" i="13" s="1"/>
  <c r="G179" i="13" a="1"/>
  <c r="G179" i="13" s="1"/>
  <c r="H71" i="20" a="1"/>
  <c r="H71" i="20" s="1"/>
  <c r="A71" i="20" a="1"/>
  <c r="A71" i="20" s="1"/>
  <c r="G71" i="20" a="1"/>
  <c r="G71" i="20" s="1"/>
  <c r="B71" i="20" a="1"/>
  <c r="B71" i="20" s="1"/>
  <c r="F71" i="20" a="1"/>
  <c r="F71" i="20" s="1"/>
  <c r="C71" i="20" a="1"/>
  <c r="C71" i="20" s="1"/>
  <c r="D71" i="20" a="1"/>
  <c r="D71" i="20" s="1"/>
  <c r="I71" i="20" a="1"/>
  <c r="I71" i="20" s="1"/>
  <c r="K71" i="20" a="1"/>
  <c r="K71" i="20" s="1"/>
  <c r="J71" i="20" a="1"/>
  <c r="J71" i="20" s="1"/>
  <c r="M71" i="20" a="1"/>
  <c r="M71" i="20" s="1"/>
  <c r="L71" i="20" a="1"/>
  <c r="L71" i="20" s="1"/>
  <c r="E72" i="20" a="1"/>
  <c r="E72" i="20" s="1"/>
  <c r="A180" i="13" a="1"/>
  <c r="A180" i="13" s="1"/>
  <c r="H179" i="13" a="1"/>
  <c r="H179" i="13" s="1"/>
  <c r="B179" i="13" a="1"/>
  <c r="B179" i="13" s="1"/>
  <c r="B180" i="13" l="1" a="1"/>
  <c r="B180" i="13" s="1"/>
  <c r="F180" i="13" a="1"/>
  <c r="F180" i="13" s="1"/>
  <c r="G180" i="13" a="1"/>
  <c r="G180" i="13" s="1"/>
  <c r="G72" i="20" a="1"/>
  <c r="G72" i="20" s="1"/>
  <c r="A72" i="20" a="1"/>
  <c r="A72" i="20" s="1"/>
  <c r="F72" i="20" a="1"/>
  <c r="F72" i="20" s="1"/>
  <c r="H72" i="20" a="1"/>
  <c r="H72" i="20" s="1"/>
  <c r="D72" i="20" a="1"/>
  <c r="D72" i="20" s="1"/>
  <c r="B72" i="20" a="1"/>
  <c r="B72" i="20" s="1"/>
  <c r="C72" i="20" a="1"/>
  <c r="C72" i="20" s="1"/>
  <c r="I72" i="20" a="1"/>
  <c r="I72" i="20" s="1"/>
  <c r="K72" i="20" a="1"/>
  <c r="K72" i="20" s="1"/>
  <c r="J72" i="20" a="1"/>
  <c r="J72" i="20" s="1"/>
  <c r="M72" i="20" a="1"/>
  <c r="M72" i="20" s="1"/>
  <c r="L72" i="20" a="1"/>
  <c r="L72" i="20" s="1"/>
  <c r="E73" i="20" a="1"/>
  <c r="E73" i="20" s="1"/>
  <c r="H180" i="13" a="1"/>
  <c r="H180" i="13" s="1"/>
  <c r="A181" i="13" a="1"/>
  <c r="A181" i="13" s="1"/>
  <c r="B181" i="13" l="1" a="1"/>
  <c r="B181" i="13" s="1"/>
  <c r="F181" i="13" a="1"/>
  <c r="F181" i="13" s="1"/>
  <c r="G181" i="13" a="1"/>
  <c r="G181" i="13" s="1"/>
  <c r="H73" i="20" a="1"/>
  <c r="H73" i="20" s="1"/>
  <c r="A73" i="20" a="1"/>
  <c r="A73" i="20" s="1"/>
  <c r="C73" i="20" a="1"/>
  <c r="C73" i="20" s="1"/>
  <c r="D73" i="20" a="1"/>
  <c r="D73" i="20" s="1"/>
  <c r="B73" i="20" a="1"/>
  <c r="B73" i="20" s="1"/>
  <c r="F73" i="20" a="1"/>
  <c r="F73" i="20" s="1"/>
  <c r="G73" i="20" a="1"/>
  <c r="G73" i="20" s="1"/>
  <c r="I73" i="20" a="1"/>
  <c r="I73" i="20" s="1"/>
  <c r="K73" i="20" a="1"/>
  <c r="K73" i="20" s="1"/>
  <c r="J73" i="20" a="1"/>
  <c r="J73" i="20" s="1"/>
  <c r="M73" i="20" a="1"/>
  <c r="M73" i="20" s="1"/>
  <c r="L73" i="20" a="1"/>
  <c r="L73" i="20" s="1"/>
  <c r="E74" i="20" a="1"/>
  <c r="E74" i="20" s="1"/>
  <c r="A182" i="13" a="1"/>
  <c r="A182" i="13" s="1"/>
  <c r="H181" i="13" a="1"/>
  <c r="H181" i="13" s="1"/>
  <c r="B182" i="13" l="1" a="1"/>
  <c r="B182" i="13" s="1"/>
  <c r="F182" i="13" a="1"/>
  <c r="F182" i="13" s="1"/>
  <c r="G182" i="13" a="1"/>
  <c r="G182" i="13" s="1"/>
  <c r="H74" i="20" a="1"/>
  <c r="H74" i="20" s="1"/>
  <c r="A74" i="20" a="1"/>
  <c r="A74" i="20" s="1"/>
  <c r="C74" i="20" a="1"/>
  <c r="C74" i="20" s="1"/>
  <c r="F74" i="20" a="1"/>
  <c r="F74" i="20" s="1"/>
  <c r="B74" i="20" a="1"/>
  <c r="B74" i="20" s="1"/>
  <c r="G74" i="20" a="1"/>
  <c r="G74" i="20" s="1"/>
  <c r="D74" i="20" a="1"/>
  <c r="D74" i="20" s="1"/>
  <c r="I74" i="20" a="1"/>
  <c r="I74" i="20" s="1"/>
  <c r="J74" i="20" a="1"/>
  <c r="J74" i="20" s="1"/>
  <c r="K74" i="20" a="1"/>
  <c r="K74" i="20" s="1"/>
  <c r="M74" i="20" a="1"/>
  <c r="M74" i="20" s="1"/>
  <c r="L74" i="20" a="1"/>
  <c r="L74" i="20" s="1"/>
  <c r="E75" i="20" a="1"/>
  <c r="E75" i="20" s="1"/>
  <c r="A183" i="13" a="1"/>
  <c r="A183" i="13" s="1"/>
  <c r="H182" i="13" a="1"/>
  <c r="H182" i="13" s="1"/>
  <c r="F183" i="13" l="1" a="1"/>
  <c r="F183" i="13" s="1"/>
  <c r="G183" i="13" a="1"/>
  <c r="G183" i="13" s="1"/>
  <c r="H75" i="20" a="1"/>
  <c r="H75" i="20" s="1"/>
  <c r="B75" i="20" a="1"/>
  <c r="B75" i="20" s="1"/>
  <c r="F75" i="20" a="1"/>
  <c r="F75" i="20" s="1"/>
  <c r="D75" i="20" a="1"/>
  <c r="D75" i="20" s="1"/>
  <c r="G75" i="20" a="1"/>
  <c r="G75" i="20" s="1"/>
  <c r="C75" i="20" a="1"/>
  <c r="C75" i="20" s="1"/>
  <c r="A75" i="20" a="1"/>
  <c r="A75" i="20" s="1"/>
  <c r="I75" i="20" a="1"/>
  <c r="I75" i="20" s="1"/>
  <c r="K75" i="20" a="1"/>
  <c r="K75" i="20" s="1"/>
  <c r="J75" i="20" a="1"/>
  <c r="J75" i="20" s="1"/>
  <c r="M75" i="20" a="1"/>
  <c r="M75" i="20" s="1"/>
  <c r="L75" i="20" a="1"/>
  <c r="L75" i="20" s="1"/>
  <c r="E76" i="20" a="1"/>
  <c r="E76" i="20" s="1"/>
  <c r="A184" i="13" a="1"/>
  <c r="A184" i="13" s="1"/>
  <c r="H183" i="13" a="1"/>
  <c r="H183" i="13" s="1"/>
  <c r="B183" i="13" a="1"/>
  <c r="B183" i="13" s="1"/>
  <c r="F184" i="13" l="1" a="1"/>
  <c r="F184" i="13" s="1"/>
  <c r="G184" i="13" a="1"/>
  <c r="G184" i="13" s="1"/>
  <c r="H76" i="20" a="1"/>
  <c r="H76" i="20" s="1"/>
  <c r="B76" i="20" a="1"/>
  <c r="B76" i="20" s="1"/>
  <c r="G76" i="20" a="1"/>
  <c r="G76" i="20" s="1"/>
  <c r="F76" i="20" a="1"/>
  <c r="F76" i="20" s="1"/>
  <c r="C76" i="20" a="1"/>
  <c r="C76" i="20" s="1"/>
  <c r="A76" i="20" a="1"/>
  <c r="A76" i="20" s="1"/>
  <c r="D76" i="20" a="1"/>
  <c r="D76" i="20" s="1"/>
  <c r="I76" i="20" a="1"/>
  <c r="I76" i="20" s="1"/>
  <c r="J76" i="20" a="1"/>
  <c r="J76" i="20" s="1"/>
  <c r="K76" i="20" a="1"/>
  <c r="K76" i="20" s="1"/>
  <c r="L76" i="20" a="1"/>
  <c r="L76" i="20" s="1"/>
  <c r="M76" i="20" a="1"/>
  <c r="M76" i="20" s="1"/>
  <c r="E77" i="20" a="1"/>
  <c r="E77" i="20" s="1"/>
  <c r="B184" i="13" a="1"/>
  <c r="B184" i="13" s="1"/>
  <c r="A185" i="13" a="1"/>
  <c r="A185" i="13" s="1"/>
  <c r="H184" i="13" a="1"/>
  <c r="H184" i="13" s="1"/>
  <c r="B185" i="13" l="1" a="1"/>
  <c r="B185" i="13" s="1"/>
  <c r="F185" i="13" a="1"/>
  <c r="F185" i="13" s="1"/>
  <c r="G185" i="13" a="1"/>
  <c r="G185" i="13" s="1"/>
  <c r="H77" i="20" a="1"/>
  <c r="H77" i="20" s="1"/>
  <c r="F77" i="20" a="1"/>
  <c r="F77" i="20" s="1"/>
  <c r="C77" i="20" a="1"/>
  <c r="C77" i="20" s="1"/>
  <c r="A77" i="20" a="1"/>
  <c r="A77" i="20" s="1"/>
  <c r="B77" i="20" a="1"/>
  <c r="B77" i="20" s="1"/>
  <c r="G77" i="20" a="1"/>
  <c r="G77" i="20" s="1"/>
  <c r="D77" i="20" a="1"/>
  <c r="D77" i="20" s="1"/>
  <c r="I77" i="20" a="1"/>
  <c r="I77" i="20" s="1"/>
  <c r="J77" i="20" a="1"/>
  <c r="J77" i="20" s="1"/>
  <c r="K77" i="20" a="1"/>
  <c r="K77" i="20" s="1"/>
  <c r="M77" i="20" a="1"/>
  <c r="M77" i="20" s="1"/>
  <c r="L77" i="20" a="1"/>
  <c r="L77" i="20" s="1"/>
  <c r="E78" i="20" a="1"/>
  <c r="E78" i="20" s="1"/>
  <c r="A186" i="13" a="1"/>
  <c r="A186" i="13" s="1"/>
  <c r="H185" i="13" a="1"/>
  <c r="H185" i="13" s="1"/>
  <c r="B186" i="13" l="1" a="1"/>
  <c r="B186" i="13" s="1"/>
  <c r="F186" i="13" a="1"/>
  <c r="F186" i="13" s="1"/>
  <c r="G186" i="13" a="1"/>
  <c r="G186" i="13" s="1"/>
  <c r="H78" i="20" a="1"/>
  <c r="H78" i="20" s="1"/>
  <c r="F78" i="20" a="1"/>
  <c r="F78" i="20" s="1"/>
  <c r="C78" i="20" a="1"/>
  <c r="C78" i="20" s="1"/>
  <c r="A78" i="20" a="1"/>
  <c r="A78" i="20" s="1"/>
  <c r="B78" i="20" a="1"/>
  <c r="B78" i="20" s="1"/>
  <c r="G78" i="20" a="1"/>
  <c r="G78" i="20" s="1"/>
  <c r="D78" i="20" a="1"/>
  <c r="D78" i="20" s="1"/>
  <c r="I78" i="20" a="1"/>
  <c r="I78" i="20" s="1"/>
  <c r="J78" i="20" a="1"/>
  <c r="J78" i="20" s="1"/>
  <c r="K78" i="20" a="1"/>
  <c r="K78" i="20" s="1"/>
  <c r="M78" i="20" a="1"/>
  <c r="M78" i="20" s="1"/>
  <c r="L78" i="20" a="1"/>
  <c r="L78" i="20" s="1"/>
  <c r="E79" i="20" a="1"/>
  <c r="E79" i="20" s="1"/>
  <c r="A187" i="13" a="1"/>
  <c r="A187" i="13" s="1"/>
  <c r="H186" i="13" a="1"/>
  <c r="H186" i="13" s="1"/>
  <c r="F187" i="13" l="1" a="1"/>
  <c r="F187" i="13" s="1"/>
  <c r="G187" i="13" a="1"/>
  <c r="G187" i="13" s="1"/>
  <c r="H79" i="20" a="1"/>
  <c r="H79" i="20" s="1"/>
  <c r="C79" i="20" a="1"/>
  <c r="C79" i="20" s="1"/>
  <c r="G79" i="20" a="1"/>
  <c r="G79" i="20" s="1"/>
  <c r="A79" i="20" a="1"/>
  <c r="A79" i="20" s="1"/>
  <c r="F79" i="20" a="1"/>
  <c r="F79" i="20" s="1"/>
  <c r="B79" i="20" a="1"/>
  <c r="B79" i="20" s="1"/>
  <c r="D79" i="20" a="1"/>
  <c r="D79" i="20" s="1"/>
  <c r="I79" i="20" a="1"/>
  <c r="I79" i="20" s="1"/>
  <c r="J79" i="20" a="1"/>
  <c r="J79" i="20" s="1"/>
  <c r="K79" i="20" a="1"/>
  <c r="K79" i="20" s="1"/>
  <c r="M79" i="20" a="1"/>
  <c r="M79" i="20" s="1"/>
  <c r="L79" i="20" a="1"/>
  <c r="L79" i="20" s="1"/>
  <c r="E80" i="20" a="1"/>
  <c r="E80" i="20" s="1"/>
  <c r="A188" i="13" a="1"/>
  <c r="A188" i="13" s="1"/>
  <c r="H187" i="13" a="1"/>
  <c r="H187" i="13" s="1"/>
  <c r="B187" i="13" a="1"/>
  <c r="B187" i="13" s="1"/>
  <c r="F188" i="13" l="1" a="1"/>
  <c r="F188" i="13" s="1"/>
  <c r="G188" i="13" a="1"/>
  <c r="G188" i="13" s="1"/>
  <c r="H80" i="20" a="1"/>
  <c r="H80" i="20" s="1"/>
  <c r="B80" i="20" a="1"/>
  <c r="B80" i="20" s="1"/>
  <c r="G80" i="20" a="1"/>
  <c r="G80" i="20" s="1"/>
  <c r="C80" i="20" a="1"/>
  <c r="C80" i="20" s="1"/>
  <c r="F80" i="20" a="1"/>
  <c r="F80" i="20" s="1"/>
  <c r="A80" i="20" a="1"/>
  <c r="A80" i="20" s="1"/>
  <c r="D80" i="20" a="1"/>
  <c r="D80" i="20" s="1"/>
  <c r="I80" i="20" a="1"/>
  <c r="I80" i="20" s="1"/>
  <c r="J80" i="20" a="1"/>
  <c r="J80" i="20" s="1"/>
  <c r="K80" i="20" a="1"/>
  <c r="K80" i="20" s="1"/>
  <c r="M80" i="20" a="1"/>
  <c r="M80" i="20" s="1"/>
  <c r="L80" i="20" a="1"/>
  <c r="L80" i="20" s="1"/>
  <c r="E81" i="20" a="1"/>
  <c r="E81" i="20" s="1"/>
  <c r="H188" i="13" a="1"/>
  <c r="H188" i="13" s="1"/>
  <c r="B188" i="13" a="1"/>
  <c r="B188" i="13" s="1"/>
  <c r="A189" i="13" a="1"/>
  <c r="A189" i="13" s="1"/>
  <c r="B189" i="13" l="1" a="1"/>
  <c r="B189" i="13" s="1"/>
  <c r="F189" i="13" a="1"/>
  <c r="F189" i="13" s="1"/>
  <c r="G189" i="13" a="1"/>
  <c r="G189" i="13" s="1"/>
  <c r="H81" i="20" a="1"/>
  <c r="H81" i="20" s="1"/>
  <c r="G81" i="20" a="1"/>
  <c r="G81" i="20" s="1"/>
  <c r="C81" i="20" a="1"/>
  <c r="C81" i="20" s="1"/>
  <c r="D81" i="20" a="1"/>
  <c r="D81" i="20" s="1"/>
  <c r="B81" i="20" a="1"/>
  <c r="B81" i="20" s="1"/>
  <c r="A81" i="20" a="1"/>
  <c r="A81" i="20" s="1"/>
  <c r="F81" i="20" a="1"/>
  <c r="F81" i="20" s="1"/>
  <c r="I81" i="20" a="1"/>
  <c r="I81" i="20" s="1"/>
  <c r="K81" i="20" a="1"/>
  <c r="K81" i="20" s="1"/>
  <c r="J81" i="20" a="1"/>
  <c r="J81" i="20" s="1"/>
  <c r="M81" i="20" a="1"/>
  <c r="M81" i="20" s="1"/>
  <c r="L81" i="20" a="1"/>
  <c r="L81" i="20" s="1"/>
  <c r="E82" i="20" a="1"/>
  <c r="E82" i="20" s="1"/>
  <c r="A190" i="13" a="1"/>
  <c r="A190" i="13" s="1"/>
  <c r="H189" i="13" a="1"/>
  <c r="H189" i="13" s="1"/>
  <c r="B190" i="13" l="1" a="1"/>
  <c r="B190" i="13" s="1"/>
  <c r="F190" i="13" a="1"/>
  <c r="F190" i="13" s="1"/>
  <c r="G190" i="13" a="1"/>
  <c r="G190" i="13" s="1"/>
  <c r="H82" i="20" a="1"/>
  <c r="H82" i="20" s="1"/>
  <c r="A82" i="20" a="1"/>
  <c r="A82" i="20" s="1"/>
  <c r="C82" i="20" a="1"/>
  <c r="C82" i="20" s="1"/>
  <c r="F82" i="20" a="1"/>
  <c r="F82" i="20" s="1"/>
  <c r="B82" i="20" a="1"/>
  <c r="B82" i="20" s="1"/>
  <c r="G82" i="20" a="1"/>
  <c r="G82" i="20" s="1"/>
  <c r="D82" i="20" a="1"/>
  <c r="D82" i="20" s="1"/>
  <c r="I82" i="20" a="1"/>
  <c r="I82" i="20" s="1"/>
  <c r="J82" i="20" a="1"/>
  <c r="J82" i="20" s="1"/>
  <c r="K82" i="20" a="1"/>
  <c r="K82" i="20" s="1"/>
  <c r="M82" i="20" a="1"/>
  <c r="M82" i="20" s="1"/>
  <c r="L82" i="20" a="1"/>
  <c r="L82" i="20" s="1"/>
  <c r="E83" i="20" a="1"/>
  <c r="E83" i="20" s="1"/>
  <c r="A191" i="13" a="1"/>
  <c r="A191" i="13" s="1"/>
  <c r="H190" i="13" a="1"/>
  <c r="H190" i="13" s="1"/>
  <c r="B191" i="13" l="1" a="1"/>
  <c r="B191" i="13" s="1"/>
  <c r="F191" i="13" a="1"/>
  <c r="F191" i="13" s="1"/>
  <c r="G191" i="13" a="1"/>
  <c r="G191" i="13" s="1"/>
  <c r="G83" i="20" a="1"/>
  <c r="G83" i="20" s="1"/>
  <c r="B83" i="20" a="1"/>
  <c r="B83" i="20" s="1"/>
  <c r="F83" i="20" a="1"/>
  <c r="F83" i="20" s="1"/>
  <c r="A83" i="20" a="1"/>
  <c r="A83" i="20" s="1"/>
  <c r="D83" i="20" a="1"/>
  <c r="D83" i="20" s="1"/>
  <c r="H83" i="20" a="1"/>
  <c r="H83" i="20" s="1"/>
  <c r="C83" i="20" a="1"/>
  <c r="C83" i="20" s="1"/>
  <c r="I83" i="20" a="1"/>
  <c r="I83" i="20" s="1"/>
  <c r="K83" i="20" a="1"/>
  <c r="K83" i="20" s="1"/>
  <c r="J83" i="20" a="1"/>
  <c r="J83" i="20" s="1"/>
  <c r="M83" i="20" a="1"/>
  <c r="M83" i="20" s="1"/>
  <c r="L83" i="20" a="1"/>
  <c r="L83" i="20" s="1"/>
  <c r="E84" i="20" a="1"/>
  <c r="E84" i="20" s="1"/>
  <c r="A192" i="13" a="1"/>
  <c r="A192" i="13" s="1"/>
  <c r="H191" i="13" a="1"/>
  <c r="H191" i="13" s="1"/>
  <c r="F192" i="13" l="1" a="1"/>
  <c r="F192" i="13" s="1"/>
  <c r="G192" i="13" a="1"/>
  <c r="G192" i="13" s="1"/>
  <c r="H84" i="20" a="1"/>
  <c r="H84" i="20" s="1"/>
  <c r="C84" i="20" a="1"/>
  <c r="C84" i="20" s="1"/>
  <c r="G84" i="20" a="1"/>
  <c r="G84" i="20" s="1"/>
  <c r="A84" i="20" a="1"/>
  <c r="A84" i="20" s="1"/>
  <c r="F84" i="20" a="1"/>
  <c r="F84" i="20" s="1"/>
  <c r="B84" i="20" a="1"/>
  <c r="B84" i="20" s="1"/>
  <c r="D84" i="20" a="1"/>
  <c r="D84" i="20" s="1"/>
  <c r="I84" i="20" a="1"/>
  <c r="I84" i="20" s="1"/>
  <c r="K84" i="20" a="1"/>
  <c r="K84" i="20" s="1"/>
  <c r="J84" i="20" a="1"/>
  <c r="J84" i="20" s="1"/>
  <c r="M84" i="20" a="1"/>
  <c r="M84" i="20" s="1"/>
  <c r="L84" i="20" a="1"/>
  <c r="L84" i="20" s="1"/>
  <c r="E85" i="20" a="1"/>
  <c r="E85" i="20" s="1"/>
  <c r="A193" i="13" a="1"/>
  <c r="A193" i="13" s="1"/>
  <c r="H192" i="13" a="1"/>
  <c r="H192" i="13" s="1"/>
  <c r="B192" i="13" a="1"/>
  <c r="B192" i="13" s="1"/>
  <c r="H193" i="13" l="1" a="1"/>
  <c r="H193" i="13" s="1"/>
  <c r="F193" i="13" a="1"/>
  <c r="F193" i="13" s="1"/>
  <c r="G193" i="13" a="1"/>
  <c r="G193" i="13" s="1"/>
  <c r="H85" i="20" a="1"/>
  <c r="H85" i="20" s="1"/>
  <c r="F85" i="20" a="1"/>
  <c r="F85" i="20" s="1"/>
  <c r="C85" i="20" a="1"/>
  <c r="C85" i="20" s="1"/>
  <c r="A85" i="20" a="1"/>
  <c r="A85" i="20" s="1"/>
  <c r="B85" i="20" a="1"/>
  <c r="B85" i="20" s="1"/>
  <c r="D85" i="20" a="1"/>
  <c r="D85" i="20" s="1"/>
  <c r="G85" i="20" a="1"/>
  <c r="G85" i="20" s="1"/>
  <c r="I85" i="20" a="1"/>
  <c r="I85" i="20" s="1"/>
  <c r="K85" i="20" a="1"/>
  <c r="K85" i="20" s="1"/>
  <c r="J85" i="20" a="1"/>
  <c r="J85" i="20" s="1"/>
  <c r="M85" i="20" a="1"/>
  <c r="M85" i="20" s="1"/>
  <c r="L85" i="20" a="1"/>
  <c r="L85" i="20" s="1"/>
  <c r="E86" i="20" a="1"/>
  <c r="E86" i="20" s="1"/>
  <c r="B193" i="13" a="1"/>
  <c r="B193" i="13" s="1"/>
  <c r="A194" i="13" a="1"/>
  <c r="A194" i="13" s="1"/>
  <c r="B194" i="13" l="1" a="1"/>
  <c r="B194" i="13" s="1"/>
  <c r="F194" i="13" a="1"/>
  <c r="F194" i="13" s="1"/>
  <c r="G194" i="13" a="1"/>
  <c r="G194" i="13" s="1"/>
  <c r="H86" i="20" a="1"/>
  <c r="H86" i="20" s="1"/>
  <c r="G86" i="20" a="1"/>
  <c r="G86" i="20" s="1"/>
  <c r="C86" i="20" a="1"/>
  <c r="C86" i="20" s="1"/>
  <c r="A86" i="20" a="1"/>
  <c r="A86" i="20" s="1"/>
  <c r="B86" i="20" a="1"/>
  <c r="B86" i="20" s="1"/>
  <c r="D86" i="20" a="1"/>
  <c r="D86" i="20" s="1"/>
  <c r="F86" i="20" a="1"/>
  <c r="F86" i="20" s="1"/>
  <c r="I86" i="20" a="1"/>
  <c r="I86" i="20" s="1"/>
  <c r="J86" i="20" a="1"/>
  <c r="J86" i="20" s="1"/>
  <c r="K86" i="20" a="1"/>
  <c r="K86" i="20" s="1"/>
  <c r="M86" i="20" a="1"/>
  <c r="M86" i="20" s="1"/>
  <c r="L86" i="20" a="1"/>
  <c r="L86" i="20" s="1"/>
  <c r="E87" i="20" a="1"/>
  <c r="E87" i="20" s="1"/>
  <c r="A195" i="13" a="1"/>
  <c r="A195" i="13" s="1"/>
  <c r="H194" i="13" a="1"/>
  <c r="H194" i="13" s="1"/>
  <c r="B195" i="13" l="1" a="1"/>
  <c r="B195" i="13" s="1"/>
  <c r="F195" i="13" a="1"/>
  <c r="F195" i="13" s="1"/>
  <c r="G195" i="13" a="1"/>
  <c r="G195" i="13" s="1"/>
  <c r="H87" i="20" a="1"/>
  <c r="H87" i="20" s="1"/>
  <c r="A87" i="20" a="1"/>
  <c r="A87" i="20" s="1"/>
  <c r="G87" i="20" a="1"/>
  <c r="G87" i="20" s="1"/>
  <c r="B87" i="20" a="1"/>
  <c r="B87" i="20" s="1"/>
  <c r="F87" i="20" a="1"/>
  <c r="F87" i="20" s="1"/>
  <c r="C87" i="20" a="1"/>
  <c r="C87" i="20" s="1"/>
  <c r="D87" i="20" a="1"/>
  <c r="D87" i="20" s="1"/>
  <c r="I87" i="20" a="1"/>
  <c r="I87" i="20" s="1"/>
  <c r="K87" i="20" a="1"/>
  <c r="K87" i="20" s="1"/>
  <c r="J87" i="20" a="1"/>
  <c r="J87" i="20" s="1"/>
  <c r="M87" i="20" a="1"/>
  <c r="M87" i="20" s="1"/>
  <c r="L87" i="20" a="1"/>
  <c r="L87" i="20" s="1"/>
  <c r="E88" i="20" a="1"/>
  <c r="E88" i="20" s="1"/>
  <c r="A196" i="13" a="1"/>
  <c r="A196" i="13" s="1"/>
  <c r="H195" i="13" a="1"/>
  <c r="H195" i="13" s="1"/>
  <c r="F196" i="13" l="1" a="1"/>
  <c r="F196" i="13" s="1"/>
  <c r="G196" i="13" a="1"/>
  <c r="G196" i="13" s="1"/>
  <c r="H88" i="20" a="1"/>
  <c r="H88" i="20" s="1"/>
  <c r="A88" i="20" a="1"/>
  <c r="A88" i="20" s="1"/>
  <c r="G88" i="20" a="1"/>
  <c r="G88" i="20" s="1"/>
  <c r="B88" i="20" a="1"/>
  <c r="B88" i="20" s="1"/>
  <c r="F88" i="20" a="1"/>
  <c r="F88" i="20" s="1"/>
  <c r="C88" i="20" a="1"/>
  <c r="C88" i="20" s="1"/>
  <c r="D88" i="20" a="1"/>
  <c r="D88" i="20" s="1"/>
  <c r="I88" i="20" a="1"/>
  <c r="I88" i="20" s="1"/>
  <c r="J88" i="20" a="1"/>
  <c r="J88" i="20" s="1"/>
  <c r="K88" i="20" a="1"/>
  <c r="K88" i="20" s="1"/>
  <c r="L88" i="20" a="1"/>
  <c r="L88" i="20" s="1"/>
  <c r="M88" i="20" a="1"/>
  <c r="M88" i="20" s="1"/>
  <c r="E89" i="20" a="1"/>
  <c r="E89" i="20" s="1"/>
  <c r="A197" i="13" a="1"/>
  <c r="A197" i="13" s="1"/>
  <c r="H196" i="13" a="1"/>
  <c r="H196" i="13" s="1"/>
  <c r="B196" i="13" a="1"/>
  <c r="B196" i="13" s="1"/>
  <c r="F197" i="13" l="1" a="1"/>
  <c r="F197" i="13" s="1"/>
  <c r="G197" i="13" a="1"/>
  <c r="G197" i="13" s="1"/>
  <c r="H89" i="20" a="1"/>
  <c r="H89" i="20" s="1"/>
  <c r="F89" i="20" a="1"/>
  <c r="F89" i="20" s="1"/>
  <c r="C89" i="20" a="1"/>
  <c r="C89" i="20" s="1"/>
  <c r="G89" i="20" a="1"/>
  <c r="G89" i="20" s="1"/>
  <c r="B89" i="20" a="1"/>
  <c r="B89" i="20" s="1"/>
  <c r="A89" i="20" a="1"/>
  <c r="A89" i="20" s="1"/>
  <c r="D89" i="20" a="1"/>
  <c r="D89" i="20" s="1"/>
  <c r="I89" i="20" a="1"/>
  <c r="I89" i="20" s="1"/>
  <c r="J89" i="20" a="1"/>
  <c r="J89" i="20" s="1"/>
  <c r="K89" i="20" a="1"/>
  <c r="K89" i="20" s="1"/>
  <c r="L89" i="20" a="1"/>
  <c r="L89" i="20" s="1"/>
  <c r="M89" i="20" a="1"/>
  <c r="M89" i="20" s="1"/>
  <c r="E90" i="20" a="1"/>
  <c r="E90" i="20" s="1"/>
  <c r="H197" i="13" a="1"/>
  <c r="H197" i="13" s="1"/>
  <c r="B197" i="13" a="1"/>
  <c r="B197" i="13" s="1"/>
  <c r="A198" i="13" a="1"/>
  <c r="A198" i="13" s="1"/>
  <c r="B198" i="13" l="1" a="1"/>
  <c r="B198" i="13" s="1"/>
  <c r="F198" i="13" a="1"/>
  <c r="F198" i="13" s="1"/>
  <c r="G198" i="13" a="1"/>
  <c r="G198" i="13" s="1"/>
  <c r="H90" i="20" a="1"/>
  <c r="H90" i="20" s="1"/>
  <c r="A90" i="20" a="1"/>
  <c r="A90" i="20" s="1"/>
  <c r="C90" i="20" a="1"/>
  <c r="C90" i="20" s="1"/>
  <c r="D90" i="20" a="1"/>
  <c r="D90" i="20" s="1"/>
  <c r="B90" i="20" a="1"/>
  <c r="B90" i="20" s="1"/>
  <c r="F90" i="20" a="1"/>
  <c r="F90" i="20" s="1"/>
  <c r="G90" i="20" a="1"/>
  <c r="G90" i="20" s="1"/>
  <c r="I90" i="20" a="1"/>
  <c r="I90" i="20" s="1"/>
  <c r="J90" i="20" a="1"/>
  <c r="J90" i="20" s="1"/>
  <c r="K90" i="20" a="1"/>
  <c r="K90" i="20" s="1"/>
  <c r="M90" i="20" a="1"/>
  <c r="M90" i="20" s="1"/>
  <c r="L90" i="20" a="1"/>
  <c r="L90" i="20" s="1"/>
  <c r="E91" i="20" a="1"/>
  <c r="E91" i="20" s="1"/>
  <c r="A199" i="13" a="1"/>
  <c r="A199" i="13" s="1"/>
  <c r="H198" i="13" a="1"/>
  <c r="H198" i="13" s="1"/>
  <c r="F199" i="13" l="1" a="1"/>
  <c r="F199" i="13" s="1"/>
  <c r="G199" i="13" a="1"/>
  <c r="G199" i="13" s="1"/>
  <c r="H91" i="20" a="1"/>
  <c r="H91" i="20" s="1"/>
  <c r="B91" i="20" a="1"/>
  <c r="B91" i="20" s="1"/>
  <c r="G91" i="20" a="1"/>
  <c r="G91" i="20" s="1"/>
  <c r="C91" i="20" a="1"/>
  <c r="C91" i="20" s="1"/>
  <c r="F91" i="20" a="1"/>
  <c r="F91" i="20" s="1"/>
  <c r="A91" i="20" a="1"/>
  <c r="A91" i="20" s="1"/>
  <c r="D91" i="20" a="1"/>
  <c r="D91" i="20" s="1"/>
  <c r="I91" i="20" a="1"/>
  <c r="I91" i="20" s="1"/>
  <c r="K91" i="20" a="1"/>
  <c r="K91" i="20" s="1"/>
  <c r="J91" i="20" a="1"/>
  <c r="J91" i="20" s="1"/>
  <c r="M91" i="20" a="1"/>
  <c r="M91" i="20" s="1"/>
  <c r="L91" i="20" a="1"/>
  <c r="L91" i="20" s="1"/>
  <c r="E92" i="20" a="1"/>
  <c r="E92" i="20" s="1"/>
  <c r="A200" i="13" a="1"/>
  <c r="A200" i="13" s="1"/>
  <c r="H199" i="13" a="1"/>
  <c r="H199" i="13" s="1"/>
  <c r="B199" i="13" a="1"/>
  <c r="B199" i="13" s="1"/>
  <c r="F200" i="13" l="1" a="1"/>
  <c r="F200" i="13" s="1"/>
  <c r="G200" i="13" a="1"/>
  <c r="G200" i="13" s="1"/>
  <c r="H92" i="20" a="1"/>
  <c r="H92" i="20" s="1"/>
  <c r="A92" i="20" a="1"/>
  <c r="A92" i="20" s="1"/>
  <c r="G92" i="20" a="1"/>
  <c r="G92" i="20" s="1"/>
  <c r="B92" i="20" a="1"/>
  <c r="B92" i="20" s="1"/>
  <c r="F92" i="20" a="1"/>
  <c r="F92" i="20" s="1"/>
  <c r="C92" i="20" a="1"/>
  <c r="C92" i="20" s="1"/>
  <c r="D92" i="20" a="1"/>
  <c r="D92" i="20" s="1"/>
  <c r="I92" i="20" a="1"/>
  <c r="I92" i="20" s="1"/>
  <c r="K92" i="20" a="1"/>
  <c r="K92" i="20" s="1"/>
  <c r="J92" i="20" a="1"/>
  <c r="J92" i="20" s="1"/>
  <c r="M92" i="20" a="1"/>
  <c r="M92" i="20" s="1"/>
  <c r="L92" i="20" a="1"/>
  <c r="L92" i="20" s="1"/>
  <c r="E93" i="20" a="1"/>
  <c r="E93" i="20" s="1"/>
  <c r="H200" i="13" a="1"/>
  <c r="H200" i="13" s="1"/>
  <c r="B200" i="13" a="1"/>
  <c r="B200" i="13" s="1"/>
  <c r="A201" i="13" a="1"/>
  <c r="A201" i="13" s="1"/>
  <c r="B201" i="13" l="1" a="1"/>
  <c r="B201" i="13" s="1"/>
  <c r="F201" i="13" a="1"/>
  <c r="F201" i="13" s="1"/>
  <c r="G201" i="13" a="1"/>
  <c r="G201" i="13" s="1"/>
  <c r="H93" i="20" a="1"/>
  <c r="H93" i="20" s="1"/>
  <c r="F93" i="20" a="1"/>
  <c r="F93" i="20" s="1"/>
  <c r="C93" i="20" a="1"/>
  <c r="C93" i="20" s="1"/>
  <c r="A93" i="20" a="1"/>
  <c r="A93" i="20" s="1"/>
  <c r="B93" i="20" a="1"/>
  <c r="B93" i="20" s="1"/>
  <c r="G93" i="20" a="1"/>
  <c r="G93" i="20" s="1"/>
  <c r="D93" i="20" a="1"/>
  <c r="D93" i="20" s="1"/>
  <c r="I93" i="20" a="1"/>
  <c r="I93" i="20" s="1"/>
  <c r="K93" i="20" a="1"/>
  <c r="K93" i="20" s="1"/>
  <c r="J93" i="20" a="1"/>
  <c r="J93" i="20" s="1"/>
  <c r="M93" i="20" a="1"/>
  <c r="M93" i="20" s="1"/>
  <c r="L93" i="20" a="1"/>
  <c r="L93" i="20" s="1"/>
  <c r="E94" i="20" a="1"/>
  <c r="E94" i="20" s="1"/>
  <c r="A202" i="13" a="1"/>
  <c r="A202" i="13" s="1"/>
  <c r="H201" i="13" a="1"/>
  <c r="H201" i="13" s="1"/>
  <c r="B202" i="13" l="1" a="1"/>
  <c r="B202" i="13" s="1"/>
  <c r="F202" i="13" a="1"/>
  <c r="F202" i="13" s="1"/>
  <c r="G202" i="13" a="1"/>
  <c r="G202" i="13" s="1"/>
  <c r="H94" i="20" a="1"/>
  <c r="H94" i="20" s="1"/>
  <c r="D94" i="20" a="1"/>
  <c r="D94" i="20" s="1"/>
  <c r="C94" i="20" a="1"/>
  <c r="C94" i="20" s="1"/>
  <c r="F94" i="20" a="1"/>
  <c r="F94" i="20" s="1"/>
  <c r="B94" i="20" a="1"/>
  <c r="B94" i="20" s="1"/>
  <c r="G94" i="20" a="1"/>
  <c r="G94" i="20" s="1"/>
  <c r="A94" i="20" a="1"/>
  <c r="A94" i="20" s="1"/>
  <c r="I94" i="20" a="1"/>
  <c r="I94" i="20" s="1"/>
  <c r="J94" i="20" a="1"/>
  <c r="J94" i="20" s="1"/>
  <c r="K94" i="20" a="1"/>
  <c r="K94" i="20" s="1"/>
  <c r="M94" i="20" a="1"/>
  <c r="M94" i="20" s="1"/>
  <c r="L94" i="20" a="1"/>
  <c r="L94" i="20" s="1"/>
  <c r="E95" i="20" a="1"/>
  <c r="E95" i="20" s="1"/>
  <c r="A203" i="13" a="1"/>
  <c r="A203" i="13" s="1"/>
  <c r="H202" i="13" a="1"/>
  <c r="H202" i="13" s="1"/>
  <c r="B203" i="13" l="1" a="1"/>
  <c r="B203" i="13" s="1"/>
  <c r="F203" i="13" a="1"/>
  <c r="F203" i="13" s="1"/>
  <c r="G203" i="13" a="1"/>
  <c r="G203" i="13" s="1"/>
  <c r="H95" i="20" a="1"/>
  <c r="H95" i="20" s="1"/>
  <c r="C95" i="20" a="1"/>
  <c r="C95" i="20" s="1"/>
  <c r="F95" i="20" a="1"/>
  <c r="F95" i="20" s="1"/>
  <c r="D95" i="20" a="1"/>
  <c r="D95" i="20" s="1"/>
  <c r="G95" i="20" a="1"/>
  <c r="G95" i="20" s="1"/>
  <c r="A95" i="20" a="1"/>
  <c r="A95" i="20" s="1"/>
  <c r="B95" i="20" a="1"/>
  <c r="B95" i="20" s="1"/>
  <c r="I95" i="20" a="1"/>
  <c r="I95" i="20" s="1"/>
  <c r="J95" i="20" a="1"/>
  <c r="J95" i="20" s="1"/>
  <c r="K95" i="20" a="1"/>
  <c r="K95" i="20" s="1"/>
  <c r="M95" i="20" a="1"/>
  <c r="M95" i="20" s="1"/>
  <c r="L95" i="20" a="1"/>
  <c r="L95" i="20" s="1"/>
  <c r="E96" i="20" a="1"/>
  <c r="E96" i="20" s="1"/>
  <c r="A204" i="13" a="1"/>
  <c r="A204" i="13" s="1"/>
  <c r="H203" i="13" a="1"/>
  <c r="H203" i="13" s="1"/>
  <c r="B204" i="13" l="1" a="1"/>
  <c r="B204" i="13" s="1"/>
  <c r="F204" i="13" a="1"/>
  <c r="F204" i="13" s="1"/>
  <c r="G204" i="13" a="1"/>
  <c r="G204" i="13" s="1"/>
  <c r="H96" i="20" a="1"/>
  <c r="H96" i="20" s="1"/>
  <c r="B96" i="20" a="1"/>
  <c r="B96" i="20" s="1"/>
  <c r="G96" i="20" a="1"/>
  <c r="G96" i="20" s="1"/>
  <c r="C96" i="20" a="1"/>
  <c r="C96" i="20" s="1"/>
  <c r="F96" i="20" a="1"/>
  <c r="F96" i="20" s="1"/>
  <c r="A96" i="20" a="1"/>
  <c r="A96" i="20" s="1"/>
  <c r="D96" i="20" a="1"/>
  <c r="D96" i="20" s="1"/>
  <c r="I96" i="20" a="1"/>
  <c r="I96" i="20" s="1"/>
  <c r="J96" i="20" a="1"/>
  <c r="J96" i="20" s="1"/>
  <c r="K96" i="20" a="1"/>
  <c r="K96" i="20" s="1"/>
  <c r="M96" i="20" a="1"/>
  <c r="M96" i="20" s="1"/>
  <c r="L96" i="20" a="1"/>
  <c r="L96" i="20" s="1"/>
  <c r="E97" i="20" a="1"/>
  <c r="E97" i="20" s="1"/>
  <c r="A205" i="13" a="1"/>
  <c r="A205" i="13" s="1"/>
  <c r="H204" i="13" a="1"/>
  <c r="H204" i="13" s="1"/>
  <c r="B205" i="13" l="1" a="1"/>
  <c r="B205" i="13" s="1"/>
  <c r="F205" i="13" a="1"/>
  <c r="F205" i="13" s="1"/>
  <c r="G205" i="13" a="1"/>
  <c r="G205" i="13" s="1"/>
  <c r="L97" i="20" a="1"/>
  <c r="L97" i="20" s="1"/>
  <c r="J97" i="20" a="1"/>
  <c r="J97" i="20" s="1"/>
  <c r="F97" i="20" a="1"/>
  <c r="F97" i="20" s="1"/>
  <c r="K97" i="20" a="1"/>
  <c r="K97" i="20" s="1"/>
  <c r="C97" i="20" a="1"/>
  <c r="C97" i="20" s="1"/>
  <c r="G97" i="20" a="1"/>
  <c r="G97" i="20" s="1"/>
  <c r="I97" i="20" a="1"/>
  <c r="I97" i="20" s="1"/>
  <c r="D97" i="20" a="1"/>
  <c r="D97" i="20" s="1"/>
  <c r="H97" i="20" a="1"/>
  <c r="H97" i="20" s="1"/>
  <c r="M97" i="20" a="1"/>
  <c r="M97" i="20" s="1"/>
  <c r="A97" i="20" a="1"/>
  <c r="A97" i="20" s="1"/>
  <c r="B97" i="20" a="1"/>
  <c r="B97" i="20" s="1"/>
  <c r="E98" i="20" a="1"/>
  <c r="E98" i="20" s="1"/>
  <c r="A206" i="13" a="1"/>
  <c r="A206" i="13" s="1"/>
  <c r="H205" i="13" a="1"/>
  <c r="H205" i="13" s="1"/>
  <c r="B206" i="13" l="1" a="1"/>
  <c r="B206" i="13" s="1"/>
  <c r="F206" i="13" a="1"/>
  <c r="F206" i="13" s="1"/>
  <c r="G206" i="13" a="1"/>
  <c r="G206" i="13" s="1"/>
  <c r="M98" i="20" a="1"/>
  <c r="M98" i="20" s="1"/>
  <c r="I98" i="20" a="1"/>
  <c r="I98" i="20" s="1"/>
  <c r="D98" i="20" a="1"/>
  <c r="D98" i="20" s="1"/>
  <c r="L98" i="20" a="1"/>
  <c r="L98" i="20" s="1"/>
  <c r="H98" i="20" a="1"/>
  <c r="H98" i="20" s="1"/>
  <c r="A98" i="20" a="1"/>
  <c r="A98" i="20" s="1"/>
  <c r="J98" i="20" a="1"/>
  <c r="J98" i="20" s="1"/>
  <c r="C98" i="20" a="1"/>
  <c r="C98" i="20" s="1"/>
  <c r="F98" i="20" a="1"/>
  <c r="F98" i="20" s="1"/>
  <c r="K98" i="20" a="1"/>
  <c r="K98" i="20" s="1"/>
  <c r="B98" i="20" a="1"/>
  <c r="B98" i="20" s="1"/>
  <c r="G98" i="20" a="1"/>
  <c r="G98" i="20" s="1"/>
  <c r="E99" i="20" a="1"/>
  <c r="E99" i="20" s="1"/>
  <c r="A207" i="13" a="1"/>
  <c r="A207" i="13" s="1"/>
  <c r="H206" i="13" a="1"/>
  <c r="H206" i="13" s="1"/>
  <c r="B207" i="13" l="1" a="1"/>
  <c r="B207" i="13" s="1"/>
  <c r="F207" i="13" a="1"/>
  <c r="F207" i="13" s="1"/>
  <c r="G207" i="13" a="1"/>
  <c r="G207" i="13" s="1"/>
  <c r="M99" i="20" a="1"/>
  <c r="M99" i="20" s="1"/>
  <c r="I99" i="20" a="1"/>
  <c r="I99" i="20" s="1"/>
  <c r="D99" i="20" a="1"/>
  <c r="D99" i="20" s="1"/>
  <c r="K99" i="20" a="1"/>
  <c r="K99" i="20" s="1"/>
  <c r="H99" i="20" a="1"/>
  <c r="H99" i="20" s="1"/>
  <c r="B99" i="20" a="1"/>
  <c r="B99" i="20" s="1"/>
  <c r="L99" i="20" a="1"/>
  <c r="L99" i="20" s="1"/>
  <c r="G99" i="20" a="1"/>
  <c r="G99" i="20" s="1"/>
  <c r="A99" i="20" a="1"/>
  <c r="A99" i="20" s="1"/>
  <c r="J99" i="20" a="1"/>
  <c r="J99" i="20" s="1"/>
  <c r="F99" i="20" a="1"/>
  <c r="F99" i="20" s="1"/>
  <c r="C99" i="20" a="1"/>
  <c r="C99" i="20" s="1"/>
  <c r="E100" i="20" a="1"/>
  <c r="E100" i="20" s="1"/>
  <c r="A208" i="13" a="1"/>
  <c r="A208" i="13" s="1"/>
  <c r="H207" i="13" a="1"/>
  <c r="H207" i="13" s="1"/>
  <c r="F208" i="13" l="1" a="1"/>
  <c r="F208" i="13" s="1"/>
  <c r="G208" i="13" a="1"/>
  <c r="G208" i="13" s="1"/>
  <c r="L100" i="20" a="1"/>
  <c r="L100" i="20" s="1"/>
  <c r="I100" i="20" a="1"/>
  <c r="I100" i="20" s="1"/>
  <c r="D100" i="20" a="1"/>
  <c r="D100" i="20" s="1"/>
  <c r="M100" i="20" a="1"/>
  <c r="M100" i="20" s="1"/>
  <c r="H100" i="20" a="1"/>
  <c r="H100" i="20" s="1"/>
  <c r="C100" i="20" a="1"/>
  <c r="C100" i="20" s="1"/>
  <c r="G100" i="20" a="1"/>
  <c r="G100" i="20" s="1"/>
  <c r="B100" i="20" a="1"/>
  <c r="B100" i="20" s="1"/>
  <c r="J100" i="20" a="1"/>
  <c r="J100" i="20" s="1"/>
  <c r="F100" i="20" a="1"/>
  <c r="F100" i="20" s="1"/>
  <c r="K100" i="20" a="1"/>
  <c r="K100" i="20" s="1"/>
  <c r="A100" i="20" a="1"/>
  <c r="A100" i="20" s="1"/>
  <c r="E101" i="20" a="1"/>
  <c r="E101" i="20" s="1"/>
  <c r="H208" i="13" a="1"/>
  <c r="H208" i="13" s="1"/>
  <c r="B208" i="13" a="1"/>
  <c r="B208" i="13" s="1"/>
  <c r="A209" i="13" a="1"/>
  <c r="A209" i="13" s="1"/>
  <c r="B209" i="13" l="1" a="1"/>
  <c r="B209" i="13" s="1"/>
  <c r="F209" i="13" a="1"/>
  <c r="F209" i="13" s="1"/>
  <c r="G209" i="13" a="1"/>
  <c r="G209" i="13" s="1"/>
  <c r="M101" i="20" a="1"/>
  <c r="M101" i="20" s="1"/>
  <c r="J101" i="20" a="1"/>
  <c r="J101" i="20" s="1"/>
  <c r="G101" i="20" a="1"/>
  <c r="G101" i="20" s="1"/>
  <c r="L101" i="20" a="1"/>
  <c r="L101" i="20" s="1"/>
  <c r="K101" i="20" a="1"/>
  <c r="K101" i="20" s="1"/>
  <c r="A101" i="20" a="1"/>
  <c r="A101" i="20" s="1"/>
  <c r="I101" i="20" a="1"/>
  <c r="I101" i="20" s="1"/>
  <c r="D101" i="20" a="1"/>
  <c r="D101" i="20" s="1"/>
  <c r="H101" i="20" a="1"/>
  <c r="H101" i="20" s="1"/>
  <c r="B101" i="20" a="1"/>
  <c r="B101" i="20" s="1"/>
  <c r="F101" i="20" a="1"/>
  <c r="F101" i="20" s="1"/>
  <c r="C101" i="20" a="1"/>
  <c r="C101" i="20" s="1"/>
  <c r="E102" i="20" a="1"/>
  <c r="E102" i="20" s="1"/>
  <c r="A210" i="13" a="1"/>
  <c r="A210" i="13" s="1"/>
  <c r="H209" i="13" a="1"/>
  <c r="H209" i="13" s="1"/>
  <c r="F210" i="13" l="1" a="1"/>
  <c r="F210" i="13" s="1"/>
  <c r="G210" i="13" a="1"/>
  <c r="G210" i="13" s="1"/>
  <c r="M102" i="20" a="1"/>
  <c r="M102" i="20" s="1"/>
  <c r="H102" i="20" a="1"/>
  <c r="H102" i="20" s="1"/>
  <c r="F102" i="20" a="1"/>
  <c r="F102" i="20" s="1"/>
  <c r="L102" i="20" a="1"/>
  <c r="L102" i="20" s="1"/>
  <c r="J102" i="20" a="1"/>
  <c r="J102" i="20" s="1"/>
  <c r="G102" i="20" a="1"/>
  <c r="G102" i="20" s="1"/>
  <c r="K102" i="20" a="1"/>
  <c r="K102" i="20" s="1"/>
  <c r="C102" i="20" a="1"/>
  <c r="C102" i="20" s="1"/>
  <c r="D102" i="20" a="1"/>
  <c r="D102" i="20" s="1"/>
  <c r="I102" i="20" a="1"/>
  <c r="I102" i="20" s="1"/>
  <c r="B102" i="20" a="1"/>
  <c r="B102" i="20" s="1"/>
  <c r="A102" i="20" a="1"/>
  <c r="A102" i="20" s="1"/>
  <c r="E103" i="20" a="1"/>
  <c r="E103" i="20" s="1"/>
  <c r="A211" i="13" a="1"/>
  <c r="A211" i="13" s="1"/>
  <c r="H210" i="13" a="1"/>
  <c r="H210" i="13" s="1"/>
  <c r="B210" i="13" a="1"/>
  <c r="B210" i="13" s="1"/>
  <c r="B211" i="13" l="1" a="1"/>
  <c r="B211" i="13" s="1"/>
  <c r="F211" i="13" a="1"/>
  <c r="F211" i="13" s="1"/>
  <c r="G211" i="13" a="1"/>
  <c r="G211" i="13" s="1"/>
  <c r="M103" i="20" a="1"/>
  <c r="M103" i="20" s="1"/>
  <c r="I103" i="20" a="1"/>
  <c r="I103" i="20" s="1"/>
  <c r="D103" i="20" a="1"/>
  <c r="D103" i="20" s="1"/>
  <c r="K103" i="20" a="1"/>
  <c r="K103" i="20" s="1"/>
  <c r="H103" i="20" a="1"/>
  <c r="H103" i="20" s="1"/>
  <c r="A103" i="20" a="1"/>
  <c r="A103" i="20" s="1"/>
  <c r="J103" i="20" a="1"/>
  <c r="J103" i="20" s="1"/>
  <c r="G103" i="20" a="1"/>
  <c r="G103" i="20" s="1"/>
  <c r="B103" i="20" a="1"/>
  <c r="B103" i="20" s="1"/>
  <c r="L103" i="20" a="1"/>
  <c r="L103" i="20" s="1"/>
  <c r="F103" i="20" a="1"/>
  <c r="F103" i="20" s="1"/>
  <c r="C103" i="20" a="1"/>
  <c r="C103" i="20" s="1"/>
  <c r="E104" i="20" a="1"/>
  <c r="E104" i="20" s="1"/>
  <c r="H211" i="13" a="1"/>
  <c r="H211" i="13" s="1"/>
  <c r="A212" i="13" a="1"/>
  <c r="A212" i="13" s="1"/>
  <c r="F212" i="13" l="1" a="1"/>
  <c r="F212" i="13" s="1"/>
  <c r="G212" i="13" a="1"/>
  <c r="G212" i="13" s="1"/>
  <c r="M104" i="20" a="1"/>
  <c r="M104" i="20" s="1"/>
  <c r="G104" i="20" a="1"/>
  <c r="G104" i="20" s="1"/>
  <c r="I104" i="20" a="1"/>
  <c r="I104" i="20" s="1"/>
  <c r="L104" i="20" a="1"/>
  <c r="L104" i="20" s="1"/>
  <c r="F104" i="20" a="1"/>
  <c r="F104" i="20" s="1"/>
  <c r="H104" i="20" a="1"/>
  <c r="H104" i="20" s="1"/>
  <c r="K104" i="20" a="1"/>
  <c r="K104" i="20" s="1"/>
  <c r="D104" i="20" a="1"/>
  <c r="D104" i="20" s="1"/>
  <c r="A104" i="20" a="1"/>
  <c r="A104" i="20" s="1"/>
  <c r="J104" i="20" a="1"/>
  <c r="J104" i="20" s="1"/>
  <c r="C104" i="20" a="1"/>
  <c r="C104" i="20" s="1"/>
  <c r="B104" i="20" a="1"/>
  <c r="B104" i="20" s="1"/>
  <c r="E105" i="20" a="1"/>
  <c r="E105" i="20" s="1"/>
  <c r="A213" i="13" a="1"/>
  <c r="A213" i="13" s="1"/>
  <c r="H212" i="13" a="1"/>
  <c r="H212" i="13" s="1"/>
  <c r="B212" i="13" a="1"/>
  <c r="B212" i="13" s="1"/>
  <c r="B213" i="13" l="1" a="1"/>
  <c r="B213" i="13" s="1"/>
  <c r="F213" i="13" a="1"/>
  <c r="F213" i="13" s="1"/>
  <c r="G213" i="13" a="1"/>
  <c r="G213" i="13" s="1"/>
  <c r="L105" i="20" a="1"/>
  <c r="L105" i="20" s="1"/>
  <c r="H105" i="20" a="1"/>
  <c r="H105" i="20" s="1"/>
  <c r="G105" i="20" a="1"/>
  <c r="G105" i="20" s="1"/>
  <c r="M105" i="20" a="1"/>
  <c r="M105" i="20" s="1"/>
  <c r="K105" i="20" a="1"/>
  <c r="K105" i="20" s="1"/>
  <c r="D105" i="20" a="1"/>
  <c r="D105" i="20" s="1"/>
  <c r="J105" i="20" a="1"/>
  <c r="J105" i="20" s="1"/>
  <c r="C105" i="20" a="1"/>
  <c r="C105" i="20" s="1"/>
  <c r="F105" i="20" a="1"/>
  <c r="F105" i="20" s="1"/>
  <c r="I105" i="20" a="1"/>
  <c r="I105" i="20" s="1"/>
  <c r="B105" i="20" a="1"/>
  <c r="B105" i="20" s="1"/>
  <c r="A105" i="20" a="1"/>
  <c r="A105" i="20" s="1"/>
  <c r="E106" i="20" a="1"/>
  <c r="E106" i="20" s="1"/>
  <c r="H213" i="13" a="1"/>
  <c r="H213" i="13" s="1"/>
  <c r="A214" i="13" a="1"/>
  <c r="A214" i="13" s="1"/>
  <c r="F214" i="13" l="1" a="1"/>
  <c r="F214" i="13" s="1"/>
  <c r="G214" i="13" a="1"/>
  <c r="G214" i="13" s="1"/>
  <c r="M106" i="20" a="1"/>
  <c r="M106" i="20" s="1"/>
  <c r="H106" i="20" a="1"/>
  <c r="H106" i="20" s="1"/>
  <c r="A106" i="20" a="1"/>
  <c r="A106" i="20" s="1"/>
  <c r="L106" i="20" a="1"/>
  <c r="L106" i="20" s="1"/>
  <c r="C106" i="20" a="1"/>
  <c r="C106" i="20" s="1"/>
  <c r="F106" i="20" a="1"/>
  <c r="F106" i="20" s="1"/>
  <c r="J106" i="20" a="1"/>
  <c r="J106" i="20" s="1"/>
  <c r="B106" i="20" a="1"/>
  <c r="B106" i="20" s="1"/>
  <c r="I106" i="20" a="1"/>
  <c r="I106" i="20" s="1"/>
  <c r="G106" i="20" a="1"/>
  <c r="G106" i="20" s="1"/>
  <c r="D106" i="20" a="1"/>
  <c r="D106" i="20" s="1"/>
  <c r="K106" i="20" a="1"/>
  <c r="K106" i="20" s="1"/>
  <c r="E107" i="20" a="1"/>
  <c r="E107" i="20" s="1"/>
  <c r="B214" i="13" a="1"/>
  <c r="B214" i="13" s="1"/>
  <c r="H214" i="13" a="1"/>
  <c r="H214" i="13" s="1"/>
  <c r="A215" i="13" a="1"/>
  <c r="A215" i="13" s="1"/>
  <c r="B215" i="13" l="1" a="1"/>
  <c r="B215" i="13" s="1"/>
  <c r="F215" i="13" a="1"/>
  <c r="F215" i="13" s="1"/>
  <c r="G215" i="13" a="1"/>
  <c r="G215" i="13" s="1"/>
  <c r="M107" i="20" a="1"/>
  <c r="M107" i="20" s="1"/>
  <c r="I107" i="20" a="1"/>
  <c r="I107" i="20" s="1"/>
  <c r="D107" i="20" a="1"/>
  <c r="D107" i="20" s="1"/>
  <c r="K107" i="20" a="1"/>
  <c r="K107" i="20" s="1"/>
  <c r="H107" i="20" a="1"/>
  <c r="H107" i="20" s="1"/>
  <c r="B107" i="20" a="1"/>
  <c r="B107" i="20" s="1"/>
  <c r="L107" i="20" a="1"/>
  <c r="L107" i="20" s="1"/>
  <c r="G107" i="20" a="1"/>
  <c r="G107" i="20" s="1"/>
  <c r="C107" i="20" a="1"/>
  <c r="C107" i="20" s="1"/>
  <c r="J107" i="20" a="1"/>
  <c r="J107" i="20" s="1"/>
  <c r="F107" i="20" a="1"/>
  <c r="F107" i="20" s="1"/>
  <c r="A107" i="20" a="1"/>
  <c r="A107" i="20" s="1"/>
  <c r="E108" i="20" a="1"/>
  <c r="E108" i="20" s="1"/>
  <c r="A216" i="13" a="1"/>
  <c r="A216" i="13" s="1"/>
  <c r="H215" i="13" a="1"/>
  <c r="H215" i="13" s="1"/>
  <c r="H216" i="13" l="1" a="1"/>
  <c r="H216" i="13" s="1"/>
  <c r="F216" i="13" a="1"/>
  <c r="F216" i="13" s="1"/>
  <c r="G216" i="13" a="1"/>
  <c r="G216" i="13" s="1"/>
  <c r="L108" i="20" a="1"/>
  <c r="L108" i="20" s="1"/>
  <c r="I108" i="20" a="1"/>
  <c r="I108" i="20" s="1"/>
  <c r="D108" i="20" a="1"/>
  <c r="D108" i="20" s="1"/>
  <c r="M108" i="20" a="1"/>
  <c r="M108" i="20" s="1"/>
  <c r="H108" i="20" a="1"/>
  <c r="H108" i="20" s="1"/>
  <c r="A108" i="20" a="1"/>
  <c r="A108" i="20" s="1"/>
  <c r="K108" i="20" a="1"/>
  <c r="K108" i="20" s="1"/>
  <c r="B108" i="20" a="1"/>
  <c r="B108" i="20" s="1"/>
  <c r="J108" i="20" a="1"/>
  <c r="J108" i="20" s="1"/>
  <c r="F108" i="20" a="1"/>
  <c r="F108" i="20" s="1"/>
  <c r="C108" i="20" a="1"/>
  <c r="C108" i="20" s="1"/>
  <c r="G108" i="20" a="1"/>
  <c r="G108" i="20" s="1"/>
  <c r="E109" i="20" a="1"/>
  <c r="E109" i="20" s="1"/>
  <c r="A217" i="13" a="1"/>
  <c r="A217" i="13" s="1"/>
  <c r="B216" i="13" a="1"/>
  <c r="B216" i="13" s="1"/>
  <c r="H217" i="13" l="1" a="1"/>
  <c r="H217" i="13" s="1"/>
  <c r="F217" i="13" a="1"/>
  <c r="F217" i="13" s="1"/>
  <c r="G217" i="13" a="1"/>
  <c r="G217" i="13" s="1"/>
  <c r="M109" i="20" a="1"/>
  <c r="M109" i="20" s="1"/>
  <c r="I109" i="20" a="1"/>
  <c r="I109" i="20" s="1"/>
  <c r="D109" i="20" a="1"/>
  <c r="D109" i="20" s="1"/>
  <c r="L109" i="20" a="1"/>
  <c r="L109" i="20" s="1"/>
  <c r="H109" i="20" a="1"/>
  <c r="H109" i="20" s="1"/>
  <c r="F109" i="20" a="1"/>
  <c r="F109" i="20" s="1"/>
  <c r="J109" i="20" a="1"/>
  <c r="J109" i="20" s="1"/>
  <c r="C109" i="20" a="1"/>
  <c r="C109" i="20" s="1"/>
  <c r="A109" i="20" a="1"/>
  <c r="A109" i="20" s="1"/>
  <c r="K109" i="20" a="1"/>
  <c r="K109" i="20" s="1"/>
  <c r="G109" i="20" a="1"/>
  <c r="G109" i="20" s="1"/>
  <c r="B109" i="20" a="1"/>
  <c r="B109" i="20" s="1"/>
  <c r="E110" i="20" a="1"/>
  <c r="E110" i="20" s="1"/>
  <c r="B217" i="13" a="1"/>
  <c r="B217" i="13" s="1"/>
  <c r="A218" i="13" a="1"/>
  <c r="A218" i="13" s="1"/>
  <c r="B218" i="13" l="1" a="1"/>
  <c r="B218" i="13" s="1"/>
  <c r="F218" i="13" a="1"/>
  <c r="F218" i="13" s="1"/>
  <c r="G218" i="13" a="1"/>
  <c r="G218" i="13" s="1"/>
  <c r="M110" i="20" a="1"/>
  <c r="M110" i="20" s="1"/>
  <c r="C110" i="20" a="1"/>
  <c r="C110" i="20" s="1"/>
  <c r="G110" i="20" a="1"/>
  <c r="G110" i="20" s="1"/>
  <c r="I110" i="20" a="1"/>
  <c r="I110" i="20" s="1"/>
  <c r="B110" i="20" a="1"/>
  <c r="B110" i="20" s="1"/>
  <c r="H110" i="20" a="1"/>
  <c r="H110" i="20" s="1"/>
  <c r="K110" i="20" a="1"/>
  <c r="K110" i="20" s="1"/>
  <c r="L110" i="20" a="1"/>
  <c r="L110" i="20" s="1"/>
  <c r="F110" i="20" a="1"/>
  <c r="F110" i="20" s="1"/>
  <c r="J110" i="20" a="1"/>
  <c r="J110" i="20" s="1"/>
  <c r="D110" i="20" a="1"/>
  <c r="D110" i="20" s="1"/>
  <c r="A110" i="20" a="1"/>
  <c r="A110" i="20" s="1"/>
  <c r="E111" i="20" a="1"/>
  <c r="E111" i="20" s="1"/>
  <c r="A219" i="13" a="1"/>
  <c r="A219" i="13" s="1"/>
  <c r="H218" i="13" a="1"/>
  <c r="H218" i="13" s="1"/>
  <c r="B219" i="13" l="1" a="1"/>
  <c r="B219" i="13" s="1"/>
  <c r="F219" i="13" a="1"/>
  <c r="F219" i="13" s="1"/>
  <c r="G219" i="13" a="1"/>
  <c r="G219" i="13" s="1"/>
  <c r="L111" i="20" a="1"/>
  <c r="L111" i="20" s="1"/>
  <c r="M111" i="20" a="1"/>
  <c r="M111" i="20" s="1"/>
  <c r="D111" i="20" a="1"/>
  <c r="D111" i="20" s="1"/>
  <c r="K111" i="20" a="1"/>
  <c r="K111" i="20" s="1"/>
  <c r="H111" i="20" a="1"/>
  <c r="H111" i="20" s="1"/>
  <c r="C111" i="20" a="1"/>
  <c r="C111" i="20" s="1"/>
  <c r="J111" i="20" a="1"/>
  <c r="J111" i="20" s="1"/>
  <c r="G111" i="20" a="1"/>
  <c r="G111" i="20" s="1"/>
  <c r="A111" i="20" a="1"/>
  <c r="A111" i="20" s="1"/>
  <c r="I111" i="20" a="1"/>
  <c r="I111" i="20" s="1"/>
  <c r="F111" i="20" a="1"/>
  <c r="F111" i="20" s="1"/>
  <c r="B111" i="20" a="1"/>
  <c r="B111" i="20" s="1"/>
  <c r="E112" i="20" a="1"/>
  <c r="E112" i="20" s="1"/>
  <c r="H219" i="13" a="1"/>
  <c r="H219" i="13" s="1"/>
  <c r="A220" i="13" a="1"/>
  <c r="A220" i="13" s="1"/>
  <c r="B220" i="13" l="1" a="1"/>
  <c r="B220" i="13" s="1"/>
  <c r="F220" i="13" a="1"/>
  <c r="F220" i="13" s="1"/>
  <c r="G220" i="13" a="1"/>
  <c r="G220" i="13" s="1"/>
  <c r="M112" i="20" a="1"/>
  <c r="M112" i="20" s="1"/>
  <c r="I112" i="20" a="1"/>
  <c r="I112" i="20" s="1"/>
  <c r="D112" i="20" a="1"/>
  <c r="D112" i="20" s="1"/>
  <c r="L112" i="20" a="1"/>
  <c r="L112" i="20" s="1"/>
  <c r="H112" i="20" a="1"/>
  <c r="H112" i="20" s="1"/>
  <c r="B112" i="20" a="1"/>
  <c r="B112" i="20" s="1"/>
  <c r="K112" i="20" a="1"/>
  <c r="K112" i="20" s="1"/>
  <c r="G112" i="20" a="1"/>
  <c r="G112" i="20" s="1"/>
  <c r="C112" i="20" a="1"/>
  <c r="C112" i="20" s="1"/>
  <c r="J112" i="20" a="1"/>
  <c r="J112" i="20" s="1"/>
  <c r="F112" i="20" a="1"/>
  <c r="F112" i="20" s="1"/>
  <c r="A112" i="20" a="1"/>
  <c r="A112" i="20" s="1"/>
  <c r="E113" i="20" a="1"/>
  <c r="E113" i="20" s="1"/>
  <c r="A221" i="13" a="1"/>
  <c r="A221" i="13" s="1"/>
  <c r="H220" i="13" a="1"/>
  <c r="H220" i="13" s="1"/>
  <c r="B221" i="13" l="1" a="1"/>
  <c r="B221" i="13" s="1"/>
  <c r="F221" i="13" a="1"/>
  <c r="F221" i="13" s="1"/>
  <c r="G221" i="13" a="1"/>
  <c r="G221" i="13" s="1"/>
  <c r="M113" i="20" a="1"/>
  <c r="M113" i="20" s="1"/>
  <c r="J113" i="20" a="1"/>
  <c r="J113" i="20" s="1"/>
  <c r="A113" i="20" a="1"/>
  <c r="A113" i="20" s="1"/>
  <c r="L113" i="20" a="1"/>
  <c r="L113" i="20" s="1"/>
  <c r="C113" i="20" a="1"/>
  <c r="C113" i="20" s="1"/>
  <c r="G113" i="20" a="1"/>
  <c r="G113" i="20" s="1"/>
  <c r="K113" i="20" a="1"/>
  <c r="K113" i="20" s="1"/>
  <c r="B113" i="20" a="1"/>
  <c r="B113" i="20" s="1"/>
  <c r="D113" i="20" a="1"/>
  <c r="D113" i="20" s="1"/>
  <c r="I113" i="20" a="1"/>
  <c r="I113" i="20" s="1"/>
  <c r="F113" i="20" a="1"/>
  <c r="F113" i="20" s="1"/>
  <c r="H113" i="20" a="1"/>
  <c r="H113" i="20" s="1"/>
  <c r="E114" i="20" a="1"/>
  <c r="E114" i="20" s="1"/>
  <c r="H221" i="13" a="1"/>
  <c r="H221" i="13" s="1"/>
  <c r="A222" i="13" a="1"/>
  <c r="A222" i="13" s="1"/>
  <c r="B222" i="13" l="1" a="1"/>
  <c r="B222" i="13" s="1"/>
  <c r="F222" i="13" a="1"/>
  <c r="F222" i="13" s="1"/>
  <c r="G222" i="13" a="1"/>
  <c r="G222" i="13" s="1"/>
  <c r="M114" i="20" a="1"/>
  <c r="M114" i="20" s="1"/>
  <c r="I114" i="20" a="1"/>
  <c r="I114" i="20" s="1"/>
  <c r="D114" i="20" a="1"/>
  <c r="D114" i="20" s="1"/>
  <c r="L114" i="20" a="1"/>
  <c r="L114" i="20" s="1"/>
  <c r="H114" i="20" a="1"/>
  <c r="H114" i="20" s="1"/>
  <c r="A114" i="20" a="1"/>
  <c r="A114" i="20" s="1"/>
  <c r="C114" i="20" a="1"/>
  <c r="C114" i="20" s="1"/>
  <c r="F114" i="20" a="1"/>
  <c r="F114" i="20" s="1"/>
  <c r="J114" i="20" a="1"/>
  <c r="J114" i="20" s="1"/>
  <c r="B114" i="20" a="1"/>
  <c r="B114" i="20" s="1"/>
  <c r="K114" i="20" a="1"/>
  <c r="K114" i="20" s="1"/>
  <c r="G114" i="20" a="1"/>
  <c r="G114" i="20" s="1"/>
  <c r="E115" i="20" a="1"/>
  <c r="E115" i="20" s="1"/>
  <c r="A223" i="13" a="1"/>
  <c r="A223" i="13" s="1"/>
  <c r="H222" i="13" a="1"/>
  <c r="H222" i="13" s="1"/>
  <c r="B223" i="13" l="1" a="1"/>
  <c r="B223" i="13" s="1"/>
  <c r="F223" i="13" a="1"/>
  <c r="F223" i="13" s="1"/>
  <c r="G223" i="13" a="1"/>
  <c r="G223" i="13" s="1"/>
  <c r="M115" i="20" a="1"/>
  <c r="M115" i="20" s="1"/>
  <c r="H115" i="20" a="1"/>
  <c r="H115" i="20" s="1"/>
  <c r="I115" i="20" a="1"/>
  <c r="I115" i="20" s="1"/>
  <c r="K115" i="20" a="1"/>
  <c r="K115" i="20" s="1"/>
  <c r="G115" i="20" a="1"/>
  <c r="G115" i="20" s="1"/>
  <c r="B115" i="20" a="1"/>
  <c r="B115" i="20" s="1"/>
  <c r="F115" i="20" a="1"/>
  <c r="F115" i="20" s="1"/>
  <c r="A115" i="20" a="1"/>
  <c r="A115" i="20" s="1"/>
  <c r="J115" i="20" a="1"/>
  <c r="J115" i="20" s="1"/>
  <c r="D115" i="20" a="1"/>
  <c r="D115" i="20" s="1"/>
  <c r="L115" i="20" a="1"/>
  <c r="L115" i="20" s="1"/>
  <c r="C115" i="20" a="1"/>
  <c r="C115" i="20" s="1"/>
  <c r="E116" i="20" a="1"/>
  <c r="E116" i="20" s="1"/>
  <c r="H223" i="13" a="1"/>
  <c r="H223" i="13" s="1"/>
  <c r="A224" i="13" a="1"/>
  <c r="A224" i="13" s="1"/>
  <c r="B224" i="13" l="1" a="1"/>
  <c r="B224" i="13" s="1"/>
  <c r="F224" i="13" a="1"/>
  <c r="F224" i="13" s="1"/>
  <c r="G224" i="13" a="1"/>
  <c r="G224" i="13" s="1"/>
  <c r="M116" i="20" a="1"/>
  <c r="M116" i="20" s="1"/>
  <c r="I116" i="20" a="1"/>
  <c r="I116" i="20" s="1"/>
  <c r="D116" i="20" a="1"/>
  <c r="D116" i="20" s="1"/>
  <c r="L116" i="20" a="1"/>
  <c r="L116" i="20" s="1"/>
  <c r="H116" i="20" a="1"/>
  <c r="H116" i="20" s="1"/>
  <c r="C116" i="20" a="1"/>
  <c r="C116" i="20" s="1"/>
  <c r="K116" i="20" a="1"/>
  <c r="K116" i="20" s="1"/>
  <c r="G116" i="20" a="1"/>
  <c r="G116" i="20" s="1"/>
  <c r="B116" i="20" a="1"/>
  <c r="B116" i="20" s="1"/>
  <c r="J116" i="20" a="1"/>
  <c r="J116" i="20" s="1"/>
  <c r="F116" i="20" a="1"/>
  <c r="F116" i="20" s="1"/>
  <c r="A116" i="20" a="1"/>
  <c r="A116" i="20" s="1"/>
  <c r="E117" i="20" a="1"/>
  <c r="E117" i="20" s="1"/>
  <c r="A225" i="13" a="1"/>
  <c r="A225" i="13" s="1"/>
  <c r="H224" i="13" a="1"/>
  <c r="H224" i="13" s="1"/>
  <c r="H225" i="13" l="1" a="1"/>
  <c r="H225" i="13" s="1"/>
  <c r="F225" i="13" a="1"/>
  <c r="F225" i="13" s="1"/>
  <c r="G225" i="13" a="1"/>
  <c r="G225" i="13" s="1"/>
  <c r="M117" i="20" a="1"/>
  <c r="M117" i="20" s="1"/>
  <c r="K117" i="20" a="1"/>
  <c r="K117" i="20" s="1"/>
  <c r="G117" i="20" a="1"/>
  <c r="G117" i="20" s="1"/>
  <c r="L117" i="20" a="1"/>
  <c r="L117" i="20" s="1"/>
  <c r="H117" i="20" a="1"/>
  <c r="H117" i="20" s="1"/>
  <c r="F117" i="20" a="1"/>
  <c r="F117" i="20" s="1"/>
  <c r="J117" i="20" a="1"/>
  <c r="J117" i="20" s="1"/>
  <c r="C117" i="20" a="1"/>
  <c r="C117" i="20" s="1"/>
  <c r="A117" i="20" a="1"/>
  <c r="A117" i="20" s="1"/>
  <c r="I117" i="20" a="1"/>
  <c r="I117" i="20" s="1"/>
  <c r="B117" i="20" a="1"/>
  <c r="B117" i="20" s="1"/>
  <c r="D117" i="20" a="1"/>
  <c r="D117" i="20" s="1"/>
  <c r="E118" i="20" a="1"/>
  <c r="E118" i="20" s="1"/>
  <c r="A226" i="13" a="1"/>
  <c r="A226" i="13" s="1"/>
  <c r="B225" i="13" a="1"/>
  <c r="B225" i="13" s="1"/>
  <c r="F226" i="13" l="1" a="1"/>
  <c r="F226" i="13" s="1"/>
  <c r="G226" i="13" a="1"/>
  <c r="G226" i="13" s="1"/>
  <c r="M118" i="20" a="1"/>
  <c r="M118" i="20" s="1"/>
  <c r="C118" i="20" a="1"/>
  <c r="C118" i="20" s="1"/>
  <c r="H118" i="20" a="1"/>
  <c r="H118" i="20" s="1"/>
  <c r="L118" i="20" a="1"/>
  <c r="L118" i="20" s="1"/>
  <c r="B118" i="20" a="1"/>
  <c r="B118" i="20" s="1"/>
  <c r="G118" i="20" a="1"/>
  <c r="G118" i="20" s="1"/>
  <c r="J118" i="20" a="1"/>
  <c r="J118" i="20" s="1"/>
  <c r="A118" i="20" a="1"/>
  <c r="A118" i="20" s="1"/>
  <c r="I118" i="20" a="1"/>
  <c r="I118" i="20" s="1"/>
  <c r="D118" i="20" a="1"/>
  <c r="D118" i="20" s="1"/>
  <c r="K118" i="20" a="1"/>
  <c r="K118" i="20" s="1"/>
  <c r="F118" i="20" a="1"/>
  <c r="F118" i="20" s="1"/>
  <c r="E119" i="20" a="1"/>
  <c r="E119" i="20" s="1"/>
  <c r="A227" i="13" a="1"/>
  <c r="A227" i="13" s="1"/>
  <c r="B226" i="13" a="1"/>
  <c r="B226" i="13" s="1"/>
  <c r="H226" i="13" a="1"/>
  <c r="H226" i="13" s="1"/>
  <c r="H227" i="13" l="1" a="1"/>
  <c r="H227" i="13" s="1"/>
  <c r="F227" i="13" a="1"/>
  <c r="F227" i="13" s="1"/>
  <c r="G227" i="13" a="1"/>
  <c r="G227" i="13" s="1"/>
  <c r="L119" i="20" a="1"/>
  <c r="L119" i="20" s="1"/>
  <c r="I119" i="20" a="1"/>
  <c r="I119" i="20" s="1"/>
  <c r="D119" i="20" a="1"/>
  <c r="D119" i="20" s="1"/>
  <c r="M119" i="20" a="1"/>
  <c r="M119" i="20" s="1"/>
  <c r="H119" i="20" a="1"/>
  <c r="H119" i="20" s="1"/>
  <c r="A119" i="20" a="1"/>
  <c r="A119" i="20" s="1"/>
  <c r="K119" i="20" a="1"/>
  <c r="K119" i="20" s="1"/>
  <c r="G119" i="20" a="1"/>
  <c r="G119" i="20" s="1"/>
  <c r="B119" i="20" a="1"/>
  <c r="B119" i="20" s="1"/>
  <c r="J119" i="20" a="1"/>
  <c r="J119" i="20" s="1"/>
  <c r="F119" i="20" a="1"/>
  <c r="F119" i="20" s="1"/>
  <c r="C119" i="20" a="1"/>
  <c r="C119" i="20" s="1"/>
  <c r="E120" i="20" a="1"/>
  <c r="E120" i="20" s="1"/>
  <c r="A228" i="13" a="1"/>
  <c r="A228" i="13" s="1"/>
  <c r="B227" i="13" a="1"/>
  <c r="B227" i="13" s="1"/>
  <c r="F228" i="13" l="1" a="1"/>
  <c r="F228" i="13" s="1"/>
  <c r="G228" i="13" a="1"/>
  <c r="G228" i="13" s="1"/>
  <c r="L120" i="20" a="1"/>
  <c r="L120" i="20" s="1"/>
  <c r="I120" i="20" a="1"/>
  <c r="I120" i="20" s="1"/>
  <c r="D120" i="20" a="1"/>
  <c r="D120" i="20" s="1"/>
  <c r="K120" i="20" a="1"/>
  <c r="K120" i="20" s="1"/>
  <c r="H120" i="20" a="1"/>
  <c r="H120" i="20" s="1"/>
  <c r="C120" i="20" a="1"/>
  <c r="C120" i="20" s="1"/>
  <c r="M120" i="20" a="1"/>
  <c r="M120" i="20" s="1"/>
  <c r="G120" i="20" a="1"/>
  <c r="G120" i="20" s="1"/>
  <c r="J120" i="20" a="1"/>
  <c r="J120" i="20" s="1"/>
  <c r="F120" i="20" a="1"/>
  <c r="F120" i="20" s="1"/>
  <c r="A120" i="20" a="1"/>
  <c r="A120" i="20" s="1"/>
  <c r="B120" i="20" a="1"/>
  <c r="B120" i="20" s="1"/>
  <c r="E121" i="20" a="1"/>
  <c r="E121" i="20" s="1"/>
  <c r="B228" i="13" a="1"/>
  <c r="B228" i="13" s="1"/>
  <c r="H228" i="13" a="1"/>
  <c r="H228" i="13" s="1"/>
  <c r="A229" i="13" a="1"/>
  <c r="A229" i="13" s="1"/>
  <c r="H229" i="13" l="1" a="1"/>
  <c r="H229" i="13" s="1"/>
  <c r="F229" i="13" a="1"/>
  <c r="F229" i="13" s="1"/>
  <c r="G229" i="13" a="1"/>
  <c r="G229" i="13" s="1"/>
  <c r="M121" i="20" a="1"/>
  <c r="M121" i="20" s="1"/>
  <c r="J121" i="20" a="1"/>
  <c r="J121" i="20" s="1"/>
  <c r="A121" i="20" a="1"/>
  <c r="A121" i="20" s="1"/>
  <c r="I121" i="20" a="1"/>
  <c r="I121" i="20" s="1"/>
  <c r="C121" i="20" a="1"/>
  <c r="C121" i="20" s="1"/>
  <c r="H121" i="20" a="1"/>
  <c r="H121" i="20" s="1"/>
  <c r="B121" i="20" a="1"/>
  <c r="B121" i="20" s="1"/>
  <c r="F121" i="20" a="1"/>
  <c r="F121" i="20" s="1"/>
  <c r="D121" i="20" a="1"/>
  <c r="D121" i="20" s="1"/>
  <c r="L121" i="20" a="1"/>
  <c r="L121" i="20" s="1"/>
  <c r="K121" i="20" a="1"/>
  <c r="K121" i="20" s="1"/>
  <c r="G121" i="20" a="1"/>
  <c r="G121" i="20" s="1"/>
  <c r="E122" i="20" a="1"/>
  <c r="E122" i="20" s="1"/>
  <c r="A230" i="13" a="1"/>
  <c r="A230" i="13" s="1"/>
  <c r="B229" i="13" a="1"/>
  <c r="B229" i="13" s="1"/>
  <c r="F230" i="13" l="1" a="1"/>
  <c r="F230" i="13" s="1"/>
  <c r="G230" i="13" a="1"/>
  <c r="G230" i="13" s="1"/>
  <c r="M122" i="20" a="1"/>
  <c r="M122" i="20" s="1"/>
  <c r="K122" i="20" a="1"/>
  <c r="K122" i="20" s="1"/>
  <c r="A122" i="20" a="1"/>
  <c r="A122" i="20" s="1"/>
  <c r="L122" i="20" a="1"/>
  <c r="L122" i="20" s="1"/>
  <c r="C122" i="20" a="1"/>
  <c r="C122" i="20" s="1"/>
  <c r="D122" i="20" a="1"/>
  <c r="D122" i="20" s="1"/>
  <c r="I122" i="20" a="1"/>
  <c r="I122" i="20" s="1"/>
  <c r="B122" i="20" a="1"/>
  <c r="B122" i="20" s="1"/>
  <c r="J122" i="20" a="1"/>
  <c r="J122" i="20" s="1"/>
  <c r="H122" i="20" a="1"/>
  <c r="H122" i="20" s="1"/>
  <c r="G122" i="20" a="1"/>
  <c r="G122" i="20" s="1"/>
  <c r="F122" i="20" a="1"/>
  <c r="F122" i="20" s="1"/>
  <c r="E123" i="20" a="1"/>
  <c r="E123" i="20" s="1"/>
  <c r="A231" i="13" a="1"/>
  <c r="A231" i="13" s="1"/>
  <c r="B230" i="13" a="1"/>
  <c r="B230" i="13" s="1"/>
  <c r="H230" i="13" a="1"/>
  <c r="H230" i="13" s="1"/>
  <c r="B231" i="13" l="1" a="1"/>
  <c r="B231" i="13" s="1"/>
  <c r="F231" i="13" a="1"/>
  <c r="F231" i="13" s="1"/>
  <c r="G231" i="13" a="1"/>
  <c r="G231" i="13" s="1"/>
  <c r="L123" i="20" a="1"/>
  <c r="L123" i="20" s="1"/>
  <c r="I123" i="20" a="1"/>
  <c r="I123" i="20" s="1"/>
  <c r="D123" i="20" a="1"/>
  <c r="D123" i="20" s="1"/>
  <c r="M123" i="20" a="1"/>
  <c r="M123" i="20" s="1"/>
  <c r="H123" i="20" a="1"/>
  <c r="H123" i="20" s="1"/>
  <c r="B123" i="20" a="1"/>
  <c r="B123" i="20" s="1"/>
  <c r="G123" i="20" a="1"/>
  <c r="G123" i="20" s="1"/>
  <c r="C123" i="20" a="1"/>
  <c r="C123" i="20" s="1"/>
  <c r="J123" i="20" a="1"/>
  <c r="J123" i="20" s="1"/>
  <c r="F123" i="20" a="1"/>
  <c r="F123" i="20" s="1"/>
  <c r="A123" i="20" a="1"/>
  <c r="A123" i="20" s="1"/>
  <c r="K123" i="20" a="1"/>
  <c r="K123" i="20" s="1"/>
  <c r="E124" i="20" a="1"/>
  <c r="E124" i="20" s="1"/>
  <c r="H231" i="13" a="1"/>
  <c r="H231" i="13" s="1"/>
  <c r="A232" i="13" a="1"/>
  <c r="A232" i="13" s="1"/>
  <c r="B232" i="13" l="1" a="1"/>
  <c r="B232" i="13" s="1"/>
  <c r="F232" i="13" a="1"/>
  <c r="F232" i="13" s="1"/>
  <c r="G232" i="13" a="1"/>
  <c r="G232" i="13" s="1"/>
  <c r="M124" i="20" a="1"/>
  <c r="M124" i="20" s="1"/>
  <c r="H124" i="20" a="1"/>
  <c r="H124" i="20" s="1"/>
  <c r="L124" i="20" a="1"/>
  <c r="L124" i="20" s="1"/>
  <c r="K124" i="20" a="1"/>
  <c r="K124" i="20" s="1"/>
  <c r="G124" i="20" a="1"/>
  <c r="G124" i="20" s="1"/>
  <c r="A124" i="20" a="1"/>
  <c r="A124" i="20" s="1"/>
  <c r="J124" i="20" a="1"/>
  <c r="J124" i="20" s="1"/>
  <c r="F124" i="20" a="1"/>
  <c r="F124" i="20" s="1"/>
  <c r="B124" i="20" a="1"/>
  <c r="B124" i="20" s="1"/>
  <c r="I124" i="20" a="1"/>
  <c r="I124" i="20" s="1"/>
  <c r="D124" i="20" a="1"/>
  <c r="D124" i="20" s="1"/>
  <c r="C124" i="20" a="1"/>
  <c r="C124" i="20" s="1"/>
  <c r="E125" i="20" a="1"/>
  <c r="E125" i="20" s="1"/>
  <c r="A233" i="13" a="1"/>
  <c r="A233" i="13" s="1"/>
  <c r="H232" i="13" a="1"/>
  <c r="H232" i="13" s="1"/>
  <c r="H233" i="13" l="1" a="1"/>
  <c r="H233" i="13" s="1"/>
  <c r="F233" i="13" a="1"/>
  <c r="F233" i="13" s="1"/>
  <c r="G233" i="13" a="1"/>
  <c r="G233" i="13" s="1"/>
  <c r="M125" i="20" a="1"/>
  <c r="M125" i="20" s="1"/>
  <c r="I125" i="20" a="1"/>
  <c r="I125" i="20" s="1"/>
  <c r="D125" i="20" a="1"/>
  <c r="D125" i="20" s="1"/>
  <c r="L125" i="20" a="1"/>
  <c r="L125" i="20" s="1"/>
  <c r="H125" i="20" a="1"/>
  <c r="H125" i="20" s="1"/>
  <c r="F125" i="20" a="1"/>
  <c r="F125" i="20" s="1"/>
  <c r="K125" i="20" a="1"/>
  <c r="K125" i="20" s="1"/>
  <c r="C125" i="20" a="1"/>
  <c r="C125" i="20" s="1"/>
  <c r="A125" i="20" a="1"/>
  <c r="A125" i="20" s="1"/>
  <c r="J125" i="20" a="1"/>
  <c r="J125" i="20" s="1"/>
  <c r="G125" i="20" a="1"/>
  <c r="G125" i="20" s="1"/>
  <c r="B125" i="20" a="1"/>
  <c r="B125" i="20" s="1"/>
  <c r="E126" i="20" a="1"/>
  <c r="E126" i="20" s="1"/>
  <c r="A234" i="13" a="1"/>
  <c r="A234" i="13" s="1"/>
  <c r="B233" i="13" a="1"/>
  <c r="B233" i="13" s="1"/>
  <c r="A235" i="13" l="1" a="1"/>
  <c r="A235" i="13" s="1"/>
  <c r="B235" i="13" s="1" a="1"/>
  <c r="B235" i="13" s="1"/>
  <c r="F234" i="13" a="1"/>
  <c r="F234" i="13" s="1"/>
  <c r="G234" i="13" a="1"/>
  <c r="G234" i="13" s="1"/>
  <c r="M126" i="20" a="1"/>
  <c r="M126" i="20" s="1"/>
  <c r="K126" i="20" a="1"/>
  <c r="K126" i="20" s="1"/>
  <c r="G126" i="20" a="1"/>
  <c r="G126" i="20" s="1"/>
  <c r="L126" i="20" a="1"/>
  <c r="L126" i="20" s="1"/>
  <c r="C126" i="20" a="1"/>
  <c r="C126" i="20" s="1"/>
  <c r="D126" i="20" a="1"/>
  <c r="D126" i="20" s="1"/>
  <c r="J126" i="20" a="1"/>
  <c r="J126" i="20" s="1"/>
  <c r="B126" i="20" a="1"/>
  <c r="B126" i="20" s="1"/>
  <c r="I126" i="20" a="1"/>
  <c r="I126" i="20" s="1"/>
  <c r="H126" i="20" a="1"/>
  <c r="H126" i="20" s="1"/>
  <c r="A126" i="20" a="1"/>
  <c r="A126" i="20" s="1"/>
  <c r="F126" i="20" a="1"/>
  <c r="F126" i="20" s="1"/>
  <c r="E127" i="20" a="1"/>
  <c r="E127" i="20" s="1"/>
  <c r="B234" i="13" a="1"/>
  <c r="B234" i="13" s="1"/>
  <c r="H234" i="13" a="1"/>
  <c r="H234" i="13" s="1"/>
  <c r="A236" i="13" l="1" a="1"/>
  <c r="A236" i="13" s="1"/>
  <c r="B236" i="13" s="1" a="1"/>
  <c r="B236" i="13" s="1"/>
  <c r="H235" i="13" a="1"/>
  <c r="H235" i="13" s="1"/>
  <c r="F235" i="13" a="1"/>
  <c r="F235" i="13" s="1"/>
  <c r="G235" i="13" a="1"/>
  <c r="G235" i="13" s="1"/>
  <c r="M127" i="20" a="1"/>
  <c r="M127" i="20" s="1"/>
  <c r="I127" i="20" a="1"/>
  <c r="I127" i="20" s="1"/>
  <c r="D127" i="20" a="1"/>
  <c r="D127" i="20" s="1"/>
  <c r="L127" i="20" a="1"/>
  <c r="L127" i="20" s="1"/>
  <c r="H127" i="20" a="1"/>
  <c r="H127" i="20" s="1"/>
  <c r="C127" i="20" a="1"/>
  <c r="C127" i="20" s="1"/>
  <c r="K127" i="20" a="1"/>
  <c r="K127" i="20" s="1"/>
  <c r="G127" i="20" a="1"/>
  <c r="G127" i="20" s="1"/>
  <c r="J127" i="20" a="1"/>
  <c r="J127" i="20" s="1"/>
  <c r="F127" i="20" a="1"/>
  <c r="F127" i="20" s="1"/>
  <c r="B127" i="20" a="1"/>
  <c r="B127" i="20" s="1"/>
  <c r="A127" i="20" a="1"/>
  <c r="A127" i="20" s="1"/>
  <c r="E128" i="20" a="1"/>
  <c r="E128" i="20" s="1"/>
  <c r="A237" i="13" l="1" a="1"/>
  <c r="A237" i="13" s="1"/>
  <c r="B237" i="13" s="1" a="1"/>
  <c r="B237" i="13" s="1"/>
  <c r="H236" i="13" a="1"/>
  <c r="H236" i="13" s="1"/>
  <c r="F236" i="13" a="1"/>
  <c r="F236" i="13" s="1"/>
  <c r="G236" i="13" a="1"/>
  <c r="G236" i="13" s="1"/>
  <c r="M128" i="20" a="1"/>
  <c r="M128" i="20" s="1"/>
  <c r="I128" i="20" a="1"/>
  <c r="I128" i="20" s="1"/>
  <c r="D128" i="20" a="1"/>
  <c r="D128" i="20" s="1"/>
  <c r="K128" i="20" a="1"/>
  <c r="K128" i="20" s="1"/>
  <c r="H128" i="20" a="1"/>
  <c r="H128" i="20" s="1"/>
  <c r="B128" i="20" a="1"/>
  <c r="B128" i="20" s="1"/>
  <c r="G128" i="20" a="1"/>
  <c r="G128" i="20" s="1"/>
  <c r="C128" i="20" a="1"/>
  <c r="C128" i="20" s="1"/>
  <c r="J128" i="20" a="1"/>
  <c r="J128" i="20" s="1"/>
  <c r="F128" i="20" a="1"/>
  <c r="F128" i="20" s="1"/>
  <c r="A128" i="20" a="1"/>
  <c r="A128" i="20" s="1"/>
  <c r="L128" i="20" a="1"/>
  <c r="L128" i="20" s="1"/>
  <c r="E129" i="20" a="1"/>
  <c r="E129" i="20" s="1"/>
  <c r="A238" i="13" l="1" a="1"/>
  <c r="A238" i="13" s="1"/>
  <c r="B238" i="13" s="1" a="1"/>
  <c r="B238" i="13" s="1"/>
  <c r="H237" i="13" a="1"/>
  <c r="H237" i="13" s="1"/>
  <c r="F237" i="13" a="1"/>
  <c r="F237" i="13" s="1"/>
  <c r="G237" i="13" a="1"/>
  <c r="G237" i="13" s="1"/>
  <c r="M129" i="20" a="1"/>
  <c r="M129" i="20" s="1"/>
  <c r="C129" i="20" a="1"/>
  <c r="C129" i="20" s="1"/>
  <c r="D129" i="20" a="1"/>
  <c r="D129" i="20" s="1"/>
  <c r="L129" i="20" a="1"/>
  <c r="L129" i="20" s="1"/>
  <c r="B129" i="20" a="1"/>
  <c r="B129" i="20" s="1"/>
  <c r="H129" i="20" a="1"/>
  <c r="H129" i="20" s="1"/>
  <c r="K129" i="20" a="1"/>
  <c r="K129" i="20" s="1"/>
  <c r="J129" i="20" a="1"/>
  <c r="J129" i="20" s="1"/>
  <c r="I129" i="20" a="1"/>
  <c r="I129" i="20" s="1"/>
  <c r="F129" i="20" a="1"/>
  <c r="F129" i="20" s="1"/>
  <c r="A129" i="20" a="1"/>
  <c r="A129" i="20" s="1"/>
  <c r="G129" i="20" a="1"/>
  <c r="G129" i="20" s="1"/>
  <c r="E130" i="20" a="1"/>
  <c r="E130" i="20" s="1"/>
  <c r="A239" i="13" l="1" a="1"/>
  <c r="A239" i="13" s="1"/>
  <c r="B239" i="13" s="1" a="1"/>
  <c r="B239" i="13" s="1"/>
  <c r="H238" i="13" a="1"/>
  <c r="H238" i="13" s="1"/>
  <c r="F238" i="13" a="1"/>
  <c r="F238" i="13" s="1"/>
  <c r="G238" i="13" a="1"/>
  <c r="G238" i="13" s="1"/>
  <c r="M130" i="20" a="1"/>
  <c r="M130" i="20" s="1"/>
  <c r="I130" i="20" a="1"/>
  <c r="I130" i="20" s="1"/>
  <c r="D130" i="20" a="1"/>
  <c r="D130" i="20" s="1"/>
  <c r="L130" i="20" a="1"/>
  <c r="L130" i="20" s="1"/>
  <c r="H130" i="20" a="1"/>
  <c r="H130" i="20" s="1"/>
  <c r="A130" i="20" a="1"/>
  <c r="A130" i="20" s="1"/>
  <c r="C130" i="20" a="1"/>
  <c r="C130" i="20" s="1"/>
  <c r="F130" i="20" a="1"/>
  <c r="F130" i="20" s="1"/>
  <c r="K130" i="20" a="1"/>
  <c r="K130" i="20" s="1"/>
  <c r="B130" i="20" a="1"/>
  <c r="B130" i="20" s="1"/>
  <c r="G130" i="20" a="1"/>
  <c r="G130" i="20" s="1"/>
  <c r="J130" i="20" a="1"/>
  <c r="J130" i="20" s="1"/>
  <c r="E131" i="20" a="1"/>
  <c r="E131" i="20" s="1"/>
  <c r="A240" i="13" l="1" a="1"/>
  <c r="A240" i="13" s="1"/>
  <c r="B240" i="13" s="1" a="1"/>
  <c r="B240" i="13" s="1"/>
  <c r="H239" i="13" a="1"/>
  <c r="H239" i="13" s="1"/>
  <c r="F239" i="13" a="1"/>
  <c r="F239" i="13" s="1"/>
  <c r="G239" i="13" a="1"/>
  <c r="G239" i="13" s="1"/>
  <c r="M131" i="20" a="1"/>
  <c r="M131" i="20" s="1"/>
  <c r="I131" i="20" a="1"/>
  <c r="I131" i="20" s="1"/>
  <c r="D131" i="20" a="1"/>
  <c r="D131" i="20" s="1"/>
  <c r="L131" i="20" a="1"/>
  <c r="L131" i="20" s="1"/>
  <c r="H131" i="20" a="1"/>
  <c r="H131" i="20" s="1"/>
  <c r="C131" i="20" a="1"/>
  <c r="C131" i="20" s="1"/>
  <c r="K131" i="20" a="1"/>
  <c r="K131" i="20" s="1"/>
  <c r="G131" i="20" a="1"/>
  <c r="G131" i="20" s="1"/>
  <c r="B131" i="20" a="1"/>
  <c r="B131" i="20" s="1"/>
  <c r="J131" i="20" a="1"/>
  <c r="J131" i="20" s="1"/>
  <c r="F131" i="20" a="1"/>
  <c r="F131" i="20" s="1"/>
  <c r="A131" i="20" a="1"/>
  <c r="A131" i="20" s="1"/>
  <c r="E132" i="20" a="1"/>
  <c r="E132" i="20" s="1"/>
  <c r="A241" i="13" l="1" a="1"/>
  <c r="A241" i="13" s="1"/>
  <c r="B241" i="13" s="1" a="1"/>
  <c r="B241" i="13" s="1"/>
  <c r="H240" i="13" a="1"/>
  <c r="H240" i="13" s="1"/>
  <c r="F240" i="13" a="1"/>
  <c r="F240" i="13" s="1"/>
  <c r="G240" i="13" a="1"/>
  <c r="G240" i="13" s="1"/>
  <c r="M132" i="20" a="1"/>
  <c r="M132" i="20" s="1"/>
  <c r="I132" i="20" a="1"/>
  <c r="I132" i="20" s="1"/>
  <c r="D132" i="20" a="1"/>
  <c r="D132" i="20" s="1"/>
  <c r="L132" i="20" a="1"/>
  <c r="L132" i="20" s="1"/>
  <c r="H132" i="20" a="1"/>
  <c r="H132" i="20" s="1"/>
  <c r="C132" i="20" a="1"/>
  <c r="C132" i="20" s="1"/>
  <c r="K132" i="20" a="1"/>
  <c r="K132" i="20" s="1"/>
  <c r="G132" i="20" a="1"/>
  <c r="G132" i="20" s="1"/>
  <c r="B132" i="20" a="1"/>
  <c r="B132" i="20" s="1"/>
  <c r="J132" i="20" a="1"/>
  <c r="J132" i="20" s="1"/>
  <c r="F132" i="20" a="1"/>
  <c r="F132" i="20" s="1"/>
  <c r="A132" i="20" a="1"/>
  <c r="A132" i="20" s="1"/>
  <c r="E133" i="20" a="1"/>
  <c r="E133" i="20" s="1"/>
  <c r="A242" i="13" l="1" a="1"/>
  <c r="A242" i="13" s="1"/>
  <c r="B242" i="13" s="1" a="1"/>
  <c r="B242" i="13" s="1"/>
  <c r="H241" i="13" a="1"/>
  <c r="H241" i="13" s="1"/>
  <c r="F241" i="13" a="1"/>
  <c r="F241" i="13" s="1"/>
  <c r="G241" i="13" a="1"/>
  <c r="G241" i="13" s="1"/>
  <c r="M133" i="20" a="1"/>
  <c r="M133" i="20" s="1"/>
  <c r="H133" i="20" a="1"/>
  <c r="H133" i="20" s="1"/>
  <c r="G133" i="20" a="1"/>
  <c r="G133" i="20" s="1"/>
  <c r="I133" i="20" a="1"/>
  <c r="I133" i="20" s="1"/>
  <c r="C133" i="20" a="1"/>
  <c r="C133" i="20" s="1"/>
  <c r="A133" i="20" a="1"/>
  <c r="A133" i="20" s="1"/>
  <c r="B133" i="20" a="1"/>
  <c r="B133" i="20" s="1"/>
  <c r="D133" i="20" a="1"/>
  <c r="D133" i="20" s="1"/>
  <c r="L133" i="20" a="1"/>
  <c r="L133" i="20" s="1"/>
  <c r="J133" i="20" a="1"/>
  <c r="J133" i="20" s="1"/>
  <c r="F133" i="20" a="1"/>
  <c r="F133" i="20" s="1"/>
  <c r="K133" i="20" a="1"/>
  <c r="K133" i="20" s="1"/>
  <c r="E134" i="20" a="1"/>
  <c r="E134" i="20" s="1"/>
  <c r="A243" i="13" l="1" a="1"/>
  <c r="A243" i="13" s="1"/>
  <c r="B243" i="13" s="1" a="1"/>
  <c r="B243" i="13" s="1"/>
  <c r="H242" i="13" a="1"/>
  <c r="H242" i="13" s="1"/>
  <c r="F242" i="13" a="1"/>
  <c r="F242" i="13" s="1"/>
  <c r="G242" i="13" a="1"/>
  <c r="G242" i="13" s="1"/>
  <c r="L134" i="20" a="1"/>
  <c r="L134" i="20" s="1"/>
  <c r="C134" i="20" a="1"/>
  <c r="C134" i="20" s="1"/>
  <c r="G134" i="20" a="1"/>
  <c r="G134" i="20" s="1"/>
  <c r="K134" i="20" a="1"/>
  <c r="K134" i="20" s="1"/>
  <c r="B134" i="20" a="1"/>
  <c r="B134" i="20" s="1"/>
  <c r="D134" i="20" a="1"/>
  <c r="D134" i="20" s="1"/>
  <c r="I134" i="20" a="1"/>
  <c r="I134" i="20" s="1"/>
  <c r="M134" i="20" a="1"/>
  <c r="M134" i="20" s="1"/>
  <c r="A134" i="20" a="1"/>
  <c r="A134" i="20" s="1"/>
  <c r="J134" i="20" a="1"/>
  <c r="J134" i="20" s="1"/>
  <c r="F134" i="20" a="1"/>
  <c r="F134" i="20" s="1"/>
  <c r="H134" i="20" a="1"/>
  <c r="H134" i="20" s="1"/>
  <c r="E135" i="20" a="1"/>
  <c r="E135" i="20" s="1"/>
  <c r="A244" i="13" l="1" a="1"/>
  <c r="A244" i="13" s="1"/>
  <c r="B244" i="13" s="1" a="1"/>
  <c r="B244" i="13" s="1"/>
  <c r="H243" i="13" a="1"/>
  <c r="H243" i="13" s="1"/>
  <c r="F243" i="13" a="1"/>
  <c r="F243" i="13" s="1"/>
  <c r="G243" i="13" a="1"/>
  <c r="G243" i="13" s="1"/>
  <c r="M135" i="20" a="1"/>
  <c r="M135" i="20" s="1"/>
  <c r="L135" i="20" a="1"/>
  <c r="L135" i="20" s="1"/>
  <c r="D135" i="20" a="1"/>
  <c r="D135" i="20" s="1"/>
  <c r="K135" i="20" a="1"/>
  <c r="K135" i="20" s="1"/>
  <c r="H135" i="20" a="1"/>
  <c r="H135" i="20" s="1"/>
  <c r="A135" i="20" a="1"/>
  <c r="A135" i="20" s="1"/>
  <c r="J135" i="20" a="1"/>
  <c r="J135" i="20" s="1"/>
  <c r="G135" i="20" a="1"/>
  <c r="G135" i="20" s="1"/>
  <c r="B135" i="20" a="1"/>
  <c r="B135" i="20" s="1"/>
  <c r="I135" i="20" a="1"/>
  <c r="I135" i="20" s="1"/>
  <c r="F135" i="20" a="1"/>
  <c r="F135" i="20" s="1"/>
  <c r="C135" i="20" a="1"/>
  <c r="C135" i="20" s="1"/>
  <c r="E136" i="20" a="1"/>
  <c r="E136" i="20" s="1"/>
  <c r="A245" i="13" l="1" a="1"/>
  <c r="A245" i="13" s="1"/>
  <c r="B245" i="13" s="1" a="1"/>
  <c r="B245" i="13" s="1"/>
  <c r="H244" i="13" a="1"/>
  <c r="H244" i="13" s="1"/>
  <c r="F244" i="13" a="1"/>
  <c r="F244" i="13" s="1"/>
  <c r="G244" i="13" a="1"/>
  <c r="G244" i="13" s="1"/>
  <c r="M136" i="20" a="1"/>
  <c r="M136" i="20" s="1"/>
  <c r="G136" i="20" a="1"/>
  <c r="G136" i="20" s="1"/>
  <c r="I136" i="20" a="1"/>
  <c r="I136" i="20" s="1"/>
  <c r="K136" i="20" a="1"/>
  <c r="K136" i="20" s="1"/>
  <c r="F136" i="20" a="1"/>
  <c r="F136" i="20" s="1"/>
  <c r="A136" i="20" a="1"/>
  <c r="A136" i="20" s="1"/>
  <c r="L136" i="20" a="1"/>
  <c r="L136" i="20" s="1"/>
  <c r="D136" i="20" a="1"/>
  <c r="D136" i="20" s="1"/>
  <c r="B136" i="20" a="1"/>
  <c r="B136" i="20" s="1"/>
  <c r="H136" i="20" a="1"/>
  <c r="H136" i="20" s="1"/>
  <c r="J136" i="20" a="1"/>
  <c r="J136" i="20" s="1"/>
  <c r="C136" i="20" a="1"/>
  <c r="C136" i="20" s="1"/>
  <c r="E137" i="20" a="1"/>
  <c r="E137" i="20" s="1"/>
  <c r="H245" i="13" l="1" a="1"/>
  <c r="H245" i="13" s="1"/>
  <c r="A246" i="13" a="1"/>
  <c r="A246" i="13" s="1"/>
  <c r="H246" i="13" s="1" a="1"/>
  <c r="H246" i="13" s="1"/>
  <c r="F245" i="13" a="1"/>
  <c r="F245" i="13" s="1"/>
  <c r="G245" i="13" a="1"/>
  <c r="G245" i="13" s="1"/>
  <c r="L137" i="20" a="1"/>
  <c r="L137" i="20" s="1"/>
  <c r="K137" i="20" a="1"/>
  <c r="K137" i="20" s="1"/>
  <c r="D137" i="20" a="1"/>
  <c r="D137" i="20" s="1"/>
  <c r="M137" i="20" a="1"/>
  <c r="M137" i="20" s="1"/>
  <c r="C137" i="20" a="1"/>
  <c r="C137" i="20" s="1"/>
  <c r="A137" i="20" a="1"/>
  <c r="A137" i="20" s="1"/>
  <c r="J137" i="20" a="1"/>
  <c r="J137" i="20" s="1"/>
  <c r="B137" i="20" a="1"/>
  <c r="B137" i="20" s="1"/>
  <c r="F137" i="20" a="1"/>
  <c r="F137" i="20" s="1"/>
  <c r="I137" i="20" a="1"/>
  <c r="I137" i="20" s="1"/>
  <c r="H137" i="20" a="1"/>
  <c r="H137" i="20" s="1"/>
  <c r="G137" i="20" a="1"/>
  <c r="G137" i="20" s="1"/>
  <c r="E138" i="20" a="1"/>
  <c r="E138" i="20" s="1"/>
  <c r="A247" i="13" l="1" a="1"/>
  <c r="A247" i="13" s="1"/>
  <c r="B247" i="13" s="1" a="1"/>
  <c r="B247" i="13" s="1"/>
  <c r="B246" i="13" a="1"/>
  <c r="B246" i="13" s="1"/>
  <c r="F246" i="13" a="1"/>
  <c r="F246" i="13" s="1"/>
  <c r="G246" i="13" a="1"/>
  <c r="G246" i="13" s="1"/>
  <c r="M138" i="20" a="1"/>
  <c r="M138" i="20" s="1"/>
  <c r="K138" i="20" a="1"/>
  <c r="K138" i="20" s="1"/>
  <c r="G138" i="20" a="1"/>
  <c r="G138" i="20" s="1"/>
  <c r="L138" i="20" a="1"/>
  <c r="L138" i="20" s="1"/>
  <c r="H138" i="20" a="1"/>
  <c r="H138" i="20" s="1"/>
  <c r="A138" i="20" a="1"/>
  <c r="A138" i="20" s="1"/>
  <c r="J138" i="20" a="1"/>
  <c r="J138" i="20" s="1"/>
  <c r="C138" i="20" a="1"/>
  <c r="C138" i="20" s="1"/>
  <c r="D138" i="20" a="1"/>
  <c r="D138" i="20" s="1"/>
  <c r="I138" i="20" a="1"/>
  <c r="I138" i="20" s="1"/>
  <c r="B138" i="20" a="1"/>
  <c r="B138" i="20" s="1"/>
  <c r="F138" i="20" a="1"/>
  <c r="F138" i="20" s="1"/>
  <c r="E139" i="20" a="1"/>
  <c r="E139" i="20" s="1"/>
  <c r="A248" i="13" l="1" a="1"/>
  <c r="A248" i="13" s="1"/>
  <c r="B248" i="13" s="1" a="1"/>
  <c r="B248" i="13" s="1"/>
  <c r="H247" i="13" a="1"/>
  <c r="H247" i="13" s="1"/>
  <c r="F247" i="13" a="1"/>
  <c r="F247" i="13" s="1"/>
  <c r="G247" i="13" a="1"/>
  <c r="G247" i="13" s="1"/>
  <c r="M139" i="20" a="1"/>
  <c r="M139" i="20" s="1"/>
  <c r="I139" i="20" a="1"/>
  <c r="I139" i="20" s="1"/>
  <c r="D139" i="20" a="1"/>
  <c r="D139" i="20" s="1"/>
  <c r="K139" i="20" a="1"/>
  <c r="K139" i="20" s="1"/>
  <c r="H139" i="20" a="1"/>
  <c r="H139" i="20" s="1"/>
  <c r="B139" i="20" a="1"/>
  <c r="B139" i="20" s="1"/>
  <c r="J139" i="20" a="1"/>
  <c r="J139" i="20" s="1"/>
  <c r="G139" i="20" a="1"/>
  <c r="G139" i="20" s="1"/>
  <c r="C139" i="20" a="1"/>
  <c r="C139" i="20" s="1"/>
  <c r="L139" i="20" a="1"/>
  <c r="L139" i="20" s="1"/>
  <c r="F139" i="20" a="1"/>
  <c r="F139" i="20" s="1"/>
  <c r="A139" i="20" a="1"/>
  <c r="A139" i="20" s="1"/>
  <c r="E140" i="20" a="1"/>
  <c r="E140" i="20" s="1"/>
  <c r="A249" i="13" l="1" a="1"/>
  <c r="A249" i="13" s="1"/>
  <c r="B249" i="13" s="1" a="1"/>
  <c r="B249" i="13" s="1"/>
  <c r="H248" i="13" a="1"/>
  <c r="H248" i="13" s="1"/>
  <c r="F248" i="13" a="1"/>
  <c r="F248" i="13" s="1"/>
  <c r="G248" i="13" a="1"/>
  <c r="G248" i="13" s="1"/>
  <c r="M140" i="20" a="1"/>
  <c r="M140" i="20" s="1"/>
  <c r="I140" i="20" a="1"/>
  <c r="I140" i="20" s="1"/>
  <c r="D140" i="20" a="1"/>
  <c r="D140" i="20" s="1"/>
  <c r="L140" i="20" a="1"/>
  <c r="L140" i="20" s="1"/>
  <c r="H140" i="20" a="1"/>
  <c r="H140" i="20" s="1"/>
  <c r="A140" i="20" a="1"/>
  <c r="A140" i="20" s="1"/>
  <c r="K140" i="20" a="1"/>
  <c r="K140" i="20" s="1"/>
  <c r="G140" i="20" a="1"/>
  <c r="G140" i="20" s="1"/>
  <c r="B140" i="20" a="1"/>
  <c r="B140" i="20" s="1"/>
  <c r="J140" i="20" a="1"/>
  <c r="J140" i="20" s="1"/>
  <c r="F140" i="20" a="1"/>
  <c r="F140" i="20" s="1"/>
  <c r="C140" i="20" a="1"/>
  <c r="C140" i="20" s="1"/>
  <c r="E141" i="20" a="1"/>
  <c r="E141" i="20" s="1"/>
  <c r="A250" i="13" l="1" a="1"/>
  <c r="A250" i="13" s="1"/>
  <c r="B250" i="13" s="1" a="1"/>
  <c r="B250" i="13" s="1"/>
  <c r="H249" i="13" a="1"/>
  <c r="H249" i="13" s="1"/>
  <c r="F249" i="13" a="1"/>
  <c r="F249" i="13" s="1"/>
  <c r="G249" i="13" a="1"/>
  <c r="G249" i="13" s="1"/>
  <c r="M141" i="20" a="1"/>
  <c r="M141" i="20" s="1"/>
  <c r="I141" i="20" a="1"/>
  <c r="I141" i="20" s="1"/>
  <c r="D141" i="20" a="1"/>
  <c r="D141" i="20" s="1"/>
  <c r="L141" i="20" a="1"/>
  <c r="L141" i="20" s="1"/>
  <c r="H141" i="20" a="1"/>
  <c r="H141" i="20" s="1"/>
  <c r="F141" i="20" a="1"/>
  <c r="F141" i="20" s="1"/>
  <c r="J141" i="20" a="1"/>
  <c r="J141" i="20" s="1"/>
  <c r="C141" i="20" a="1"/>
  <c r="C141" i="20" s="1"/>
  <c r="A141" i="20" a="1"/>
  <c r="A141" i="20" s="1"/>
  <c r="K141" i="20" a="1"/>
  <c r="K141" i="20" s="1"/>
  <c r="B141" i="20" a="1"/>
  <c r="B141" i="20" s="1"/>
  <c r="G141" i="20" a="1"/>
  <c r="G141" i="20" s="1"/>
  <c r="E142" i="20" a="1"/>
  <c r="E142" i="20" s="1"/>
  <c r="A251" i="13" l="1" a="1"/>
  <c r="A251" i="13" s="1"/>
  <c r="B251" i="13" s="1" a="1"/>
  <c r="B251" i="13" s="1"/>
  <c r="H250" i="13" a="1"/>
  <c r="H250" i="13" s="1"/>
  <c r="F250" i="13" a="1"/>
  <c r="F250" i="13" s="1"/>
  <c r="G250" i="13" a="1"/>
  <c r="G250" i="13" s="1"/>
  <c r="M142" i="20" a="1"/>
  <c r="M142" i="20" s="1"/>
  <c r="J142" i="20" a="1"/>
  <c r="J142" i="20" s="1"/>
  <c r="D142" i="20" a="1"/>
  <c r="D142" i="20" s="1"/>
  <c r="L142" i="20" a="1"/>
  <c r="L142" i="20" s="1"/>
  <c r="C142" i="20" a="1"/>
  <c r="C142" i="20" s="1"/>
  <c r="H142" i="20" a="1"/>
  <c r="H142" i="20" s="1"/>
  <c r="I142" i="20" a="1"/>
  <c r="I142" i="20" s="1"/>
  <c r="B142" i="20" a="1"/>
  <c r="B142" i="20" s="1"/>
  <c r="F142" i="20" a="1"/>
  <c r="F142" i="20" s="1"/>
  <c r="K142" i="20" a="1"/>
  <c r="K142" i="20" s="1"/>
  <c r="G142" i="20" a="1"/>
  <c r="G142" i="20" s="1"/>
  <c r="A142" i="20" a="1"/>
  <c r="A142" i="20" s="1"/>
  <c r="E143" i="20" a="1"/>
  <c r="E143" i="20" s="1"/>
  <c r="A252" i="13" l="1" a="1"/>
  <c r="A252" i="13" s="1"/>
  <c r="B252" i="13" s="1" a="1"/>
  <c r="B252" i="13" s="1"/>
  <c r="H251" i="13" a="1"/>
  <c r="H251" i="13" s="1"/>
  <c r="F251" i="13" a="1"/>
  <c r="F251" i="13" s="1"/>
  <c r="G251" i="13" a="1"/>
  <c r="G251" i="13" s="1"/>
  <c r="M143" i="20" a="1"/>
  <c r="M143" i="20" s="1"/>
  <c r="I143" i="20" a="1"/>
  <c r="I143" i="20" s="1"/>
  <c r="D143" i="20" a="1"/>
  <c r="D143" i="20" s="1"/>
  <c r="L143" i="20" a="1"/>
  <c r="L143" i="20" s="1"/>
  <c r="H143" i="20" a="1"/>
  <c r="H143" i="20" s="1"/>
  <c r="C143" i="20" a="1"/>
  <c r="C143" i="20" s="1"/>
  <c r="K143" i="20" a="1"/>
  <c r="K143" i="20" s="1"/>
  <c r="G143" i="20" a="1"/>
  <c r="G143" i="20" s="1"/>
  <c r="A143" i="20" a="1"/>
  <c r="A143" i="20" s="1"/>
  <c r="F143" i="20" a="1"/>
  <c r="F143" i="20" s="1"/>
  <c r="B143" i="20" a="1"/>
  <c r="B143" i="20" s="1"/>
  <c r="J143" i="20" a="1"/>
  <c r="J143" i="20" s="1"/>
  <c r="E144" i="20" a="1"/>
  <c r="E144" i="20" s="1"/>
  <c r="A253" i="13" l="1" a="1"/>
  <c r="A253" i="13" s="1"/>
  <c r="B253" i="13" s="1" a="1"/>
  <c r="B253" i="13" s="1"/>
  <c r="H252" i="13" a="1"/>
  <c r="H252" i="13" s="1"/>
  <c r="F252" i="13" a="1"/>
  <c r="F252" i="13" s="1"/>
  <c r="G252" i="13" a="1"/>
  <c r="G252" i="13" s="1"/>
  <c r="L144" i="20" a="1"/>
  <c r="L144" i="20" s="1"/>
  <c r="I144" i="20" a="1"/>
  <c r="I144" i="20" s="1"/>
  <c r="D144" i="20" a="1"/>
  <c r="D144" i="20" s="1"/>
  <c r="K144" i="20" a="1"/>
  <c r="K144" i="20" s="1"/>
  <c r="H144" i="20" a="1"/>
  <c r="H144" i="20" s="1"/>
  <c r="B144" i="20" a="1"/>
  <c r="B144" i="20" s="1"/>
  <c r="J144" i="20" a="1"/>
  <c r="J144" i="20" s="1"/>
  <c r="G144" i="20" a="1"/>
  <c r="G144" i="20" s="1"/>
  <c r="C144" i="20" a="1"/>
  <c r="C144" i="20" s="1"/>
  <c r="M144" i="20" a="1"/>
  <c r="M144" i="20" s="1"/>
  <c r="F144" i="20" a="1"/>
  <c r="F144" i="20" s="1"/>
  <c r="A144" i="20" a="1"/>
  <c r="A144" i="20" s="1"/>
  <c r="E145" i="20" a="1"/>
  <c r="E145" i="20" s="1"/>
  <c r="A254" i="13" l="1" a="1"/>
  <c r="A254" i="13" s="1"/>
  <c r="B254" i="13" s="1" a="1"/>
  <c r="B254" i="13" s="1"/>
  <c r="H253" i="13" a="1"/>
  <c r="H253" i="13" s="1"/>
  <c r="F253" i="13" a="1"/>
  <c r="F253" i="13" s="1"/>
  <c r="G253" i="13" a="1"/>
  <c r="G253" i="13" s="1"/>
  <c r="M145" i="20" a="1"/>
  <c r="M145" i="20" s="1"/>
  <c r="J145" i="20" a="1"/>
  <c r="J145" i="20" s="1"/>
  <c r="G145" i="20" a="1"/>
  <c r="G145" i="20" s="1"/>
  <c r="L145" i="20" a="1"/>
  <c r="L145" i="20" s="1"/>
  <c r="C145" i="20" a="1"/>
  <c r="C145" i="20" s="1"/>
  <c r="H145" i="20" a="1"/>
  <c r="H145" i="20" s="1"/>
  <c r="K145" i="20" a="1"/>
  <c r="K145" i="20" s="1"/>
  <c r="B145" i="20" a="1"/>
  <c r="B145" i="20" s="1"/>
  <c r="D145" i="20" a="1"/>
  <c r="D145" i="20" s="1"/>
  <c r="I145" i="20" a="1"/>
  <c r="I145" i="20" s="1"/>
  <c r="A145" i="20" a="1"/>
  <c r="A145" i="20" s="1"/>
  <c r="F145" i="20" a="1"/>
  <c r="F145" i="20" s="1"/>
  <c r="E146" i="20" a="1"/>
  <c r="E146" i="20" s="1"/>
  <c r="H254" i="13" l="1" a="1"/>
  <c r="H254" i="13" s="1"/>
  <c r="A255" i="13" a="1"/>
  <c r="A255" i="13" s="1"/>
  <c r="F254" i="13" a="1"/>
  <c r="F254" i="13" s="1"/>
  <c r="G254" i="13" a="1"/>
  <c r="G254" i="13" s="1"/>
  <c r="M146" i="20" a="1"/>
  <c r="M146" i="20" s="1"/>
  <c r="I146" i="20" a="1"/>
  <c r="I146" i="20" s="1"/>
  <c r="D146" i="20" a="1"/>
  <c r="D146" i="20" s="1"/>
  <c r="L146" i="20" a="1"/>
  <c r="L146" i="20" s="1"/>
  <c r="H146" i="20" a="1"/>
  <c r="H146" i="20" s="1"/>
  <c r="A146" i="20" a="1"/>
  <c r="A146" i="20" s="1"/>
  <c r="K146" i="20" a="1"/>
  <c r="K146" i="20" s="1"/>
  <c r="C146" i="20" a="1"/>
  <c r="C146" i="20" s="1"/>
  <c r="F146" i="20" a="1"/>
  <c r="F146" i="20" s="1"/>
  <c r="J146" i="20" a="1"/>
  <c r="J146" i="20" s="1"/>
  <c r="G146" i="20" a="1"/>
  <c r="G146" i="20" s="1"/>
  <c r="B146" i="20" a="1"/>
  <c r="B146" i="20" s="1"/>
  <c r="E147" i="20" a="1"/>
  <c r="E147" i="20" s="1"/>
  <c r="G255" i="13" l="1" a="1"/>
  <c r="G255" i="13" s="1"/>
  <c r="F255" i="13" a="1"/>
  <c r="F255" i="13" s="1"/>
  <c r="H255" i="13" a="1"/>
  <c r="H255" i="13" s="1"/>
  <c r="B255" i="13" a="1"/>
  <c r="B255" i="13" s="1"/>
  <c r="M147" i="20" a="1"/>
  <c r="M147" i="20" s="1"/>
  <c r="H147" i="20" a="1"/>
  <c r="H147" i="20" s="1"/>
  <c r="I147" i="20" a="1"/>
  <c r="I147" i="20" s="1"/>
  <c r="L147" i="20" a="1"/>
  <c r="L147" i="20" s="1"/>
  <c r="G147" i="20" a="1"/>
  <c r="G147" i="20" s="1"/>
  <c r="B147" i="20" a="1"/>
  <c r="B147" i="20" s="1"/>
  <c r="K147" i="20" a="1"/>
  <c r="K147" i="20" s="1"/>
  <c r="F147" i="20" a="1"/>
  <c r="F147" i="20" s="1"/>
  <c r="A147" i="20" a="1"/>
  <c r="A147" i="20" s="1"/>
  <c r="J147" i="20" a="1"/>
  <c r="J147" i="20" s="1"/>
  <c r="D147" i="20" a="1"/>
  <c r="D147" i="20" s="1"/>
  <c r="C147" i="20" a="1"/>
  <c r="C147" i="20" s="1"/>
  <c r="E148" i="20" a="1"/>
  <c r="E148" i="20" s="1"/>
  <c r="L148" i="20" l="1" a="1"/>
  <c r="L148" i="20" s="1"/>
  <c r="M148" i="20" a="1"/>
  <c r="M148" i="20" s="1"/>
  <c r="D148" i="20" a="1"/>
  <c r="D148" i="20" s="1"/>
  <c r="K148" i="20" a="1"/>
  <c r="K148" i="20" s="1"/>
  <c r="H148" i="20" a="1"/>
  <c r="H148" i="20" s="1"/>
  <c r="C148" i="20" a="1"/>
  <c r="C148" i="20" s="1"/>
  <c r="J148" i="20" a="1"/>
  <c r="J148" i="20" s="1"/>
  <c r="G148" i="20" a="1"/>
  <c r="G148" i="20" s="1"/>
  <c r="B148" i="20" a="1"/>
  <c r="B148" i="20" s="1"/>
  <c r="I148" i="20" a="1"/>
  <c r="I148" i="20" s="1"/>
  <c r="F148" i="20" a="1"/>
  <c r="F148" i="20" s="1"/>
  <c r="A148" i="20" a="1"/>
  <c r="A148" i="20" s="1"/>
  <c r="L24" i="12"/>
  <c r="K24" i="12"/>
  <c r="K30" i="12" s="1"/>
  <c r="J24" i="12"/>
  <c r="D24" i="12"/>
  <c r="F24" i="12" s="1"/>
  <c r="E24" i="12"/>
  <c r="G24" i="12" s="1"/>
  <c r="C24" i="12"/>
  <c r="B24" i="12"/>
  <c r="H24" i="12"/>
  <c r="I24" i="12"/>
  <c r="C25" i="12" l="1"/>
  <c r="K25" i="12"/>
  <c r="H25" i="12"/>
  <c r="L25" i="12"/>
  <c r="D25" i="12"/>
  <c r="F25" i="12" s="1"/>
  <c r="B25" i="12"/>
  <c r="J25" i="12"/>
  <c r="I25" i="12"/>
  <c r="E25" i="12"/>
  <c r="G25" i="12" s="1"/>
  <c r="J26" i="12" l="1"/>
  <c r="K26" i="12"/>
  <c r="D26" i="12"/>
  <c r="F26" i="12" s="1"/>
  <c r="I26" i="12"/>
  <c r="C26" i="12"/>
  <c r="B26" i="12"/>
  <c r="L26" i="12"/>
  <c r="H26" i="12"/>
  <c r="E26" i="12"/>
  <c r="G26" i="12" s="1"/>
  <c r="L27" i="12"/>
  <c r="C27" i="12"/>
  <c r="I27" i="12"/>
  <c r="D27" i="12"/>
  <c r="F27" i="12" s="1"/>
  <c r="J27" i="12"/>
  <c r="K27" i="12"/>
  <c r="H27" i="12"/>
  <c r="B27" i="12"/>
  <c r="E27" i="12"/>
  <c r="G27" i="12" s="1"/>
  <c r="C28" i="12" l="1"/>
  <c r="B28" i="12"/>
  <c r="J28" i="12"/>
  <c r="H28" i="12"/>
  <c r="K28" i="12"/>
  <c r="E28" i="12"/>
  <c r="G28" i="12" s="1"/>
  <c r="D28" i="12"/>
  <c r="F28" i="12" s="1"/>
  <c r="I28" i="12"/>
  <c r="L28" i="12"/>
  <c r="H29" i="12" l="1"/>
  <c r="I30" i="12" s="1"/>
  <c r="B29" i="12"/>
  <c r="B30" i="12" s="1"/>
  <c r="I29" i="12"/>
  <c r="K29" i="12"/>
  <c r="L29" i="12"/>
  <c r="C29" i="12"/>
  <c r="C30" i="12" s="1"/>
  <c r="D29" i="12"/>
  <c r="F29" i="12" s="1"/>
  <c r="J29" i="12"/>
  <c r="J30" i="12" s="1"/>
  <c r="E29" i="12"/>
  <c r="H30" i="12" l="1"/>
  <c r="E30" i="12"/>
  <c r="G30" i="12" s="1"/>
  <c r="G29" i="12"/>
  <c r="D30" i="12"/>
  <c r="F30" i="12" s="1"/>
</calcChain>
</file>

<file path=xl/comments1.xml><?xml version="1.0" encoding="utf-8"?>
<comments xmlns="http://schemas.openxmlformats.org/spreadsheetml/2006/main">
  <authors>
    <author>Joan Cotxà Pagans</author>
  </authors>
  <commentList>
    <comment ref="A7" authorId="0" shapeId="0">
      <text>
        <r>
          <rPr>
            <b/>
            <sz val="9"/>
            <color indexed="81"/>
            <rFont val="Tahoma"/>
            <family val="2"/>
          </rPr>
          <t>Fase 1:</t>
        </r>
        <r>
          <rPr>
            <sz val="9"/>
            <color indexed="81"/>
            <rFont val="Tahoma"/>
            <family val="2"/>
          </rPr>
          <t xml:space="preserve"> Ítems legalment obligatoris* i automàtics
</t>
        </r>
        <r>
          <rPr>
            <b/>
            <sz val="9"/>
            <color indexed="81"/>
            <rFont val="Tahoma"/>
            <family val="2"/>
          </rPr>
          <t>Fase 2:</t>
        </r>
        <r>
          <rPr>
            <sz val="9"/>
            <color indexed="81"/>
            <rFont val="Tahoma"/>
            <family val="2"/>
          </rPr>
          <t xml:space="preserve"> Ítems legalment obligatoris, avaluats pel Síndic de Greuges i manuals estructurats
</t>
        </r>
        <r>
          <rPr>
            <b/>
            <sz val="9"/>
            <color indexed="81"/>
            <rFont val="Tahoma"/>
            <family val="2"/>
          </rPr>
          <t>Fase 3:</t>
        </r>
        <r>
          <rPr>
            <sz val="9"/>
            <color indexed="81"/>
            <rFont val="Tahoma"/>
            <family val="2"/>
          </rPr>
          <t xml:space="preserve"> Ítems legalment obligatoris i manuals descriptius
</t>
        </r>
        <r>
          <rPr>
            <b/>
            <sz val="9"/>
            <color indexed="81"/>
            <rFont val="Tahoma"/>
            <family val="2"/>
          </rPr>
          <t>Fase 4:</t>
        </r>
        <r>
          <rPr>
            <sz val="9"/>
            <color indexed="81"/>
            <rFont val="Tahoma"/>
            <family val="2"/>
          </rPr>
          <t xml:space="preserve"> Ítems legalment obligatoris, manuals estructurats, no avaluats pel Síndic de Greuges
</t>
        </r>
        <r>
          <rPr>
            <b/>
            <sz val="9"/>
            <color indexed="81"/>
            <rFont val="Tahoma"/>
            <family val="2"/>
          </rPr>
          <t>Fase 5:</t>
        </r>
        <r>
          <rPr>
            <sz val="9"/>
            <color indexed="81"/>
            <rFont val="Tahoma"/>
            <family val="2"/>
          </rPr>
          <t xml:space="preserve"> Ítems que no són legalment obligatoris</t>
        </r>
      </text>
    </comment>
    <comment ref="B7" authorId="0" shapeId="0">
      <text>
        <r>
          <rPr>
            <b/>
            <sz val="9"/>
            <color indexed="81"/>
            <rFont val="Tahoma"/>
            <family val="2"/>
          </rPr>
          <t>Fase 1:</t>
        </r>
        <r>
          <rPr>
            <sz val="9"/>
            <color indexed="81"/>
            <rFont val="Tahoma"/>
            <family val="2"/>
          </rPr>
          <t xml:space="preserve"> Ítems legalment obligatoris* i automàtics
</t>
        </r>
        <r>
          <rPr>
            <b/>
            <sz val="9"/>
            <color indexed="81"/>
            <rFont val="Tahoma"/>
            <family val="2"/>
          </rPr>
          <t>Fase 2:</t>
        </r>
        <r>
          <rPr>
            <sz val="9"/>
            <color indexed="81"/>
            <rFont val="Tahoma"/>
            <family val="2"/>
          </rPr>
          <t xml:space="preserve"> Ítems legalment obligatoris, avaluats pel Síndic de Greuges i manuals estructurats
</t>
        </r>
        <r>
          <rPr>
            <b/>
            <sz val="9"/>
            <color indexed="81"/>
            <rFont val="Tahoma"/>
            <family val="2"/>
          </rPr>
          <t>Fase 3:</t>
        </r>
        <r>
          <rPr>
            <sz val="9"/>
            <color indexed="81"/>
            <rFont val="Tahoma"/>
            <family val="2"/>
          </rPr>
          <t xml:space="preserve"> Ítems legalment obligatoris i manuals descriptius
</t>
        </r>
        <r>
          <rPr>
            <b/>
            <sz val="9"/>
            <color indexed="81"/>
            <rFont val="Tahoma"/>
            <family val="2"/>
          </rPr>
          <t>Fase 4:</t>
        </r>
        <r>
          <rPr>
            <sz val="9"/>
            <color indexed="81"/>
            <rFont val="Tahoma"/>
            <family val="2"/>
          </rPr>
          <t xml:space="preserve"> Ítems legalment obligatoris, manuals estructurats, no avaluats pel Síndic de Greuges
</t>
        </r>
        <r>
          <rPr>
            <b/>
            <sz val="9"/>
            <color indexed="81"/>
            <rFont val="Tahoma"/>
            <family val="2"/>
          </rPr>
          <t>Fase 5:</t>
        </r>
        <r>
          <rPr>
            <sz val="9"/>
            <color indexed="81"/>
            <rFont val="Tahoma"/>
            <family val="2"/>
          </rPr>
          <t xml:space="preserve"> Ítems que no són legalment obligatoris</t>
        </r>
      </text>
    </comment>
  </commentList>
</comments>
</file>

<file path=xl/connections.xml><?xml version="1.0" encoding="utf-8"?>
<connections xmlns="http://schemas.openxmlformats.org/spreadsheetml/2006/main">
  <connection id="1" keepAlive="1" name="Consulta - data" description="Conexión a la consulta 'data' en el libro." type="5" refreshedVersion="8" background="1" saveData="1">
    <dbPr connection="Provider=Microsoft.Mashup.OleDb.1;Data Source=$Workbook$;Location=data;Extended Properties=&quot;&quot;" command="SELECT * FROM [data]"/>
  </connection>
  <connection id="2" keepAlive="1" name="Consulta - data (2)" description="Conexión a la consulta 'data (2)' en el libro." type="5" refreshedVersion="8" background="1" saveData="1">
    <dbPr connection="Provider=Microsoft.Mashup.OleDb.1;Data Source=$Workbook$;Location=&quot;data (2)&quot;;Extended Properties=&quot;&quot;" command="SELECT * FROM [data (2)]"/>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<sst xmlns="http://schemas.openxmlformats.org/spreadsheetml/2006/main" count="4872" uniqueCount="1262">
  <si>
    <t>Decret 8/2021</t>
  </si>
  <si>
    <t>Observacions a la normativa</t>
  </si>
  <si>
    <t>Acció de govern i normativa</t>
  </si>
  <si>
    <t>Acció de govern i grups polítics</t>
  </si>
  <si>
    <t>Acords de junta de govern</t>
  </si>
  <si>
    <t>2.1.2</t>
  </si>
  <si>
    <t>Manual (amb proposta de camps estructurats) (M)</t>
  </si>
  <si>
    <t>En disposar de noves dades, o per defecte trimestralment</t>
  </si>
  <si>
    <t>Article 10. Apartat 1. Punt a.</t>
  </si>
  <si>
    <t>Article 46</t>
  </si>
  <si>
    <t>https://municat.gencat.cat/ca/Temes/Transparencia/Items-de-transparencia/2.1.2.Acords-junta-govern</t>
  </si>
  <si>
    <t>Acords d'òrgans de govern</t>
  </si>
  <si>
    <t>https://suport-governobert.aoc.cat/hc/ca/articles/13363503104157-Qu%C3%A8-ha-d-incloure-l-%C3%ADtem-Acords-dels-%C3%B2rgans-de-govern-</t>
  </si>
  <si>
    <t>Actes administratius amb incidència al domini públic i als serveis públics</t>
  </si>
  <si>
    <t>2.1.6</t>
  </si>
  <si>
    <t>Article 10. Apartat 1. Punt f.</t>
  </si>
  <si>
    <t>Articles: 36, 37 i 38</t>
  </si>
  <si>
    <t>https://municat.gencat.cat/ca/Temes/Transparencia/Items-de-transparencia/2.1.6.Actes-administratius-incidencia-domini-public</t>
  </si>
  <si>
    <t>Actes de ple</t>
  </si>
  <si>
    <t>2.1.1</t>
  </si>
  <si>
    <t>Automàtic amb dades obertes (A)</t>
  </si>
  <si>
    <t>https://municat.gencat.cat/ca/Temes/Transparencia/Items-de-transparencia/2.1.1.Actes-ple</t>
  </si>
  <si>
    <t>Actes objecte de revisió en via administrativa</t>
  </si>
  <si>
    <t>2.1.7</t>
  </si>
  <si>
    <t>Manual (amb camp descriptiu) (M*)</t>
  </si>
  <si>
    <t>Article 10. Apartat 1. Punt g.</t>
  </si>
  <si>
    <t>Article 39</t>
  </si>
  <si>
    <t>https://municat.gencat.cat/ca/Temes/Transparencia/Items-de-transparencia/2.1.7.Actes-revisio-via-administrativa</t>
  </si>
  <si>
    <t>Informació institucional i organitzativa</t>
  </si>
  <si>
    <t>Informació institucional</t>
  </si>
  <si>
    <t>Agenda d'activitats</t>
  </si>
  <si>
    <t>1.1.6</t>
  </si>
  <si>
    <t>En disposar de noves dades, o per defecte setmanalment</t>
  </si>
  <si>
    <t>La publicitat d'aquest ítem esdevé una recomanació de publicitat activa per part de la XGOC</t>
  </si>
  <si>
    <t>https://municat.gencat.cat/ca/Temes/Transparencia/Items-de-transparencia/1.1.6.Agenda-Activitats</t>
  </si>
  <si>
    <t>Participació</t>
  </si>
  <si>
    <t>Agenda i activitats de les associacions</t>
  </si>
  <si>
    <t>6.1.8</t>
  </si>
  <si>
    <t>Article: 55.1 c)</t>
  </si>
  <si>
    <t>https://municat.gencat.cat/ca/Temes/Transparencia/Items-de-transparencia/6.1.8.Agenda-activitats-associacions</t>
  </si>
  <si>
    <t>Agenda institucional dels alts càrrecs i personal directiu</t>
  </si>
  <si>
    <t>1.1.5</t>
  </si>
  <si>
    <t>En disposar de noves dades, o per defecte mensualment</t>
  </si>
  <si>
    <t>Article 55. Apartat 1. Punt c.</t>
  </si>
  <si>
    <t>Article 33</t>
  </si>
  <si>
    <t>Contractes, convenis i subvencions</t>
  </si>
  <si>
    <t>Convenis i subvencions</t>
  </si>
  <si>
    <t>Ajuts atorgats</t>
  </si>
  <si>
    <t>3.3.6</t>
  </si>
  <si>
    <t>Article 15. Apartat 1. Punt c.</t>
  </si>
  <si>
    <t>https://municat.gencat.cat/ca/Temes/Transparencia/Items-de-transparencia/3.3.6.Ajuts-atorgats</t>
  </si>
  <si>
    <t>Empleats públics</t>
  </si>
  <si>
    <t>Alliberats sindicals</t>
  </si>
  <si>
    <t>1.3.11</t>
  </si>
  <si>
    <t>En disposar de noves dades, o per defecte anualment</t>
  </si>
  <si>
    <t>Article 9. Apartat 2.</t>
  </si>
  <si>
    <t>Article 24</t>
  </si>
  <si>
    <t>https://municat.gencat.cat/ca/Temes/Transparencia/Items-de-transparencia/1.3.11.Alliberats-sindicals</t>
  </si>
  <si>
    <t>Organització política i retribucions</t>
  </si>
  <si>
    <t>Alts càrrecs, personal directiu i càrrecs eventuals</t>
  </si>
  <si>
    <t>1.2.5</t>
  </si>
  <si>
    <t>Article 9, 11. Apartat 1. Punt b, c.</t>
  </si>
  <si>
    <t>Articles 28 i 31</t>
  </si>
  <si>
    <t>https://municat.gencat.cat/ca/Temes/Transparencia/Items-de-transparencia/1.2.5.Alts-carrecs-i-carrecs-eventuals</t>
  </si>
  <si>
    <t>Serveis i tràmits</t>
  </si>
  <si>
    <t>Serveis</t>
  </si>
  <si>
    <t>Atenció ciutadana</t>
  </si>
  <si>
    <t>5.2.1</t>
  </si>
  <si>
    <t>Article 9. Apartat 11. Punt l.</t>
  </si>
  <si>
    <t>https://municat.gencat.cat/ca/Temes/Transparencia/Items-de-transparencia/5.2.1.Atencio-ciutadana</t>
  </si>
  <si>
    <t>Gestió econòmica</t>
  </si>
  <si>
    <t>Auditories de comptes</t>
  </si>
  <si>
    <t>4.2.3</t>
  </si>
  <si>
    <t>Article 11. Apartat 1. Punt c.</t>
  </si>
  <si>
    <t>https://municat.gencat.cat/ca/Temes/Transparencia/Items-de-transparencia/4.2.3.Auditories-de-comptes</t>
  </si>
  <si>
    <t>Normativa, plans i programes</t>
  </si>
  <si>
    <t>Avaluació de l'aplicació de les normes</t>
  </si>
  <si>
    <t>2.2.7</t>
  </si>
  <si>
    <t>https://municat.gencat.cat/ca/Temes/Transparencia/Items-de-transparencia/2.2.7.Avaluacio-aplicacio-de-normes</t>
  </si>
  <si>
    <t>Estat dels serveis</t>
  </si>
  <si>
    <t>Avaluacions de les polítiques públiques</t>
  </si>
  <si>
    <t>5.3.5</t>
  </si>
  <si>
    <t>Article 9. Apartat 1. Punt j.</t>
  </si>
  <si>
    <t>Article 6. Apartat 2.</t>
  </si>
  <si>
    <t>https://municat.gencat.cat/ca/Temes/Transparencia/Items-de-transparencia/5.3.5.Avaluacions-politiques-publiques</t>
  </si>
  <si>
    <t>Avaluacions de qualitat dels serveis públics</t>
  </si>
  <si>
    <t>5.3.6</t>
  </si>
  <si>
    <t>Article 12. Apartat 1.</t>
  </si>
  <si>
    <t>https://municat.gencat.cat/ca/Temes/Transparencia/Items-de-transparencia/5.3.6.Avaluacions-qualitat-serveis-publics</t>
  </si>
  <si>
    <t>Gestió documental i arxiu</t>
  </si>
  <si>
    <t>Calendari de conservació i règim d'accés documental</t>
  </si>
  <si>
    <t>2.4.1</t>
  </si>
  <si>
    <t>Article: 19</t>
  </si>
  <si>
    <t>https://municat.gencat.cat/ca/Temes/Transparencia/Items-de-transparencia/2.4.1.Calendari-conservacio-regim-acces-documental</t>
  </si>
  <si>
    <t>Calendari dies inhàbils</t>
  </si>
  <si>
    <t>5.2.2</t>
  </si>
  <si>
    <t>Automàtic amb redirecció (A*)</t>
  </si>
  <si>
    <t>La publicitat d'aquest ítem esdevé una recomanació de publicitat activa per part de la XGOC, basada en Lei 39/15 i 40/15</t>
  </si>
  <si>
    <t>https://municat.gencat.cat/ca/Temes/Transparencia/Items-de-transparencia/5.2.2.Calendari-dies-inhabils</t>
  </si>
  <si>
    <t>Calendari i padrons fiscals</t>
  </si>
  <si>
    <t>2.2.10</t>
  </si>
  <si>
    <t>https://municat.gencat.cat/ca/Temes/Transparencia/Items-de-transparencia/2.2.10.Calendari-i-padrons-fiscals</t>
  </si>
  <si>
    <t>Càrrecs electes</t>
  </si>
  <si>
    <t>1.2.2</t>
  </si>
  <si>
    <t>Article 9. Apartat 1. Punt b.</t>
  </si>
  <si>
    <t>Article 28</t>
  </si>
  <si>
    <t>https://municat.gencat.cat/ca/Temes/Transparencia/Items-de-transparencia/1.2.2.Carrecs-electes</t>
  </si>
  <si>
    <t>Cartipàs: organització política</t>
  </si>
  <si>
    <t>1.2.1</t>
  </si>
  <si>
    <t>Article 9. Apartat 1. Punt a, b.</t>
  </si>
  <si>
    <t>https://municat.gencat.cat/ca/Temes/Transparencia/Items-de-transparencia/1.2.1.Cartipas-organitzacio-politica</t>
  </si>
  <si>
    <t>Tràmits</t>
  </si>
  <si>
    <t>Catàleg de dades i documents interoperables</t>
  </si>
  <si>
    <t>5.1.9</t>
  </si>
  <si>
    <t>La publicitat d'aquest ítem esdevé una recomanació de publicitat activa per part de la XGOC, basada en article 67 de la LTC</t>
  </si>
  <si>
    <t>https://municat.gencat.cat/ca/Temes/Transparencia/Items-de-transparencia/5.1.9.Cataleg-dades-documents-interoperables</t>
  </si>
  <si>
    <t>Catàleg de tràmits i procediments</t>
  </si>
  <si>
    <t>5.1.8</t>
  </si>
  <si>
    <t>Article 10. Apartat 1. Punt e.</t>
  </si>
  <si>
    <t>Article: 35 </t>
  </si>
  <si>
    <t>https://municat.gencat.cat/ca/Temes/Transparencia/Items-de-transparencia/5.1.8.Cataleg-tramits-procediments</t>
  </si>
  <si>
    <t>Catàleg i cartes de serveis</t>
  </si>
  <si>
    <t>5.2.3</t>
  </si>
  <si>
    <t>https://municat.gencat.cat/ca/Temes/Transparencia/Items-de-transparencia/5.2.3.Cataleg-cartes-serveis</t>
  </si>
  <si>
    <t>Codi de conducta dels alts càrrecs i de bon govern</t>
  </si>
  <si>
    <t>Article 55. Apartat 3.</t>
  </si>
  <si>
    <t>Codi de conducta dels grups d'interès</t>
  </si>
  <si>
    <t>Article 49. Apartat 1. Punt c.</t>
  </si>
  <si>
    <t>Aquest és un ítem complementari amb el "Registre de Grups d'interès", que permet fer la publicació específica del codi de conducta de l'ens</t>
  </si>
  <si>
    <t>Competències i funcions</t>
  </si>
  <si>
    <t>1.1.1</t>
  </si>
  <si>
    <t>Article 9. Apartat 1. Punt a, c.</t>
  </si>
  <si>
    <t>https://municat.gencat.cat/ca/Temes/Transparencia/Items-de-transparencia/1.1.1.Competencies-i-funcions</t>
  </si>
  <si>
    <t>Pressupost</t>
  </si>
  <si>
    <t>Compliment dels objectius d’estabilitat pressupostària</t>
  </si>
  <si>
    <t>4.1.6</t>
  </si>
  <si>
    <t>Article 11. Apartat 1. Punt a.</t>
  </si>
  <si>
    <t>https://municat.gencat.cat/ca/Temes/Transparencia/Items-de-transparencia/4.1.6.Compliment-objectius-estabilitat-pressupostaria</t>
  </si>
  <si>
    <t>Compte general</t>
  </si>
  <si>
    <t>4.1.4</t>
  </si>
  <si>
    <t>https://municat.gencat.cat/ca/Temes/Transparencia/Items-de-transparencia/4.1.4.Compte-general</t>
  </si>
  <si>
    <t>Consultes més freqüents rebudes pels ciutadans o organitzacions</t>
  </si>
  <si>
    <t>6.1.4</t>
  </si>
  <si>
    <t>Article: 61.3</t>
  </si>
  <si>
    <t>https://municat.gencat.cat/ca/Temes/Transparencia/Items-de-transparencia/6.1.4.Consultes-mes-frequents-rebudes-pels-ciutadans-organitzacions</t>
  </si>
  <si>
    <t>Informació de la contractació pública</t>
  </si>
  <si>
    <t>Consultes més freqüents sobre contractació</t>
  </si>
  <si>
    <t>3.2.5</t>
  </si>
  <si>
    <t>Article 13. Apartat 1. Punt h.</t>
  </si>
  <si>
    <t>Articles: 43.5</t>
  </si>
  <si>
    <t>https://municat.gencat.cat/ca/Temes/Transparencia/Items-de-transparencia/3.2.5.Consultes-frequents-sobre-contractacio</t>
  </si>
  <si>
    <t>Relació de contractes</t>
  </si>
  <si>
    <t>Contractes programats</t>
  </si>
  <si>
    <t>3.1.2</t>
  </si>
  <si>
    <t>Article 13. Apartat 1. Punt c.</t>
  </si>
  <si>
    <t>Article 43.2</t>
  </si>
  <si>
    <t>https://municat.gencat.cat/ca/Temes/Transparencia/Items-de-transparencia/3.1.2.Contractes-programats</t>
  </si>
  <si>
    <t>Convenis de col·laboració</t>
  </si>
  <si>
    <t>3.3.1</t>
  </si>
  <si>
    <t>Article 14. Apartat 2. Punt a, b.</t>
  </si>
  <si>
    <t>Article 8. Apartat 1. Punt b.</t>
  </si>
  <si>
    <t>Article 44.1</t>
  </si>
  <si>
    <t>https://municat.gencat.cat/ca/Temes/Transparencia/Items-de-transparencia/3.3.1.Convenis-de-colaboracio</t>
  </si>
  <si>
    <t>Convenis urbanístics</t>
  </si>
  <si>
    <t>3.3.2</t>
  </si>
  <si>
    <t>Article 14</t>
  </si>
  <si>
    <t>https://municat.gencat.cat/ca/Temes/Transparencia/Items-de-transparencia/3.3.2.Convenis-urbanistics</t>
  </si>
  <si>
    <t>Convenis, acords, pactes de caràcter funcionarial, laboral o sindical</t>
  </si>
  <si>
    <t>1.3.10</t>
  </si>
  <si>
    <t>Article 9. Apartat 1. Punt i.</t>
  </si>
  <si>
    <t>Article 23</t>
  </si>
  <si>
    <t>https://municat.gencat.cat/ca/Temes/Transparencia/Items-de-transparencia/1.3.10.Convenis-funcionarials-laborals-sindicals</t>
  </si>
  <si>
    <t>Convocatòries de personal</t>
  </si>
  <si>
    <t>1.3.7</t>
  </si>
  <si>
    <t>Article 9. Apartat 1. Punt e.</t>
  </si>
  <si>
    <t>https://municat.gencat.cat/ca/Temes/Transparencia/Items-de-transparencia/1.3.7.Convocatories-personal</t>
  </si>
  <si>
    <t>Convocatòries de sessions del ple</t>
  </si>
  <si>
    <t>2.1.5</t>
  </si>
  <si>
    <t>https://municat.gencat.cat/ca/Temes/Transparencia/Items-de-transparencia/2.1.5.Convocatories-sessions-ple</t>
  </si>
  <si>
    <t>Convocatòries de subvencions i ajuts</t>
  </si>
  <si>
    <t>3.3.4</t>
  </si>
  <si>
    <t>Article 15. Apartat 1. Punt a i b.</t>
  </si>
  <si>
    <t>https://municat.gencat.cat/ca/Temes/Transparencia/Items-de-transparencia/3.3.4.Convocatories-subvencions-ajuts</t>
  </si>
  <si>
    <t>Cost efectiu dels serveis</t>
  </si>
  <si>
    <t>4.2.5</t>
  </si>
  <si>
    <t>La publicitat d'aquest ítem esdevé una recomanació de publicitat activa per part de la XGOC, basada en LRBRL (art. 116 ter)</t>
  </si>
  <si>
    <t>https://municat.gencat.cat/ca/Temes/Transparencia/Items-de-transparencia/4.2.5.Cost-efectiu-serveis</t>
  </si>
  <si>
    <t>Criteris interpretatius de contractació</t>
  </si>
  <si>
    <t>3.2.4</t>
  </si>
  <si>
    <t>Article 13. Apartat 1. Punt g.</t>
  </si>
  <si>
    <t>Article 43.5 </t>
  </si>
  <si>
    <t>https://municat.gencat.cat/ca/Temes/Transparencia/Items-de-transparencia/3.2.4.Criteris-interpretatius-contractacio</t>
  </si>
  <si>
    <t>Dades estadístiques</t>
  </si>
  <si>
    <t>1.1.10</t>
  </si>
  <si>
    <t>Article 8. Apartat 1. Punt j.</t>
  </si>
  <si>
    <t>https://municat.gencat.cat/ca/Temes/Transparencia/Items-de-transparencia/1.1.10.Dades-estadistiques</t>
  </si>
  <si>
    <t>Dades generals de l'ens</t>
  </si>
  <si>
    <t>1.1.7</t>
  </si>
  <si>
    <t>Article 8. Apartat 1. Punt j, k.</t>
  </si>
  <si>
    <t>https://municat.gencat.cat/ca/Temes/Transparencia/Items-de-transparencia/1.1.7.Dades-generals-ens</t>
  </si>
  <si>
    <t>Protecció de dades personals</t>
  </si>
  <si>
    <t>Delegat/da de Protecció de Dades</t>
  </si>
  <si>
    <t>1.4.1</t>
  </si>
  <si>
    <t>Article 9. Apartat 1. Punt c.</t>
  </si>
  <si>
    <t>https://municat.gencat.cat/ca/Temes/Transparencia/Items-de-transparencia/1.4.1.Delegat-proteccio-dades</t>
  </si>
  <si>
    <t>Dictàmens de la Comissió Jurídica Assessora i altres òrgans consultius</t>
  </si>
  <si>
    <t>2.1.9</t>
  </si>
  <si>
    <t>Article 10. Apartat 1. Punt i.</t>
  </si>
  <si>
    <t>Article 41</t>
  </si>
  <si>
    <t>https://municat.gencat.cat/ca/Temes/Transparencia/Items-de-transparencia/2.1.9.Dictamens-CJA-i-altres-organs-consultius</t>
  </si>
  <si>
    <t>Directives, instruccions, circulars i respostes a consultes sobre les normes</t>
  </si>
  <si>
    <t>2.2.5</t>
  </si>
  <si>
    <t>Article 10. Apartat 1. Punt b.</t>
  </si>
  <si>
    <t>Article 34</t>
  </si>
  <si>
    <t>https://municat.gencat.cat/ca/Temes/Transparencia/Items-de-transparencia/2.2.5.Directives-instruccions-circulars-respostes-a-consultes-sobre-normes</t>
  </si>
  <si>
    <t>Directori d'associacions i entitats</t>
  </si>
  <si>
    <t>6.1.5</t>
  </si>
  <si>
    <t>https://municat.gencat.cat/ca/Temes/Transparencia/Items-de-transparencia/6.1.5.Directori-associacions-entitats</t>
  </si>
  <si>
    <t>5.1.7</t>
  </si>
  <si>
    <t>https://municat.gencat.cat/ca/Temes/Transparencia/Items-de-transparencia/5.1.7.El-meu-espai-personal</t>
  </si>
  <si>
    <t>Endeutament</t>
  </si>
  <si>
    <t>4.2.1</t>
  </si>
  <si>
    <t>Article:11.1 a)</t>
  </si>
  <si>
    <t>Equipaments municipals</t>
  </si>
  <si>
    <t>5.2.4</t>
  </si>
  <si>
    <t>https://municat.gencat.cat/ca/Temes/Transparencia/Items-de-transparencia/5.2.4.Equipaments-municipals</t>
  </si>
  <si>
    <t>Espais de participació ciutadana</t>
  </si>
  <si>
    <t>6.1.1</t>
  </si>
  <si>
    <t>Article 9. Apartat 1. Punt l.</t>
  </si>
  <si>
    <t>https://municat.gencat.cat/ca/Temes/Transparencia/Items-de-transparencia/6.1.1.Espais-participacio-ciutadana</t>
  </si>
  <si>
    <t>Estatuts</t>
  </si>
  <si>
    <t>2.2.1</t>
  </si>
  <si>
    <t>https://municat.gencat.cat/ca/Temes/Transparencia/Items-de-transparencia/2.2.1.Estatuts</t>
  </si>
  <si>
    <t>Urbanisme</t>
  </si>
  <si>
    <t>Estudis d'impacte ambiental i paisatgístic</t>
  </si>
  <si>
    <t>2.3.5</t>
  </si>
  <si>
    <t>La publicitat d'aquest ítem esdevé una recomanació de publicitat activa per part de la XGOC, basada en article 12, apartats 4 i 5 de la LTC</t>
  </si>
  <si>
    <t>https://municat.gencat.cat/ca/Temes/Transparencia/Items-de-transparencia/2.3.5.Estudis-impacte-ambiental-paisagistic</t>
  </si>
  <si>
    <t>Execució pressupostària trimestral</t>
  </si>
  <si>
    <t>4.1.2</t>
  </si>
  <si>
    <t>https://municat.gencat.cat/ca/Temes/Transparencia/Items-de-transparencia/4.1.2.Execucio-pressupostaria-trimestral</t>
  </si>
  <si>
    <t>Exercici dels drets relatius a la protecció de dades personals</t>
  </si>
  <si>
    <t>1.4.2</t>
  </si>
  <si>
    <t>https://municat.gencat.cat/ca/Temes/Transparencia/Items-de-transparencia/1.4.2.Exercici-drets-proteccio-dades</t>
  </si>
  <si>
    <t>Factures electròniques</t>
  </si>
  <si>
    <t>5.1.4</t>
  </si>
  <si>
    <t>La publicitat d'aquest ítem esdevé una recomanació de publicitat activa per part de la XGOC, basada en articles (arts. 1,8.1 b) i 11.1) de la LTC</t>
  </si>
  <si>
    <t>https://municat.gencat.cat/ca/Temes/Transparencia/Items-de-transparencia/5.1.4.Factura-electronica</t>
  </si>
  <si>
    <t>La publicitat d'aquest ítem esdevé una recomanació de publicitat activa per part de la XGOC, basada en llei de simplificació 1/15</t>
  </si>
  <si>
    <t>https://suport-governobert.aoc.cat/hc/ca/articles/13276646197405-Qu%C3%A8-ha-d-incloure-l-%C3%ADtem-de-Finestreta-%C3%9Anica-Empresarial-</t>
  </si>
  <si>
    <t>Gestió tributària</t>
  </si>
  <si>
    <t>5.1.2</t>
  </si>
  <si>
    <t>https://municat.gencat.cat/ca/Temes/Transparencia/Items-de-transparencia/5.1.2.Gestio-tributaria</t>
  </si>
  <si>
    <t>Gestor de representacions</t>
  </si>
  <si>
    <t>5.1.10</t>
  </si>
  <si>
    <t>La publicitat d'aquest ítem esdevé una recomanació de publicitat activa per part de la XGOC, basada en Lei 39/15 (article 6)</t>
  </si>
  <si>
    <t>https://municat.gencat.cat/ca/Temes/Transparencia/Items-de-transparencia/5.1.10.Gestor-de-representacions</t>
  </si>
  <si>
    <t>Grups polítics/municipals</t>
  </si>
  <si>
    <t>1.2.3</t>
  </si>
  <si>
    <t>Article: 9.1.a)</t>
  </si>
  <si>
    <t>https://municat.gencat.cat/ca/Temes/Transparencia/Items-de-transparencia/1.2.3.Grups-politics-municipals</t>
  </si>
  <si>
    <t>Incidències de serveis</t>
  </si>
  <si>
    <t>5.3.1</t>
  </si>
  <si>
    <t>Article: 59 1</t>
  </si>
  <si>
    <t>https://municat.gencat.cat/ca/Temes/Transparencia/Items-de-transparencia/5.3.1.Incidencies-serveis</t>
  </si>
  <si>
    <t>Incidències de trànsit</t>
  </si>
  <si>
    <t>5.3.2</t>
  </si>
  <si>
    <t>La publicitat d'aquest ítem esdevé una recomanació de publicitat activa per part de la XGOC, basada en article 12 de la LTC</t>
  </si>
  <si>
    <t>https://municat.gencat.cat/ca/Temes/Transparencia/Items-de-transparencia/5.3.2.Incidencies-transit</t>
  </si>
  <si>
    <t>Indicadors de gestió econòmica</t>
  </si>
  <si>
    <t>4.2.4</t>
  </si>
  <si>
    <t>https://municat.gencat.cat/ca/Temes/Transparencia/Items-de-transparencia/4.2.4.Indicadors-gestio-economica</t>
  </si>
  <si>
    <t>Indicadors de transparència</t>
  </si>
  <si>
    <t>5.3.7</t>
  </si>
  <si>
    <t>Article 6. Apartat 3.</t>
  </si>
  <si>
    <t>https://municat.gencat.cat/ca/Temes/Transparencia/Items-de-transparencia/5.3.7.Indicadors-transparencia</t>
  </si>
  <si>
    <t>Informació de la contaminació acústica</t>
  </si>
  <si>
    <t>5.3.4</t>
  </si>
  <si>
    <t>https://municat.gencat.cat/ca/Temes/Transparencia/Items-de-transparencia/5.3.4.Informacio-contaminacio-acustica</t>
  </si>
  <si>
    <t>Informació de la contaminació de l'aire</t>
  </si>
  <si>
    <t>5.3.3</t>
  </si>
  <si>
    <t>https://municat.gencat.cat/ca/Temes/Transparencia/Items-de-transparencia/5.3.3.Informacio-contaminacio-aire</t>
  </si>
  <si>
    <t>Informació de les campanyes institucionals</t>
  </si>
  <si>
    <t>4.1.7</t>
  </si>
  <si>
    <t>Article 11. Apartat 1. Punt f.</t>
  </si>
  <si>
    <t>Article 47</t>
  </si>
  <si>
    <t>https://municat.gencat.cat/ca/Temes/Transparencia/Items-de-transparencia/4.1.7.Cost-campanyes-institucionals</t>
  </si>
  <si>
    <t>Informació de l'execució dels convenis</t>
  </si>
  <si>
    <t>3.3.3</t>
  </si>
  <si>
    <t>Article 14. Apartat 2. Punt c.</t>
  </si>
  <si>
    <t>https://municat.gencat.cat/ca/Temes/Transparencia/Items-de-transparencia/3.3.3.Informacio-execucio-convenis</t>
  </si>
  <si>
    <t>Informació del terme municipal</t>
  </si>
  <si>
    <t>1.1.9</t>
  </si>
  <si>
    <t>Article: 8.1.k) d</t>
  </si>
  <si>
    <t>https://municat.gencat.cat/ca/Temes/Transparencia/Items-de-transparencia/1.1.9.Informacio-terme-municipal</t>
  </si>
  <si>
    <t>Informació geogràfica d'urbanisme</t>
  </si>
  <si>
    <t>2.3.3</t>
  </si>
  <si>
    <t>Article 12. Apartat 4.</t>
  </si>
  <si>
    <t>https://municat.gencat.cat/ca/Temes/Transparencia/Items-de-transparencia/2.3.3.Informacio-geografica-urbanisme</t>
  </si>
  <si>
    <t>Informació històrica sobre el municipi</t>
  </si>
  <si>
    <t>1.1.8</t>
  </si>
  <si>
    <t>https://municat.gencat.cat/ca/Temes/Transparencia/Items-de-transparencia/1.1.8.Informacio-historica-sobre-municipi</t>
  </si>
  <si>
    <t>Informació proporcionada per les entitats privades</t>
  </si>
  <si>
    <t>1.1.12</t>
  </si>
  <si>
    <t>Articles 9 i 10</t>
  </si>
  <si>
    <t>https://municat.gencat.cat/ca/Temes/Transparencia/Items-de-transparencia/1.1.12-Informacioproporcionada-per-entitats-privades</t>
  </si>
  <si>
    <t>Patrimoni</t>
  </si>
  <si>
    <t>Informació relativa a la gestió del patrimoni</t>
  </si>
  <si>
    <t>4.3.4</t>
  </si>
  <si>
    <t>Article 11. Apartat 2. Punt b.</t>
  </si>
  <si>
    <t>Article 48 </t>
  </si>
  <si>
    <t>https://municat.gencat.cat/ca/Temes/Transparencia/Items-de-transparencia/4.3.4.Informacio-gestio-patrimoni</t>
  </si>
  <si>
    <t>Informe de contractes adjudicats segons el procediment</t>
  </si>
  <si>
    <t>3.2.7</t>
  </si>
  <si>
    <t>Article 13. Apartat 3.</t>
  </si>
  <si>
    <t>Article 43.7 </t>
  </si>
  <si>
    <t>https://municat.gencat.cat/ca/Temes/Transparencia/Items-de-transparencia/3.2.7.Informe-contractes-adjudicats-segons-procediment</t>
  </si>
  <si>
    <t>Instància genèrica</t>
  </si>
  <si>
    <t>5.1.1</t>
  </si>
  <si>
    <t>https://municat.gencat.cat/ca/Temes/Transparencia/Items-de-transparencia/5.1.1.Instancia-generica</t>
  </si>
  <si>
    <t>Instruments de descripció documental</t>
  </si>
  <si>
    <t>2.4.3</t>
  </si>
  <si>
    <t>La publicitat d'aquest ítem esdevé una recomanació de publicitat activa per part de la XGOC, basada en la llei 10/2001, de 13 de juliol, d'arxius i gestió de documents article 5.2 i 6.1 apartats c) d) i e) de la LTC</t>
  </si>
  <si>
    <t>https://municat.gencat.cat/ca/Temes/Transparencia/Items-de-transparencia/2.4.3.Instruments-descripcio-documental</t>
  </si>
  <si>
    <t>Inventari de béns mobles de valor històric i artístic</t>
  </si>
  <si>
    <t>4.3.2</t>
  </si>
  <si>
    <t>Article 11. Apartat 2. Punt a.</t>
  </si>
  <si>
    <t>Article: 48.1 </t>
  </si>
  <si>
    <t>https://municat.gencat.cat/ca/Temes/Transparencia/Items-de-transparencia/4.3.2.Inventari-bens-mobles-valor-historic-artistic</t>
  </si>
  <si>
    <t>Inventari de vehicles oficials</t>
  </si>
  <si>
    <t>4.3.3</t>
  </si>
  <si>
    <t>Article 48.1</t>
  </si>
  <si>
    <t>La publicitat d'aquest ítem esdevé una recomanació de publicitat activa per part de la XGOC, basada en articles  1.1.a), 1.2, 8.1.b) i f), 11.1, 13.1 de la LTC</t>
  </si>
  <si>
    <t>https://municat.gencat.cat/ca/Temes/Transparencia/Items-de-transparencia/4.3.3.Inventari-vehicles-oficials</t>
  </si>
  <si>
    <t>Inventari general del patrimoni</t>
  </si>
  <si>
    <t>4.3.1</t>
  </si>
  <si>
    <t>https://municat.gencat.cat/ca/Temes/Transparencia/Items-de-transparencia/4.3.1.Inventari-general-patrimoni</t>
  </si>
  <si>
    <t>Licitacions en tràmit (perfil de contractant)</t>
  </si>
  <si>
    <t>3.1.1</t>
  </si>
  <si>
    <t>Article 13. Apartat 1. Punt b.</t>
  </si>
  <si>
    <t>Articles 13.5 i 43</t>
  </si>
  <si>
    <t>https://municat.gencat.cat/ca/Temes/Transparencia/Items-de-transparencia/3.1.1.Licitacions-en-tramit</t>
  </si>
  <si>
    <t>Liquidació del pressupost</t>
  </si>
  <si>
    <t>4.1.3</t>
  </si>
  <si>
    <t>https://municat.gencat.cat/ca/Temes/Transparencia/Items-de-transparencia/4.1.3.Liquidacio-pressupost</t>
  </si>
  <si>
    <t>Llistes de personal per cada procés de formació i/o promoció</t>
  </si>
  <si>
    <t>1.3.9</t>
  </si>
  <si>
    <t>Article 9. Apartat 1. Punt g.</t>
  </si>
  <si>
    <t>https://municat.gencat.cat/ca/Temes/Transparencia/Items-de-transparencia/1.3.9.Llistes-de-personal-per-cada-proces-formacio-promocio</t>
  </si>
  <si>
    <t>Memòries i documents dels projectes normatius en curs</t>
  </si>
  <si>
    <t>2.2.6</t>
  </si>
  <si>
    <t>Article 10. Apartat 1. Punt d.</t>
  </si>
  <si>
    <t>Article 42</t>
  </si>
  <si>
    <t>https://municat.gencat.cat/ca/Temes/Transparencia/Items-de-transparencia/2.2.6.Memories-documents-projectes-normatius-curs</t>
  </si>
  <si>
    <t>Modificació de pressupostos</t>
  </si>
  <si>
    <t>4.1.5</t>
  </si>
  <si>
    <t>https://municat.gencat.cat/ca/Temes/Transparencia/Items-de-transparencia/4.1.5.Modificacio-de-pressupostos</t>
  </si>
  <si>
    <t>Modificacions de contractes</t>
  </si>
  <si>
    <t>3.1.5</t>
  </si>
  <si>
    <t>Article 13. Apartat 1. Punt e.</t>
  </si>
  <si>
    <t>Article 43.4</t>
  </si>
  <si>
    <t>https://municat.gencat.cat/ca/Temes/Transparencia/Items-de-transparencia/3.1.5.Modificacions-de-contractes</t>
  </si>
  <si>
    <t>Normativa d'urbanisme</t>
  </si>
  <si>
    <t>2.3.1</t>
  </si>
  <si>
    <t>https://municat.gencat.cat/ca/Temes/Transparencia/Items-de-transparencia/2.3.1.Normativa-urbanisme</t>
  </si>
  <si>
    <t>Normativa, reglaments i directrius de participació ciutadana</t>
  </si>
  <si>
    <t>6.1.7</t>
  </si>
  <si>
    <t>La publicitat d'aquest ítem esdevé una recomanació de publicitat activa per part de la XGOC, basada en article 10.1 a) de la LTC</t>
  </si>
  <si>
    <t>https://municat.gencat.cat/ca/Temes/Transparencia/Items-de-transparencia/6.1.7.Normativa-reglaments-directius-participacio-ciutadana</t>
  </si>
  <si>
    <t>Notícies i opinions sobre les actuacions de govern i de l'oposició</t>
  </si>
  <si>
    <t>2.1.10</t>
  </si>
  <si>
    <t>La publicitat d'aquest ítem esdevé una recomanació de publicitat activa per part de la XGOC, basada en articles (arts. 5, 6.1 e) 16.1 i 19.3) de la LTC</t>
  </si>
  <si>
    <t>https://municat.gencat.cat/ca/Temes/Transparencia/Items-de-transparencia/2.1.10.Noticies-i-opinions-sobre-actuacions-govern-i-oposicio</t>
  </si>
  <si>
    <t>Notificacions electròniques</t>
  </si>
  <si>
    <t>5.1.3</t>
  </si>
  <si>
    <t>https://municat.gencat.cat/ca/Temes/Transparencia/Items-de-transparencia/5.1.3.Notificacions-electroniques</t>
  </si>
  <si>
    <t>Opinions i propostes dels grups municipals</t>
  </si>
  <si>
    <t>2.1.11</t>
  </si>
  <si>
    <t>https://municat.gencat.cat/ca/Temes/Transparencia/Items-de-transparencia/2.1.11.Opinions-i-propostes-dels-grups-politics-municipals</t>
  </si>
  <si>
    <t>Ordenances fiscals</t>
  </si>
  <si>
    <t>2.2.3</t>
  </si>
  <si>
    <t>https://municat.gencat.cat/ca/Temes/Transparencia/Items-de-transparencia/2.2.3.Ordenances-fiscals</t>
  </si>
  <si>
    <t>Ordenances reguladores i reglaments</t>
  </si>
  <si>
    <t>2.2.2</t>
  </si>
  <si>
    <t>https://municat.gencat.cat/ca/Temes/Transparencia/Items-de-transparencia/2.2.2.Ordenances-reguladores-i-reglaments</t>
  </si>
  <si>
    <t>Organigrama de l'ens</t>
  </si>
  <si>
    <t>1.1.2</t>
  </si>
  <si>
    <t>https://municat.gencat.cat/ca/Temes/Transparencia/Items-de-transparencia/1.1.2.Organigrama-ens</t>
  </si>
  <si>
    <t>Organismes dels que forma part</t>
  </si>
  <si>
    <t>1.1.3</t>
  </si>
  <si>
    <t>Article 9. Apartat 1. Punt a.</t>
  </si>
  <si>
    <t>https://municat.gencat.cat/ca/Temes/Transparencia/Items-de-transparencia/1.1.3.Organismes-dependents-o-vinculats</t>
  </si>
  <si>
    <t>Organismes dependents o vinculats</t>
  </si>
  <si>
    <t>Organismes que el formen</t>
  </si>
  <si>
    <t>Article 9. Apartat 1. Punt a i b.</t>
  </si>
  <si>
    <t>Òrgans de contractació</t>
  </si>
  <si>
    <t>3.2.1</t>
  </si>
  <si>
    <t>Article 13. Apartat 1. Punt a.</t>
  </si>
  <si>
    <t>Articles: 13 i 43.1 </t>
  </si>
  <si>
    <t>https://municat.gencat.cat/ca/Temes/Transparencia/Items-de-transparencia/3.2.1.Organs-contractacio</t>
  </si>
  <si>
    <t>Òrgans de govern i funcions</t>
  </si>
  <si>
    <t>1.2.4</t>
  </si>
  <si>
    <t>https://municat.gencat.cat/ca/Temes/Transparencia/Items-de-transparencia/1.2.4.Organs-govern-funcions</t>
  </si>
  <si>
    <t>Període mitjà de Pagament a Proveïdors (PMP)</t>
  </si>
  <si>
    <t>4.2.2</t>
  </si>
  <si>
    <t>Article 11.1 a)</t>
  </si>
  <si>
    <t>https://municat.gencat.cat/ca/Temes/Transparencia/Items-de-transparencia/4.2.2.Termini-pagament-proveidors</t>
  </si>
  <si>
    <t>Personal adscrit pels concessionaris i retribucions</t>
  </si>
  <si>
    <t>3.2.8</t>
  </si>
  <si>
    <t>Article 9. Apartat 1. Punt h.</t>
  </si>
  <si>
    <t>Articles 13 i 43.9</t>
  </si>
  <si>
    <t>https://municat.gencat.cat/ca/Temes/Transparencia/Items-de-transparencia/3.2.8.Personal-adscrit-pels-concessionaris-retribucions</t>
  </si>
  <si>
    <t>Pla anual de control financer</t>
  </si>
  <si>
    <t>4.2.6</t>
  </si>
  <si>
    <t>https://municat.gencat.cat/ca/Temes/Transparencia/Items-de-transparencia/4.2.6.Pla-anual-control-financer</t>
  </si>
  <si>
    <t>Pla anual normatiu</t>
  </si>
  <si>
    <t>2.2.9</t>
  </si>
  <si>
    <t>La publicitat d'aquest ítem esdevé una recomanació de publicitat activa per part de la XGOC, basada en article 132 de la Llei 39/15</t>
  </si>
  <si>
    <t>https://municat.gencat.cat/ca/Temes/Transparencia/Items-de-transparencia/2.2.9.Pla-normatiu</t>
  </si>
  <si>
    <t>Planejament urbanístic</t>
  </si>
  <si>
    <t>2.3.2</t>
  </si>
  <si>
    <t>https://municat.gencat.cat/ca/Temes/Transparencia/Items-de-transparencia/2.3.2.Plantejament-urbanistic</t>
  </si>
  <si>
    <t>Plans i programes destacats sobre les polítiques públiques</t>
  </si>
  <si>
    <t>2.2.8</t>
  </si>
  <si>
    <t>https://municat.gencat.cat/ca/Temes/Transparencia/Items-de-transparencia/2.2.8.Plans-programes-destacats-sobre-politiques-publiques</t>
  </si>
  <si>
    <t>Plans territorials d'urbanisme</t>
  </si>
  <si>
    <t>2.3.4</t>
  </si>
  <si>
    <t>Article 7</t>
  </si>
  <si>
    <t>Article 49.2</t>
  </si>
  <si>
    <t>https://municat.gencat.cat/ca/Temes/Transparencia/Items-de-transparencia/2.3.4.Plans-territorials-urbanisme</t>
  </si>
  <si>
    <t>Plantilla d'empleats públics</t>
  </si>
  <si>
    <t>1.3.1</t>
  </si>
  <si>
    <t>Article 9. Apartat 1. Punt d.</t>
  </si>
  <si>
    <t>Article 20.3</t>
  </si>
  <si>
    <t>https://municat.gencat.cat/ca/Temes/Transparencia/Items-de-transparencia/1.3.1.Plantilla-empleats-publics</t>
  </si>
  <si>
    <t>Plecs de clàusules generals</t>
  </si>
  <si>
    <t>2.2.4</t>
  </si>
  <si>
    <t>https://municat.gencat.cat/ca/Temes/Transparencia/Items-de-transparencia/2.2.4.Plecs-clausules-administratives-generals</t>
  </si>
  <si>
    <t>4.1.1</t>
  </si>
  <si>
    <t>https://municat.gencat.cat/ca/Temes/Transparencia/Items-de-transparencia/4.1.1.Pressupost</t>
  </si>
  <si>
    <t>Processos participatius en tràmit</t>
  </si>
  <si>
    <t>6.1.3</t>
  </si>
  <si>
    <t>https://municat.gencat.cat/ca/Temes/Transparencia/Items-de-transparencia/6.1.3.Processos-participatius-en-tramit</t>
  </si>
  <si>
    <t>Quadre de classificació documental</t>
  </si>
  <si>
    <t>2.4.2</t>
  </si>
  <si>
    <t>La publicitat d'aquest ítem esdevé una recomanació de publicitat activa per part de la XGOC, basada en article 5.2 i 6.1 apartats c) d) i e) de la LTC</t>
  </si>
  <si>
    <t>https://municat.gencat.cat/ca/Temes/Transparencia/Items-de-transparencia/2.4.2.Quadre-classificacio-documental</t>
  </si>
  <si>
    <t>Registre de factures</t>
  </si>
  <si>
    <t>3.1.6</t>
  </si>
  <si>
    <t>https://municat.gencat.cat/ca/Temes/Transparencia/Items-de-transparencia/3.1.6.Registre-de-factures</t>
  </si>
  <si>
    <t>Registre de funcionaris habilitats</t>
  </si>
  <si>
    <t>1.1.11</t>
  </si>
  <si>
    <t>Article 12.2 paràgraf 2n de la Llei 39/2015 d’1 d’octubre, del procediment administratiu comú de les administracions públiques</t>
  </si>
  <si>
    <t>https://municat.gencat.cat/ca/Temes/Transparencia/Items-de-transparencia/1.1.11.Registre-de-funcionaris-habilitats</t>
  </si>
  <si>
    <t>Registre de grups d'interès</t>
  </si>
  <si>
    <t>Registre de les activitats de tractament de dades personals</t>
  </si>
  <si>
    <t>1.4.3</t>
  </si>
  <si>
    <t>Article: 6 bis </t>
  </si>
  <si>
    <t>https://municat.gencat.cat/ca/Temes/Transparencia/Items-de-transparencia/1.4.3.Registre-activitats-tractament-dades-personals</t>
  </si>
  <si>
    <t>Registre de licitadors</t>
  </si>
  <si>
    <t>3.2.2</t>
  </si>
  <si>
    <t>Article 13. Apartat 1. Punt f.</t>
  </si>
  <si>
    <t>https://municat.gencat.cat/ca/Temes/Transparencia/Items-de-transparencia/3.2.2.Registre-de-licitadors</t>
  </si>
  <si>
    <t>Registre d'eliminació de documents</t>
  </si>
  <si>
    <t>2.4.4</t>
  </si>
  <si>
    <t>https://municat.gencat.cat/ca/Temes/Transparencia/Items-de-transparencia/2.4.4.Registre-eliminacio-documents</t>
  </si>
  <si>
    <t>Registre d'empreses classificades</t>
  </si>
  <si>
    <t>3.2.3</t>
  </si>
  <si>
    <t>https://municat.gencat.cat/ca/Temes/Transparencia/Items-de-transparencia/3.2.3.Registre-empreses-classificades</t>
  </si>
  <si>
    <t>3.1.3</t>
  </si>
  <si>
    <t>Article 13. Apartat 1. Punt d.</t>
  </si>
  <si>
    <t>Article 43.3</t>
  </si>
  <si>
    <t>https://municat.gencat.cat/ca/Temes/Transparencia/Items-de-transparencia/3.1.3.Relacio-contractes-adjudicats</t>
  </si>
  <si>
    <t>Relació de contractes menors (històric)</t>
  </si>
  <si>
    <t>3.1.4</t>
  </si>
  <si>
    <t>Article 43.3 </t>
  </si>
  <si>
    <t>https://municat.gencat.cat/ca/Temes/Transparencia/Items-de-transparencia/3.1.4.Relacio-contractes-menors</t>
  </si>
  <si>
    <t>Relació de contractes temporals i d'interinatge</t>
  </si>
  <si>
    <t>1.3.5</t>
  </si>
  <si>
    <t>Article 20.1.b)</t>
  </si>
  <si>
    <t>https://municat.gencat.cat/ca/Temes/Transparencia/Items-de-transparencia/1.3.5.Relacio-contractes-temporals-interinatge</t>
  </si>
  <si>
    <t>Relació de llocs de treball (RLT)</t>
  </si>
  <si>
    <t>1.3.2</t>
  </si>
  <si>
    <t>Article 20</t>
  </si>
  <si>
    <t>https://municat.gencat.cat/ca/Temes/Transparencia/Items-de-transparencia/1.3.2.Relacio-llocs-treball</t>
  </si>
  <si>
    <t>Relació de proveïdors, adjudicataris i/o contractistes</t>
  </si>
  <si>
    <t>3.1.7</t>
  </si>
  <si>
    <t>La publicitat d'aquest ítem esdevé una recomanació de publicitat activa per part de la XGOC, basada en articles 8 i 13 de la LTC</t>
  </si>
  <si>
    <t>https://municat.gencat.cat/ca/Temes/Transparencia/Items-de-transparencia/3.1.7.Relacio-proveidors-adjudicataris-contractistes</t>
  </si>
  <si>
    <t>Relació d'invitacions als alts càrrecs i personal directiu</t>
  </si>
  <si>
    <t>Relació d'obsequis als alts càrrecs i personal directiu</t>
  </si>
  <si>
    <t>Resolucions administratives i judicials rellevants</t>
  </si>
  <si>
    <t>2.1.8</t>
  </si>
  <si>
    <t>Article 10. Apartat 1. Punt h.</t>
  </si>
  <si>
    <t>Article 40</t>
  </si>
  <si>
    <t>https://municat.gencat.cat/ca/Temes/Transparencia/Items-de-transparencia/2.1.8.Resolucions-administratives-i-judicials-rellevants</t>
  </si>
  <si>
    <t>2.1.12</t>
  </si>
  <si>
    <t>Article: 14. Apartat 3. </t>
  </si>
  <si>
    <t>https://municat.gencat.cat/ca/Temes/Transparencia/Items-de-transparencia/2.1.12.Resolucions-de-solicituds-acces-informacio-publica</t>
  </si>
  <si>
    <t>Resolucions de recursos, actes de desistiment, renúncia i resolució de contractes</t>
  </si>
  <si>
    <t>3.2.6</t>
  </si>
  <si>
    <t>Article 13. Apartat 1. Punt i.</t>
  </si>
  <si>
    <t>Articles: 43.6 </t>
  </si>
  <si>
    <t>https://municat.gencat.cat/ca/Temes/Transparencia/Items-de-transparencia/3.2.6.Resolucions-recursos-actes-desistiment-renuncia-resolucio-contractes</t>
  </si>
  <si>
    <t>Resolucions i decrets</t>
  </si>
  <si>
    <t>2.1.3</t>
  </si>
  <si>
    <t>https://municat.gencat.cat/ca/Temes/Transparencia/Items-de-transparencia/2.1.3.Resolucions-i-decrets</t>
  </si>
  <si>
    <t>Resolucions relatives a les declaracions d'activitats, patrimonials i d'interessos dels alts càrrecs i del personal directiu</t>
  </si>
  <si>
    <t>1.2.6</t>
  </si>
  <si>
    <t>Article 11. Apartat 1. Punt d.</t>
  </si>
  <si>
    <t>Article 32</t>
  </si>
  <si>
    <t>https://municat.gencat.cat/ca/Temes/Transparencia/Items-de-transparencia/1.2.6.Resolucions-declaracions-activitats-patrimonials-interessos</t>
  </si>
  <si>
    <t>Resolucions sobre el règim d'incompatibilitats dels alts càrrecs i personal directiu</t>
  </si>
  <si>
    <t>1.2.7</t>
  </si>
  <si>
    <t>Article 9. Apartat 1. Punt m.</t>
  </si>
  <si>
    <t>Article 30</t>
  </si>
  <si>
    <t>https://municat.gencat.cat/ca/Temes/Transparencia/Items-de-transparencia/1.2.7.Resolucions-regim-incompatibilitats-alts-carrecs</t>
  </si>
  <si>
    <t>Resolucions sobre el règim d'incompatibilitats dels empleats públics</t>
  </si>
  <si>
    <t>1.3.12</t>
  </si>
  <si>
    <t>Article 26</t>
  </si>
  <si>
    <t>https://municat.gencat.cat/ca/Temes/Transparencia/Items-de-transparencia/1.3.12.Resolucions-regim-incompatibilitats-empleats-publics</t>
  </si>
  <si>
    <t>Responsable de comunicació/premsa</t>
  </si>
  <si>
    <t>1.3.4</t>
  </si>
  <si>
    <t>https://municat.gencat.cat/ca/Temes/Transparencia/Items-de-transparencia/1.3.4.Responsable-comunicacio-premsa</t>
  </si>
  <si>
    <t>Resultats de les convocatòries de personal</t>
  </si>
  <si>
    <t>1.3.8</t>
  </si>
  <si>
    <t>Article 21</t>
  </si>
  <si>
    <t>https://municat.gencat.cat/ca/Temes/Transparencia/Items-de-transparencia/1.3.8.Resultats-convocatories-personal</t>
  </si>
  <si>
    <t>3.3.7</t>
  </si>
  <si>
    <t>Article 15. Apartat 2.</t>
  </si>
  <si>
    <t>https://municat.gencat.cat/ca/Temes/Transparencia/Items-de-transparencia/3.3.7.Retribucio-directius-beneficiaris-subvencions</t>
  </si>
  <si>
    <t>Retribucions, indemnitzacions i dietes dels empleats públics</t>
  </si>
  <si>
    <t>1.3.6</t>
  </si>
  <si>
    <t>Article 11. Apartat 1. Punt e.</t>
  </si>
  <si>
    <t>Article 25</t>
  </si>
  <si>
    <t>https://municat.gencat.cat/ca/Temes/Transparencia/Items-de-transparencia/1.3.6.Retribucions-empleats-publics</t>
  </si>
  <si>
    <t>Sol·licitud d'accés a la informació pública</t>
  </si>
  <si>
    <t>5.1.5</t>
  </si>
  <si>
    <t>Article: 18 al 44</t>
  </si>
  <si>
    <t>https://municat.gencat.cat/ca/Temes/Transparencia/Items-de-transparencia/5.1.5.Solicitud-acces-informacio-publica</t>
  </si>
  <si>
    <t>Subvencions atorgades</t>
  </si>
  <si>
    <t>3.3.5</t>
  </si>
  <si>
    <t>https://municat.gencat.cat/ca/Temes/Transparencia/Items-de-transparencia/3.3.5.Subvencions-atorgades</t>
  </si>
  <si>
    <t>Suggeriments, queixes i propostes</t>
  </si>
  <si>
    <t>5.1.6</t>
  </si>
  <si>
    <t>https://municat.gencat.cat/ca/Temes/Transparencia/Items-de-transparencia/5.1.6.Proposta-actuacio-millora-suggeriments</t>
  </si>
  <si>
    <t>Tauler d'edictes i anuncis</t>
  </si>
  <si>
    <t>2.1.4</t>
  </si>
  <si>
    <t>Article 10. Apartat 1. Punt c.</t>
  </si>
  <si>
    <t>https://municat.gencat.cat/ca/Temes/Transparencia/Items-de-transparencia/2.1.4.Tauler-edictes-i-anuncis</t>
  </si>
  <si>
    <t>Tècnics de l'ens</t>
  </si>
  <si>
    <t>1.3.3</t>
  </si>
  <si>
    <t>https://municat.gencat.cat/ca/Temes/Transparencia/Items-de-transparencia/1.3.3.Tecnics-de-lens</t>
  </si>
  <si>
    <t>Tipus impositius</t>
  </si>
  <si>
    <t>2.2.11</t>
  </si>
  <si>
    <t>Article: 10.1 a)</t>
  </si>
  <si>
    <t>https://municat.gencat.cat/ca/Temes/Transparencia/Items-de-transparencia/2.2.11.Tipus-impositius</t>
  </si>
  <si>
    <t>Xarxes socials</t>
  </si>
  <si>
    <t>6.1.2</t>
  </si>
  <si>
    <t>https://municat.gencat.cat/ca/Temes/Transparencia/Items-de-transparencia/6.1.2.Xarxes-socials</t>
  </si>
  <si>
    <t>Obligació de la LT de publicitar obligacions legals?</t>
  </si>
  <si>
    <t>Obligació de disposar d'un cartipàs (art 20 LBRL, 48 TRLMRLC, 38 ROF)</t>
  </si>
  <si>
    <t>No tots els municipis tenen ens dependents (art 85.2.a) LBRL)</t>
  </si>
  <si>
    <t>Obligació d'aprovar un codi de conducta (art 55.3 LT)</t>
  </si>
  <si>
    <t>Obligació de disposar d'un registre per l'assistència en l'ús de mitjans electrònics als interessats (art 12.3 LPAC)</t>
  </si>
  <si>
    <t>Obligació que els electes es constitueixin en grups polítics (art 73.3 LBRL, 50 TRLMRLC)</t>
  </si>
  <si>
    <t>No és una obligació de tots els municipis: només els de + de 2.000 hab (art 104bis LBRL) podrien tenir personal eventual</t>
  </si>
  <si>
    <t>Obligació de formular les declaracions (art 75.7 LBRL)</t>
  </si>
  <si>
    <t>Obligagació autoritzar 2es activitats (art 3 Llei 53/84)</t>
  </si>
  <si>
    <t>Obligació legal d'aprovar la plantilla conjuntament amb el Pressupost (art 90 LBRL)</t>
  </si>
  <si>
    <t>Obligació legal de disposar d'una RLT (art 90 LBRL, art 73 TREBEP)</t>
  </si>
  <si>
    <t>Obligació legal de disposar de FHN per exercici de funcions reservades (art 92 bis LBRL) i d'altres (RLT)</t>
  </si>
  <si>
    <t>Obligació legal de publicitat dels processos selectius (principi transparència 55 TREBEP)</t>
  </si>
  <si>
    <t>(no tots els municipis compten amb pactes i/o acords del 38 TREBEP)</t>
  </si>
  <si>
    <t>(no tots els municipis tenen representació unitària ni tenen delegats sindicals amb crèdit horari LOLS)</t>
  </si>
  <si>
    <t>(no tots els municipis tenen empleats que duguin a terme un 2n lloc al sector públic o privat art 3 LI)</t>
  </si>
  <si>
    <t>Obligació legal de designar un DPD (art 34 LOPD)</t>
  </si>
  <si>
    <t>Obligació legal d'informar l'afectat de la possibilitat d'exercici de drets (art 11 LOPD)</t>
  </si>
  <si>
    <t>Obligació legal de disposar d'un RAT (art 31 LOPD)</t>
  </si>
  <si>
    <t>Obligació legal de contractar i de publicitar la contratació (art 132 LCSP)</t>
  </si>
  <si>
    <t>(no tots els municipis estan obligats a aprovar plande contractació, només els SARA, art 28.4 i 134 LCSP)</t>
  </si>
  <si>
    <t>Relació de contractes adjudicats (històric)</t>
  </si>
  <si>
    <t>(no tots els municipis modifiquen els contractes, art 204 i 205 LCSP)</t>
  </si>
  <si>
    <t>Obligació de la 'art. 3 de la Llei 25/2013, de 27 de desembre, d'Impuls a la factura electrònica</t>
  </si>
  <si>
    <t>Obligació derivada de l'obligació de publicar al Perfil Contractant art 63 LCSP</t>
  </si>
  <si>
    <t>OBLIGACIÓ D'ALTRES ENS: RELI, ROLECE</t>
  </si>
  <si>
    <t>(No tots els òrgans de contractació exerceixen la prerrogativa d'interpretar (art 190 LCSP). Es remet a obligacions d'altres ens (JCCP))</t>
  </si>
  <si>
    <t>OBLIGACIÓ D'ALTRES ENS: JCCP</t>
  </si>
  <si>
    <t>(no tots els òrgans de contractació resolen els recursos, o acorden no celebrar contractes)</t>
  </si>
  <si>
    <t>(no hi ha l'obligació d'informar sobre la tipologia contractual, excepte en el supòsit que es dugui a terme la programació de l'activitat contractual)</t>
  </si>
  <si>
    <t>(no hi ha l'obligació  - excepte l'obligació dels contractistes d'informar sobre les condicions de subrogació en contractes de treball art 130 LCSP-</t>
  </si>
  <si>
    <t>Obligació legal de l'article 110.3 de la LPACCat</t>
  </si>
  <si>
    <t>(no tots els municipis aproven convenis urbanístics, art 104 TRLUC)</t>
  </si>
  <si>
    <t>(no tots els municipis executen convenis urbanístics, art 104 TRLUC)</t>
  </si>
  <si>
    <t>(no tots els municipis aproven convocatòries de subvencions i ajuts art 22 LGS)</t>
  </si>
  <si>
    <t>Obligació art 112 LBRL</t>
  </si>
  <si>
    <t>Obligació art 172 i ss TRLHL</t>
  </si>
  <si>
    <t>Obligació art 17 LOESP</t>
  </si>
  <si>
    <t>Obligació art 17 LOSPSF</t>
  </si>
  <si>
    <t>Obligació art 27.5 LOSPF</t>
  </si>
  <si>
    <t>(obligació d'auditar els comptes només en el supòsit que hi hagi soccietats mercantils municipals i/o d'aplicar auditories com a control permanent).</t>
  </si>
  <si>
    <t>Obligació art 116.ter LBRL</t>
  </si>
  <si>
    <t>Obligació art 29 RD 424/2017</t>
  </si>
  <si>
    <t>Obligació art 100 Decret 336/1988, art 32 LPAP</t>
  </si>
  <si>
    <t>tràmit</t>
  </si>
  <si>
    <t xml:space="preserve">El meu espai personal </t>
  </si>
  <si>
    <t>Finestra única empresarial (FUE)</t>
  </si>
  <si>
    <t>Obligació publicitat acords 70 LBRL, art 155 TRLMRLC</t>
  </si>
  <si>
    <t>Obligació publicitat convocatòria òrgans art 155 TRLMRLC</t>
  </si>
  <si>
    <t>OBLIGACIÓ D'ALTRES ENS: DICTAMENS CJA</t>
  </si>
  <si>
    <t>Resolucions de les sol·licituds d’accés a la informació pública</t>
  </si>
  <si>
    <t>(no tots els ens tenen ens instrumentals i obligació de publicar-ne els Estatuts)</t>
  </si>
  <si>
    <t>Obligació ordenances i reglaments 178 TRLMRLC i art 131 LPAC</t>
  </si>
  <si>
    <t>Obligació ordenances i reglaments 178 TRLMRLC i art 131 LPAC i 17 TRLHL</t>
  </si>
  <si>
    <t>Obligació planificar normativa art 132 LPAC</t>
  </si>
  <si>
    <t>Obligació publicitat planejament urbanístic art 8 TRLUC</t>
  </si>
  <si>
    <t>INFORMACIÓ D'ALTRES ENS: GENERALITAT DE CATALUNYA (PLANS SECTORIALS)</t>
  </si>
  <si>
    <t>Obligació de publicitat art 26 Llei 21/2013, d'evaluació ambiental</t>
  </si>
  <si>
    <t>Obligació publicitat art 35 Llei 10/2001, d'arxius i documents</t>
  </si>
  <si>
    <t>Obligació LTC i reglament</t>
  </si>
  <si>
    <t>Sí</t>
  </si>
  <si>
    <t>No</t>
  </si>
  <si>
    <t>Fase 1</t>
  </si>
  <si>
    <t>Fase 2</t>
  </si>
  <si>
    <t>Fase 3</t>
  </si>
  <si>
    <t>Fase 4</t>
  </si>
  <si>
    <t>Fase 5</t>
  </si>
  <si>
    <t>Obligació art 191 TRLHL.</t>
  </si>
  <si>
    <t xml:space="preserve">Obligació art 116 LBRL- </t>
  </si>
  <si>
    <t xml:space="preserve">Obligació art 16 Ordre que desenvolupa LOEPSF. Del cumplimiento de la obligación de suministro de información a la que se refiere este precepto, y en lo que se refiere a los tres primeros trimestres da cada año, quedarían excluidas las Corporaciones Locales de población no superior a 5.000 habitantes, salvo la información mencionada en los apartados 7 y 8 anteriores ( pla de tresoreria i PMP) </t>
  </si>
  <si>
    <t>No compleix</t>
  </si>
  <si>
    <t>Aquest item és obligatori per a tots els ajuntaments i consells comarcals. 
Ha d'estar completat. Per tant, no es pot indicar No Aplica.</t>
  </si>
  <si>
    <t>Anual</t>
  </si>
  <si>
    <t>Tot i que l'ens no tingui , recomanem no indicar NO APLICA, si no informar que l'ens no en disposa.</t>
  </si>
  <si>
    <t>Mensual</t>
  </si>
  <si>
    <t>Trimestral</t>
  </si>
  <si>
    <t>Ha d'estar completat. Per tant, no es pot indicar No Aplica.</t>
  </si>
  <si>
    <t>Semestral</t>
  </si>
  <si>
    <t xml:space="preserve">Aquest item és obligatori per a tots els ajuntaments i consells comarcals. </t>
  </si>
  <si>
    <t>Setmanal</t>
  </si>
  <si>
    <t>Contingut</t>
  </si>
  <si>
    <t>Actualització</t>
  </si>
  <si>
    <t>Reutilització</t>
  </si>
  <si>
    <t>Compleix parcialment</t>
  </si>
  <si>
    <t>Semestral &gt;20.000 hab.
Anual &lt; 20.000 hab.</t>
  </si>
  <si>
    <t>Anual mínim</t>
  </si>
  <si>
    <t>NO OBLIGATORI</t>
  </si>
  <si>
    <t xml:space="preserve">                                                                                                                                                             </t>
  </si>
  <si>
    <t>Bimensual</t>
  </si>
  <si>
    <t>Codi ítem</t>
  </si>
  <si>
    <t>Avaluable</t>
  </si>
  <si>
    <t>Família</t>
  </si>
  <si>
    <t>Subfamília</t>
  </si>
  <si>
    <t>Observacions</t>
  </si>
  <si>
    <t>Grau de compliment</t>
  </si>
  <si>
    <t>% compliment</t>
  </si>
  <si>
    <t>Aplica Ens Local</t>
  </si>
  <si>
    <t>Aplica OAL</t>
  </si>
  <si>
    <t>Aplica EPEL</t>
  </si>
  <si>
    <t>Aplica SOC100%</t>
  </si>
  <si>
    <t>Aplica SOCMIX</t>
  </si>
  <si>
    <t>Aplica CONS</t>
  </si>
  <si>
    <t>Aplica FUND</t>
  </si>
  <si>
    <t>Aplica MANC</t>
  </si>
  <si>
    <t>Situació 1: explicació detallada de les funcions i competències que l'ens té atribuides. L'explicació ha de ser pedagògica i amb llengutge planer i entenedor.
Data actualització: informada i d'acord amb la periodicitat recomanada (any vigent)</t>
  </si>
  <si>
    <t>Situació 1: explicacó de les funcions basada en fer referència als articles de la normativa vigent pels ens locals. 
No es realitza una explicació pedagògica i entenedora.
Data actualització: informada i vigent o informada i/o desactualitzada 1 any
Situació 2: explicació detallada de les funcions i competències que l'ens té atribuides. L'explicació ha de ser pedagògica i amb llengutge planer i entenedor.
Data actualització: informada i però desactualitzada 1 any..</t>
  </si>
  <si>
    <t xml:space="preserve">Situació 1: item no visible.
Situació 2:  item actiu (es visualitza el títol de l'item) però no té contingut  i no s'explica el motiu de la no informació. (és com no tenir visible).
Situació 3: explicació detallada de les funcions i competències que l'ens té atribuides. L'explicació ha de ser pedagògica i amb llengutge planer i entenedor.
Data actualització:informada però desactualitzada més de 2 anys.
Situació 4: el contingut que s'exposa no correspon al contingut de l'item. </t>
  </si>
  <si>
    <t>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d'acord amb la periodicitat recomanada (any vigent)</t>
  </si>
  <si>
    <t>Siutació 1: Publicació de l'organigrama d'estructura interna de l'ens local però on no s'especifica funcions de les unitats que es visualitzen i/o l'estructura.
Data actualització: informada i vigent o informada però desactualitzada 1 any.
Siutació 2: 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</si>
  <si>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el contingut que s'exposa no correspon al contingut de l'item. </t>
  </si>
  <si>
    <t xml:space="preserve">Situació 1: item connectat automàtic segons AOC amb informació visible.
Data actualització: informada i anual com mostra l'item automàtic
Situació 2: item connectat automàtic segons AOC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item no connectat automàtic segons AOC però l'ens ha redactat la informació indicant informació que disposa seguint els camps establerts a la fitxa Municat.
Data actualització: informada i i d'acord amb periodicitat recomanda  (vigent).
Situació 4: item no connectat com automàtic segons AOC però l'ens ha redactat explicació que no en disposa d'informació que doni resposta a aquest item.
Data actualització: informada i  i d'acord amb periodicitat recomanda  (vigent).
</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</si>
  <si>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però no  facilitat en formant reutilitable
Data actualització: informada i  i d'acord amb periodicitat recomanda  (vigent)
Situació 3: item no connectat automàtic segons AOC però l'ens ha facilitat la informació  seguint els camps establerts a la fitxa Municat  i facilitat en formant reutilitable
Data actualització: informada però desactualitzada 1 any.
Situació 4: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5: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</si>
  <si>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 xml:space="preserve">Situació 1: item no visible.
Situació 2: item actiu (es visualitza el títol de l'item) però no té contingut (les dades obertes no estan activades) i no s'explica el motiu de la no informació. (és com no tenir visible).
Situació 3:  item no connectat automàtic segons AOC però l'ens ha redactat la informació indicantla informació que disposa seguint els camps establerts a la fitxa Municat.
Data actualització: informada però desactualitzada més de 2 anys.
Situació 4: item no connectat automàtic segons AOC però l'ens ha redirigit a web municipal on es pot consultar la informació de l'ens  seguint els camps establerts a la fitxa Municat.
Data actualització:informada però desactualitzada més de 2 anys.
Situació 5: el contingut que s'exposa no correspon al contingut de l'item. 
</t>
  </si>
  <si>
    <t xml:space="preserve">Situació 1: L'ens facilita el document del codi de conducta dels alts càrrecs i de bon govern aprovat per ple de l'ens. 
Data actualització: informada i d'acord amb periodicitat recomanda  (vigent).
Situació 2: l'ens indica que no disposa de codi de conducta aprovat pel ple .
Data actualització: informada i d'acord amb periodicitat recomanda  (vigent).
</t>
  </si>
  <si>
    <t xml:space="preserve">Situació 1: L'ens facilita el document del codi de conducta dels alts càrrecs i de bon govern aprovat per ple de l'ens. 
Data actualització: informada però desactualitzada 1 any.
Situació 2:  l'ens ha redireccionat a web municipal la informació:  el document del codi de conducta dels alts càrrecs i de bon govern aprovat per ple de l'ens. 
Data actualització: informada i d'acord amb periodicitat recomanda  (vigent).
Situació 3:  l'ens ha redireccionat a web municipal la informació:  el document del codi de conducta dels alts càrrecs i de bon govern aprovat per ple de l'ens. 
Data actualització: informada però desactualitzada 1 any.
</t>
  </si>
  <si>
    <t xml:space="preserve">Situació 1: item no visible.
Situació 2:  item actiu (es visualitza el títol de l'item) però no té contingut  i no s'explica el motiu de la no informació. (és com no tenir visible).
Situació 3: L'ens facilita el document del codi de conducta dels alts càrrecs i de bon govern aprovat per ple de l'ens. 
Data actualització:informada però desactualitzada més de 2 anys.
Situació 4:  l'ens ha redireccionat a web municipal la informació:  el document del codi de conducta dels alts càrrecs i de bon govern aprovat per ple de l'ens.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</si>
  <si>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Situació 1: Publicació de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Dades de les agendes públiques:  
·Data de la reunió 
·Nom del grup d’interès (GI)
·Persones que actuen en nom del GI 
·Objecte de la reunió 
Data actualització: informada i d'acord amb periodicitat recomanda  (vigent).</t>
  </si>
  <si>
    <t xml:space="preserve">Situació 1: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2: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i/o desactualitzada 1 any.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i d'acord amb periodicitat recomanda  (vigent).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 /o desactualitzada 1 any.
</t>
  </si>
  <si>
    <t xml:space="preserve">Situació 1: item no visible.
Situació 2:  item actiu (es visualitza el títol de l'item) però no té contingut  i no s'explica el motiu de la no informació. (és com no tenir visible).
Situació 3: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L'enllaç està trencat.
Data actualització:informada però desactualitzada més de 2 anys.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6: el contingut que s'exposa no correspon al contingut de l'item.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</si>
  <si>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</si>
  <si>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No facilita fitxer amb dades reutilitzables quan es realitza la relació d'obsequis.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</si>
  <si>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d'obsequis d'acord amb indicacions normativa de transparència.
Data actualització: informada i d'acord amb periodicitat recomanda  (vigent) i/o desactualitzada 1 any en endavant.
Situació 6: el contingut que s'exposa no correspon al contingut de l'item.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</si>
  <si>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</si>
  <si>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les invitacions i si s'escau, la relació d'aquestes rebudes no utilitzant proposta de camps portal transparència AOC (estructura).
No facilita fitxer amb dades reutilitzables quan es realitza la relació d'invitacions.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</si>
  <si>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d'invitacions d'acord amb indicacions normativa de transparència.
Data actualització: informada i d'acord amb periodicitat recomanda  (vigent) i/o desactualitzada 1 any en endavant.
Situació 6: el contingut que s'exposa no correspon al contingut de l'item. 
</t>
  </si>
  <si>
    <t>Siutació 1: Informar de l’agenda d’activitats de l’ens. Constarà d’un enllaç a l’apartat web institucional de l’ens -on es pot trobar aquesta informació- o bé un adjunt amb aquesta.
Data actualització: informada i d'acord amb la periodicitat recomanada (any vigent)</t>
  </si>
  <si>
    <t>Siutació 1: Informar de l’agenda d’activitats de l’ens. Constarà d’un enllaç a l’apartat web institucional de l’ens -on es pot trobar aquesta informació- o bé un adjunt amb aquesta.
Data actualització: informada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</si>
  <si>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l'ens ha redactat la informació indicant informació que diposa seguint els camps establerts a la fitxa Municat amb enllaç propi però aquest no funciona correctament.
Data actualització: informada i d'acord amb la periodicitat recomanada (any vigent)
Situació 5: el contingut que s'exposa no correspon al contingut de l'item. </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</si>
  <si>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Data actualització: informada i i d'acord amb periodicitat recomanda  (vigent).
</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</si>
  <si>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Data actualització: informada però desactualitzada 1 any.
Situació 3: item no connectat automàtic segons AOC però l'ens ha redirigit a web municipal on es pot consultar la informació seguint els camps establerts a la fitxa Municat 
Data actualització: informada però desactualitzada 1 any.
</t>
  </si>
  <si>
    <t>La informació històrica sobre el municipi, amb dades que puguin tenir interès per a la ciutadania.Constarà d’un enllaç a l’apartat web institucional de l’ens -on es pot trobar aquesta informació- o bé un adjunt amb aquesta.
Data actualització: informada i d'acord amb la periodicitat recomanada (any vigent)</t>
  </si>
  <si>
    <t>Situació 1: La informació històrica sobre el municipi, amb dades que puguin tenir interès per a la ciutadania.Constarà d’un enllaç a l’apartat web institucional de l’ens -on es pot trobar aquesta informació- o bé un adjunt amb aquesta.
Data actualització:  informada però desactualitzada 1 any.</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</si>
  <si>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però no  facilitat en formant reutilitable
Data actualització: informada i  i d'acord amb periodicitat recomanda  (vigent)
Situació 3: item no connectat automàtic segons AOC però l'ens ha facilitat la informació  seguint els camps establerts a la fitxa Municat  i facilitat en formant reutilitable
Data actualització: informada però desactualitzada 1 any.
Situació 4: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5: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</si>
  <si>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Situació 1: en el cas de les obligacions de les entitats perceptores de subvencions , aquest ítem facilita la informació proporcionada per aquestes entitats privades i que l’administració o entitat del sector públic vinculada o relacionada amb l’entitat privada ha de publicar en un termini màxim de 15 dies després de rebre-la.:— Les activitats directament relacionades amb l’exercici de funcions públiques.
— La gestió de serveis públics.
— La percepció de fons públics.
—Les activitats que pertanyin a l’àmbit de supervisió i control de l’administració en el cas de serveis d’interès general o universal.
— Retribucions que han rebut els càrrecs directius si el volum de negoci de l’empresa vinculat a activitats per compte de l’administració supera el 25 % del volum general de l’empresa.
D’acord amb la normativa reguladora de l’organització administrativa (lleis 39 i 40/2015 i 26/2010, i Decret 203/2021), aquesta informació l’ha de proporcionar l’entitat privada a:
— L’administració titular de les funcions públiques o potestats administratives que exerceixen les entitats privades.
— L’administració titular dels serveis públics que presten les entitats privades.
— L’administració que ha declarat l’interès general o universal dels serveis que presta l’entitat privada i que n’exerceix la supervisió i el control.
— L’administració concedent dels fons públics.
Data actualització: informada i d'acord amb la periodicitat recomanada (any vigent)
Situació 2: l'ens indica que No Aplica en el seu cas i informa que no té ens vinculats.
Data actualització: informada i d'acord amb la periodicitat recomanada (any vigent)</t>
  </si>
  <si>
    <t>Situació 1: l'ens exposa parcialment la informació requerida segons la fitxa Municat
Data actualització: informada i d'acord amb la periodicitat recomanada (any vigent)
Situació 2: l'ens exposa completament la informació requerida segons la fitxa Municat
Data actualització:  informada però desactualitzada 1 any.</t>
  </si>
  <si>
    <t xml:space="preserve">Situació 1: item connectat automàtic segons AOC amb informació visible. S'ha activat el mòdul d'organització política que ofereix el portal i es visualitza l'estructura organitzativa política de l'ens amb àrees, regidories i els electes responsables (amb imatge). Permet accedir a les regidories i consultar les principals funcions, dades de contacte i electe responsable amb accés a la fitxa d'aquest.
Data actualització: informada i anual com mostra l'item automàtic
Situació 2: item no connectat automàtic segons AOC però l'ens ha redirigit a web municipal on exposa la informació indicada segons Municat.
Data actualització: informada i i d'acord amb periodicitat recomanda  (vigent).
</t>
  </si>
  <si>
    <t>Situació 1: item connectat automàtic segons AOC amb informació visible. S'ha activat el mòdul d'organització política que ofereix el portal però es visualitza parcialment : l'estructura organitzativa política de l'ens amb àrees, regidories i els electes responsables (amb imatge), les principals funcions, dades de contacte i electe responsable amb accés a la fitxa d'aquest. Manca informació i/o imatges
Data actualització: informada i d'acord amb periodicitat recomanda com mostra l'item automàtic.
Situació 2: item connectat automàtic segons AOC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 item no connectat automàtic segons AOC però l'ens ha redactat la informació indicat l'estructura organtizativa política amb la informació de regidories i electes responsables seguint la fitxa de Municat.
Data actualització: informada però desactualitzada 1 any.
Situació 4: item no connectat automàtic segons AOC però l'ens ha redirigit a web municipal on exposa la informació indicada segons Municat tot i que manca informació.
Data actualització: informada i i d'acord amb periodicitat recomanda  (vigent).
Situació 5: item no connectat automàtic segons AOC però l'ens ha redirigit a web municipal on exposa la informació indicada segons Municat
Data actualització: informada però desactualitzada 1 any.</t>
  </si>
  <si>
    <t xml:space="preserve">Situació 1: item connectat automàtic segons AOC amb informació visible. S'ha activat el mòdul d'organització política que ofereix el portal i es visualitzala informació dels electes responsables (amb imatge). Permet accedir i consultar les principals funcions, dades de contacte, competències que té l'electe i organs dels que forma part, curriculum i documents de les declaracions d'activitats i bens.
Data actualització: informada i anual com mostra l'item automàtic
Situació 2: item no connectat automàtic segons AOC però l'ens ha redirigit a web municipal on exposa la informació indicada segons Municat.
Data actualització: informada i i d'acord amb periodicitat recomanda  (vigent).
</t>
  </si>
  <si>
    <t>Situació 1: item connectat automàtic segons AOC amb informació visible. S'ha activat el mòdul d'organització política que ofereix el portal però es visualitza parcialment: la informació dels electes responsables (amb imatge). Permet accedir i consultar les principals funcions, dades de contacte, competències que té l'electe i organs dels que forma part, curriculum i documents de les declaracions d'activitats i bens.
Data actualització: informada i d'acord amb periodicitat recomanda com mostra l'item automàtic.
Situació 2: item connectat automàtic segons AOC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 item no connectat automàtic segons AOC 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
Data actualització: informada però desactualitzada 1 any.
Situació 4: item no connectat automàtic segons AOC però l'ens ha redirigit a web municipal on exposa la informació indicada segons Municat tot i que manca informació.
Data actualització: informada i i d'acord amb periodicitat recomanda  (vigent).
Situació 5: item no connectat automàtic segons AOC però l'ens ha redirigit a web municipal on exposa la informació indicada segons Municat
Data actualització: informada però desactualitzada 1 any.</t>
  </si>
  <si>
    <t xml:space="preserve">Situació 1: item no visible.
Situació 2: item actiu (es visualitza el títol de l'item) però no té contingut (les dades obertes no estan activades) i no s'explica el motiu de la no informació. (és com no tenir visible).
Situació 3:   item no connectat automàtic segons AOC 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
Data actualització: informada però desactualitzada més de 2 anys.
Situació 4: item no connectat automàtic segons AOC però l'ens ha redirigit a web municipal on exposa la informació indicada segons Municat.
Data actualització:informada però desactualitzada més de 2 anys.
Situació 5: el contingut que s'exposa no correspon al contingut de l'item. 
</t>
  </si>
  <si>
    <t xml:space="preserve">Situació 1: item connectat automàtic segons AOC amb informació visible. S'ha activat el mòdul d'organització política que ofereix el portal i es visualitza l'estructura organitzativa política de l'ens la informació i imatges dels diferents grups polítics que els composes i dóna accés a consultar les fitxes dels electes de cada grup amb la informació complerta d'aquests.
Data actualització: informada i anual com mostra l'item automàtic
Situació 2: item no connectat automàtic segons AOC però l'ens ha redirigit a web municipal on exposa la informació indicada segons Municat.
Data actualització: informada i i d'acord amb periodicitat recomanda  (vigent).
</t>
  </si>
  <si>
    <t>Situació 1: item connectat automàtic segons AOC amb informació visible. S'ha activat el mòdul d'organització política que ofereix el portal però es visualitza parcialment la informació: composició i imatges dels diferents grups polítics que formen l'ens  i dóna accés a consultar les fitxes dels electes de cada grup amb la informació complerta d'aquests.
Data actualització: informada i d'acord amb periodicitat recomanda com mostra l'item automàtic.
Situació 2: item connectat automàtic segons AOC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 item no connectat automàtic segons AOC però l'ens ha redactat la informació indicat l'estructura organtizativa política amb la informaciódels diferents grups polítics que composen l'ens i els electes que en formen part amb accés a les seves fitxes.
Data actualització: informada però desactualitzada 1 any.
Situació 4: item no connectat automàtic segons AOC però l'ens ha redirigit a web municipal on exposa la informació indicada segons Municat tot i que manca informació.
Data actualització: informada i i d'acord amb periodicitat recomanda  (vigent).
Situació 5: item no connectat automàtic segons AOC però l'ens ha redirigit a web municipal on exposa la informació indicada segons Municat
Data actualització: informada però desactualitzada 1 any.</t>
  </si>
  <si>
    <t xml:space="preserve">Situació 1: item no visible.
Situació 2: item actiu (es visualitza el títol de l'item) però no té contingut (les dades obertes no estan activades) i no s'explica el motiu de la no informació. (és com no tenir visible).
Situació 3: item no connectat automàtic segons AOC però l'ens ha redactat la informació indicat l'estructura organtizativa política amb la informaciódels diferents grups polítics que composen l'ens i els electes que en formen part amb accés a les seves fitxes.
Data actualització: informada però desactualitzada més de 2 anys.
Situació 4: item no connectat automàtic segons AOC però l'ens ha redirigit a web municipal on es pot consultar la informació de l'ens  seguint els camps establerts a la fitxa Municat.
Data actualització:informada però desactualitzada més de 2 anys.
Situació 5: el contingut que s'exposa no correspon al contingut de l'item. 
</t>
  </si>
  <si>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t>
  </si>
  <si>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3: l'ens ha redactat parcialment (manca informació)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</si>
  <si>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(mòdul organització política portal AOC).
Data actualització:informada però desactualitzada més de 2 anys.
Situació 4:  l'ens ha redactat la informació correcta seguint indicacions proposta de camps portal transparència AOC i fitxa Municat (no utilització mòdul organització política portal AOC)
Data actualització:informada però desactualitzada més de 2 anys.
Situació 5: el contingut que s'exposa no correspon al contingut de l'item. 
</t>
  </si>
  <si>
    <t>Situació 1: publicació de la informació relativa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Situació 2: l'ens ha redactat la informació relativa alts càrrecs de les administracions públiques i del personal directiu de les entitats dels sectors públics d'aquestes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t>
  </si>
  <si>
    <t>Situació 1: publicació de la informació relativa als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2: l'ens ha redactat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3: l'ens ha redactat parcialment (manca informació)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i/o desactualitzada 1 any.</t>
  </si>
  <si>
    <t>Situació 1: publicació de la informació relativa a les declaracions d'activitats, patrimonials i d'interessos dels alts càrrecs utilitzant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Situació 2: l'ens ha redactat la informació relativa a les declaracions d'activitats, patrimonials i d'interessos dels alts càrrecs sense utilitzar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t>
  </si>
  <si>
    <t>Situació 1: publicació de la informació relativa  a les declaracions d'activitats, patrimonials i d'interessos dels alts càrrecs utilitzant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2: l'ens ha redactat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3: l'ens ha redactat parcialment (manca informació)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</si>
  <si>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</si>
  <si>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</si>
  <si>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3: publicació parcial (manca informació)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</si>
  <si>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</si>
  <si>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i facilitant la informació en format reutilitzable.
Data actualització: informada i i d'acord amb periodicitat recomanda  (vigent).
</t>
  </si>
  <si>
    <t xml:space="preserve">Situació 1: item connectat automàtic segons AOC amb informació visible i redirigeix correctament.
Data actualització: informada i anual com mostra l'item automàtic
Situació 2: item no connectat automàtic segons AOC però l'ens ha redactat la informació indicant informació que disposa seguint els camps establerts a la fitxa Municat i en format reutilitzable i / o amb redirecció amb enllaç propi.
Data actualització: informada i i d'acord amb periodicitat recomanda  (vigent).
</t>
  </si>
  <si>
    <t xml:space="preserve">Situació 1: item no connectat automàtic segons AOC però l'ens ha facilitat la informació  seguint els camps establerts a la fitxa Municat  i facilitat en format reutilitable
Data actualització: informada però desactualitzada 1 any.
</t>
  </si>
  <si>
    <t xml:space="preserve">Situació 1: item no visible.
Situació 2: item connectat autmàtic segons AOC (es visualitza el títol de l'item) però l'enllaç informat no funciona correctament.
Situació 3:  item actiu (es visualitza el títol de l'item) però no té contingut  i no s'explica el motiu de la no informació. (és com no tenir visible).
Situació 4: item no connectat automàtic segons AOC però l'ensha redactat la informació indicant informació que diposa seguint els camps establerts a la fitxa Municat i/o enllaç propi.
Data actualització:informada però desactualitzada més de 2 anys.
Situació 5: el contingut que s'exposa no correspon al contingut de l'item. </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</si>
  <si>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i d'acord amb periodicitat recomanda  (vigent).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</si>
  <si>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però desactualitzada 1 any.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4: publicació parcial (manca informació)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actualitzda i/o desactualitzada 1 any
Situació 5: l'ens redacta qui és la persona responsable del departament de Premsa, Comunicació i/o Informació de la corporació, ja sigui tècnica o política, si se’n disposa, però manca informació per donar com a complet aquest item.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
Situació 6: l'ens redirigeix a web municipal on publica parcialment (manca informació)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</si>
  <si>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el contingut que s'exposa no correspon al contingut de l'item.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</si>
  <si>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</si>
  <si>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3: publicació parcial (manca informació)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4: l'ens redacta parcialment (manca informació)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</si>
  <si>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</si>
  <si>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però desactualitzada 1 any.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però desactualitzada 1 any.
Situació 3: l'ens redirigeix a web municipal on publica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
Situació 4 : Publicació parcial (manca informació)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i/o desactualitzada 1 any.
Situació 5: l'ens redacta parcialment (manca informació)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</si>
  <si>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</si>
  <si>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3:  item actiu (es visualitza el títol de l'item) però no té contingut  i no s'explica el motiu de la no informació. (és com no tenir visible).</t>
  </si>
  <si>
    <t xml:space="preserve">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t>
  </si>
  <si>
    <t>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però desactualitzada 1 any.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però desactualitzada 1 any.
Situació 3 : Publicació parcial (manca informació)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i/o desactualitzada 1 any.
Situació 4 : L'ens redacta i publica parcialment (manca informació)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</si>
  <si>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</si>
  <si>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Data actualització:informada però desactualitzada més de 2 anys.</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</si>
  <si>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Situació 3: l'ens indica que no disposa d'alliberats sindicals.
Data actualització: informada i d'acord amb periodicitat recomanda  (vigent).</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</si>
  <si>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però desactualitzada 1 any.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però desactualitzada 1 any.
Situació 3: publicació parcial (manca informació)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i/o desactualitzada 1 any.
Situació 4: l'ens redacta i publica parcialment (manca informació) 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i/o desactualitzada 1 any.
Situació 5: l'ens indica que no disposa d'alliberats sindicals.
Data actualització: informada però desactualitzada 1 any.</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</si>
  <si>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</si>
  <si>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però desactualitzada 1 any.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però desactualitzada 1 any.
Situació 3: Publicació parcial (manca informació)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4: l'ens redacta i publica  parcialment (manca informació)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</si>
  <si>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</si>
  <si>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però desactualitzada 1 any.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però desactualitzada 1 any.
Situació 3: publicació  parcial (manca informació)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i/o desactualtizada 1 any.
Situació 4: l'ens redacta parcialment (manca informació)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
Situació 5: l'ens redirigeix a web municipal on redactai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Situació 5: l'ens redirigeix a web municipal on redacta i publica parcialment (manda informació)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</si>
  <si>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</si>
  <si>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però desactualitzada 1 any.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4: publicació parcial (manca informació o enllaços)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i/o desactualitzada 1 any.
Situació 5: l'ens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i/o desactualitzada 1 any.
Situació 6: l'ens redirigeix a web municipal on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 / o desactualitzada 1 any.</t>
  </si>
  <si>
    <t>Situació 1: Publicació d'un inventari de les activitats de tractament accessibles per mitjans electrònics: documents RAT responsable i RAT encarregat.
Data actualització: informada i d'acord amb la periodicitat recomanada (any vigent)
Situació 2: l'ens informa que no diposa de RAT
Data actualització: informada i d'acord amb la periodicitat recomanada (any vigent)</t>
  </si>
  <si>
    <t>Situació 1: Publicació d'un inventari de les activitats de tractament accessibles per mitjans electrònics: documents RAT responsable i RAT encarregat.
Data actualització:  informada però desactualitzada 1 any.</t>
  </si>
  <si>
    <t xml:space="preserve">Situació 1: Item connectat automàtic segons AOC amb la visualització anterior i no la vigent gràfica.
Data actualització: informada i d'acord amb periodicitat recomanda   com mostra l'item automàtic 
Situació 2: item no connectat automàtic segons AOC però l'ens ha facilitat la informació  seguint els camps establerts a la fitxa Municat però no  facilitat en formant reutilitable
Data actualització: informada i  i d'acord amb periodicitat recomanda  (vigent)
Situació 3: item no connectat automàtic segons AOC però l'ens ha facilitat la informació  seguint els camps establerts a la fitxa Municat  i facilitat en formant reutilitable
Data actualització: informada però desactualitzada 1 any.
Situació 4: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5: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</si>
  <si>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 xml:space="preserve">Situació 1: item connectat automàtic segons AOC amb informació visible.
Data actualització: informada i anual com mostra l'item automàtic
Situació 4: item no connectat automàtic segons AOC però l'ens ha redactat la informació indicant informació que disposa seguint els camps establerts a la fitxa Municat i facilitant en format reutilitzable.
Data actualització: informada i i d'acord amb periodicitat recomanda  (vigent).
</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</si>
  <si>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però no  facilitat en formant reutilitable
Data actualització: informada i  i d'acord amb periodicitat recomanda  (vigent)
Situació 3: item no connectat automàtic segons AOC però l'ens ha facilitat la informació  seguint els camps establerts a la fitxa Municat  i facilitat en formant reutilitable
Data actualització: informada però desactualitzada 1 any.
</t>
  </si>
  <si>
    <t xml:space="preserve">Situació 1: item no visible.
Situació 2: item actiu (es visualitza el títol de l'item) però no té contingut (les dades obertes no estan activades) i no s'explica el motiu de la no informació. (és com no tenir visible).
Situació 3:  item no connectat automàtic segons AOC però l'ens ha redactat la informació indicantla informació que disposa seguint els camps establerts a la fitxa Municat.
Data actualització: informada però desactualitzada més de 2 anys.
Situació 4: el contingut que s'exposa no correspon al contingut de l'item. 
</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</si>
  <si>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i d'acord amb periodicitat recomanda  (vigent)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i d'acord amb periodicitat recomanda  (vigent)</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</si>
  <si>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però desactualitzada 1 any.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però desactualitzada 1 any.
Situació 3:Publicació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publica la informació  utilitzant proposta de camps portal transparència AOC (estructura). 
Data actualització: informada i d'acord amb periodicitat recomanda  (vigent) i/o desactualitzada 1 any.
Situació 4:Publicació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redacta i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</si>
  <si>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Amb o sense format reutilitzable.
Data actualització:informada però desactualitzada més de 2 anys.
Situació 4:  l'ens ha redactat la informació correcta seguint indicacions proposta de camps portal transparència AOC i fitxa Municat (no utilització camps estructurats AOC). Amb o sense format reutilitzable.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</si>
  <si>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i d'acord amb periodicitat recomanda  (vigent)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i d'acord amb periodicitat recomanda  (vigent)</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</si>
  <si>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però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però desactualitzada 1 any.
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parcial (manca informació) la informació  utilitzant proposta de camps portal transparència AOC (estructura). 
Data actualització: informada i d'acord amb periodicitat recomanda  (vigent) i/o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parcial (manca informació)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</si>
  <si>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el contingut que s'exposa no correspon al contingut de l'item. 
</t>
  </si>
  <si>
    <t>Situació 1: Publicació de les dades estadístiques sobre els percentatges i el volum pressupostari dels contractes adjudicats, d’acord amb cadascun dels procediments establerts per la legislació de contractes del sector públic, amb la finalitat d’assegurar la transparència i l’accés a la informació relativa a l’activitat contractual. Facilitar en format reutilitzable i visualització gràfica.
Data actualització: informada i d'acord amb la periodicitat recomanada (any vigent)
Situació 2: redirecció a items Relació de contractes adjudicats (històrics) i Relació de contractes menors (històric) ja que en aquests items es visualitza la informació sobre adjudicats segons procediment.
Data actualització: informada i d'acord amb la periodicitat recomanada (any vigent)</t>
  </si>
  <si>
    <t>Situació 1: publicació de la informació estadística sobre els percentatges i el volum pressupostari dels constractes adjudicats.
Data actualització:  informada però desactualitzada 1 any.</t>
  </si>
  <si>
    <t>Publicació de la relació anonimitzada dels llocs de treball ocupats i de la classificació professional del personal, el règim de dedicació, el règim retributiu i les tasques que duen a terme les persones que, sense tenir un vincle laboral amb l’Administració, estan adscrites per les empreses adjudicatàries d’un contracte subscrit amb l’Administració, per dur a terme una activitat, un servei o una obra, amb caràcter permanent i que durant l’execució del contracte, treballen en l’establiment o les dependències públiques per portar a terme l’objecte del contracte.
Facilitar en format reutilitzable.
Data actualització: informada i d'acord amb la periodicitat recomanada (any vigent)</t>
  </si>
  <si>
    <t>Situació 1: publicació de la relació  anonomitzada de treball ocupats segons fitxa Municat.
Data actualització:  informada però desactualitzada 1 any.
Situació 2: publicació parcial de la relació  anonomitzada de treball ocupats segons fitxa Municat.
Data actualització: informada i d'acord amb la periodicitat recomanada (any vigent)</t>
  </si>
  <si>
    <t xml:space="preserve">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t>
  </si>
  <si>
    <t>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però desactualitzada 1 any.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però desactualitzada 1 any.
Situació 3:Publicació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i/o desactualitzada 1 any
Situació 4:Publicació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i/o desactualitzada 1 any
Situació 5: l'ens redirigeix a web Registre Convenis generalitat per donar resposta parcialment a la informació.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</si>
  <si>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web Registre Convenis generalitat per donar resposta parcialment a la informació.
Data actualització:informada però desactualitzada més de 2 anys.
Situació 6: el contingut que s'exposa no correspon al contingut de l'item. 
</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</si>
  <si>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facilitant en format reutilizable.
Data actualització: informada i i d'acord amb periodicitat recomanda  (vigent).
</t>
  </si>
  <si>
    <t xml:space="preserve">Situació 1: item no connectat automàtic segons AOC però l'ens ha facilitat la informació  seguint els camps establerts a la fitxa Municat però no  facilitat en formant reutilitable
Data actualització: informada i  i d'acord amb periodicitat recomanda  (vigent)
Situació 2: item no connectat automàtic segons AOC però l'ens ha facilitat la informació  seguint els camps establerts a la fitxa Municat  i facilitat en formant reutilitable
Data actualització: informada però desactualitzada 1 any.
Situació 3: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4: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</si>
  <si>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t>
  </si>
  <si>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però desactualitzada 1 any.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però desactualitzada 1 any.
Situació 3: 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i/o desactualitzada 1 any.
Situació 4:Publicació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 i/o desactualitzada 1 any.</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</si>
  <si>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i en format reutilitzable.
Data actualització: informada i i d'acord amb periodicitat recomanda  (vigent).
</t>
  </si>
  <si>
    <t xml:space="preserve">Situació 1: item no visible.
Situació 2: item actiu (es visualitza el títol de l'item) però no té contingut (les dades obertes no estan activades) i no s'explica el motiu de la no informació. (és com no tenir visible).
Situació 1: Item connectat automàtic segons AOC sense informació visible i sense explicació per part de l'ens especificant el motiu de no informació. 
Data actualització: informada i d'acord amb periodicitat recomanda   com mostra l'item automàtic 
Situació 3:  item no connectat automàtic segons AOC però l'ens ha redactat la informació indicantla informació que disposa seguint els camps establerts a la fitxa Municat.
Data actualització: informada però desactualitzada més de 2 anys.
Situació 4: item no connectat automàtic segons AOC però l'ens ha redirigit a web municipal on es pot consultar la informació de l'ens  seguint els camps establerts a la fitxa Municat.
Data actualització:informada però desactualitzada més de 2 anys.
Situació 5: el contingut que s'exposa no correspon al contingut de l'item. 
</t>
  </si>
  <si>
    <t>Publicació de les dades de l’execució del pressupost de l’ens local, tant pel que fa a les despeses com els ingressos. Aquesta informació ha d'estar en format reutilitzable.
Data actualització: informada i d'acord amb la periodicitat recomanada (any vigent)
[NOTA: Els municipis amb més de 5.000 habitants han d’enviar aquesta informació (execució trimestral) a l’Estat. Pel que fa als ens locals no obligats a la tramesa d’aquesta informació
(població no superior a 5.000 habitants) faran pública aquesta informació en la forma que s’estableixi en el reglament de desenvolupament de la LTAIPGB].</t>
  </si>
  <si>
    <t>Publicació de les dades de l’execució del pressupost de l’ens local, tant pel que fa a les despeses com els ingressos. Aquesta informació ha d'estar en format reutilitzable.
Data actualització:  informada però desactualitzada 1 any.</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</si>
  <si>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Data actualització: informada i i d'acord amb periodicitat recomanda  (vigent).
</t>
  </si>
  <si>
    <t xml:space="preserve">Situació 1: item no connectat automàtic segons AOC però l'ens ha facilitat la informació  seguint els camps establerts a la fitxa Municat.
Data actualització: informada però desactualitzada 1 any.
Situació 2: item no connectat automàtic segons AOC però l'ens ha redirigit a web municipal on es pot consultar la informació seguint els camps establerts a la fitxa Municat.
Data actualització: informada però desactualitzada 1 any.
Situació 3: item no connectat automàtic segons AOC però l'ens ha redirigit a web municipal on es pot consultart la informació seguint els camps establerts a la fitxa Municat.
Data actualització: informada i  i d'acord amb periodicitat recomanda  (vigent)
</t>
  </si>
  <si>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t>
  </si>
  <si>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però desactualitzada 1 any.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però desactualitzada 1 any.
Situació 3: publicació parcial (manca informació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i/o desactualitzada 1 any.
Situació 4: l'ens redacta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
Situació 5: l'ens redirigeix a web muncipal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Situació 6: l'ens redirigeix a web muncipal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t>
  </si>
  <si>
    <t xml:space="preserve">L'ens publica la informació  utilitzant proposta de camps portal transparència AOC (estructura). </t>
  </si>
  <si>
    <t>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</si>
  <si>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i d'acord amb periodicitat recomanda  (vigent)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i d'acord amb periodicitat recomanda  (vigent)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</si>
  <si>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però desactualitzada 1 any.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però desactualitzada 1 any.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</si>
  <si>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redireig a web Sindicatura de Comptes de Catalunya, doncs ja permet accedir a les auditories de comptes de l’Ajuntament.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</si>
  <si>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t>
  </si>
  <si>
    <t xml:space="preserve">L'ens publica la informació sense utilitzar la proposta de camps portal transparència AOC (estructura). </t>
  </si>
  <si>
    <t>Publicació del Pla anual de control financer facilitant el document en el propi item.
Data actualització: informada i d'acord amb la periodicitat recomanada (any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</si>
  <si>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</si>
  <si>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3: publicació parcial (manca informació)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
Situació 4: l'ens redacta i publicar parcial (manca informació)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</si>
  <si>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</si>
  <si>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</si>
  <si>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</si>
  <si>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</si>
  <si>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Situació 2: l'ens redacta i publica 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</si>
  <si>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2: l'ens redacta i publica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3: publicació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</si>
  <si>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i d'acord amb periodicitat recomanda  (vigent)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i d'acord amb periodicitat recomanda  (vigent)</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</si>
  <si>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però desactualitzada 1 any.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però desactualitzada 1 any.</t>
  </si>
  <si>
    <t>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Situació 3: l'ens informa i facilita enllaços de consulta de les incidències vigents.
Data actualització: informada i d'acord amb periodicitat recomanda  (vigent)</t>
  </si>
  <si>
    <t xml:space="preserve">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però desactualitzada 1 any.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però desactualitzada 1 any.
Situació 3: l'ens informa i facilita enllaços de consulta de les incidències vigents.
Data actualització: informada però desactualitzada 1 any.
Situació 4: Publicació parcial (manca informació)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i/o desactualitzada 1 any. 
Situació 5: Publicació parcial (manca informació )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i/o desactualitzada 1 any. </t>
  </si>
  <si>
    <t xml:space="preserve">Situació 1: item connectat automàtic segons AOC amb informació visible.
Data actualització: informada i anual com mostra l'item automàtic
Situació 2: item connectat automàtic segons AOC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item no connectat automàtic segons AOC però l'ens ha redactat la informació indicant informació que disposa seguint els camps establerts a la fitxa Municat.
Data actualització: informada i i d'acord amb periodicitat recomanda  (vigent).
Situació 4: item no connectat automàtic segons AOC però l'ens ha redirigit a web municipal on es pot consultar la informació seguint els camps establerts a la fitxa Municat i facilitant la informació en format reutilitzable.
Data actualització: informada i i d'acord amb periodicitat recomanda  (vigent).
</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</si>
  <si>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i facilitat en formant reutilitable
Data actualització: informada però desactualitzada 1 any.
Situació 3: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5: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</si>
  <si>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Publicació de la informació sobre les zones de sensibilitat acústica, les zones de soroll i llurs entorns que estigui a disposició de l'ens.
Es pot reedirigir aquest item a Generalitat: https://mediambient.gencat.cat/ca/05_ambits_dactuacio/atmosfera/contaminacio_acustica/gestio_ambiental_del_soroll/mapes_de_capacitat_acustica/
Data actualització: informada i d'acord amb la periodicitat recomanada (any vigent)</t>
  </si>
  <si>
    <t>Situació 1: informació correcta pròpia de l'ens sobre contaminació acústica
Data actualització:  informada però desactualitzada 1 any.</t>
  </si>
  <si>
    <t xml:space="preserve">Situació 1: item no visible.
Situació 2:  item actiu (es visualitza el títol de l'item) però no té contingut  i no s'explica el motiu de la no informació. (és com no tenir visible).
Situació 3:  item actiu (es visualitza el títol de l'item) i ens ha redireccionat la informació a web però aquest enllaç no funciona correctament.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</si>
  <si>
    <t xml:space="preserve">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i d'acord amb periodicitat recomanda  (vigent)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i d'acord amb periodicitat recomanda  (vigent)
</t>
  </si>
  <si>
    <t>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però desactualitzada 1 any.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</si>
  <si>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i d'acord amb periodicitat recomanda  (vigent)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i d'acord amb periodicitat recomanda  (vigent)
</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</si>
  <si>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però desactualitzada 1 any.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
</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</si>
  <si>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Data actualització: informada i i d'acord amb periodicitat recomanda  (vigent).
Situació 3: item no connectat automàtic segons AOC però l'ens els redirigeix a web municipal on hi consta la informació seguint els camps establerts a la fitxa Municat
Data actualització: informada i i d'acord amb periodicitat recomanda  (vigent).
</t>
  </si>
  <si>
    <t xml:space="preserve">Situació 1: item no connectat automàtic segons AOC però l'ens ha facilitat la informació  seguint els camps establerts a la fitxa Municat
Data actualització: informada però desactualitzada 1 any.
Situació 2: item no connectat automàtic segons AOC però l'ens ha redirigit a web municipal on es pot consultar la informació seguint els camps establerts a la fitxa Municat 
Data actualització: informada però desactualitzada 1 any.
</t>
  </si>
  <si>
    <t>Publicar la relació d’equipaments municipals entesos com espais de titularitat municipal.
Pot publicar-se en el propi item o amb una redirecció a web municipal.
De cadascun d’aquests equipaments es podria fer pública, com a mínim: l’adreça, les dades tècniques de l’equipament, inclòs l’aforament per a activitats de pública concurrència, i el termini per presentar una sol·licitud d’ús.
Data actualització: informada i d'acord amb la periodicitat recomanada (any vigent)</t>
  </si>
  <si>
    <t>Situació 1: publicació parcial de la informació referent als equipaments municipals.
Data actualització: informada i d'acord amb la periodicitat recomanada (any vigent)
Situació 2: publicació correcta de la informació
Data actualització:  informada però desactualitzada 1 any.</t>
  </si>
  <si>
    <t xml:space="preserve">Enllaç directament al lloc web de l’ens on es pot trobar el tràmit electrònic de la instància genèrica i haurà de contenir els requisits de l’art. 66.1 de la LPACAP que  regula el contingut mínim que han de tenir les sol·licituts formulades pels interessats.
En cas de no tenir-ne de propi es farà l’enllaç a la sol·licitud existent a l’e-TRAM.
Data actualització: informada i d'acord amb la periodicitat recomanada (any vigent)
</t>
  </si>
  <si>
    <t>Situació 1: publicació de l'enllaça tràmit instància genèrica no AOC
Data actualització:  informada però desactualitzada 1 any.</t>
  </si>
  <si>
    <t>Informar qui realitza la gestió tributària en l'ens i facilitar:
- Punt atenció física : població, l’adreça física els telèfons i els horaris.
- Tramitació on-line: enllaç a web (directe a plana de tramitació)
Data actualització: informada i d'acord amb la periodicitat recomanada (any vigent)</t>
  </si>
  <si>
    <t>Situació 1: s'informa qui realitza la gestió i  només del punt d'atenció física o del punt d'atenció on-line però no dels dos.
Data actualització: informada i d'acord amb la periodicitat recomanada (any vigent)
Situació 2: s'informa correctament tant qui realitza la gestió com els punts d'atenció física i la tramitació on-line.
Data actualització:  informada però desactualitzada 1 any.</t>
  </si>
  <si>
    <t>S’ha de mostrar l’enllaç al tràmit electrònic de sol·licitud d’accés a la informació pública de cada ens.
En cas de no tenir-ne de propi es farà l’enllaç a la sol·licitud existent a l’e-TRAM.
Data actualització: informada i d'acord amb la periodicitat recomanada (any vigent)</t>
  </si>
  <si>
    <t>Situació 1: publicació de l'enllaça tràmit SAIP no AOC
Data actualització:  informada però desactualitzada 1 any.</t>
  </si>
  <si>
    <t>Publicar les propostes d'actuació o millora, suggeriments i queixes que els ciutadans facin sobre el funcionament dels serveis públics municipals.L'Administració pública ha de donar a conèixer de manera anònima les propostes i els suggeriments rebuts, i ha de reconèixer i fer públiques les iniciatives ciutadanes l'aplicació de les quals comporti una millora substancial dels serveis públics.
Facilitar l'enllaç al tràmit per realitzar aquestes propostes.
En cas de no tenir-ne de propi es farà l’enllaç a la sol·licitud existent a l’e-TRAM.
Data actualització: informada i d'acord amb la periodicitat recomanada (any vigent)</t>
  </si>
  <si>
    <t>Situació 1: Publicació del resum de propostes d'actuacions rebudes i publicació de l'enllaç a tràmit Queixes i suggeriments no AOC.
Data actualització:  informada però desactualitzada 1 any.
Situació 2: Publicació correcte de l'enllaç però no del resum de propostes d'actuacions rebudes i que han comportat millores en els serveis públics.</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</si>
  <si>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i d'acord amb periodicitat recomanda  (vigent)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i d'acord amb periodicitat recomanda  (vigent)</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</si>
  <si>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però desactualitzada 1 any.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però desactualitzada 1 any.</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</si>
  <si>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i en format reutilitzable.
Data actualització: informada i i d'acord amb periodicitat recomanda  (vigent).
</t>
  </si>
  <si>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t>
  </si>
  <si>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però desactualitzada 1 any.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però desactualitzada 1 any.
Situació 3: publicació parcial (manca informació)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 i/o desactualitzada 1 any.</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</si>
  <si>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</si>
  <si>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però desactualitzada 1 any.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però desactualitzada 1 any.
Situació 3: publicació parcial (manca informació)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 i/o desactualitzada 1 any.</t>
  </si>
  <si>
    <t>Publicació de la relació dels actes administratius que adopti l’alcaldia o la presidència de l’ens local o aquells en els quals aquests hagin delegat.
La relació que es publiqui ha de fer constar:  la identificació del decret, la data d’aprovació i la descripció de l’objecte. Cal tenir mesures per garantir el compliment de les normes sobre protecció de dades personals. Facilitat en format reutilitzable.
Data actualització: informada i d'acord amb la periodicitat recomanada (any vigent)</t>
  </si>
  <si>
    <t>Situació 1: Publicació de la relació dels actes administratius que adopti l’alcaldia o la presidència de l’ens local o aquells en els quals aquests hagin delegat. La informació s'ofereix en format PDF o altres formats no reutilitzables.
Data actualització: informada i d'acord amb la periodicitat recomanada (any vigent)
Situació 2:  Publicació de la relació dels actes administratius que adopti l’alcaldia o la presidència de l’ens local o aquells en els quals aquests hagin delegat. La informació s'ofereix en formats reutilitzables.
Data actualització:  informada però desactualitzada 1 any.
Situació 3:  Publicació de la relació dels actes administratius que adopti l’alcaldia o la presidència de l’ens local o aquells en els quals aquests hagin delegat. La informació s'ofereix en format PDF o altres formats no reutilitzables.actualització:  informada però desactualitzada 1 any.</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</si>
  <si>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</si>
  <si>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però desactualitzada 1 any.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però desactualitzada 1 any.
Situació 3: publicació parcial (manca informació)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i/o desactualitzada 1 any.
Situació 4: l'ens redacta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
Situació 5: l'ens redirigeix a web municipal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Situació 6: l'ens redirigeix a web municipal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</si>
  <si>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</si>
  <si>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però desactualitzada 1 any.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però desactualitzada 1 any. 
Situació 3: publicació parcial (manca informació)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i/o desactualitzada 1 any.
Situació 4: l'ens redacta i publica parcial (manca informació)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 i/o desactualitzada 1 any.</t>
  </si>
  <si>
    <t xml:space="preserve">Publicació dels actes administratius que hagin estat revisats mitjançant procediments administratius de revisió d’ofici d’actes nuls, de declaració de lesivitat o de revocació, o mitjançant l’estimació total o parcial d’un recurs administratiu: s’ha de publicar el text dels actes administratius objecte de revisió, indicar les dates d’inici i fi del procediment de revisió o recurs i publicar també el text de l’acte administratiu que posa fi al procediment de revisió, amb indicació de si l’acte és ferm o no. Facilitar en format reutilitzable i els documents corresponents.
També cal fer pública la informació estadística relativa al nombre d’actes revisats i els procediments de revisió.
Data actualització: informada i d'acord amb la periodicitat recomanada (any vigent)
</t>
  </si>
  <si>
    <t>Situació 1: Publicació dels actes administratius que hagin estat revisats mitjançant procediments administratius de revisió d’ofici d’actes nuls, de declaració de lesivitat o de revocació amb format reutilitzable.
Data actualització:  informada però desactualitzada 1 any.
Situació 2: Publicació dels actes administratius que hagin estat revisats mitjançant procediments administratius de revisió d’ofici d’actes nuls, de declaració de lesivitat o de revocació sense format reutilitzable.
Data actualització: informada i d'acord amb la periodicitat recomanada (any vigent).
Situació 3: Publicació dels actes administratius que hagin estat revisats mitjançant procediments administratius de revisió d’ofici d’actes nuls, de declaració de lesivitat o de revocació on manca informació segons fitxa Municat.
Data actualització: informada i d'acord amb la periodicitat recomanada (any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</si>
  <si>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</si>
  <si>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però desactualitzada 1 any.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però desactualitzada 1 any. 
Situació 3: publicació parcial (manca informació)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i/o desactualitzada 1 any.
Situació 4: l'ens redacta i publica parcial (manca informació)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 i/o desactualitzada 1 any.</t>
  </si>
  <si>
    <t xml:space="preserve">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4: l'ens indica que no disposa d'un espai específic per a la publicació d'aquesta informació pel que fa a noticies i opinions però sí que publica les mocions.
Data actualització: informada i d'acord amb periodicitat recomanda  (vigent)
</t>
  </si>
  <si>
    <t>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però desactualitzada 1 any.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4: publicació parcial (manca informació com les mocions o l'apartat de noticies i opinions)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i/o desactualitzada 1 any.
Situació 5: l'ens redacta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</si>
  <si>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</si>
  <si>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4: l'ens indica que no disposa d'un espai específic per a la publicació d'aquesta informació.
Data actualització: informada i d'acord amb periodicitat recomanda  (vigent)</t>
  </si>
  <si>
    <t xml:space="preserve">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però desactualitzada 1 any.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4: publicació parcial (manca informació com per exemple espai d'un grup polític )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i/o desactualitzada 1 any.
Situació 5: l'ens redacta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7: l'ens indica que no disposa d'un espai específic per a la publicació d'aquesta informació.
Data actualització: informada però desactualitzada 1 any. </t>
  </si>
  <si>
    <t>Publicació de les resolucions íntegres de les sol·licituds d’accés a la informació pública que hagin estat denegades total o parcialment, de forma anonimitzada.
De forma addicional es podrà publicar una relació de les SAPS rebudes amb les dades següents, en format reutilitzable:
-Identificador expedient.
-Any.
-Data sol·licitud.
-Canal d’entrada.
-Canal resposta.
-Dies resposta.
-Descripció breu de la sol·licitud d’accés.
-Sentit de la resolució (estimada / accés parcial / denegada / inadmesa).
-Motiu de denegació / inadmissió.
Recomanable oferir una visualitació gràfica.
Data actualització: informada i d'acord amb la periodicitat recomanada (any vigent)</t>
  </si>
  <si>
    <t>Situació 1: publicació de la informació de les resolucions de les SAIPS d'acord amb fitxa Municat
Data actualització:  informada però desactualitzada 1 any.
Situació 2: publicació parcial de la informació de les resolucions de les SAIP segonsf fitxa Municat.
Data actualització: informada i d'acord amb la periodicitat recomanada (any vigent)</t>
  </si>
  <si>
    <t xml:space="preserve">Situació 1: item no connectat automàtic segons AOC però l'ens ha facilitat la informació  seguint els camps establerts a la fitxa Municat però no  facilitat en formant reutilitable
Data actualització: informada i  i d'acord amb periodicitat recomanda  (vigent)
Situació 2: item no connectat automàtic segons AOC però l'ens ha facilitat la informació  seguint els camps establerts a la fitxa Municat  i facilitat en formant reutilitable
Data actualització: informada però desactualitzada 1 any.
Situació 3: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4: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</si>
  <si>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i d'acord amb periodicitat recomanda  (vigent)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i d'acord amb periodicitat recomanda  (vigent)
Situació 3: l'ens indica que no disposa d'un espai específic per a la publicació d'aquesta informació.
Data actualització: informada i d'acord amb periodicitat recomanda  (vigent)</t>
  </si>
  <si>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però desactualitzada 1 any.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però desactualitzada 1 any.
Situació 3: l'ens indica que no disposa d'un espai específic per a la publicació d'aquesta informació.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</si>
  <si>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indica que no disposa d'un espai específic per a la publicació d'aquesta informació.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</si>
  <si>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i d'acord amb periodicitat recomanda  (vigent)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i d'acord amb periodicitat recomanda  (vigent)
Situació 3: l'ens indica que no disposa d'informació de projectes normatius en aquests moments.
Data actualització: informada i d'acord amb periodicitat recomanda  (vigent)</t>
  </si>
  <si>
    <t xml:space="preserve">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però desactualitzada 1 any.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però desactualitzada 1 any.
Situació 3: l'ens indica que no disposa d'informació de projectes normatius en aquests moments.
Data actualització: informada però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</si>
  <si>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indica que no disposa d'informació de projectes normatius en aquests moments.
Data actualització:informada però desactualitzada més de 2 anys.
Situació 6: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</si>
  <si>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i d'acord amb periodicitat recomanda  (vigent)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i d'acord amb periodicitat recomanda  (vigent)
Situació 3: l'ens indica que no disposa d'informació d'avaluacions de l'apliació de les normes en aquests moments.
Data actualització: informada i d'acord amb periodicitat recomanda  (vigent)</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</si>
  <si>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però desactualitzada 1 any.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però desactualitzada 1 any.
Situació 3: l'ens indica que no disposa d'informació d'avaluacions de l'apliació de les normes en aquests moments.
Data actualització: informada però desactualitzada 1 any.</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</si>
  <si>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i d'acord amb periodicitat recomanda  (vigent)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i d'acord amb periodicitat recomanda  (vigent)
Situació 3: l'ens indica que no disposa d'informació d'avaluacions de plans i programes destacats sobre polítiques públiques en aquests moments.
Data actualització: informada i d'acord amb periodicitat recomanda  (vigent)
Situació 4: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</si>
  <si>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però desactualitzada 1 any.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però desactualitzada 1 any.
Situació 3: l'ens indica que no disposa d'informació d'avaluacions de plans i programes destacats sobre polítiques públiques en aquests moments.
Data actualització: informada però desactualitzada 1 any.
Situació 4: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parcial (manca informació) utilitzant proposta de camps portal transparència AOC (estructura). 
Data actualització: informada i d'acord amb periodicitat recomanda  (vigent) i/o desactualitzada 1 any.
Situació 5: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parcial (manca informació) sense utilitzar la proposta de camps portal transparència AOC (estructura). 
Data actualització: informada i d'acord amb periodicitat recomanda  (vigent) i/o desactualitzada 1 any.
Situació 6: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però desactualitzada 1 any.
Situació 7: l'ens redirigeix a web municipal on publica parcial (manca informació)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</si>
  <si>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indica que no disposa d'informació d'avaluacions de plans i programes destacats sobre polítiques públiques en aquests moments.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</si>
  <si>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 xml:space="preserve">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i d'acord amb periodicitat recomanda  (vigent)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i d'acord amb periodicitat recomanda  (vigent)
Situació 3: l'ens indica que no realitza ni disposa de pla normatiu en aquests moments.
Data actualització: informada i d'acord amb periodicitat recomanda  (vigent)
</t>
  </si>
  <si>
    <t>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però desactualitzada 1 any.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però desactualitzada 1 any.
Situació 3: l'ens indica que no realitza ni diposa de pla normatiu en aquests moments.
Data actualització: informada però desactualitzada 1 any.
Situació 4: l'ens redirigeix a web municipal on publica la informació sobre Pla normatiu seguint fitxa Municat.
Data actualització: informada i d'acord amb periodicitat recomanda  (vigent) i/o desactualitzada 1 any.</t>
  </si>
  <si>
    <t>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i d'acord amb periodicitat recomanda  (vigent)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i d'acord amb periodicitat recomanda  (vigent)
Situació 3: l'ens indica que no realitza ni disposa d'estudis d'impacte ambiental i paisatgistic en aquests moments.
Data actualització: informada i d'acord amb periodicitat recomanda  (vigent)
Situació 4: l'ens redirigeix a web municipal on publica la informació d'estudis d'impacte ambienta i paisatgistic d'acord amb fitxa Municat.
Data actualització: informada i d'acord amb periodicitat recomanda  (vigent)</t>
  </si>
  <si>
    <t xml:space="preserve">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però desactualitzada 1 any.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però desactualitzada 1 any.
Situació 3: l'ens indica que no realitza ni disposa d'estudis d'impacte ambienta i paisatgistic en aquests moments.
Data actualització: informada però desactualitzada 1 any.
Situació 4: l'ens redirigeix a web municipal on publica la informació d'estudis d'impacte ambienta i paisatgistic d'acord amb fitxa Municat.
Data actualització: informada però desactualitzada 1 any.
</t>
  </si>
  <si>
    <t>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recomanda  (vigent)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recomanda  (vigent)
[NOTA: recomanació tenir com a referència de redactat el treball realitzat per DIBA-GID: https://pre.seu-e.cat/ca/web/veciana/govern-obert-i-transparencia/accio-de-govern-i-normativa/gestio-documental-i-arxiu/calendari-de-conservacio-i-regim-d-acces-documental]</t>
  </si>
  <si>
    <t>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però desactualitzada 1 any.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però desactualitzada 1 any.
Situació 3: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(vigent) i/o desactualitzada 1 any
Situació 4: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(vigent) i/o desactualitzada 1 any
[NOTA: recomanació tenir com a referència de redactat el treball realitzat per DIBA-GID: https://pre.seu-e.cat/ca/web/veciana/govern-obert-i-transparencia/accio-de-govern-i-normativa/gestio-documental-i-arxiu/calendari-de-conservacio-i-regim-d-acces-documental]</t>
  </si>
  <si>
    <t>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[NOTA: recomanació tenir com a referència de redactat el treball realitzat per DIBA-GID: https://pre.seu-e.cat/ca/web/veciana/govern-obert-i-transparencia/accio-de-govern-i-normativa/gestio-documental-i-arxiu/quadre-de-classificacio-documental]</t>
  </si>
  <si>
    <t>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però desactualitzada 1 any.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però desactualitzada 1 any.
Situació 3: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i/o desactualitzada 1 any.
Situació 4: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i/o desactualitzada 1 any.
[NOTA: recomanació tenir com a referència de redactat el treball realitzat per DIBA-GID: https://pre.seu-e.cat/ca/web/veciana/govern-obert-i-transparencia/accio-de-govern-i-normativa/gestio-documental-i-arxiu/quadre-de-classificacio-documental]</t>
  </si>
  <si>
    <t>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[NOTA: recomanació tenir com a referència de redactat el treball realitzat per DIBA-GID: https://pre.seu-e.cat/ca/web/veciana/govern-obert-i-transparencia/accio-de-govern-i-normativa/gestio-documental-i-arxiu/instruments-de-descripcio-documental]</t>
  </si>
  <si>
    <t>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però desactualitzada 1 any.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però desactualitzada 1 any.
Situació 3: Publicació parcial (manca informació)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i/o desactualitzada 1 any.
Situació 4: Publicació parcial (manca informació)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i/o desactualitzada 1 any.
[NOTA: recomanació tenir com a referència de redactat el treball realitzat per DIBA-GID: https://pre.seu-e.cat/ca/web/veciana/govern-obert-i-transparencia/accio-de-govern-i-normativa/gestio-documental-i-arxiu/instruments-de-descripcio-documental]</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</si>
  <si>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i d'acord amb periodicitat recomanda  (vigent)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espais de participació que té.
Data actualització: informada i d'acord amb periodicitat recomanda  (vigent)</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</si>
  <si>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però desactualitzada 1 any.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però desactualitzada 1 any.
Situació 3: l'ens redirigeix a web municipal on facilita la informació i accés als diferents espais de participació que té.
Data actualització: informada però desactualitzada 1 any.</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</si>
  <si>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i d'acord amb periodicitat recomanda  (vigent)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i d'acord amb periodicitat recomanda  (vigent)
Situació 3: l'ens redirigeix a web municipal on facilita la informació i accés a les diferents xarxes socials de l'ens.
Data actualització: informada i d'acord amb periodicitat recomanda  (vigent)</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</si>
  <si>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però desactualitzada 1 any.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però desactualitzada 1 any.
Situació 3: l'ens redirigeix a web municipal on facilita la informació i accés a les diferents xarxes socials de l'ens.
Data actualització: informada però desactualitzada 1 any.</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</si>
  <si>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i d'acord amb periodicitat recomanda  (vigent)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processos participatius en tràmit.
Data actualització: informada i d'acord amb periodicitat recomanda  (vigent)</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</si>
  <si>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però desactualitzada 1 any.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però desactualitzada 1 any.
Situació 3: l'ens redirigeix a web municipal on facilita la informació i accés als diferents processos participatius en tràmit.
Data actualització: informada però desactualitzada 1 any.</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</si>
  <si>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i d'acord amb periodicitat recomanda  (vigent)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i d'acord amb periodicitat recomanda  (vigent)</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</si>
  <si>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però desactualitzada 1 any.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però desactualitzada 1 any.</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</si>
  <si>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i d'acord amb periodicitat recomanda  (vigent)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 normativa de participació ciutadana
Data actualització: informada i d'acord amb periodicitat recomanda  (vigent)</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</si>
  <si>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però desactualitzada 1 any.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però desactualitzada 1 any.
Situació 3: l'ens redirigeix a web municipal on facilita la informació i accés a la informació sobre la normativa de participació ciutadana
Data actualització: informada però desactualitzada 1 any.</t>
  </si>
  <si>
    <t>Situació 1:Publicació d'una relació de les associacions i un enllaç a les agendes i activitats d’aquestes.
L'ens publica la informació  utilitzant proposta de camps portal transparència AOC (estructura). 
Data actualització: informada i d'acord amb periodicitat recomanda  (vigent)
Situació 2: Publicació d'una relació de les associacions i un enllaç a les agendes i activitats d’aquestes.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l'agenda i activitats de les associacions
Data actualització: informada i d'acord amb periodicitat recomanda  (vigent)</t>
  </si>
  <si>
    <t>Situació 1:Publicació d'una relació de les associacions i un enllaç a les agendes i activitats d’aquestes.
L'ens publica la informació  utilitzant proposta de camps portal transparència AOC (estructura). 
Data actualització: informada però desactualitzada 1 any.
Situació 2: Publicació d'una relació de les associacions i un enllaç a les agendes i activitats d’aquestes.
L'ens redacta i publica la informació sense utilitzar la proposta de camps portal transparència AOC (estructura). 
Data actualització: informada però desactualitzada 1 any.
Situació 3: l'ens redirigeix a web municipal on facilita la informació i accés a la informació sobre l'agenda i activitats de les associacions
Data actualització: informada però desactualitzada 1 any.</t>
  </si>
  <si>
    <t>Fitxa municat</t>
  </si>
  <si>
    <t>Tipus d'ens</t>
  </si>
  <si>
    <t>Ajuntament</t>
  </si>
  <si>
    <t>Consell comarcal</t>
  </si>
  <si>
    <t>Diputació</t>
  </si>
  <si>
    <t>Entitat metropolitana</t>
  </si>
  <si>
    <t>Entitat municipal descentralitzada</t>
  </si>
  <si>
    <t>Mancomunitat de municipis</t>
  </si>
  <si>
    <t>Aran</t>
  </si>
  <si>
    <t>Organismes autònom local</t>
  </si>
  <si>
    <t>Entitat pública empresarial local</t>
  </si>
  <si>
    <t>Societat mercantil local de capital íntegrament públic</t>
  </si>
  <si>
    <t>Societat mercantil local de capital mixt</t>
  </si>
  <si>
    <t>Consorci local</t>
  </si>
  <si>
    <t>Fundació local</t>
  </si>
  <si>
    <t>Fase d'avaluació</t>
  </si>
  <si>
    <t>Xarxa de Governs Oberts de Catalunya</t>
  </si>
  <si>
    <t>N/A</t>
  </si>
  <si>
    <t>Ítem</t>
  </si>
  <si>
    <t>A qui afecta?</t>
  </si>
  <si>
    <t>Tots els ajuntaments</t>
  </si>
  <si>
    <t>Qui formi part d’altres organismes
(mancomunitat, associacions etc.)</t>
  </si>
  <si>
    <t>NO afecta als ajuntaments</t>
  </si>
  <si>
    <t xml:space="preserve">
Tots els ajuntaments</t>
  </si>
  <si>
    <t>Tots els ajuntaments que tinguin entitats obligades
a subministrar informació d’acord amb l’article 8 del DTC</t>
  </si>
  <si>
    <t>Ajuntaments de més de 20.000 habitants i de menys que ho hagin acordat</t>
  </si>
  <si>
    <t>Tots els ajuntaments (encara que  segurament els petits no tindran)</t>
  </si>
  <si>
    <t>Afecta a ajuntaments de 6 o més funcionaris i/o de 6  fins a 10 laborals que tinguin DP i/o ajuntaments de més de 10 laborals (Ajuntaments de sis o més funcionaris ( art. 39  TREBEP), tenen Delegat de personal. Ajuntaments de sis o més laborals( fins 10) potestatiu tenir Delegat de personal. Article 62 TRET)</t>
  </si>
  <si>
    <t>Afecta a: ajuntaments que tinguin contractat  empreses que el personal treballi a les dependencias  municipals</t>
  </si>
  <si>
    <t>Als ajuntaments que atorguin subvencions a empreses per import superior a 10.000€</t>
  </si>
  <si>
    <t>Tots els ajuntaments, amb l'excepció de l'article 16 de l'Ordre HAP/2105/2012</t>
  </si>
  <si>
    <t>Tots els ajuntaments 
(aprovació abans de l'1 de març
 de cada any).</t>
  </si>
  <si>
    <t>- 4rt. Trimestre a tots els ajuntaments:  s’envia( abans 31 de gener de cada any)
- 1r  2n i 3r. Trimestre: ajuntaments amb població superior a 5.000 habitants</t>
  </si>
  <si>
    <t>Tots els ajuntaments que realitzin  publicittat institucional</t>
  </si>
  <si>
    <t xml:space="preserve">A tots els ajuntaments que tinguin : Organismes Autònoms,
 EPEs, Fundacions locals, Consorcis  i societats mercantils </t>
  </si>
  <si>
    <t>Afecta a ajuntaments amb població superior a 5.000 habitants i als que l’hagin acordat crear</t>
  </si>
  <si>
    <t>Tots els ajuntaments que tinguin:
-Organismes autònoms.
-Entitats públiques empresarials.
-Societats mercantils locals o be amb participació majoritària local o vinculades.
-Fundacions del sector públic local.
-Consorcis adscrits a l’entitat local.
També a les mancomunitats de municipis.</t>
  </si>
  <si>
    <t>Als ajuntaments que els hagin aprovat  ( l’aprovació de plecs generals és  potestativa. Art. 121 LCSP)</t>
  </si>
  <si>
    <t xml:space="preserve">Tots els ajuntaments
</t>
  </si>
  <si>
    <t>Nom de l’ens:</t>
  </si>
  <si>
    <t>Tipus d’ens:</t>
  </si>
  <si>
    <t>Fase de l’avaluació:</t>
  </si>
  <si>
    <t>Núm. d’ítems avaluats:</t>
  </si>
  <si>
    <t>Any de l’avaluació:</t>
  </si>
  <si>
    <t>Data de realització de l’avaluació:</t>
  </si>
  <si>
    <t>Total</t>
  </si>
  <si>
    <t>Valors avaluació</t>
  </si>
  <si>
    <t>Nivell</t>
  </si>
  <si>
    <t>Aplica</t>
  </si>
  <si>
    <t>Columna</t>
  </si>
  <si>
    <t>Total ítems</t>
  </si>
  <si>
    <t>Ítems avaluats</t>
  </si>
  <si>
    <t>Compleix totalment</t>
  </si>
  <si>
    <t>No aplicable</t>
  </si>
  <si>
    <t>Subtotal</t>
  </si>
  <si>
    <t>Diferència</t>
  </si>
  <si>
    <t>Totals</t>
  </si>
  <si>
    <t>Fases avaluades:</t>
  </si>
  <si>
    <t>Acumulat</t>
  </si>
  <si>
    <t>1 i 2</t>
  </si>
  <si>
    <t>1, 2 i 3</t>
  </si>
  <si>
    <t>1, 2, 3 i 4</t>
  </si>
  <si>
    <t>1, 2, 3, 4 i 5</t>
  </si>
  <si>
    <t>Data de l'avaluació:</t>
  </si>
  <si>
    <t>Fase</t>
  </si>
  <si>
    <t>Contingut (ítems)</t>
  </si>
  <si>
    <t>Actualització (ítems)</t>
  </si>
  <si>
    <t>Indicadors:</t>
  </si>
  <si>
    <t>Visió general del compliment de les obligacions de transparència</t>
  </si>
  <si>
    <t>Compliment de les fases avaluades</t>
  </si>
  <si>
    <t>Resultats de l'avaluació per famílies i subfamílies</t>
  </si>
  <si>
    <t>Prioritat</t>
  </si>
  <si>
    <t>Trimestral &gt; 5.000 hab.
Anual &lt; 5.000 hab.</t>
  </si>
  <si>
    <t>Mensual  &gt; 20.000 hab.
Bimensual &lt; 20.000 hab. i &gt; 5.000 hab.
Trimestral &lt; 5.000 hab.</t>
  </si>
  <si>
    <t>Revisió/actualització</t>
  </si>
  <si>
    <t>Compliment ponderat</t>
  </si>
  <si>
    <t>Codi bis</t>
  </si>
  <si>
    <t>Codi Municat</t>
  </si>
  <si>
    <t>Tots els ajuntaments que tinguin ens dependents</t>
  </si>
  <si>
    <t>Personal eventual: art. 104 bis LRBRL. Ajuntaments de menys de 2.000 habitants no poden tenir eventuals. Municipis entre 2.000 a 5.000 habitants poden ternir 1 eventual si no n’hi ha cap membre de la corporació amb dedicació exclusiva.                            Personal directiu: Els càrrecs electes tenen la consideración d’alts càrrecs, però entenc que els càrrecs electes ja s’han publicat al ítem 1.2.2</t>
  </si>
  <si>
    <t>Tipus ítem</t>
  </si>
  <si>
    <t>Enllaç Municat</t>
  </si>
  <si>
    <t>Equivalència avaluació Síndic</t>
  </si>
  <si>
    <t>Obligació normativa sectorial</t>
  </si>
  <si>
    <t>Exemples Compleix Totalment</t>
  </si>
  <si>
    <t>Exemples Compleix Parcialment</t>
  </si>
  <si>
    <t>Exemples No Compleix</t>
  </si>
  <si>
    <t>Criteris No aplica</t>
  </si>
  <si>
    <t>XGO001</t>
  </si>
  <si>
    <t>XGO002</t>
  </si>
  <si>
    <t>XGO003</t>
  </si>
  <si>
    <t>XGO004</t>
  </si>
  <si>
    <t>XGO005</t>
  </si>
  <si>
    <t>XGO045</t>
  </si>
  <si>
    <t>XGO006</t>
  </si>
  <si>
    <t>XGO007</t>
  </si>
  <si>
    <t>XGO008</t>
  </si>
  <si>
    <t>XGO009</t>
  </si>
  <si>
    <t>XGO010</t>
  </si>
  <si>
    <t>XGO011</t>
  </si>
  <si>
    <t>XGO012</t>
  </si>
  <si>
    <t>XGO013</t>
  </si>
  <si>
    <t>XGO014</t>
  </si>
  <si>
    <t>XGO015</t>
  </si>
  <si>
    <t>XGO016</t>
  </si>
  <si>
    <t>XGO017</t>
  </si>
  <si>
    <t>XGO018</t>
  </si>
  <si>
    <t>XGO019</t>
  </si>
  <si>
    <t>XGO020</t>
  </si>
  <si>
    <t>XGO021</t>
  </si>
  <si>
    <t>XGO022</t>
  </si>
  <si>
    <t>XGO023</t>
  </si>
  <si>
    <t>XGO024</t>
  </si>
  <si>
    <t>XGO025</t>
  </si>
  <si>
    <t>XGO026</t>
  </si>
  <si>
    <t>XGO027</t>
  </si>
  <si>
    <t>XGO028</t>
  </si>
  <si>
    <t>XGO029</t>
  </si>
  <si>
    <t>XGO030</t>
  </si>
  <si>
    <t>XGO031</t>
  </si>
  <si>
    <t>XGO032</t>
  </si>
  <si>
    <t>XGO033</t>
  </si>
  <si>
    <t>XGO034</t>
  </si>
  <si>
    <t>XGO035</t>
  </si>
  <si>
    <t>XGO036</t>
  </si>
  <si>
    <t>XGO037</t>
  </si>
  <si>
    <t>XGO079</t>
  </si>
  <si>
    <t>XGO080</t>
  </si>
  <si>
    <t>XGO081</t>
  </si>
  <si>
    <t>XGO082</t>
  </si>
  <si>
    <t>XGO083</t>
  </si>
  <si>
    <t>XGO084</t>
  </si>
  <si>
    <t>XGO085</t>
  </si>
  <si>
    <t>XGO086</t>
  </si>
  <si>
    <t>XGO087</t>
  </si>
  <si>
    <t>XGO088</t>
  </si>
  <si>
    <t>XGO089</t>
  </si>
  <si>
    <t>XGO090</t>
  </si>
  <si>
    <t>XGO091</t>
  </si>
  <si>
    <t>XGO092</t>
  </si>
  <si>
    <t>XGO093</t>
  </si>
  <si>
    <t>XGO094</t>
  </si>
  <si>
    <t>XGO095</t>
  </si>
  <si>
    <t>XGO096</t>
  </si>
  <si>
    <t>XGO097</t>
  </si>
  <si>
    <t>XGO098</t>
  </si>
  <si>
    <t>XGO099</t>
  </si>
  <si>
    <t>XGO100</t>
  </si>
  <si>
    <t>XGO101</t>
  </si>
  <si>
    <t>XGO102</t>
  </si>
  <si>
    <t>XGO103</t>
  </si>
  <si>
    <t>XGO104</t>
  </si>
  <si>
    <t>XGO105</t>
  </si>
  <si>
    <t>XGO106</t>
  </si>
  <si>
    <t>XGO107</t>
  </si>
  <si>
    <t>XGO108</t>
  </si>
  <si>
    <t>XGO109</t>
  </si>
  <si>
    <t>XGO110</t>
  </si>
  <si>
    <t>XGO111</t>
  </si>
  <si>
    <t>XGO112</t>
  </si>
  <si>
    <t>XGO113</t>
  </si>
  <si>
    <t>XGO114</t>
  </si>
  <si>
    <t>XGO115</t>
  </si>
  <si>
    <t>XGO116</t>
  </si>
  <si>
    <t>XGO117</t>
  </si>
  <si>
    <t>XGO124</t>
  </si>
  <si>
    <t>XGO118</t>
  </si>
  <si>
    <t>XGO119</t>
  </si>
  <si>
    <t>XGO120</t>
  </si>
  <si>
    <t>XGO121</t>
  </si>
  <si>
    <t>XGO122</t>
  </si>
  <si>
    <t>XGO123</t>
  </si>
  <si>
    <t>XGO125</t>
  </si>
  <si>
    <t>XGO126</t>
  </si>
  <si>
    <t>XGO127</t>
  </si>
  <si>
    <t>XGO128</t>
  </si>
  <si>
    <t>XGO129</t>
  </si>
  <si>
    <t>XGO130</t>
  </si>
  <si>
    <t>XGO131</t>
  </si>
  <si>
    <t>XGO132</t>
  </si>
  <si>
    <t>XGO133</t>
  </si>
  <si>
    <t>XGO134</t>
  </si>
  <si>
    <t>XGO135</t>
  </si>
  <si>
    <t>XGO136</t>
  </si>
  <si>
    <t>XGO137</t>
  </si>
  <si>
    <t>XGO139</t>
  </si>
  <si>
    <t>XGO138</t>
  </si>
  <si>
    <t>XGO046</t>
  </si>
  <si>
    <t>XGO047</t>
  </si>
  <si>
    <t>XGO048</t>
  </si>
  <si>
    <t>XGO049</t>
  </si>
  <si>
    <t>XGO050</t>
  </si>
  <si>
    <t>XGO051</t>
  </si>
  <si>
    <t>XGO052</t>
  </si>
  <si>
    <t>XGO053</t>
  </si>
  <si>
    <t>XGO054</t>
  </si>
  <si>
    <t>XGO055</t>
  </si>
  <si>
    <t>XGO056</t>
  </si>
  <si>
    <t>XGO057</t>
  </si>
  <si>
    <t>XGO058</t>
  </si>
  <si>
    <t>XGO059</t>
  </si>
  <si>
    <t>XGO060</t>
  </si>
  <si>
    <t>XGO061</t>
  </si>
  <si>
    <t>XGO062</t>
  </si>
  <si>
    <t>XGO068</t>
  </si>
  <si>
    <t>XGO069</t>
  </si>
  <si>
    <t>XGO063</t>
  </si>
  <si>
    <t>XGO064</t>
  </si>
  <si>
    <t>XGO065</t>
  </si>
  <si>
    <t>XGO066</t>
  </si>
  <si>
    <t>XGO067</t>
  </si>
  <si>
    <t>XGO070</t>
  </si>
  <si>
    <t>XGO071</t>
  </si>
  <si>
    <t>XGO072</t>
  </si>
  <si>
    <t>XGO073</t>
  </si>
  <si>
    <t>XGO074</t>
  </si>
  <si>
    <t>XGO075</t>
  </si>
  <si>
    <t>XGO076</t>
  </si>
  <si>
    <t>XGO077</t>
  </si>
  <si>
    <t>XGO078</t>
  </si>
  <si>
    <t>XGO141</t>
  </si>
  <si>
    <t>XGO142</t>
  </si>
  <si>
    <t>XGO143</t>
  </si>
  <si>
    <t>XGO144</t>
  </si>
  <si>
    <t>XGO145</t>
  </si>
  <si>
    <t>XGO042</t>
  </si>
  <si>
    <t>XGO146</t>
  </si>
  <si>
    <t>XGO147</t>
  </si>
  <si>
    <t>XGO043</t>
  </si>
  <si>
    <t>XGO038</t>
  </si>
  <si>
    <t>XGO039</t>
  </si>
  <si>
    <t>XGO040</t>
  </si>
  <si>
    <t>XGO041</t>
  </si>
  <si>
    <t>XGO044</t>
  </si>
  <si>
    <t>XGO140</t>
  </si>
  <si>
    <t>Bon Govern i Integritat Pública</t>
  </si>
  <si>
    <t>1.5.7</t>
  </si>
  <si>
    <t xml:space="preserve">Automàtic amb dades obertes (A) </t>
  </si>
  <si>
    <t>Retribució dels directius beneficiaris de subvencions</t>
  </si>
  <si>
    <t>Automàtic amb descripció per defecte (A)</t>
  </si>
  <si>
    <t>1.5.5</t>
  </si>
  <si>
    <t>Sistema d'Integritat Institucional</t>
  </si>
  <si>
    <t>1.5.1</t>
  </si>
  <si>
    <t>Pla de mesures antifrau</t>
  </si>
  <si>
    <t>1.5.2</t>
  </si>
  <si>
    <t>Declaració institucional d’impuls de la política d’integritat i de lluita contra el frau</t>
  </si>
  <si>
    <t>1.5.3</t>
  </si>
  <si>
    <t>Canals d’alertes i sistema intern d’alertes (SIA)</t>
  </si>
  <si>
    <t>1.5.4</t>
  </si>
  <si>
    <t>Comissió antifrau</t>
  </si>
  <si>
    <t>1.5.6</t>
  </si>
  <si>
    <t>Verificació de documents mitjançant Codi Segur de Verificació (CSV)</t>
  </si>
  <si>
    <t xml:space="preserve">Article 6. Apartat 1. </t>
  </si>
  <si>
    <t xml:space="preserve">Article 16 </t>
  </si>
  <si>
    <t>Font: Municat</t>
  </si>
  <si>
    <t xml:space="preserve">Article 17 </t>
  </si>
  <si>
    <t xml:space="preserve">Font: CIDO - DIBA. Automàtic per aquells organismes que el tinguin publicat i es trobi recollit a la font de dades </t>
  </si>
  <si>
    <t>No prové d’una obligació legal. D’acord amb l’article 55.3 de la Llei 19/2014, del 29 de desembre, de transparència, accés a la informació pública i bon govern (LTAIPBG), els ens locals han d’elaborar un codi de conducta de llurs alts càrrecs.</t>
  </si>
  <si>
    <t>https://municat.gencat.cat/ca/Temes/Transparencia/Items-de-transparencia/1.5.7codi-conducta-alts-carrecs</t>
  </si>
  <si>
    <t xml:space="preserve">Article: 55.1.c) </t>
  </si>
  <si>
    <t>https://municat.gencat.cat/ca/Temes/Transparencia/Items-de-transparencia/1.1.5relacio-obsequis-invitacions-alts-carrecs</t>
  </si>
  <si>
    <t>Redirecció cap a Idescat</t>
  </si>
  <si>
    <t xml:space="preserve">Article 8. Apartat 1. Punt i. </t>
  </si>
  <si>
    <t>Font: AOC via EACAT</t>
  </si>
  <si>
    <t xml:space="preserve">Article 3 </t>
  </si>
  <si>
    <t>Els ajuntaments disposen d’un mòdul específic de visualització. Més informació al portal de suport de govern obert (AOC)</t>
  </si>
  <si>
    <t xml:space="preserve">Article 6. Apartat 1. Article 8. Apartat 1. Punt f, h. </t>
  </si>
  <si>
    <t xml:space="preserve">Article 8. Apartat 1. Punt g. </t>
  </si>
  <si>
    <t>Font: CIDO - DIBA</t>
  </si>
  <si>
    <t>Redirecció automàtica a dades disponibles de municipis de província de Barcelona</t>
  </si>
  <si>
    <t xml:space="preserve">Article 37.7 del Reglament (UE) 2016/679 (RGPD), i article: 34 de la Llei orgànica 3/2018 (LOPDGDD) </t>
  </si>
  <si>
    <t xml:space="preserve">Article 12 i següents del Reglament (UE) 2016/679 (RGPD), i article: 12 i següents de la Llei orgànica 3/2018 (LOPDGDD) </t>
  </si>
  <si>
    <t>Font: AOC via PSCP</t>
  </si>
  <si>
    <t>Redirecció automàtica cap a la PSCP de l'ens</t>
  </si>
  <si>
    <t>Font: AOC via PSCP. Ítem que inclou gràfiques dinàmiques.</t>
  </si>
  <si>
    <t xml:space="preserve">Article 8. Apartat 1. Punt a. </t>
  </si>
  <si>
    <t>Font: AOC via RPC. Ítem que inclou gràfiques dinàmiques.</t>
  </si>
  <si>
    <t>Font: AOC via e-FACT</t>
  </si>
  <si>
    <t xml:space="preserve">Redirecció automàtica cap al Registre de Licitadors </t>
  </si>
  <si>
    <t>Redirecció automàtica cap al Registre Electrònic d'empreses Licitadores i Classificades</t>
  </si>
  <si>
    <t>Redirecció automàtica a la Junta Consultiva de Contractació</t>
  </si>
  <si>
    <t xml:space="preserve">Article 7. Apartat a. </t>
  </si>
  <si>
    <t>Redirecció automàtica al Departament d'Economia i Finances de la Generalitat de Catalunya</t>
  </si>
  <si>
    <t>Font: Registre de convenis de col·laboració i cooperació. Departament de Presidència. Ítem que inclou gràfiques dinàmiques.</t>
  </si>
  <si>
    <t xml:space="preserve">Article 8. Apartat 1. Punt b. </t>
  </si>
  <si>
    <t>Redirecció automàtica cap al Registre de Planejament urbanístic de Catalunya. Generalitat de Catalunya</t>
  </si>
  <si>
    <t>Font: MINHAP via BDNS i alternativa CIDO- DIBA</t>
  </si>
  <si>
    <t>Font: MINHAP via BDNS. Ítem que inclou gràfiques dinàmiques.</t>
  </si>
  <si>
    <t xml:space="preserve">Article 8. Apartat 1. Punt c. </t>
  </si>
  <si>
    <t>Font: Municat. Ítem que inclou gràfiques dinàmiques.</t>
  </si>
  <si>
    <t xml:space="preserve">Article 8. Apartat 1. Punt d. </t>
  </si>
  <si>
    <t>Redirecció automàtica cap a la Sindicatura de Comptes de Catalunya</t>
  </si>
  <si>
    <t xml:space="preserve">Article 8. Apartat 1. Punt e. </t>
  </si>
  <si>
    <t>Font: MINHAP. Ítem que inclou gràfiques dinàmiques.</t>
  </si>
  <si>
    <t>https://municat.gencat.cat/ca/Temes/Transparencia/Items-de-transparencia/4.2.1.Endeutament</t>
  </si>
  <si>
    <t>Font: AOC (disponible només per ajuntaments)</t>
  </si>
  <si>
    <t xml:space="preserve">Article 8. Apartat 3. </t>
  </si>
  <si>
    <t>Redirecció automàtica cap al Mapa continu de trànsit. Servei Català de Trànsit. Generalitat de Catalunya</t>
  </si>
  <si>
    <t>Font: Departament de Territori, Habitatge i Transició Ecològica de la Generalitat de Catalunya</t>
  </si>
  <si>
    <t xml:space="preserve">Article 6. Apartat 2. </t>
  </si>
  <si>
    <t xml:space="preserve">Article 6. Apartat 2. Article 8. Apartat 1. Punt i. </t>
  </si>
  <si>
    <t>Redirecció automàtica cap al cercador de Festes generals i locals a Catalunya. Departament de Treball de la Generalitat de Catalunya</t>
  </si>
  <si>
    <t>Redirecció automàtica a la informació que consta a l'ítem "Dades Generals de l'ens" (Catàleg de Serveis). Font: Consorci AOC.</t>
  </si>
  <si>
    <t xml:space="preserve">Article: 11.2 </t>
  </si>
  <si>
    <t>Redirecció automàtica a la bústia de notificacions (e-Notum). Font: Consorci AOC.</t>
  </si>
  <si>
    <t>Redirecció automàtica al Punt General de Factures Electròniques de les Administracions Públiques de Catalunya(e-FACT). Font: Consorci AOC.</t>
  </si>
  <si>
    <t xml:space="preserve">Article 17. </t>
  </si>
  <si>
    <t xml:space="preserve">Article: 61.1 </t>
  </si>
  <si>
    <t>Redirecció automàtica cap a "El meu Espai" de l'ens. Font: AOC</t>
  </si>
  <si>
    <t>Redirecció automàtica a la informació que consta a l'ítem "Dades Generals de l'ens" (Tràmits). Font: Consorci AOC.</t>
  </si>
  <si>
    <t>Font: AOC via text que inclou per defecte enllaç a "Canal Empresa" i "Cerca guiada de tràmits".  L'ens pot editar l'ítem i informar-lo com considera oportú.</t>
  </si>
  <si>
    <t>Font: AOC via REPRESENTA</t>
  </si>
  <si>
    <t>Font: Departament de Presidència</t>
  </si>
  <si>
    <t>Redirecció automàtica cap al tauler d'edictes (font AOC)</t>
  </si>
  <si>
    <t xml:space="preserve">Article 7. Apartat e. </t>
  </si>
  <si>
    <t>Redirecció automàtica cap als dictàmens de la Comissió Jurídica Assessora de la Generalitat de Catalunya</t>
  </si>
  <si>
    <t xml:space="preserve">Article 7. Apartat c. </t>
  </si>
  <si>
    <t xml:space="preserve">Article 7. Apartat d. </t>
  </si>
  <si>
    <t>Redirecció automàtica cap al Registre de Planejament urbanístic de Catalunya i al Mapa Urbanístic de Catalunya. Generalitat de Catalunya</t>
  </si>
  <si>
    <t>Redirecció automàtica cap al Departament de Territori, Habitatge i Transició Ecològica</t>
  </si>
  <si>
    <t>Redirecció automàtica cap al Mapa Urbanístic de Catalunya (MUC - Generalitat de Catalunya)</t>
  </si>
  <si>
    <t>Font: Departament de Cultura de la Generalitat de Catalunya</t>
  </si>
  <si>
    <t>Redirecció automàtica cap al Departament de Justícia i Qualitat Democràtica</t>
  </si>
  <si>
    <t xml:space="preserve">Redirecció automàtica al cercador de grups d'interès. Govern Obert, Generalitat de Catalunya </t>
  </si>
  <si>
    <t>Article 5.4 i Article 46. Apartat 1.</t>
  </si>
  <si>
    <t>https://municat.gencat.cat/ca/Temes/Transparencia/Items-de-transparencia/1.5.5.Registre-grups-interes</t>
  </si>
  <si>
    <t xml:space="preserve">Article 7. Apartat a, b, c. </t>
  </si>
  <si>
    <t>Redirecció automàtica a una pàgina de Generalitat de Catalunya amb informació sobre  grups d'interès, incloent-ne un codi de conducta comú</t>
  </si>
  <si>
    <t>https://municat.gencat.cat/ca/Temes/Transparencia/Items-de-transparencia/1.5.1Fitxa-sistema-integritat-institucional</t>
  </si>
  <si>
    <t>Article 6 de l’Ordre HFP/1030/2021, de 29 de setembre, per la qual es configura el sistema de gestió del Pla de recuperació, transformació i resiliència.</t>
  </si>
  <si>
    <t>https://municat.gencat.cat/ca/Temes/Transparencia/Items-de-transparencia/1.5.2Pla-de-mesures-antifrau</t>
  </si>
  <si>
    <t>No prové d’una obligació legal concreta. L’Ordre HFP/1030/2021, de 29 de setembre, per la qual es configura el sistema de gestió del Pla de recuperació, transformació i resiliència (PRTR), recull la necessitat d’aprovar al més alt nivell institucional el compromís ferm contra el frau i la corrupció en el marc de la gestió dels fons Next Generation. També es considera un element essencial en la creació d’un sistema d’integritat institucional.</t>
  </si>
  <si>
    <t>https://municat.gencat.cat/ca/Temes/Transparencia/Items-de-transparencia/1.5.3Declaracio-institucional</t>
  </si>
  <si>
    <t>Font: AOC amb enllaç per defecte al canal d’alertes i assistent. Cal completar els detalls de la normativa i, si escau, la composició de l’òrgan responsable.</t>
  </si>
  <si>
    <t>Directiva (UE) 2019/1937 del Parlament Europeu i del Consell, de 23 d’octubre de 2019, relativa a la protecció de les persones que informen sobre infraccions del dret de la Unió i Llei 2/2023, de 20 de febrer, reguladora de la protecció de les persones que informen sobre infraccions normatives i de lluita contra la corrupció.</t>
  </si>
  <si>
    <t>https://municat.gencat.cat/ca/Temes/Transparencia/Items-de-transparencia/1.5.4canal-alertes-sistema-intern-alertes-sia</t>
  </si>
  <si>
    <t>No prové d’una obligació legal concreta. Si l’ens local gestiona fons Next Generation, es recomana crear una comissió antifrau per elaborar i executar el pla de mesures antifrau. Aquesta comissió també es considera un element essencial en la creació d’un sistema d’integritat institucional.</t>
  </si>
  <si>
    <t>https://municat.gencat.cat/ca/Temes/Transparencia/Items-de-transparencia/1.5.6Comissio-antifrau</t>
  </si>
  <si>
    <t xml:space="preserve">Font: AOC via enllaç al validador de CSV AOC per defecte. L'ens pot editar l'ítem informant altres validadors </t>
  </si>
  <si>
    <t>Informació complementària</t>
  </si>
  <si>
    <t>Freqüència actualització requerida</t>
  </si>
  <si>
    <t>Llei 19/2014 CAT</t>
  </si>
  <si>
    <t>Llei 19/2013 ESP</t>
  </si>
  <si>
    <t>Fases</t>
  </si>
  <si>
    <t>Criteri de selecció</t>
  </si>
  <si>
    <t>Legalment obligatoris* i automàtics</t>
  </si>
  <si>
    <t>Legalment obligatoris, avaluats pel Síndic de Greuges i manuals estructurats</t>
  </si>
  <si>
    <t>Legalment obligatoris i manuals descriptius</t>
  </si>
  <si>
    <t>Legalment obligatoris, manuals estructurats, no avaluats pel Síndic de Greuges</t>
  </si>
  <si>
    <t>Codi</t>
  </si>
  <si>
    <t>Ens</t>
  </si>
  <si>
    <t>Any de l’avaluació</t>
  </si>
  <si>
    <t>Data</t>
  </si>
  <si>
    <t>no</t>
  </si>
  <si>
    <t>Visites</t>
  </si>
  <si>
    <t>Els 5 ítems més consultats, millor valorats</t>
  </si>
  <si>
    <t>Els 5 ítems més consultats, pitjor valorats</t>
  </si>
  <si>
    <t> </t>
  </si>
  <si>
    <t>No, però és recomanable</t>
  </si>
  <si>
    <t>Metodologia d'autoavaluació de les obligacions de transparència</t>
  </si>
  <si>
    <t>L'autoavaluació segueix la metodologia definida per la Xarxa de Governs Oberts de Catalunya i, per cada indicador, té en compte les variables relatives al contingut i l'actualització.</t>
  </si>
  <si>
    <t>https://municat.gencat.cat/ca/Temes/Transparencia/Items-de-transparencia/1.1.5agenda-alts-carrecs</t>
  </si>
  <si>
    <t>Plantejament de l'autoavaluació</t>
  </si>
  <si>
    <t>No obligatoris legalment</t>
  </si>
  <si>
    <t>Ajuntament de Blanes</t>
  </si>
  <si>
    <t>Redirigit a Idescat</t>
  </si>
  <si>
    <t>Redirigit al Tauler d'anuncis</t>
  </si>
  <si>
    <t>L'ajuntament no en té</t>
  </si>
  <si>
    <t>Redirigit a la web municipal</t>
  </si>
  <si>
    <t>Redirigit a Gencat</t>
  </si>
  <si>
    <t>Redireccionat al Cercador públic de contractes i al Perfil del contractant</t>
  </si>
  <si>
    <t>Redireccionat al RELIC</t>
  </si>
  <si>
    <t>Redirigir a Gencat</t>
  </si>
  <si>
    <t>Redirigit a la sindicatura de comptes</t>
  </si>
  <si>
    <t>Redirigida a la web municipal</t>
  </si>
  <si>
    <t>No disposem d'organigrama</t>
  </si>
  <si>
    <t>No n'hi ha</t>
  </si>
  <si>
    <t>Redirigit a la Línia directa + comentaris rebuts al portal</t>
  </si>
  <si>
    <t>Redirigit al registre públic de contractes</t>
  </si>
  <si>
    <t>Redirigit al Servei Català de Trànsit</t>
  </si>
  <si>
    <t>Redirigit a la Generalitat de Catalunya</t>
  </si>
  <si>
    <t>Redirigit a la Seu</t>
  </si>
  <si>
    <t> En aquests moments, l'Ajuntament no disposa de la relació del personal temporal contractat per la corporació local i/o els seus organismes dependents.</t>
  </si>
  <si>
    <t>Podeu consultar aquest document a: Codi de conducta dels alts càrrecs i de bon govern - Ajuntament de Blanes</t>
  </si>
  <si>
    <t>La informació és del 2023, però és la que ens han fet arribar ara la sindicatura</t>
  </si>
  <si>
    <t>Necessitem l'inventari municipal de béns</t>
  </si>
  <si>
    <t>No tenim cap informació del 2025</t>
  </si>
  <si>
    <t xml:space="preserve">No disposem de l'agenda publicada </t>
  </si>
  <si>
    <t>No estàn publicades</t>
  </si>
  <si>
    <t>No disposem d'informació</t>
  </si>
  <si>
    <t>En data de visualització de l'ítem, no disposem d'informació sobre les campanyes institucionals.</t>
  </si>
  <si>
    <t>En data de visualització de l'ítem, no disposem d'informació sobre les auditories de comptes.</t>
  </si>
  <si>
    <t>En data de visualització de l'ítem, l'Ajuntament no realitza avaluacions de polítiques públiques.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</si>
</sst>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Arial"/>
      <family val="2"/>
      <scheme val="minor"/>
    </font>
    <font>
      <u/>
      <sz val="11"/>
      <color theme="10"/>
      <name val="Arial"/>
      <family val="2"/>
      <scheme val="minor"/>
    </font>
    <font>
      <b/>
      <sz val="11"/>
      <color theme="1"/>
      <name val="Arial"/>
      <family val="2"/>
      <scheme val="minor"/>
    </font>
    <font>
      <b/>
      <sz val="11"/>
      <color theme="0"/>
      <name val="Arial"/>
      <family val="2"/>
      <scheme val="minor"/>
    </font>
    <font>
      <sz val="8"/>
      <name val="Arial"/>
      <family val="2"/>
    </font>
    <font>
      <b/>
      <sz val="8"/>
      <name val="Arial"/>
      <family val="2"/>
    </font>
    <font>
      <sz val="8"/>
      <color theme="1"/>
      <name val="Arial"/>
      <family val="2"/>
    </font>
    <font>
      <sz val="11"/>
      <color theme="1"/>
      <name val="Arial"/>
      <family val="2"/>
      <scheme val="minor"/>
    </font>
    <font>
      <b/>
      <sz val="11"/>
      <color theme="1"/>
      <name val="Arial"/>
      <family val="2"/>
      <scheme val="minor"/>
    </font>
    <font>
      <b/>
      <sz val="13"/>
      <color theme="3"/>
      <name val="Arial"/>
      <family val="2"/>
      <scheme val="minor"/>
    </font>
    <font>
      <b/>
      <sz val="15"/>
      <color theme="3" tint="-0.24994659260841701"/>
      <name val="Arial"/>
      <family val="2"/>
      <scheme val="minor"/>
    </font>
    <font>
      <sz val="18"/>
      <color theme="3" tint="-0.24994659260841701"/>
      <name val="Arial"/>
      <family val="2"/>
      <scheme val="major"/>
    </font>
    <font>
      <sz val="11"/>
      <color theme="1"/>
      <name val="Arial"/>
      <family val="2"/>
      <scheme val="minor"/>
    </font>
    <font>
      <b/>
      <sz val="11"/>
      <color theme="3"/>
      <name val="Arial"/>
      <family val="2"/>
      <scheme val="minor"/>
    </font>
    <font>
      <sz val="11"/>
      <color theme="0"/>
      <name val="Arial"/>
      <family val="2"/>
      <scheme val="minor"/>
    </font>
    <font>
      <sz val="8"/>
      <color theme="5" tint="0.39997558519241921"/>
      <name val="Arial"/>
      <family val="2"/>
      <scheme val="minor"/>
    </font>
    <font>
      <sz val="8"/>
      <color theme="1"/>
      <name val="Arial"/>
      <family val="2"/>
      <scheme val="minor"/>
    </font>
    <font>
      <b/>
      <sz val="8"/>
      <color theme="1"/>
      <name val="Arial"/>
      <family val="2"/>
      <scheme val="minor"/>
    </font>
    <font>
      <sz val="10"/>
      <color theme="1"/>
      <name val="Arial"/>
      <family val="2"/>
      <scheme val="minor"/>
    </font>
    <font>
      <b/>
      <sz val="10"/>
      <color theme="1"/>
      <name val="Arial"/>
      <family val="2"/>
      <scheme val="minor"/>
    </font>
    <font>
      <b/>
      <sz val="12"/>
      <color theme="4"/>
      <name val="Arial"/>
      <family val="2"/>
      <scheme val="minor"/>
    </font>
    <font>
      <sz val="9"/>
      <color indexed="81"/>
      <name val="Tahoma"/>
      <family val="2"/>
    </font>
    <font>
      <b/>
      <sz val="9"/>
      <color indexed="81"/>
      <name val="Tahoma"/>
      <family val="2"/>
    </font>
    <font>
      <sz val="8"/>
      <color rgb="FF333333"/>
      <name val="Arial"/>
      <family val="2"/>
      <scheme val="minor"/>
    </font>
    <font>
      <sz val="11"/>
      <color rgb="FF333333"/>
      <name val="Arial"/>
      <family val="2"/>
      <scheme val="minor"/>
    </font>
    <font>
      <sz val="10.5"/>
      <color theme="1"/>
      <name val="Arial"/>
      <family val="2"/>
    </font>
  </fonts>
  <fills count="9">
    <fill>
      <patternFill patternType="none"/>
    </fill>
    <fill>
      <patternFill patternType="gray125"/>
    </fill>
    <fill>
      <patternFill patternType="solid">
        <fgColor theme="2"/>
        <bgColor indexed="6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7" tint="0.79998168889431442"/>
        <bgColor indexed="65"/>
      </patternFill>
    </fill>
    <fill>
      <patternFill patternType="darkUp">
        <fgColor theme="5"/>
        <bgColor theme="3" tint="-0.24994659260841701"/>
      </patternFill>
    </fill>
    <fill>
      <patternFill patternType="solid">
        <fgColor theme="3" tint="0.59999389629810485"/>
        <bgColor indexed="64"/>
      </patternFill>
    </fill>
  </fills>
  <borders count="7">
    <border>
      <left/>
      <right/>
      <top/>
      <bottom/>
      <diagonal/>
    </border>
    <border>
      <left/>
      <right/>
      <top/>
      <bottom style="thick">
        <color theme="4"/>
      </bottom>
      <diagonal/>
    </border>
    <border>
      <left/>
      <right/>
      <top style="medium">
        <color theme="0"/>
      </top>
      <bottom style="medium">
        <color theme="0"/>
      </bottom>
      <diagonal/>
    </border>
    <border>
      <left/>
      <right/>
      <top style="thick">
        <color theme="4"/>
      </top>
      <bottom style="medium">
        <color theme="0"/>
      </bottom>
      <diagonal/>
    </border>
    <border>
      <left/>
      <right/>
      <top/>
      <bottom style="medium">
        <color theme="4" tint="0.39997558519241921"/>
      </bottom>
      <diagonal/>
    </border>
    <border>
      <left/>
      <right/>
      <top/>
      <bottom style="thin">
        <color theme="0"/>
      </bottom>
      <diagonal/>
    </border>
    <border>
      <left/>
      <right/>
      <top style="thin">
        <color theme="0"/>
      </top>
      <bottom/>
      <diagonal/>
    </border>
  </borders>
  <cellStyleXfs count="13">
    <xf numFmtId="0" fontId="0" fillId="0" borderId="0">
      <alignment vertical="center" wrapText="1"/>
    </xf>
    <xf numFmtId="0" fontId="1" fillId="0" borderId="0" applyNumberFormat="0" applyFill="0" applyBorder="0" applyAlignment="0" applyProtection="0"/>
    <xf numFmtId="9" fontId="7" fillId="0" borderId="0" applyFont="0" applyFill="0" applyBorder="0" applyAlignment="0" applyProtection="0"/>
    <xf numFmtId="0" fontId="11" fillId="0" borderId="0" applyNumberFormat="0" applyFill="0" applyBorder="0" applyProtection="0">
      <alignment vertical="center"/>
    </xf>
    <xf numFmtId="0" fontId="10" fillId="0" borderId="1" applyNumberFormat="0" applyFill="0" applyProtection="0">
      <alignment vertical="center"/>
    </xf>
    <xf numFmtId="0" fontId="9" fillId="0" borderId="1" applyNumberFormat="0" applyFill="0" applyProtection="0">
      <alignment vertical="center"/>
    </xf>
    <xf numFmtId="0" fontId="20" fillId="0" borderId="0" applyNumberFormat="0" applyFill="0" applyBorder="0" applyProtection="0">
      <alignment vertical="center"/>
    </xf>
    <xf numFmtId="0" fontId="13" fillId="0" borderId="4" applyNumberFormat="0" applyFill="0" applyAlignment="0" applyProtection="0"/>
    <xf numFmtId="0" fontId="14" fillId="3" borderId="0" applyNumberFormat="0" applyBorder="0" applyAlignment="0" applyProtection="0"/>
    <xf numFmtId="0" fontId="7" fillId="4" borderId="0" applyNumberFormat="0" applyBorder="0" applyAlignment="0" applyProtection="0"/>
    <xf numFmtId="0" fontId="14" fillId="5" borderId="0" applyNumberFormat="0" applyBorder="0" applyAlignment="0" applyProtection="0"/>
    <xf numFmtId="0" fontId="7" fillId="6" borderId="0" applyNumberFormat="0" applyBorder="0" applyAlignment="0" applyProtection="0"/>
    <xf numFmtId="0" fontId="1" fillId="0" borderId="0" applyNumberFormat="0" applyFill="0" applyBorder="0" applyAlignment="0" applyProtection="0">
      <alignment vertical="center" wrapText="1"/>
    </xf>
  </cellStyleXfs>
  <cellXfs count="76">
    <xf numFmtId="0" fontId="0" fillId="0" borderId="0" xfId="0">
      <alignment vertical="center" wrapText="1"/>
    </xf>
    <xf numFmtId="0" fontId="2" fillId="0" borderId="0" xfId="0" applyFont="1">
      <alignment vertical="center" wrapText="1"/>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horizontal="center" vertical="top" wrapText="1"/>
    </xf>
    <xf numFmtId="0" fontId="0" fillId="0" borderId="0" xfId="0" applyAlignment="1">
      <alignment horizontal="center" vertical="center" wrapText="1"/>
    </xf>
    <xf numFmtId="0" fontId="11" fillId="0" borderId="0" xfId="3">
      <alignment vertical="center"/>
    </xf>
    <xf numFmtId="9" fontId="0" fillId="0" borderId="0" xfId="2" applyFont="1" applyAlignment="1">
      <alignment horizontal="center" vertical="center" wrapText="1"/>
    </xf>
    <xf numFmtId="0" fontId="0" fillId="0" borderId="0" xfId="0" applyAlignment="1">
      <alignment horizontal="left" vertical="center" wrapText="1"/>
    </xf>
    <xf numFmtId="9" fontId="0" fillId="0" borderId="0" xfId="2" applyFont="1" applyAlignment="1">
      <alignment vertical="center" wrapText="1"/>
    </xf>
    <xf numFmtId="9" fontId="0" fillId="0" borderId="0" xfId="2" applyFont="1"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xf>
    <xf numFmtId="49" fontId="0" fillId="0" borderId="0" xfId="0" applyNumberFormat="1">
      <alignment vertical="center" wrapText="1"/>
    </xf>
    <xf numFmtId="0" fontId="0" fillId="0" borderId="0" xfId="0" applyAlignment="1">
      <alignment horizontal="right" vertical="center"/>
    </xf>
    <xf numFmtId="14" fontId="2" fillId="0" borderId="0" xfId="0" applyNumberFormat="1" applyFont="1" applyAlignment="1">
      <alignment horizontal="left" vertical="center"/>
    </xf>
    <xf numFmtId="0" fontId="12" fillId="0" borderId="0" xfId="0" applyFont="1" applyAlignment="1">
      <alignment horizontal="center" vertical="center" wrapText="1"/>
    </xf>
    <xf numFmtId="9" fontId="12" fillId="0" borderId="0" xfId="0" applyNumberFormat="1" applyFont="1" applyAlignment="1">
      <alignment horizontal="center" vertical="center" wrapText="1"/>
    </xf>
    <xf numFmtId="9" fontId="0" fillId="0" borderId="0" xfId="0" applyNumberFormat="1" applyAlignment="1">
      <alignment horizontal="center" vertical="center" wrapText="1"/>
    </xf>
    <xf numFmtId="9" fontId="12" fillId="0" borderId="0" xfId="2" applyFont="1" applyAlignment="1">
      <alignment horizontal="center" vertical="center" wrapText="1"/>
    </xf>
    <xf numFmtId="1" fontId="12" fillId="0" borderId="0" xfId="2" applyNumberFormat="1" applyFont="1" applyAlignment="1">
      <alignment horizontal="center" vertical="center" wrapText="1"/>
    </xf>
    <xf numFmtId="14" fontId="2" fillId="0" borderId="0" xfId="0" applyNumberFormat="1" applyFont="1" applyAlignment="1">
      <alignment horizontal="right" vertical="center"/>
    </xf>
    <xf numFmtId="10" fontId="0" fillId="0" borderId="0" xfId="2" applyNumberFormat="1" applyFont="1" applyAlignment="1">
      <alignment horizontal="center" vertical="center" wrapText="1"/>
    </xf>
    <xf numFmtId="0" fontId="4" fillId="0" borderId="0" xfId="0" applyFont="1">
      <alignment vertical="center" wrapText="1"/>
    </xf>
    <xf numFmtId="0" fontId="4" fillId="0" borderId="0" xfId="0" applyFont="1" applyAlignment="1">
      <alignment horizontal="left" vertical="top"/>
    </xf>
    <xf numFmtId="0" fontId="16" fillId="0" borderId="0" xfId="0" applyFont="1">
      <alignment vertical="center" wrapText="1"/>
    </xf>
    <xf numFmtId="0" fontId="16" fillId="0" borderId="0" xfId="0" applyFont="1" applyAlignment="1">
      <alignment vertical="center"/>
    </xf>
    <xf numFmtId="0" fontId="16" fillId="0" borderId="0" xfId="0" applyFont="1" applyAlignment="1">
      <alignment horizontal="center" vertical="center" wrapText="1"/>
    </xf>
    <xf numFmtId="0" fontId="17" fillId="0" borderId="0" xfId="0" applyFont="1">
      <alignment vertical="center" wrapText="1"/>
    </xf>
    <xf numFmtId="0" fontId="6" fillId="0" borderId="0" xfId="0" applyFont="1" applyAlignment="1">
      <alignment horizontal="center" vertical="top"/>
    </xf>
    <xf numFmtId="0" fontId="17" fillId="0" borderId="0" xfId="0" applyFont="1" applyAlignment="1">
      <alignment horizontal="center" vertical="center" wrapText="1"/>
    </xf>
    <xf numFmtId="10" fontId="16" fillId="0" borderId="0" xfId="2" applyNumberFormat="1" applyFont="1" applyAlignment="1">
      <alignment horizontal="center" vertical="center" wrapText="1"/>
    </xf>
    <xf numFmtId="0" fontId="5" fillId="0" borderId="0" xfId="0" applyFont="1" applyAlignment="1">
      <alignment horizontal="center" vertical="top"/>
    </xf>
    <xf numFmtId="0" fontId="15" fillId="7" borderId="0" xfId="0" applyFont="1" applyFill="1" applyAlignment="1">
      <alignment horizontal="center" vertical="center" wrapText="1"/>
    </xf>
    <xf numFmtId="0" fontId="15" fillId="7" borderId="0" xfId="0" applyFont="1" applyFill="1" applyAlignment="1">
      <alignment horizontal="left" vertical="center" wrapText="1"/>
    </xf>
    <xf numFmtId="0" fontId="20" fillId="0" borderId="0" xfId="6" applyAlignment="1">
      <alignment horizontal="left" vertical="center"/>
    </xf>
    <xf numFmtId="0" fontId="17" fillId="0" borderId="0" xfId="0" applyFont="1" applyAlignment="1">
      <alignment horizontal="left" vertical="center" wrapText="1" indent="1"/>
    </xf>
    <xf numFmtId="0" fontId="18" fillId="0" borderId="0" xfId="0" applyFont="1" applyAlignment="1">
      <alignment horizontal="right" vertical="center"/>
    </xf>
    <xf numFmtId="0" fontId="19" fillId="0" borderId="0" xfId="0" applyFont="1" applyAlignment="1">
      <alignment horizontal="left" vertical="center"/>
    </xf>
    <xf numFmtId="0" fontId="18" fillId="0" borderId="0" xfId="0" applyFont="1">
      <alignment vertical="center" wrapText="1"/>
    </xf>
    <xf numFmtId="0" fontId="18" fillId="0" borderId="0" xfId="0" applyFont="1" applyAlignment="1">
      <alignment horizontal="left" vertical="center"/>
    </xf>
    <xf numFmtId="0" fontId="0" fillId="8" borderId="0" xfId="0" applyFill="1">
      <alignment vertical="center" wrapText="1"/>
    </xf>
    <xf numFmtId="0" fontId="0" fillId="8" borderId="0" xfId="0" applyFill="1" applyAlignment="1">
      <alignment horizontal="center" vertical="center" wrapText="1"/>
    </xf>
    <xf numFmtId="0" fontId="2" fillId="8" borderId="0" xfId="0" applyFont="1" applyFill="1" applyAlignment="1">
      <alignment horizontal="left" vertical="center" wrapText="1"/>
    </xf>
    <xf numFmtId="0" fontId="2" fillId="0" borderId="0" xfId="0" applyFont="1" applyAlignment="1">
      <alignment horizontal="left" vertical="center" wrapText="1"/>
    </xf>
    <xf numFmtId="14" fontId="19" fillId="0" borderId="0" xfId="0" applyNumberFormat="1" applyFont="1" applyAlignment="1">
      <alignment horizontal="right" vertical="center"/>
    </xf>
    <xf numFmtId="3" fontId="16" fillId="0" borderId="0" xfId="0" applyNumberFormat="1" applyFont="1">
      <alignment vertical="center" wrapText="1"/>
    </xf>
    <xf numFmtId="0" fontId="1" fillId="0" borderId="0" xfId="12">
      <alignment vertical="center" wrapText="1"/>
    </xf>
    <xf numFmtId="0" fontId="11" fillId="0" borderId="0" xfId="3" applyProtection="1">
      <alignment vertical="center"/>
    </xf>
    <xf numFmtId="0" fontId="20" fillId="0" borderId="0" xfId="6" applyProtection="1">
      <alignment vertical="center"/>
    </xf>
    <xf numFmtId="0" fontId="9" fillId="0" borderId="1" xfId="5" applyProtection="1">
      <alignment vertical="center"/>
    </xf>
    <xf numFmtId="0" fontId="0" fillId="2" borderId="3" xfId="0" applyFill="1" applyBorder="1" applyAlignment="1">
      <alignment vertical="center"/>
    </xf>
    <xf numFmtId="0" fontId="0" fillId="2" borderId="2" xfId="0" applyFill="1" applyBorder="1" applyAlignment="1">
      <alignment vertical="center"/>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1" fontId="8" fillId="2" borderId="2" xfId="0" applyNumberFormat="1" applyFont="1" applyFill="1" applyBorder="1" applyAlignment="1" applyProtection="1">
      <alignment horizontal="left" vertical="center"/>
      <protection locked="0"/>
    </xf>
    <xf numFmtId="14" fontId="8" fillId="2" borderId="2" xfId="0" applyNumberFormat="1" applyFont="1" applyFill="1" applyBorder="1" applyAlignment="1" applyProtection="1">
      <alignment horizontal="left" vertical="center"/>
      <protection locked="0"/>
    </xf>
    <xf numFmtId="1" fontId="8" fillId="2" borderId="2" xfId="0" applyNumberFormat="1" applyFont="1" applyFill="1" applyBorder="1" applyAlignment="1">
      <alignment horizontal="left" vertical="center"/>
    </xf>
    <xf numFmtId="49" fontId="8" fillId="2" borderId="2" xfId="0" applyNumberFormat="1" applyFont="1" applyFill="1" applyBorder="1" applyAlignment="1" applyProtection="1">
      <alignment vertical="center"/>
      <protection locked="0"/>
    </xf>
    <xf numFmtId="49" fontId="2" fillId="2" borderId="3" xfId="0" applyNumberFormat="1" applyFont="1" applyFill="1" applyBorder="1" applyAlignment="1" applyProtection="1">
      <alignment vertical="center"/>
      <protection locked="0"/>
    </xf>
    <xf numFmtId="0" fontId="23" fillId="0" borderId="0" xfId="0" applyFont="1">
      <alignment vertical="center" wrapText="1"/>
    </xf>
    <xf numFmtId="0" fontId="24" fillId="0" borderId="0" xfId="0" applyFont="1">
      <alignment vertical="center" wrapText="1"/>
    </xf>
    <xf numFmtId="0" fontId="25" fillId="0" borderId="0" xfId="0" applyFont="1">
      <alignment vertical="center" wrapText="1"/>
    </xf>
    <xf numFmtId="0" fontId="16" fillId="0" borderId="0" xfId="0" applyFont="1" applyAlignment="1">
      <alignment horizontal="left" vertical="center" wrapText="1" indent="1"/>
    </xf>
    <xf numFmtId="0" fontId="18" fillId="6" borderId="6" xfId="11" applyFont="1" applyBorder="1" applyAlignment="1">
      <alignment horizontal="left" vertical="center" wrapText="1"/>
    </xf>
    <xf numFmtId="0" fontId="18" fillId="6" borderId="0" xfId="11" applyFont="1" applyBorder="1" applyAlignment="1">
      <alignment horizontal="left" vertical="center" wrapText="1"/>
    </xf>
    <xf numFmtId="0" fontId="18" fillId="6" borderId="5" xfId="11" applyFont="1" applyBorder="1" applyAlignment="1">
      <alignment horizontal="left" vertical="center" wrapText="1"/>
    </xf>
    <xf numFmtId="0" fontId="0" fillId="0" borderId="0" xfId="0" applyAlignment="1">
      <alignment horizontal="left" vertical="center" wrapText="1"/>
    </xf>
    <xf numFmtId="0" fontId="13" fillId="0" borderId="4" xfId="7" applyAlignment="1">
      <alignment horizontal="left" vertical="center"/>
    </xf>
    <xf numFmtId="0" fontId="13" fillId="0" borderId="4" xfId="7" applyAlignment="1">
      <alignment horizontal="left" vertical="center" wrapText="1"/>
    </xf>
    <xf numFmtId="0" fontId="3" fillId="3" borderId="5" xfId="8" applyFont="1" applyBorder="1" applyAlignment="1">
      <alignment horizontal="left" vertical="center" wrapText="1"/>
    </xf>
    <xf numFmtId="0" fontId="18" fillId="4" borderId="6" xfId="9" applyFont="1" applyBorder="1" applyAlignment="1">
      <alignment horizontal="left" vertical="center" wrapText="1"/>
    </xf>
    <xf numFmtId="0" fontId="18" fillId="4" borderId="0" xfId="9" applyFont="1" applyBorder="1" applyAlignment="1">
      <alignment horizontal="left" vertical="center" wrapText="1"/>
    </xf>
    <xf numFmtId="0" fontId="18" fillId="4" borderId="5" xfId="9" applyFont="1" applyBorder="1" applyAlignment="1">
      <alignment horizontal="left" vertical="center" wrapText="1"/>
    </xf>
    <xf numFmtId="0" fontId="3" fillId="5" borderId="5" xfId="10" applyFont="1" applyBorder="1" applyAlignment="1">
      <alignment horizontal="left" vertical="center" wrapText="1"/>
    </xf>
  </cellXfs>
  <cellStyles count="13">
    <cellStyle name="20% - Énfasis2" xfId="9" builtinId="34"/>
    <cellStyle name="20% - Énfasis4" xfId="11" builtinId="42"/>
    <cellStyle name="Encabezado 1" xfId="4" builtinId="16" customBuiltin="1"/>
    <cellStyle name="Encabezado 4" xfId="6" builtinId="19" customBuiltin="1"/>
    <cellStyle name="Énfasis2" xfId="8" builtinId="33"/>
    <cellStyle name="Énfasis4" xfId="10" builtinId="41"/>
    <cellStyle name="Hipervínculo" xfId="12" builtinId="8"/>
    <cellStyle name="Hyperlink" xfId="1"/>
    <cellStyle name="Normal" xfId="0" builtinId="0" customBuiltin="1"/>
    <cellStyle name="Porcentaje" xfId="2" builtinId="5"/>
    <cellStyle name="Título" xfId="3" builtinId="15" customBuiltin="1"/>
    <cellStyle name="Título 2" xfId="5" builtinId="17" customBuiltin="1"/>
    <cellStyle name="Título 3" xfId="7" builtinId="18"/>
  </cellStyles>
  <dxfs count="278">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Arial"/>
        <scheme val="minor"/>
      </font>
    </dxf>
    <dxf>
      <alignment horizontal="center" vertical="center" textRotation="0" wrapText="1" indent="0" justifyLastLine="0" shrinkToFit="0" readingOrder="0"/>
    </dxf>
    <dxf>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8"/>
        <color theme="1"/>
        <name val="Arial"/>
        <scheme val="minor"/>
      </font>
      <alignment horizontal="general" vertical="center" textRotation="0" wrapText="0" indent="0" justifyLastLine="0" shrinkToFit="0" readingOrder="0"/>
    </dxf>
    <dxf>
      <font>
        <strike val="0"/>
        <outline val="0"/>
        <shadow val="0"/>
        <u val="none"/>
        <vertAlign val="baseline"/>
        <sz val="8"/>
        <color theme="1"/>
        <name val="Arial"/>
        <scheme val="minor"/>
      </font>
      <alignment textRotation="0" wrapText="0" indent="0" justifyLastLine="0" shrinkToFit="0" readingOrder="0"/>
    </dxf>
    <dxf>
      <font>
        <b val="0"/>
        <i val="0"/>
        <strike val="0"/>
        <condense val="0"/>
        <extend val="0"/>
        <outline val="0"/>
        <shadow val="0"/>
        <u val="none"/>
        <vertAlign val="baseline"/>
        <sz val="8"/>
        <color theme="1"/>
        <name val="Arial"/>
        <scheme val="minor"/>
      </font>
      <alignment horizontal="general" vertical="center" textRotation="0" wrapText="0" indent="0" justifyLastLine="0" shrinkToFit="0" readingOrder="0"/>
    </dxf>
    <dxf>
      <font>
        <strike val="0"/>
        <outline val="0"/>
        <shadow val="0"/>
        <u val="none"/>
        <vertAlign val="baseline"/>
        <sz val="8"/>
        <color theme="1"/>
        <name val="Arial"/>
        <scheme val="minor"/>
      </font>
      <alignment textRotation="0" wrapText="0" indent="0" justifyLastLine="0" shrinkToFit="0" readingOrder="0"/>
    </dxf>
    <dxf>
      <font>
        <b val="0"/>
        <i val="0"/>
        <strike val="0"/>
        <condense val="0"/>
        <extend val="0"/>
        <outline val="0"/>
        <shadow val="0"/>
        <u val="none"/>
        <vertAlign val="baseline"/>
        <sz val="8"/>
        <color theme="1"/>
        <name val="Arial"/>
        <scheme val="minor"/>
      </font>
      <alignment horizontal="general" vertical="center" textRotation="0" wrapText="0" indent="0" justifyLastLine="0" shrinkToFit="0" readingOrder="0"/>
    </dxf>
    <dxf>
      <font>
        <strike val="0"/>
        <outline val="0"/>
        <shadow val="0"/>
        <u val="none"/>
        <vertAlign val="baseline"/>
        <sz val="8"/>
        <color theme="1"/>
        <name val="Arial"/>
        <scheme val="minor"/>
      </font>
      <alignment textRotation="0" wrapText="0" indent="0" justifyLastLine="0" shrinkToFit="0" readingOrder="0"/>
    </dxf>
    <dxf>
      <font>
        <b val="0"/>
        <i val="0"/>
        <strike val="0"/>
        <condense val="0"/>
        <extend val="0"/>
        <outline val="0"/>
        <shadow val="0"/>
        <u val="none"/>
        <vertAlign val="baseline"/>
        <sz val="8"/>
        <color theme="1"/>
        <name val="Arial"/>
        <scheme val="minor"/>
      </font>
      <alignment horizontal="general" vertical="center" textRotation="0" wrapText="0" indent="0" justifyLastLine="0" shrinkToFit="0" readingOrder="0"/>
    </dxf>
    <dxf>
      <font>
        <strike val="0"/>
        <outline val="0"/>
        <shadow val="0"/>
        <u val="none"/>
        <vertAlign val="baseline"/>
        <sz val="8"/>
        <color theme="1"/>
        <name val="Arial"/>
        <scheme val="minor"/>
      </font>
      <alignment textRotation="0" wrapText="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numFmt numFmtId="3" formatCode="#,##0"/>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numFmt numFmtId="14" formatCode="0.00%"/>
      <alignment horizontal="center" textRotation="0" wrapText="1" indent="0" justifyLastLine="0" shrinkToFit="0" readingOrder="0"/>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dxf>
    <dxf>
      <font>
        <b/>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b/>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strike val="0"/>
        <outline val="0"/>
        <shadow val="0"/>
        <u val="none"/>
        <vertAlign val="baseline"/>
        <sz val="8"/>
        <color theme="1"/>
        <name val="Arial"/>
        <scheme val="minor"/>
      </font>
    </dxf>
    <dxf>
      <font>
        <strike val="0"/>
        <outline val="0"/>
        <shadow val="0"/>
        <u val="none"/>
        <vertAlign val="baseline"/>
        <sz val="8"/>
        <color theme="1"/>
        <name val="Arial"/>
        <scheme val="minor"/>
      </font>
    </dxf>
    <dxf>
      <font>
        <strike val="0"/>
        <outline val="0"/>
        <shadow val="0"/>
        <u val="none"/>
        <vertAlign val="baseline"/>
        <sz val="8"/>
        <color theme="1"/>
        <name val="Arial"/>
        <scheme val="minor"/>
      </font>
    </dxf>
    <dxf>
      <font>
        <b/>
        <i val="0"/>
        <color rgb="FFC00000"/>
      </font>
    </dxf>
    <dxf>
      <font>
        <b/>
        <i val="0"/>
        <color theme="9" tint="-0.24994659260841701"/>
      </font>
    </dxf>
    <dxf>
      <font>
        <b/>
        <i val="0"/>
        <color theme="5"/>
      </font>
    </dxf>
    <dxf>
      <fill>
        <patternFill patternType="darkUp">
          <fgColor theme="5" tint="0.59996337778862885"/>
        </patternFill>
      </fill>
    </dxf>
    <dxf>
      <fill>
        <patternFill patternType="darkUp">
          <fgColor theme="9" tint="0.39994506668294322"/>
        </patternFill>
      </fill>
    </dxf>
    <dxf>
      <fill>
        <patternFill patternType="darkUp">
          <fgColor theme="8" tint="0.39994506668294322"/>
        </patternFill>
      </fill>
    </dxf>
    <dxf>
      <fill>
        <patternFill patternType="darkUp">
          <fgColor theme="7" tint="0.59996337778862885"/>
        </patternFill>
      </fill>
    </dxf>
    <dxf>
      <fill>
        <patternFill patternType="darkUp">
          <fgColor theme="6" tint="0.59996337778862885"/>
        </patternFill>
      </fill>
    </dxf>
    <dxf>
      <fill>
        <patternFill patternType="darkUp">
          <fgColor theme="1" tint="0.499984740745262"/>
        </patternFill>
      </fill>
    </dxf>
    <dxf>
      <fill>
        <patternFill patternType="darkUp">
          <fgColor theme="1" tint="0.499984740745262"/>
        </patternFill>
      </fill>
    </dxf>
    <dxf>
      <fill>
        <patternFill patternType="darkUp">
          <fgColor theme="6" tint="-0.24994659260841701"/>
        </patternFill>
      </fill>
    </dxf>
    <dxf>
      <alignment horizontal="center" vertical="center" textRotation="0" wrapText="1" indent="0" justifyLastLine="0" shrinkToFit="0" readingOrder="0"/>
    </dxf>
    <dxf>
      <numFmt numFmtId="0" formatCode="General"/>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dxf>
    <dxf>
      <numFmt numFmtId="0" formatCode="General"/>
    </dxf>
    <dxf>
      <font>
        <b/>
      </font>
      <numFmt numFmtId="0" formatCode="General"/>
      <alignment horizontal="left"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dxf>
    <dxf>
      <numFmt numFmtId="0" formatCode="General"/>
    </dxf>
    <dxf>
      <numFmt numFmtId="0" formatCode="General"/>
    </dxf>
    <dxf>
      <fill>
        <patternFill patternType="solid">
          <fgColor indexed="64"/>
          <bgColor theme="3"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color theme="7" tint="-0.24994659260841701"/>
      </font>
      <fill>
        <patternFill patternType="darkUp">
          <fgColor theme="7" tint="0.79998168889431442"/>
        </patternFill>
      </fill>
    </dxf>
    <dxf>
      <font>
        <b/>
        <i val="0"/>
        <color theme="5" tint="0.79998168889431442"/>
      </font>
      <fill>
        <patternFill patternType="darkUp">
          <fgColor theme="5" tint="-0.24994659260841701"/>
          <bgColor theme="5"/>
        </patternFill>
      </fill>
      <border>
        <left style="thin">
          <color theme="0"/>
        </left>
        <right style="thin">
          <color theme="0"/>
        </right>
        <top style="thin">
          <color theme="0"/>
        </top>
        <bottom style="thin">
          <color theme="0"/>
        </bottom>
      </border>
    </dxf>
    <dxf>
      <font>
        <b/>
        <i val="0"/>
        <color theme="9" tint="-0.499984740745262"/>
      </font>
      <fill>
        <patternFill patternType="darkUp">
          <fgColor theme="9" tint="-0.24994659260841701"/>
          <bgColor theme="9"/>
        </patternFill>
      </fill>
      <border>
        <left style="thin">
          <color theme="0"/>
        </left>
        <right style="thin">
          <color theme="0"/>
        </right>
        <top style="thin">
          <color theme="0"/>
        </top>
        <bottom style="thin">
          <color theme="0"/>
        </bottom>
      </border>
    </dxf>
    <dxf>
      <font>
        <b/>
        <i val="0"/>
        <color theme="7" tint="0.79998168889431442"/>
      </font>
      <fill>
        <patternFill patternType="darkUp">
          <fgColor theme="7"/>
          <bgColor theme="7" tint="0.39994506668294322"/>
        </patternFill>
      </fill>
      <border>
        <left style="thin">
          <color theme="0"/>
        </left>
        <right style="thin">
          <color theme="0"/>
        </right>
        <top style="thin">
          <color theme="0"/>
        </top>
        <bottom style="thin">
          <color theme="0"/>
        </bottom>
      </border>
    </dxf>
    <dxf>
      <font>
        <b/>
        <i val="0"/>
        <color theme="4" tint="0.79998168889431442"/>
      </font>
      <fill>
        <patternFill patternType="darkUp">
          <fgColor theme="4" tint="-0.24994659260841701"/>
          <bgColor theme="4" tint="0.39994506668294322"/>
        </patternFill>
      </fill>
      <border>
        <left style="thin">
          <color theme="0"/>
        </left>
        <right style="thin">
          <color theme="0"/>
        </right>
        <top style="thin">
          <color theme="0"/>
        </top>
        <bottom style="thin">
          <color theme="0"/>
        </bottom>
      </border>
    </dxf>
    <dxf>
      <font>
        <b/>
        <i val="0"/>
        <color theme="6" tint="0.79998168889431442"/>
      </font>
      <fill>
        <patternFill patternType="darkUp">
          <fgColor rgb="FF7030A0"/>
          <bgColor theme="6" tint="0.39994506668294322"/>
        </patternFill>
      </fill>
      <border>
        <left style="thin">
          <color theme="0"/>
        </left>
        <right style="thin">
          <color theme="0"/>
        </right>
        <top style="thin">
          <color theme="0"/>
        </top>
        <bottom style="thin">
          <color theme="0"/>
        </bottom>
      </border>
    </dxf>
    <dxf>
      <font>
        <b/>
        <i val="0"/>
        <color theme="5"/>
      </font>
      <fill>
        <patternFill patternType="darkUp">
          <fgColor theme="5" tint="0.59996337778862885"/>
        </patternFill>
      </fill>
      <border>
        <left style="thin">
          <color theme="0"/>
        </left>
        <right style="thin">
          <color theme="0"/>
        </right>
      </border>
    </dxf>
    <dxf>
      <font>
        <b/>
        <i val="0"/>
        <color theme="7"/>
      </font>
      <fill>
        <patternFill patternType="darkUp">
          <fgColor theme="7" tint="0.79998168889431442"/>
        </patternFill>
      </fill>
      <border>
        <left style="thin">
          <color theme="0"/>
        </left>
        <right style="thin">
          <color theme="0"/>
        </right>
      </border>
    </dxf>
    <dxf>
      <font>
        <b/>
        <i val="0"/>
        <color theme="4"/>
      </font>
      <fill>
        <patternFill patternType="darkUp">
          <fgColor theme="4" tint="0.79998168889431442"/>
        </patternFill>
      </fill>
      <border>
        <left style="thin">
          <color theme="0"/>
        </left>
        <right style="thin">
          <color theme="0"/>
        </right>
      </border>
    </dxf>
    <dxf>
      <border>
        <top style="thin">
          <color theme="3"/>
        </top>
        <bottom style="thin">
          <color theme="3"/>
        </bottom>
        <vertical/>
        <horizontal/>
      </border>
    </dxf>
    <dxf>
      <border>
        <bottom style="thin">
          <color theme="3"/>
        </bottom>
        <vertical/>
        <horizontal/>
      </border>
    </dxf>
    <dxf>
      <border>
        <top style="thin">
          <color theme="3"/>
        </top>
        <bottom style="thin">
          <color theme="3"/>
        </bottom>
        <vertical/>
        <horizontal/>
      </border>
    </dxf>
    <dxf>
      <fill>
        <patternFill>
          <bgColor theme="3" tint="0.79998168889431442"/>
        </patternFill>
      </fill>
      <border>
        <top style="thin">
          <color theme="3"/>
        </top>
        <bottom style="thin">
          <color theme="3"/>
        </bottom>
        <vertical/>
        <horizontal/>
      </border>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4" formatCode="0.0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0" formatCode="General"/>
      <alignment horizontal="general" vertical="center" textRotation="0" wrapText="1" indent="0" justifyLastLine="0" shrinkToFit="0" readingOrder="0"/>
    </dxf>
    <dxf>
      <numFmt numFmtId="13" formatCode="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left" vertical="center" textRotation="0" wrapText="1" indent="0" justifyLastLine="0" shrinkToFit="0" readingOrder="0"/>
      <protection locked="0" hidden="0"/>
    </dxf>
    <dxf>
      <numFmt numFmtId="0" formatCode="General"/>
      <alignment horizontal="center" vertical="center" textRotation="0" wrapText="1" indent="0" justifyLastLine="0" shrinkToFit="0" readingOrder="0"/>
      <protection locked="0" hidden="0"/>
    </dxf>
    <dxf>
      <numFmt numFmtId="0" formatCode="General"/>
      <alignment horizontal="center" vertical="center" textRotation="0" wrapText="1" indent="0" justifyLastLine="0" shrinkToFit="0" readingOrder="0"/>
      <protection locked="0" hidden="0"/>
    </dxf>
    <dxf>
      <numFmt numFmtId="0" formatCode="General"/>
      <alignment horizontal="center" vertical="center" textRotation="0" wrapText="1" indent="0" justifyLastLine="0" shrinkToFit="0" readingOrder="0"/>
    </dxf>
    <dxf>
      <numFmt numFmtId="0" formatCode="General"/>
    </dxf>
    <dxf>
      <numFmt numFmtId="0" formatCode="General"/>
    </dxf>
    <dxf>
      <font>
        <b/>
      </font>
      <numFmt numFmtId="0" formatCode="General"/>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i val="0"/>
        <color theme="5" tint="0.79998168889431442"/>
      </font>
      <fill>
        <patternFill patternType="darkUp">
          <fgColor theme="5" tint="-0.24994659260841701"/>
          <bgColor theme="5"/>
        </patternFill>
      </fill>
    </dxf>
    <dxf>
      <font>
        <b/>
        <i val="0"/>
        <color theme="9" tint="-0.499984740745262"/>
      </font>
      <fill>
        <patternFill patternType="darkUp">
          <fgColor theme="9" tint="-0.24994659260841701"/>
          <bgColor theme="9"/>
        </patternFill>
      </fill>
    </dxf>
    <dxf>
      <font>
        <b/>
        <i val="0"/>
        <color theme="7" tint="0.79998168889431442"/>
      </font>
      <fill>
        <patternFill patternType="darkUp">
          <fgColor theme="7"/>
          <bgColor theme="7" tint="0.39994506668294322"/>
        </patternFill>
      </fill>
    </dxf>
    <dxf>
      <font>
        <b/>
        <i val="0"/>
        <color theme="6" tint="0.79998168889431442"/>
      </font>
      <fill>
        <patternFill patternType="darkUp">
          <fgColor rgb="FF7030A0"/>
          <bgColor theme="6" tint="0.39994506668294322"/>
        </patternFill>
      </fill>
    </dxf>
    <dxf>
      <font>
        <b/>
        <i val="0"/>
        <color theme="0"/>
      </font>
      <fill>
        <patternFill patternType="darkUp">
          <fgColor theme="6" tint="-0.24994659260841701"/>
        </patternFill>
      </fill>
    </dxf>
    <dxf>
      <font>
        <b/>
        <i val="0"/>
        <color theme="5"/>
      </font>
      <fill>
        <patternFill patternType="darkUp">
          <fgColor theme="5" tint="0.59996337778862885"/>
        </patternFill>
      </fill>
    </dxf>
    <dxf>
      <font>
        <b/>
        <i val="0"/>
        <color theme="7"/>
      </font>
      <fill>
        <patternFill patternType="darkUp">
          <fgColor theme="7" tint="0.79998168889431442"/>
        </patternFill>
      </fill>
    </dxf>
    <dxf>
      <font>
        <b/>
        <i val="0"/>
        <color theme="4"/>
      </font>
      <fill>
        <patternFill patternType="darkUp">
          <fgColor theme="4" tint="0.79998168889431442"/>
        </patternFill>
      </fill>
    </dxf>
    <dxf>
      <font>
        <b/>
        <i val="0"/>
        <color theme="0"/>
      </font>
      <fill>
        <patternFill patternType="darkUp">
          <fgColor theme="6" tint="-0.24994659260841701"/>
        </patternFill>
      </fill>
    </dxf>
    <dxf>
      <font>
        <b/>
        <i val="0"/>
        <color theme="0"/>
      </font>
      <fill>
        <patternFill patternType="darkUp">
          <fgColor theme="6" tint="-0.24994659260841701"/>
        </patternFill>
      </fill>
    </dxf>
    <dxf>
      <font>
        <color theme="3" tint="0.39994506668294322"/>
      </font>
      <fill>
        <patternFill patternType="darkUp">
          <fgColor theme="6" tint="0.7999816888943144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ill>
        <patternFill>
          <bgColor theme="2" tint="-0.24994659260841701"/>
        </patternFill>
      </fill>
    </dxf>
    <dxf>
      <fill>
        <patternFill patternType="solid">
          <fgColor theme="0" tint="-0.34998626667073579"/>
          <bgColor theme="2" tint="-9.9948118533890809E-2"/>
        </patternFill>
      </fill>
    </dxf>
    <dxf>
      <font>
        <b/>
        <color theme="0"/>
      </font>
      <fill>
        <patternFill>
          <bgColor theme="3"/>
        </patternFill>
      </fill>
    </dxf>
    <dxf>
      <font>
        <b/>
        <color theme="0"/>
      </font>
      <fill>
        <patternFill>
          <bgColor theme="3"/>
        </patternFill>
      </fill>
    </dxf>
    <dxf>
      <font>
        <b/>
        <color theme="0"/>
      </font>
      <fill>
        <patternFill>
          <bgColor theme="3"/>
        </patternFill>
      </fill>
      <border>
        <top style="thick">
          <color theme="0"/>
        </top>
      </border>
    </dxf>
    <dxf>
      <font>
        <b/>
        <color theme="0"/>
      </font>
      <fill>
        <patternFill patternType="solid">
          <fgColor theme="1"/>
          <bgColor theme="3" tint="-0.24994659260841701"/>
        </patternFill>
      </fill>
      <border>
        <bottom style="thick">
          <color theme="0"/>
        </bottom>
      </border>
    </dxf>
    <dxf>
      <font>
        <color theme="1"/>
      </font>
      <fill>
        <patternFill patternType="solid">
          <fgColor theme="0" tint="-0.14996795556505021"/>
          <bgColor theme="2"/>
        </patternFill>
      </fill>
      <border>
        <vertical style="medium">
          <color theme="0"/>
        </vertical>
        <horizontal style="medium">
          <color theme="0"/>
        </horizontal>
      </border>
    </dxf>
  </dxfs>
  <tableStyles count="1" defaultTableStyle="TableStyleMedium2" defaultPivotStyle="PivotStyleLight16">
    <tableStyle name="TableStyleMedium8 2" pivot="0" count="7">
      <tableStyleElement type="wholeTable" dxfId="277"/>
      <tableStyleElement type="headerRow" dxfId="276"/>
      <tableStyleElement type="totalRow" dxfId="275"/>
      <tableStyleElement type="firstColumn" dxfId="274"/>
      <tableStyleElement type="lastColumn" dxfId="273"/>
      <tableStyleElement type="firstRowStripe" dxfId="272"/>
      <tableStyleElement type="firstColumnStripe" dxfId="271"/>
    </tableStyle>
  </tableStyles>
  <colors>
    <mruColors>
      <color rgb="FFB1DFBD"/>
      <color rgb="FFFF5050"/>
      <color rgb="FFF7743F"/>
      <color rgb="FFFFF0A3"/>
      <color rgb="FFFA8F90"/>
      <color rgb="FF8ACF9C"/>
      <color rgb="FFFFF5C2"/>
      <color rgb="FFFCB4B5"/>
      <color rgb="FFF8696B"/>
      <color rgb="FFFFEB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doughnutChart>
        <c:varyColors val="1"/>
        <c:ser>
          <c:idx val="0"/>
          <c:order val="0"/>
          <c:tx>
            <c:strRef>
              <c:f>'4_Resultats'!$F$40</c:f>
              <c:strCache>
                <c:ptCount val="1"/>
                <c:pt idx="0">
                  <c:v>Contingut</c:v>
                </c:pt>
              </c:strCache>
            </c:strRef>
          </c:tx>
          <c:dPt>
            <c:idx val="0"/>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1-6BB7-4DA2-A241-F33E95DF18B2}"/>
              </c:ext>
            </c:extLst>
          </c:dPt>
          <c:dPt>
            <c:idx val="1"/>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3-6BB7-4DA2-A241-F33E95DF18B2}"/>
              </c:ext>
            </c:extLst>
          </c:dPt>
          <c:val>
            <c:numRef>
              <c:f>'4_Resultats'!$F$41:$F$42</c:f>
              <c:numCache>
                <c:formatCode>0%</c:formatCode>
                <c:ptCount val="2"/>
                <c:pt idx="0">
                  <c:v>0.93835616438356162</c:v>
                </c:pt>
                <c:pt idx="1">
                  <c:v>6.1643835616438353E-2</c:v>
                </c:pt>
              </c:numCache>
            </c:numRef>
          </c:val>
          <c:extLst>
            <c:ext xmlns:c16="http://schemas.microsoft.com/office/drawing/2014/chart" uri="{C3380CC4-5D6E-409C-BE32-E72D297353CC}">
              <c16:uniqueId val="{00000004-6BB7-4DA2-A241-F33E95DF18B2}"/>
            </c:ext>
          </c:extLst>
        </c:ser>
        <c:dLbls>
          <c:showLegendKey val="0"/>
          <c:showVal val="0"/>
          <c:showCatName val="0"/>
          <c:showSerName val="0"/>
          <c:showPercent val="0"/>
          <c:showBubbleSize val="0"/>
          <c:showLeaderLines val="1"/>
        </c:dLbls>
        <c:firstSliceAng val="0"/>
        <c:holeSize val="7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doughnutChart>
        <c:varyColors val="1"/>
        <c:ser>
          <c:idx val="0"/>
          <c:order val="0"/>
          <c:tx>
            <c:strRef>
              <c:f>'4_Resultats'!$G$40</c:f>
              <c:strCache>
                <c:ptCount val="1"/>
                <c:pt idx="0">
                  <c:v>Actualització</c:v>
                </c:pt>
              </c:strCache>
            </c:strRef>
          </c:tx>
          <c:dPt>
            <c:idx val="0"/>
            <c:bubble3D val="0"/>
            <c:spPr>
              <a:solidFill>
                <a:schemeClr val="accent3">
                  <a:shade val="76000"/>
                </a:schemeClr>
              </a:solidFill>
              <a:ln w="19050">
                <a:solidFill>
                  <a:schemeClr val="lt1"/>
                </a:solidFill>
              </a:ln>
              <a:effectLst/>
            </c:spPr>
            <c:extLst>
              <c:ext xmlns:c16="http://schemas.microsoft.com/office/drawing/2014/chart" uri="{C3380CC4-5D6E-409C-BE32-E72D297353CC}">
                <c16:uniqueId val="{00000001-31C0-4175-9160-9DF02161CA99}"/>
              </c:ext>
            </c:extLst>
          </c:dPt>
          <c:dPt>
            <c:idx val="1"/>
            <c:bubble3D val="0"/>
            <c:spPr>
              <a:solidFill>
                <a:schemeClr val="accent3">
                  <a:tint val="77000"/>
                </a:schemeClr>
              </a:solidFill>
              <a:ln w="19050">
                <a:solidFill>
                  <a:schemeClr val="lt1"/>
                </a:solidFill>
              </a:ln>
              <a:effectLst/>
            </c:spPr>
            <c:extLst>
              <c:ext xmlns:c16="http://schemas.microsoft.com/office/drawing/2014/chart" uri="{C3380CC4-5D6E-409C-BE32-E72D297353CC}">
                <c16:uniqueId val="{00000003-31C0-4175-9160-9DF02161CA99}"/>
              </c:ext>
            </c:extLst>
          </c:dPt>
          <c:val>
            <c:numRef>
              <c:f>'4_Resultats'!$G$41:$G$42</c:f>
              <c:numCache>
                <c:formatCode>0%</c:formatCode>
                <c:ptCount val="2"/>
                <c:pt idx="0">
                  <c:v>0.9178082191780822</c:v>
                </c:pt>
                <c:pt idx="1">
                  <c:v>8.2191780821917804E-2</c:v>
                </c:pt>
              </c:numCache>
            </c:numRef>
          </c:val>
          <c:extLst>
            <c:ext xmlns:c16="http://schemas.microsoft.com/office/drawing/2014/chart" uri="{C3380CC4-5D6E-409C-BE32-E72D297353CC}">
              <c16:uniqueId val="{00000004-31C0-4175-9160-9DF02161CA99}"/>
            </c:ext>
          </c:extLst>
        </c:ser>
        <c:dLbls>
          <c:showLegendKey val="0"/>
          <c:showVal val="0"/>
          <c:showCatName val="0"/>
          <c:showSerName val="0"/>
          <c:showPercent val="0"/>
          <c:showBubbleSize val="0"/>
          <c:showLeaderLines val="1"/>
        </c:dLbls>
        <c:firstSliceAng val="0"/>
        <c:holeSize val="7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t>
            </a:r>
            <a:r>
              <a:rPr lang="en-US" baseline="0"/>
              <a:t> de c</a:t>
            </a:r>
            <a:r>
              <a:rPr lang="en-US"/>
              <a:t>ompliment per famílies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bar"/>
        <c:grouping val="clustered"/>
        <c:varyColors val="1"/>
        <c:ser>
          <c:idx val="0"/>
          <c:order val="0"/>
          <c:tx>
            <c:strRef>
              <c:f>'4_Resultats'!$L$23</c:f>
              <c:strCache>
                <c:ptCount val="1"/>
                <c:pt idx="0">
                  <c:v>% compliment</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398-4F87-8E89-0C7ABD55C360}"/>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7D7-4F5B-A49A-85D866F434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7D7-4F5B-A49A-85D866F434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7D7-4F5B-A49A-85D866F43411}"/>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87D7-4F5B-A49A-85D866F43411}"/>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94FD-4D7C-8EAF-5F9CA9EFA0B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[0]!Graf7_Families</c:f>
              <c:strCache>
                <c:ptCount val="6"/>
                <c:pt idx="0">
                  <c:v>Informació institucional i organitzativa</c:v>
                </c:pt>
                <c:pt idx="1">
                  <c:v>Acció de govern i normativa</c:v>
                </c:pt>
                <c:pt idx="2">
                  <c:v>Contractes, convenis i subvencions</c:v>
                </c:pt>
                <c:pt idx="3">
                  <c:v>Gestió econòmica</c:v>
                </c:pt>
                <c:pt idx="4">
                  <c:v>Serveis i tràmits</c:v>
                </c:pt>
                <c:pt idx="5">
                  <c:v>Participació</c:v>
                </c:pt>
              </c:strCache>
            </c:strRef>
          </c:cat>
          <c:val>
            <c:numRef>
              <c:f>[0]!Graf7_PercentComplimentFamilies</c:f>
              <c:numCache>
                <c:formatCode>0%</c:formatCode>
                <c:ptCount val="6"/>
                <c:pt idx="0">
                  <c:v>0.97727272727272729</c:v>
                </c:pt>
                <c:pt idx="1">
                  <c:v>0.83333333333333337</c:v>
                </c:pt>
                <c:pt idx="2">
                  <c:v>0.95454545454545459</c:v>
                </c:pt>
                <c:pt idx="3">
                  <c:v>0.97058823529411764</c:v>
                </c:pt>
                <c:pt idx="4">
                  <c:v>0.89130434782608692</c:v>
                </c:pt>
                <c:pt idx="5">
                  <c:v>1</c:v>
                </c:pt>
              </c:numCache>
            </c:numRef>
          </c:val>
          <c:extLst>
            <c:ext xmlns:c16="http://schemas.microsoft.com/office/drawing/2014/chart" uri="{C3380CC4-5D6E-409C-BE32-E72D297353CC}">
              <c16:uniqueId val="{00000000-C805-44D9-B24E-EF1EBBE20D07}"/>
            </c:ext>
          </c:extLst>
        </c:ser>
        <c:dLbls>
          <c:dLblPos val="outEnd"/>
          <c:showLegendKey val="0"/>
          <c:showVal val="1"/>
          <c:showCatName val="0"/>
          <c:showSerName val="0"/>
          <c:showPercent val="0"/>
          <c:showBubbleSize val="0"/>
        </c:dLbls>
        <c:gapWidth val="70"/>
        <c:axId val="1239861000"/>
        <c:axId val="1239868200"/>
      </c:barChart>
      <c:catAx>
        <c:axId val="12398610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239868200"/>
        <c:crosses val="autoZero"/>
        <c:auto val="1"/>
        <c:lblAlgn val="ctr"/>
        <c:lblOffset val="100"/>
        <c:noMultiLvlLbl val="0"/>
      </c:catAx>
      <c:valAx>
        <c:axId val="1239868200"/>
        <c:scaling>
          <c:orientation val="minMax"/>
        </c:scaling>
        <c:delete val="1"/>
        <c:axPos val="t"/>
        <c:numFmt formatCode="0%" sourceLinked="1"/>
        <c:majorTickMark val="none"/>
        <c:minorTickMark val="none"/>
        <c:tickLblPos val="nextTo"/>
        <c:crossAx val="1239861000"/>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Indicadors</a:t>
            </a:r>
            <a:r>
              <a:rPr lang="ca-ES" baseline="0"/>
              <a:t> segons el grau de compliment per subfamílies</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bar"/>
        <c:grouping val="percentStacked"/>
        <c:varyColors val="0"/>
        <c:ser>
          <c:idx val="0"/>
          <c:order val="0"/>
          <c:tx>
            <c:strRef>
              <c:f>'4_Resultats'!$H$1</c:f>
              <c:strCache>
                <c:ptCount val="1"/>
                <c:pt idx="0">
                  <c:v>Compleix totalment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[0]!Graf8_Subfamilies</c:f>
              <c:strCache>
                <c:ptCount val="1"/>
                <c:pt idx="0">
                  <c:v>Informació institucional</c:v>
                </c:pt>
              </c:strCache>
            </c:strRef>
          </c:cat>
          <c:val>
            <c:numRef>
              <c:f>[0]!Graf8_CompleixTotalSubfamilies</c:f>
              <c:numCache>
                <c:formatCode>General</c:formatCode>
                <c:ptCount val="1"/>
                <c:pt idx="0">
                  <c:v>#N/A</c:v>
                </c:pt>
              </c:numCache>
            </c:numRef>
          </c:val>
          <c:extLst>
            <c:ext xmlns:c16="http://schemas.microsoft.com/office/drawing/2014/chart" uri="{C3380CC4-5D6E-409C-BE32-E72D297353CC}">
              <c16:uniqueId val="{00000000-9F3C-4A8D-BD7F-A4532524A79D}"/>
            </c:ext>
          </c:extLst>
        </c:ser>
        <c:ser>
          <c:idx val="1"/>
          <c:order val="1"/>
          <c:tx>
            <c:strRef>
              <c:f>'4_Resultats'!$I$1</c:f>
              <c:strCache>
                <c:ptCount val="1"/>
                <c:pt idx="0">
                  <c:v>Compleix parcialment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[0]!Graf8_Subfamilies</c:f>
              <c:strCache>
                <c:ptCount val="1"/>
                <c:pt idx="0">
                  <c:v>Informació institucional</c:v>
                </c:pt>
              </c:strCache>
            </c:strRef>
          </c:cat>
          <c:val>
            <c:numRef>
              <c:f>[0]!Graf8_CompleixParcialSubfamilies</c:f>
              <c:numCache>
                <c:formatCode>General</c:formatCode>
                <c:ptCount val="1"/>
                <c:pt idx="0">
                  <c:v>#N/A</c:v>
                </c:pt>
              </c:numCache>
            </c:numRef>
          </c:val>
          <c:extLst>
            <c:ext xmlns:c16="http://schemas.microsoft.com/office/drawing/2014/chart" uri="{C3380CC4-5D6E-409C-BE32-E72D297353CC}">
              <c16:uniqueId val="{00000001-9F3C-4A8D-BD7F-A4532524A79D}"/>
            </c:ext>
          </c:extLst>
        </c:ser>
        <c:ser>
          <c:idx val="2"/>
          <c:order val="2"/>
          <c:tx>
            <c:strRef>
              <c:f>'4_Resultats'!$J$1</c:f>
              <c:strCache>
                <c:ptCount val="1"/>
                <c:pt idx="0">
                  <c:v>No compleix</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[0]!Graf8_Subfamilies</c:f>
              <c:strCache>
                <c:ptCount val="1"/>
                <c:pt idx="0">
                  <c:v>Informació institucional</c:v>
                </c:pt>
              </c:strCache>
            </c:strRef>
          </c:cat>
          <c:val>
            <c:numRef>
              <c:f>[0]!Graf8_NoCompleixSubfamilies</c:f>
              <c:numCache>
                <c:formatCode>General</c:formatCode>
                <c:ptCount val="1"/>
                <c:pt idx="0">
                  <c:v>#N/A</c:v>
                </c:pt>
              </c:numCache>
            </c:numRef>
          </c:val>
          <c:extLst>
            <c:ext xmlns:c16="http://schemas.microsoft.com/office/drawing/2014/chart" uri="{C3380CC4-5D6E-409C-BE32-E72D297353CC}">
              <c16:uniqueId val="{00000002-9F3C-4A8D-BD7F-A4532524A79D}"/>
            </c:ext>
          </c:extLst>
        </c:ser>
        <c:dLbls>
          <c:dLblPos val="ctr"/>
          <c:showLegendKey val="0"/>
          <c:showVal val="1"/>
          <c:showCatName val="0"/>
          <c:showSerName val="0"/>
          <c:showPercent val="0"/>
          <c:showBubbleSize val="0"/>
        </c:dLbls>
        <c:gapWidth val="70"/>
        <c:overlap val="100"/>
        <c:axId val="1057034760"/>
        <c:axId val="1057035840"/>
      </c:barChart>
      <c:catAx>
        <c:axId val="10570347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057035840"/>
        <c:crosses val="autoZero"/>
        <c:auto val="1"/>
        <c:lblAlgn val="ctr"/>
        <c:lblOffset val="100"/>
        <c:noMultiLvlLbl val="0"/>
      </c:catAx>
      <c:valAx>
        <c:axId val="1057035840"/>
        <c:scaling>
          <c:orientation val="minMax"/>
        </c:scaling>
        <c:delete val="1"/>
        <c:axPos val="t"/>
        <c:numFmt formatCode="0%" sourceLinked="1"/>
        <c:majorTickMark val="none"/>
        <c:minorTickMark val="none"/>
        <c:tickLblPos val="nextTo"/>
        <c:crossAx val="1057034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 de compliment de les variables per fases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'4_Resultats'!$F$32</c:f>
              <c:strCache>
                <c:ptCount val="1"/>
                <c:pt idx="0">
                  <c:v>Contingut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[0]!Graf5_ContingutFases</c:f>
              <c:numCache>
                <c:formatCode>0%</c:formatCode>
                <c:ptCount val="5"/>
                <c:pt idx="0">
                  <c:v>0.98181818181818181</c:v>
                </c:pt>
                <c:pt idx="1">
                  <c:v>0.94117647058823528</c:v>
                </c:pt>
                <c:pt idx="2">
                  <c:v>0.84615384615384615</c:v>
                </c:pt>
                <c:pt idx="3">
                  <c:v>0.86956521739130432</c:v>
                </c:pt>
                <c:pt idx="4">
                  <c:v>0.94736842105263153</c:v>
                </c:pt>
              </c:numCache>
            </c:numRef>
          </c:val>
          <c:extLst>
            <c:ext xmlns:c16="http://schemas.microsoft.com/office/drawing/2014/chart" uri="{C3380CC4-5D6E-409C-BE32-E72D297353CC}">
              <c16:uniqueId val="{00000000-678F-494C-9A73-6B8DB05B1E48}"/>
            </c:ext>
          </c:extLst>
        </c:ser>
        <c:ser>
          <c:idx val="1"/>
          <c:order val="1"/>
          <c:tx>
            <c:strRef>
              <c:f>'4_Resultats'!$G$32</c:f>
              <c:strCache>
                <c:ptCount val="1"/>
                <c:pt idx="0">
                  <c:v>Actualització</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[0]!Graf5_ActualitzacioFases</c:f>
              <c:numCache>
                <c:formatCode>0%</c:formatCode>
                <c:ptCount val="5"/>
                <c:pt idx="0">
                  <c:v>0.98181818181818181</c:v>
                </c:pt>
                <c:pt idx="1">
                  <c:v>0.82352941176470584</c:v>
                </c:pt>
                <c:pt idx="2">
                  <c:v>0.84615384615384615</c:v>
                </c:pt>
                <c:pt idx="3">
                  <c:v>0.82608695652173914</c:v>
                </c:pt>
                <c:pt idx="4">
                  <c:v>0.94736842105263153</c:v>
                </c:pt>
              </c:numCache>
            </c:numRef>
          </c:val>
          <c:extLst>
            <c:ext xmlns:c16="http://schemas.microsoft.com/office/drawing/2014/chart" uri="{C3380CC4-5D6E-409C-BE32-E72D297353CC}">
              <c16:uniqueId val="{00000001-678F-494C-9A73-6B8DB05B1E48}"/>
            </c:ext>
          </c:extLst>
        </c:ser>
        <c:dLbls>
          <c:dLblPos val="outEnd"/>
          <c:showLegendKey val="0"/>
          <c:showVal val="1"/>
          <c:showCatName val="0"/>
          <c:showSerName val="0"/>
          <c:showPercent val="0"/>
          <c:showBubbleSize val="0"/>
        </c:dLbls>
        <c:gapWidth val="219"/>
        <c:overlap val="-27"/>
        <c:axId val="79836895"/>
        <c:axId val="79826495"/>
      </c:barChart>
      <c:catAx>
        <c:axId val="7983689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79826495"/>
        <c:crosses val="autoZero"/>
        <c:auto val="1"/>
        <c:lblAlgn val="ctr"/>
        <c:lblOffset val="100"/>
        <c:noMultiLvlLbl val="0"/>
      </c:catAx>
      <c:valAx>
        <c:axId val="79826495"/>
        <c:scaling>
          <c:orientation val="minMax"/>
        </c:scaling>
        <c:delete val="1"/>
        <c:axPos val="l"/>
        <c:numFmt formatCode="0%" sourceLinked="1"/>
        <c:majorTickMark val="none"/>
        <c:minorTickMark val="none"/>
        <c:tickLblPos val="nextTo"/>
        <c:crossAx val="79836895"/>
        <c:crosses val="autoZero"/>
        <c:crossBetween val="between"/>
      </c:valAx>
      <c:spPr>
        <a:noFill/>
        <a:ln w="25400">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Indicadors segons el grau</a:t>
            </a:r>
            <a:r>
              <a:rPr lang="ca-ES" baseline="0"/>
              <a:t> de compliment per fases</a:t>
            </a:r>
            <a:endParaRPr lang="ca-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bar"/>
        <c:grouping val="percentStacked"/>
        <c:varyColors val="0"/>
        <c:ser>
          <c:idx val="0"/>
          <c:order val="0"/>
          <c:tx>
            <c:strRef>
              <c:f>'4_Resultats'!$H$32</c:f>
              <c:strCache>
                <c:ptCount val="1"/>
                <c:pt idx="0">
                  <c:v>Compleix totalment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[0]!Graf6_CompleixTotalFases</c:f>
              <c:numCache>
                <c:formatCode>General</c:formatCode>
                <c:ptCount val="5"/>
                <c:pt idx="0">
                  <c:v>54</c:v>
                </c:pt>
                <c:pt idx="1">
                  <c:v>14</c:v>
                </c:pt>
                <c:pt idx="2">
                  <c:v>11</c:v>
                </c:pt>
                <c:pt idx="3">
                  <c:v>19</c:v>
                </c:pt>
                <c:pt idx="4">
                  <c:v>36</c:v>
                </c:pt>
              </c:numCache>
            </c:numRef>
          </c:val>
          <c:extLst>
            <c:ext xmlns:c16="http://schemas.microsoft.com/office/drawing/2014/chart" uri="{C3380CC4-5D6E-409C-BE32-E72D297353CC}">
              <c16:uniqueId val="{00000000-2C69-42CA-B7E3-2F44B5DD05CE}"/>
            </c:ext>
          </c:extLst>
        </c:ser>
        <c:ser>
          <c:idx val="1"/>
          <c:order val="1"/>
          <c:tx>
            <c:strRef>
              <c:f>'4_Resultats'!$I$32</c:f>
              <c:strCache>
                <c:ptCount val="1"/>
                <c:pt idx="0">
                  <c:v>Compleix parcialment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[0]!Graf6_CompleixParcialFases</c:f>
              <c:numCache>
                <c:formatCode>General</c:formatCode>
                <c:ptCount val="5"/>
                <c:pt idx="0">
                  <c:v>#N/A</c:v>
                </c:pt>
                <c:pt idx="1">
                  <c:v>2</c:v>
                </c:pt>
                <c:pt idx="2">
                  <c:v>#N/A</c:v>
                </c:pt>
                <c:pt idx="3">
                  <c:v>1</c:v>
                </c:pt>
                <c:pt idx="4">
                  <c:v>#N/A</c:v>
                </c:pt>
              </c:numCache>
            </c:numRef>
          </c:val>
          <c:extLst>
            <c:ext xmlns:c16="http://schemas.microsoft.com/office/drawing/2014/chart" uri="{C3380CC4-5D6E-409C-BE32-E72D297353CC}">
              <c16:uniqueId val="{00000001-2C69-42CA-B7E3-2F44B5DD05CE}"/>
            </c:ext>
          </c:extLst>
        </c:ser>
        <c:ser>
          <c:idx val="2"/>
          <c:order val="2"/>
          <c:tx>
            <c:strRef>
              <c:f>'4_Resultats'!$J$32</c:f>
              <c:strCache>
                <c:ptCount val="1"/>
                <c:pt idx="0">
                  <c:v>No compleix</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[0]!Graf6_NoCompleixFases</c:f>
              <c:numCache>
                <c:formatCode>General</c:formatCode>
                <c:ptCount val="5"/>
                <c:pt idx="0">
                  <c:v>1</c:v>
                </c:pt>
                <c:pt idx="1">
                  <c:v>1</c:v>
                </c:pt>
                <c:pt idx="2">
                  <c:v>2</c:v>
                </c:pt>
                <c:pt idx="3">
                  <c:v>3</c:v>
                </c:pt>
                <c:pt idx="4">
                  <c:v>2</c:v>
                </c:pt>
              </c:numCache>
            </c:numRef>
          </c:val>
          <c:extLst>
            <c:ext xmlns:c16="http://schemas.microsoft.com/office/drawing/2014/chart" uri="{C3380CC4-5D6E-409C-BE32-E72D297353CC}">
              <c16:uniqueId val="{00000002-2C69-42CA-B7E3-2F44B5DD05CE}"/>
            </c:ext>
          </c:extLst>
        </c:ser>
        <c:dLbls>
          <c:dLblPos val="ctr"/>
          <c:showLegendKey val="0"/>
          <c:showVal val="1"/>
          <c:showCatName val="0"/>
          <c:showSerName val="0"/>
          <c:showPercent val="0"/>
          <c:showBubbleSize val="0"/>
        </c:dLbls>
        <c:gapWidth val="70"/>
        <c:overlap val="100"/>
        <c:axId val="1181340591"/>
        <c:axId val="1181341423"/>
      </c:barChart>
      <c:catAx>
        <c:axId val="11813405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181341423"/>
        <c:crosses val="autoZero"/>
        <c:auto val="1"/>
        <c:lblAlgn val="ctr"/>
        <c:lblOffset val="100"/>
        <c:noMultiLvlLbl val="0"/>
      </c:catAx>
      <c:valAx>
        <c:axId val="1181341423"/>
        <c:scaling>
          <c:orientation val="minMax"/>
        </c:scaling>
        <c:delete val="1"/>
        <c:axPos val="t"/>
        <c:numFmt formatCode="0%" sourceLinked="1"/>
        <c:majorTickMark val="none"/>
        <c:minorTickMark val="none"/>
        <c:tickLblPos val="nextTo"/>
        <c:crossAx val="118134059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doughnutChart>
        <c:varyColors val="1"/>
        <c:ser>
          <c:idx val="0"/>
          <c:order val="0"/>
          <c:tx>
            <c:strRef>
              <c:f>'4_Resultats'!$L$40</c:f>
              <c:strCache>
                <c:ptCount val="1"/>
                <c:pt idx="0">
                  <c:v>% compliment</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3015-4FEB-8DC2-E99C39BDEDCA}"/>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3015-4FEB-8DC2-E99C39BDEDCA}"/>
              </c:ext>
            </c:extLst>
          </c:dPt>
          <c:val>
            <c:numRef>
              <c:f>'4_Resultats'!$L$41:$L$42</c:f>
              <c:numCache>
                <c:formatCode>0%</c:formatCode>
                <c:ptCount val="2"/>
                <c:pt idx="0">
                  <c:v>0.92808219178082196</c:v>
                </c:pt>
                <c:pt idx="1">
                  <c:v>7.1917808219178037E-2</c:v>
                </c:pt>
              </c:numCache>
            </c:numRef>
          </c:val>
          <c:extLst>
            <c:ext xmlns:c16="http://schemas.microsoft.com/office/drawing/2014/chart" uri="{C3380CC4-5D6E-409C-BE32-E72D297353CC}">
              <c16:uniqueId val="{00000004-3015-4FEB-8DC2-E99C39BDEDCA}"/>
            </c:ext>
          </c:extLst>
        </c:ser>
        <c:dLbls>
          <c:showLegendKey val="0"/>
          <c:showVal val="0"/>
          <c:showCatName val="0"/>
          <c:showSerName val="0"/>
          <c:showPercent val="0"/>
          <c:showBubbleSize val="0"/>
          <c:showLeaderLines val="1"/>
        </c:dLbls>
        <c:firstSliceAng val="0"/>
        <c:holeSize val="7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657450</xdr:colOff>
      <xdr:row>15</xdr:row>
      <xdr:rowOff>0</xdr:rowOff>
    </xdr:from>
    <xdr:to>
      <xdr:col>5</xdr:col>
      <xdr:colOff>114075</xdr:colOff>
      <xdr:row>24</xdr:row>
      <xdr:rowOff>143862</xdr:rowOff>
    </xdr:to>
    <xdr:graphicFrame macro="">
      <xdr:nvGraphicFramePr>
        <xdr:cNvPr id="3" name="Gràfic 2">
          <a:extLst>
            <a:ext uri="{FF2B5EF4-FFF2-40B4-BE49-F238E27FC236}">
              <a16:creationId xmlns:a16="http://schemas.microsoft.com/office/drawing/2014/main" id="{9CF81443-15E0-4D96-8BA9-7BAD2EAB11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543375</xdr:colOff>
      <xdr:row>15</xdr:row>
      <xdr:rowOff>0</xdr:rowOff>
    </xdr:from>
    <xdr:to>
      <xdr:col>8</xdr:col>
      <xdr:colOff>0</xdr:colOff>
      <xdr:row>24</xdr:row>
      <xdr:rowOff>143862</xdr:rowOff>
    </xdr:to>
    <xdr:graphicFrame macro="">
      <xdr:nvGraphicFramePr>
        <xdr:cNvPr id="4" name="Gràfic 3">
          <a:extLst>
            <a:ext uri="{FF2B5EF4-FFF2-40B4-BE49-F238E27FC236}">
              <a16:creationId xmlns:a16="http://schemas.microsoft.com/office/drawing/2014/main" id="{EC0A149B-5051-4230-A13F-A3130D3167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52</xdr:row>
      <xdr:rowOff>191713</xdr:rowOff>
    </xdr:from>
    <xdr:to>
      <xdr:col>3</xdr:col>
      <xdr:colOff>745425</xdr:colOff>
      <xdr:row>70</xdr:row>
      <xdr:rowOff>0</xdr:rowOff>
    </xdr:to>
    <xdr:graphicFrame macro="">
      <xdr:nvGraphicFramePr>
        <xdr:cNvPr id="6" name="Gràfic 1">
          <a:extLst>
            <a:ext uri="{FF2B5EF4-FFF2-40B4-BE49-F238E27FC236}">
              <a16:creationId xmlns:a16="http://schemas.microsoft.com/office/drawing/2014/main" id="{7F874CAF-B279-B8D6-5C36-43DFEB7E25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53</xdr:row>
      <xdr:rowOff>0</xdr:rowOff>
    </xdr:from>
    <xdr:to>
      <xdr:col>7</xdr:col>
      <xdr:colOff>745425</xdr:colOff>
      <xdr:row>104</xdr:row>
      <xdr:rowOff>0</xdr:rowOff>
    </xdr:to>
    <xdr:graphicFrame macro="">
      <xdr:nvGraphicFramePr>
        <xdr:cNvPr id="7" name="Gràfic 2">
          <a:extLst>
            <a:ext uri="{FF2B5EF4-FFF2-40B4-BE49-F238E27FC236}">
              <a16:creationId xmlns:a16="http://schemas.microsoft.com/office/drawing/2014/main" id="{F37B9024-8756-123A-5346-72E4F3834B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26</xdr:row>
      <xdr:rowOff>187939</xdr:rowOff>
    </xdr:from>
    <xdr:to>
      <xdr:col>7</xdr:col>
      <xdr:colOff>755325</xdr:colOff>
      <xdr:row>38</xdr:row>
      <xdr:rowOff>0</xdr:rowOff>
    </xdr:to>
    <xdr:graphicFrame macro="">
      <xdr:nvGraphicFramePr>
        <xdr:cNvPr id="9" name="Gráfico 2">
          <a:extLst>
            <a:ext uri="{FF2B5EF4-FFF2-40B4-BE49-F238E27FC236}">
              <a16:creationId xmlns:a16="http://schemas.microsoft.com/office/drawing/2014/main" id="{00000000-0008-0000-0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38</xdr:row>
      <xdr:rowOff>1</xdr:rowOff>
    </xdr:from>
    <xdr:to>
      <xdr:col>7</xdr:col>
      <xdr:colOff>755325</xdr:colOff>
      <xdr:row>52</xdr:row>
      <xdr:rowOff>0</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15</xdr:row>
      <xdr:rowOff>0</xdr:rowOff>
    </xdr:from>
    <xdr:to>
      <xdr:col>2</xdr:col>
      <xdr:colOff>228150</xdr:colOff>
      <xdr:row>24</xdr:row>
      <xdr:rowOff>143862</xdr:rowOff>
    </xdr:to>
    <xdr:graphicFrame macro="">
      <xdr:nvGraphicFramePr>
        <xdr:cNvPr id="8" name="Gràfic 7">
          <a:extLst>
            <a:ext uri="{FF2B5EF4-FFF2-40B4-BE49-F238E27FC236}">
              <a16:creationId xmlns:a16="http://schemas.microsoft.com/office/drawing/2014/main" id="{E91B19A8-47A5-4684-9B89-E4AF163ED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0.25671</cdr:x>
      <cdr:y>0.46565</cdr:y>
    </cdr:from>
    <cdr:to>
      <cdr:x>0.7557</cdr:x>
      <cdr:y>0.66904</cdr:y>
    </cdr:to>
    <cdr:sp macro="" textlink="'4_Resultats'!$F$41">
      <cdr:nvSpPr>
        <cdr:cNvPr id="4" name="CuadroTexto 1"/>
        <cdr:cNvSpPr txBox="1">
          <a:spLocks xmlns:a="http://schemas.openxmlformats.org/drawingml/2006/main" noChangeAspect="1"/>
        </cdr:cNvSpPr>
      </cdr:nvSpPr>
      <cdr:spPr>
        <a:xfrm xmlns:a="http://schemas.openxmlformats.org/drawingml/2006/main">
          <a:off x="370398" y="824194"/>
          <a:ext cx="720000" cy="360000"/>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C2A4AAD-C4C9-43E4-8E6A-B5B86CB4B654}" type="TxLink">
            <a:rPr lang="en-US" sz="1400" b="1" i="0" u="none" strike="noStrike">
              <a:solidFill>
                <a:schemeClr val="accent1">
                  <a:lumMod val="75000"/>
                </a:schemeClr>
              </a:solidFill>
              <a:latin typeface="Arial"/>
              <a:cs typeface="Arial"/>
            </a:rPr>
            <a:pPr algn="ctr"/>
            <a:t>94%</a:t>
          </a:fld>
          <a:endParaRPr lang="ca-ES" sz="2400" b="1">
            <a:solidFill>
              <a:schemeClr val="accent1">
                <a:lumMod val="75000"/>
              </a:schemeClr>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0.25516</cdr:x>
      <cdr:y>0.46404</cdr:y>
    </cdr:from>
    <cdr:to>
      <cdr:x>0.75366</cdr:x>
      <cdr:y>0.66743</cdr:y>
    </cdr:to>
    <cdr:sp macro="" textlink="'4_Resultats'!$G$41">
      <cdr:nvSpPr>
        <cdr:cNvPr id="3" name="CuadroTexto 1"/>
        <cdr:cNvSpPr txBox="1">
          <a:spLocks xmlns:a="http://schemas.openxmlformats.org/drawingml/2006/main" noChangeAspect="1"/>
        </cdr:cNvSpPr>
      </cdr:nvSpPr>
      <cdr:spPr>
        <a:xfrm xmlns:a="http://schemas.openxmlformats.org/drawingml/2006/main">
          <a:off x="368539" y="821355"/>
          <a:ext cx="720000" cy="360000"/>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8488C9A-E826-4FFB-91BC-2BF40C71B7E4}" type="TxLink">
            <a:rPr lang="en-US" sz="1400" b="1" i="0" u="none" strike="noStrike">
              <a:solidFill>
                <a:schemeClr val="accent3">
                  <a:lumMod val="75000"/>
                </a:schemeClr>
              </a:solidFill>
              <a:latin typeface="Arial"/>
              <a:cs typeface="Arial"/>
            </a:rPr>
            <a:pPr algn="ctr"/>
            <a:t>92%</a:t>
          </a:fld>
          <a:endParaRPr lang="ca-ES" sz="4000" b="1">
            <a:solidFill>
              <a:schemeClr val="accent3">
                <a:lumMod val="75000"/>
              </a:schemeClr>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0.2555</cdr:x>
      <cdr:y>0.46582</cdr:y>
    </cdr:from>
    <cdr:to>
      <cdr:x>0.75449</cdr:x>
      <cdr:y>0.66921</cdr:y>
    </cdr:to>
    <cdr:sp macro="" textlink="'4_Resultats'!$L$41">
      <cdr:nvSpPr>
        <cdr:cNvPr id="4" name="CuadroTexto 1"/>
        <cdr:cNvSpPr txBox="1">
          <a:spLocks xmlns:a="http://schemas.openxmlformats.org/drawingml/2006/main" noChangeAspect="1"/>
        </cdr:cNvSpPr>
      </cdr:nvSpPr>
      <cdr:spPr>
        <a:xfrm xmlns:a="http://schemas.openxmlformats.org/drawingml/2006/main">
          <a:off x="368652" y="824497"/>
          <a:ext cx="720000" cy="360000"/>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F52399ED-F0CF-4267-9D1E-C038ADBB3010}" type="TxLink">
            <a:rPr lang="en-US" sz="1400" b="1" i="0" u="none" strike="noStrike">
              <a:solidFill>
                <a:schemeClr val="accent2">
                  <a:lumMod val="75000"/>
                </a:schemeClr>
              </a:solidFill>
              <a:latin typeface="Arial"/>
              <a:cs typeface="Arial"/>
            </a:rPr>
            <a:pPr algn="ctr"/>
            <a:t>93%</a:t>
          </a:fld>
          <a:endParaRPr lang="ca-ES" sz="2400" b="1">
            <a:solidFill>
              <a:schemeClr val="accent2">
                <a:lumMod val="75000"/>
              </a:schemeClr>
            </a:solidFill>
          </a:endParaRPr>
        </a:p>
      </cdr:txBody>
    </cdr:sp>
  </cdr:relSizeAnchor>
</c:userShapes>
</file>

<file path=xl/queryTables/queryTable1.xml><?xml version="1.0" encoding="utf-8"?>
<queryTable xmlns="http://schemas.openxmlformats.org/spreadsheetml/2006/main" name="DatosExternos_1" connectionId="2" autoFormatId="16" applyNumberFormats="0" applyBorderFormats="0" applyFontFormats="0" applyPatternFormats="0" applyAlignmentFormats="0" applyWidthHeightFormats="0">
  <queryTableRefresh nextId="80" unboundColumnsRight="12">
    <queryTableFields count="34">
      <queryTableField id="1" name="Núm. ORDRE" tableColumnId="1"/>
      <queryTableField id="51" dataBound="0" tableColumnId="33"/>
      <queryTableField id="2" name="NOMFAMILIA" tableColumnId="2"/>
      <queryTableField id="3" name="NOMSUBFAMILIA" tableColumnId="3"/>
      <queryTableField id="4" name="NOMITEM " tableColumnId="4"/>
      <queryTableField id="5" name="CODI FITXA MUNICAT" tableColumnId="5"/>
      <queryTableField id="6" name="TIPUS ÍTEM" tableColumnId="6"/>
      <queryTableField id="73" dataBound="0" tableColumnId="59"/>
      <queryTableField id="75" dataBound="0" tableColumnId="61"/>
      <queryTableField id="22" dataBound="0" tableColumnId="22"/>
      <queryTableField id="30" dataBound="0" tableColumnId="28"/>
      <queryTableField id="33" dataBound="0" tableColumnId="31"/>
      <queryTableField id="29" dataBound="0" tableColumnId="27"/>
      <queryTableField id="48" dataBound="0" tableColumnId="43"/>
      <queryTableField id="79" dataBound="0" tableColumnId="8"/>
      <queryTableField id="78" dataBound="0" tableColumnId="7"/>
      <queryTableField id="10" name="FREQÜÈNCIA ACTUALITZACIÓ REQUERIDA" tableColumnId="10"/>
      <queryTableField id="11" name="LLEI TRANSPARENCIA 192014 CAT" tableColumnId="11"/>
      <queryTableField id="12" name="LLEI TRANSPARENCIA 192013 ESP" tableColumnId="12"/>
      <queryTableField id="13" name="Decret 8/2021" tableColumnId="13"/>
      <queryTableField id="14" name="Observacions a la normativa" tableColumnId="14"/>
      <queryTableField id="19" name="ENLLAÇ AJUDA" tableColumnId="19"/>
      <queryTableField id="69" dataBound="0" tableColumnId="55"/>
      <queryTableField id="67" dataBound="0" tableColumnId="34"/>
      <queryTableField id="66" dataBound="0" tableColumnId="42"/>
      <queryTableField id="65" dataBound="0" tableColumnId="45"/>
      <queryTableField id="64" dataBound="0" tableColumnId="46"/>
      <queryTableField id="63" dataBound="0" tableColumnId="47"/>
      <queryTableField id="62" dataBound="0" tableColumnId="48"/>
      <queryTableField id="61" dataBound="0" tableColumnId="49"/>
      <queryTableField id="72" dataBound="0" tableColumnId="58"/>
      <queryTableField id="59" dataBound="0" tableColumnId="51"/>
      <queryTableField id="58" dataBound="0" tableColumnId="52"/>
      <queryTableField id="57" dataBound="0" tableColumnId="53"/>
    </queryTableFields>
    <queryTableDeletedFields count="7">
      <deletedField name="PRIORITZACIÓ PER AJUNTAMENTS"/>
      <deletedField name="VISITES GLOBALS (des de juny 2023)"/>
      <deletedField name="COMENTARIS GLOBALS (FF)"/>
      <deletedField name="ITA 2017"/>
      <deletedField name="INFOPARTICIPA 2021"/>
      <deletedField name="INFOPARTICIPA 2022"/>
      <deletedField name="INFOPARTICIPA 2023"/>
    </queryTableDeletedFields>
  </queryTableRefresh>
</queryTable>
</file>

<file path=xl/tables/_rels/table7.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8" name="Avaluacio" displayName="Avaluacio" ref="A1:N149" totalsRowCount="1" headerRowCellStyle="Normal" dataCellStyle="Normal">
  <autoFilter ref="A1:N148"/>
  <tableColumns count="14">
    <tableColumn id="1" name="Codi ítem" totalsRowLabel="Total" dataDxfId="254" totalsRowDxfId="10" dataCellStyle="Normal"/>
    <tableColumn id="2" name="Avaluable" totalsRowFunction="custom" dataDxfId="253" totalsRowDxfId="9" dataCellStyle="Normal">
      <calculatedColumnFormula>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calculatedColumnFormula>
      <totalsRowFormula>COUNTIF(Avaluacio[Avaluable],"Sí")</totalsRowFormula>
    </tableColumn>
    <tableColumn id="3" name="Ítem" dataDxfId="252" totalsRowDxfId="8" dataCellStyle="Normal">
      <calculatedColumnFormula>VLOOKUP(Avaluacio[[#This Row],[Codi ítem]],Metodologia[[Codi ítem]:[Ítem]],COLUMN(Metodologia[[#Headers],[Ítem]]),FALSE)</calculatedColumnFormula>
    </tableColumn>
    <tableColumn id="4" name="Família" dataDxfId="251" dataCellStyle="Normal">
      <calculatedColumnFormula>VLOOKUP(Avaluacio[[#This Row],[Codi ítem]],Metodologia[[Codi ítem]:[Família]],COLUMN(Metodologia[[#Headers],[Família]]),FALSE)</calculatedColumnFormula>
    </tableColumn>
    <tableColumn id="5" name="Subfamília" dataDxfId="250" dataCellStyle="Normal">
      <calculatedColumnFormula>VLOOKUP(Avaluacio[[#This Row],[Codi ítem]],Metodologia[[Codi ítem]:[Subfamília]],COLUMN(Metodologia[[#Headers],[Subfamília]]),FALSE)</calculatedColumnFormula>
    </tableColumn>
    <tableColumn id="13" name="Fase" dataDxfId="249" totalsRowDxfId="7">
      <calculatedColumnFormula>VLOOKUP(Avaluacio[[#This Row],[Codi ítem]],Metodologia[[Codi ítem]:[Fase]],COLUMN(Metodologia[[#Headers],[Fase]]),FALSE)</calculatedColumnFormula>
    </tableColumn>
    <tableColumn id="6" name="Contingut" totalsRowFunction="custom" dataDxfId="248" totalsRowDxfId="6" dataCellStyle="Normal">
      <calculatedColumnFormula>IF(Avaluacio[[#This Row],[Avaluable]]="No","Exclòs",IF(VLOOKUP(Avaluacio[[#This Row],[Codi ítem]],Metodologia[],VLOOKUP('1_Plantejament'!$B$6,Taula1_TipusEns[],3,FALSE),FALSE)="No, però és recomanable","Opcional",IF(LEFT(VLOOKUP(Avaluacio[[#This Row],[Codi ítem]],Metodologia[[Codi ítem]:[Tipus ítem]],COLUMN(Metodologia[[#Headers],[Tipus ítem]]),FALSE),9)="Automàtic","Sí (confirmar)","")))</calculatedColumnFormula>
      <totalsRowFormula>COUNTIF(Avaluacio[Contingut],"Sí")</totalsRowFormula>
    </tableColumn>
    <tableColumn id="7" name="Actualització" totalsRowFunction="custom" dataDxfId="247" totalsRowDxfId="5" dataCellStyle="Normal">
      <calculatedColumnFormula>IF(Avaluacio[[#This Row],[Avaluable]]="No","Exclòs",IF(Avaluacio[[#This Row],[Contingut]]="N/A","N/A",IF(VLOOKUP(Avaluacio[[#This Row],[Codi ítem]],Metodologia[],VLOOKUP('1_Plantejament'!$B$6,Taula1_TipusEns[],3,FALSE),FALSE)="No, però és recomanable","Opcional",IF(LEFT(VLOOKUP(Avaluacio[[#This Row],[Codi ítem]],Metodologia[[Codi ítem]:[Tipus ítem]],COLUMN(Metodologia[[#Headers],[Tipus ítem]]),FALSE),9)="Automàtic","Sí (confirmar)",""))))</calculatedColumnFormula>
      <totalsRowFormula>COUNTIF(Avaluacio[Actualització],"Sí")</totalsRowFormula>
    </tableColumn>
    <tableColumn id="9" name="Observacions" dataDxfId="246" totalsRowDxfId="4" dataCellStyle="Normal"/>
    <tableColumn id="10" name="Grau de compliment" totalsRowFunction="custom" dataDxfId="245" totalsRowDxfId="3" dataCellStyle="Normal">
      <calculatedColumnFormula>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calculatedColumnFormula>
      <totalsRowFormula>COUNTIF(Avaluacio[Grau de compliment],"Compleix totalment")/Avaluacio[[#Totals],[Avaluable]]</totalsRowFormula>
    </tableColumn>
    <tableColumn id="11" name="% compliment" totalsRowFunction="average" dataDxfId="244" totalsRowDxfId="2">
      <calculatedColumnFormula>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calculatedColumnFormula>
    </tableColumn>
    <tableColumn id="12" name="Fitxa municat" dataDxfId="243">
      <calculatedColumnFormula>HYPERLINK(VLOOKUP(Avaluacio[[#This Row],[Codi ítem]],Metodologia[[#Headers],[#Data],[Codi ítem]:[Enllaç Municat]],COLUMN(Metodologia[[#Headers],[Enllaç Municat]]),FALSE),VLOOKUP(Avaluacio[[#This Row],[Codi ítem]],Metodologia[[#Headers],[#Data],[Codi ítem]:[Enllaç Municat]],COLUMN(Metodologia[[#Headers],[Enllaç Municat]]),FALSE))</calculatedColumnFormula>
    </tableColumn>
    <tableColumn id="14" name="Compliment ponderat" dataDxfId="242" totalsRowDxfId="1">
      <calculatedColumnFormula>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calculatedColumnFormula>
    </tableColumn>
    <tableColumn id="15" name="Codi bis" dataDxfId="241" totalsRowDxfId="0">
      <calculatedColumnFormula>Avaluacio[[#This Row],[Codi ítem]]</calculatedColumnFormula>
    </tableColumn>
  </tableColumns>
  <tableStyleInfo name="TableStyleMedium8 2" showFirstColumn="0" showLastColumn="0" showRowStripes="1" showColumnStripes="0"/>
</table>
</file>

<file path=xl/tables/table10.xml><?xml version="1.0" encoding="utf-8"?>
<table xmlns="http://schemas.openxmlformats.org/spreadsheetml/2006/main" id="5" name="Taula2_Fases" displayName="Taula2_Fases" ref="E1:G6" totalsRowShown="0">
  <autoFilter ref="E1:G6"/>
  <tableColumns count="3">
    <tableColumn id="1" name="Fase d'avaluació"/>
    <tableColumn id="2" name="Nivell" dataDxfId="12"/>
    <tableColumn id="3" name="Acumulat" dataDxfId="11"/>
  </tableColumns>
  <tableStyleInfo name="TableStyleMedium8 2" showFirstColumn="0" showLastColumn="0" showRowStripes="1" showColumnStripes="0"/>
</table>
</file>

<file path=xl/tables/table11.xml><?xml version="1.0" encoding="utf-8"?>
<table xmlns="http://schemas.openxmlformats.org/spreadsheetml/2006/main" id="9" name="Taula4_ValorsAvaluacio" displayName="Taula4_ValorsAvaluacio" ref="K1:K4" totalsRowShown="0">
  <autoFilter ref="K1:K4"/>
  <tableColumns count="1">
    <tableColumn id="1" name="Valors avaluació"/>
  </tableColumns>
  <tableStyleInfo name="TableStyleMedium8 2" showFirstColumn="0" showLastColumn="0" showRowStripes="1" showColumnStripes="0"/>
</table>
</file>

<file path=xl/tables/table12.xml><?xml version="1.0" encoding="utf-8"?>
<table xmlns="http://schemas.openxmlformats.org/spreadsheetml/2006/main" id="11" name="Taula3_Avaluable" displayName="Taula3_Avaluable" ref="I1:I3" totalsRowShown="0">
  <autoFilter ref="I1:I3"/>
  <tableColumns count="1">
    <tableColumn id="1" name="Avaluable"/>
  </tableColumns>
  <tableStyleInfo name="TableStyleMedium8 2" showFirstColumn="0" showLastColumn="0" showRowStripes="1" showColumnStripes="0"/>
</table>
</file>

<file path=xl/tables/table2.xml><?xml version="1.0" encoding="utf-8"?>
<table xmlns="http://schemas.openxmlformats.org/spreadsheetml/2006/main" id="6" name="ResultatsSubfamilia" displayName="ResultatsSubfamilia" ref="A1:L21" totalsRowCount="1" headerRowDxfId="227" dataDxfId="226">
  <autoFilter ref="A1:L20"/>
  <tableColumns count="12">
    <tableColumn id="2" name="Subfamília" dataDxfId="225">
      <calculatedColumnFormula array="1">INDEX(Avaluacio[Subfamília],(MATCH(0,INDEX(COUNTIF($A$1:A1,Avaluacio[Subfamília]),0,0)+INDEX(Avaluacio[Avaluable]="No",0,0),0)))</calculatedColumnFormula>
    </tableColumn>
    <tableColumn id="3" name="Total ítems" totalsRowFunction="sum" dataDxfId="224" totalsRowDxfId="223">
      <calculatedColumnFormula>COUNTIF(Avaluacio[Subfamília],ResultatsSubfamilia[[#This Row],[Subfamília]])</calculatedColumnFormula>
    </tableColumn>
    <tableColumn id="4" name="Ítems avaluats" totalsRowFunction="sum" dataDxfId="222" totalsRowDxfId="221">
      <calculatedColumnFormula>COUNTIFS(Avaluacio[Avaluable],"Sí",Avaluacio[Subfamília],ResultatsSubfamilia[[#This Row],[Subfamília]],Avaluacio[Grau de compliment],"&lt;&gt;No aplicable")</calculatedColumnFormula>
    </tableColumn>
    <tableColumn id="12" name="Contingut (ítems)" totalsRowFunction="sum" dataDxfId="220" totalsRowDxfId="219">
      <calculatedColumnFormula>COUNTIFS(Avaluacio[Avaluable],"Sí",Avaluacio[Subfamília],ResultatsSubfamilia[[#This Row],[Subfamília]],Avaluacio[Contingut],"Sí")</calculatedColumnFormula>
    </tableColumn>
    <tableColumn id="11" name="Actualització (ítems)" totalsRowFunction="sum" dataDxfId="218" totalsRowDxfId="217">
      <calculatedColumnFormula>COUNTIFS(Avaluacio[Avaluable],"Sí",Avaluacio[Subfamília],ResultatsSubfamilia[[#This Row],[Subfamília]],Avaluacio[Actualització],"Sí")</calculatedColumnFormula>
    </tableColumn>
    <tableColumn id="15" name="Contingut" totalsRowFunction="custom" dataDxfId="216" totalsRowDxfId="215">
      <calculatedColumnFormula>IFERROR(ResultatsSubfamilia[[#This Row],[Contingut (ítems)]]/(COUNTIFS(Avaluacio[Avaluable],"Sí",Avaluacio[Subfamília],ResultatsSubfamilia[[#This Row],[Subfamília]],Avaluacio[Contingut],"Sí")+COUNTIFS(Avaluacio[Avaluable],"Sí",Avaluacio[Subfamília],ResultatsSubfamilia[[#This Row],[Subfamília]],Avaluacio[Contingut],"No")),NA())</calculatedColumnFormula>
      <totalsRowFormula>IFERROR(ResultatsSubfamilia[[#Totals],[Contingut (ítems)]]/(COUNTIFS(Avaluacio[Avaluable],"Sí",Avaluacio[Contingut],"Sí")+COUNTIFS(Avaluacio[Avaluable],"Sí",Avaluacio[Contingut],"No")),NA())</totalsRowFormula>
    </tableColumn>
    <tableColumn id="14" name="Actualització" totalsRowFunction="custom" dataDxfId="214" totalsRowDxfId="213">
      <calculatedColumnFormula>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calculatedColumnFormula>
      <totalsRowFormula>IFERROR(ResultatsSubfamilia[[#Totals],[Actualització (ítems)]]/(COUNTIFS(Avaluacio[Avaluable],"Sí",Avaluacio[Actualització],"Sí")+COUNTIFS(Avaluacio[Avaluable],"Sí",Avaluacio[Actualització],"No")),NA())</totalsRowFormula>
    </tableColumn>
    <tableColumn id="5" name="Compleix totalment" totalsRowFunction="custom" dataDxfId="212" totalsRowDxfId="211">
      <calculatedColumnFormula>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calculatedColumnFormula>
      <totalsRowFormula>IFERROR(SUBTOTAL(109,ResultatsSubfamilia[Compleix totalment]),NA())</totalsRowFormula>
    </tableColumn>
    <tableColumn id="6" name="Compleix parcialment" totalsRowFunction="custom" dataDxfId="210" totalsRowDxfId="209">
      <calculatedColumnFormula>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calculatedColumnFormula>
      <totalsRowFormula>IFERROR(SUBTOTAL(109,ResultatsSubfamilia[Compleix parcialment]),NA())</totalsRowFormula>
    </tableColumn>
    <tableColumn id="7" name="No compleix" totalsRowFunction="custom" dataDxfId="208" totalsRowDxfId="207">
      <calculatedColumnFormula>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calculatedColumnFormula>
      <totalsRowFormula>IFERROR(SUBTOTAL(109,ResultatsSubfamilia[No compleix]),NA())</totalsRowFormula>
    </tableColumn>
    <tableColumn id="8" name="No aplicable" totalsRowFunction="custom" dataDxfId="206" totalsRowDxfId="205">
      <calculatedColumnFormula>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calculatedColumnFormula>
      <totalsRowFormula>IFERROR(SUBTOTAL(109,ResultatsSubfamilia[No aplicable]),NA())</totalsRowFormula>
    </tableColumn>
    <tableColumn id="9" name="% compliment" totalsRowFunction="custom" dataDxfId="204" totalsRowDxfId="203">
      <calculatedColumnFormula>IFERROR(AVERAGEIFS(Avaluacio[% compliment],Avaluacio[Avaluable],"Sí",Avaluacio[Subfamília],ResultatsSubfamilia[[#This Row],[Subfamília]]),NA())</calculatedColumnFormula>
      <totalsRowFormula>IFERROR(AVERAGEIFS(Avaluacio[% compliment],Avaluacio[Avaluable],"Sí"),NA())</totalsRowFormula>
    </tableColumn>
  </tableColumns>
  <tableStyleInfo name="TableStyleMedium8 2" showFirstColumn="0" showLastColumn="0" showRowStripes="1" showColumnStripes="0"/>
</table>
</file>

<file path=xl/tables/table3.xml><?xml version="1.0" encoding="utf-8"?>
<table xmlns="http://schemas.openxmlformats.org/spreadsheetml/2006/main" id="10" name="ResultatsFamilia" displayName="ResultatsFamilia" ref="A23:L30" totalsRowCount="1">
  <autoFilter ref="A23:L29"/>
  <tableColumns count="12">
    <tableColumn id="1" name="Família" totalsRowLabel="Total" dataDxfId="202">
      <calculatedColumnFormula array="1">INDEX(Avaluacio[Família],(MATCH(0,INDEX(COUNTIF($A$23:A23,Avaluacio[Família]),0,0)+INDEX(Avaluacio[Avaluable]="No",0,0),0)))</calculatedColumnFormula>
    </tableColumn>
    <tableColumn id="2" name="Total ítems" totalsRowFunction="sum" dataDxfId="201" totalsRowDxfId="200">
      <calculatedColumnFormula>COUNTIF(Avaluacio[Família],ResultatsFamilia[[#This Row],[Família]])</calculatedColumnFormula>
    </tableColumn>
    <tableColumn id="3" name="Ítems avaluats" totalsRowFunction="sum" dataDxfId="199" totalsRowDxfId="198">
      <calculatedColumnFormula>COUNTIFS(Avaluacio[Avaluable],"Sí",Avaluacio[Família],ResultatsFamilia[[#This Row],[Família]],Avaluacio[Grau de compliment],"&lt;&gt;No aplicable")</calculatedColumnFormula>
    </tableColumn>
    <tableColumn id="4" name="Contingut (ítems)" totalsRowFunction="sum" dataDxfId="197" totalsRowDxfId="196">
      <calculatedColumnFormula>COUNTIFS(Avaluacio[Avaluable],"Sí",Avaluacio[Família],ResultatsFamilia[[#This Row],[Família]],Avaluacio[Contingut],"Sí")</calculatedColumnFormula>
    </tableColumn>
    <tableColumn id="5" name="Actualització (ítems)" totalsRowFunction="sum" dataDxfId="195" totalsRowDxfId="194">
      <calculatedColumnFormula>COUNTIFS(Avaluacio[Avaluable],"Sí",Avaluacio[Família],ResultatsFamilia[[#This Row],[Família]],Avaluacio[Actualització],"Sí")</calculatedColumnFormula>
    </tableColumn>
    <tableColumn id="14" name="Contingut" totalsRowFunction="custom" dataDxfId="193" totalsRowDxfId="192">
      <calculatedColumnFormula>IFERROR(ResultatsFamilia[[#This Row],[Contingut (ítems)]]/(COUNTIFS(Avaluacio[Avaluable],"Sí",Avaluacio[Família],ResultatsFamilia[[#This Row],[Família]],Avaluacio[Contingut],"Sí")+COUNTIFS(Avaluacio[Avaluable],"Sí",Avaluacio[Família],ResultatsFamilia[[#This Row],[Família]],Avaluacio[Contingut],"No")),NA())</calculatedColumnFormula>
      <totalsRowFormula>IFERROR(ResultatsFamilia[[#Totals],[Contingut (ítems)]]/(COUNTIFS(Avaluacio[Avaluable],"Sí",Avaluacio[Contingut],"Sí")+COUNTIFS(Avaluacio[Avaluable],"Sí",Avaluacio[Contingut],"No")),NA())</totalsRowFormula>
    </tableColumn>
    <tableColumn id="13" name="Actualització" totalsRowFunction="custom" dataDxfId="191" totalsRowDxfId="190">
      <calculatedColumnFormula>IFERROR(ResultatsFamilia[[#This Row],[Actualització (ítems)]]/(COUNTIFS(Avaluacio[Avaluable],"Sí",Avaluacio[Família],ResultatsFamilia[[#This Row],[Família]],Avaluacio[Actualització],"Sí")+COUNTIFS(Avaluacio[Avaluable],"Sí",Avaluacio[Família],ResultatsFamilia[[#This Row],[Família]],Avaluacio[Actualització],"No")),NA())</calculatedColumnFormula>
      <totalsRowFormula>IFERROR(ResultatsFamilia[[#Totals],[Actualització (ítems)]]/(COUNTIFS(Avaluacio[Avaluable],"Sí",Avaluacio[Actualització],"Sí")+COUNTIFS(Avaluacio[Avaluable],"Sí",Avaluacio[Actualització],"No")),NA())</totalsRowFormula>
    </tableColumn>
    <tableColumn id="7" name="Compleix totalment" totalsRowFunction="custom" dataDxfId="189" totalsRowDxfId="188">
      <calculatedColumnFormula>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calculatedColumnFormula>
      <totalsRowFormula>IFERROR(SUBTOTAL(109,ResultatsFamilia[Compleix totalment]),NA())</totalsRowFormula>
    </tableColumn>
    <tableColumn id="8" name="Compleix parcialment" totalsRowFunction="custom" dataDxfId="187" totalsRowDxfId="186">
      <calculatedColumnFormula>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calculatedColumnFormula>
      <totalsRowFormula>IFERROR(SUBTOTAL(109,ResultatsFamilia[Compleix totalment]),NA())</totalsRowFormula>
    </tableColumn>
    <tableColumn id="9" name="No compleix" totalsRowFunction="custom" dataDxfId="185" totalsRowDxfId="184">
      <calculatedColumnFormula>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calculatedColumnFormula>
      <totalsRowFormula>IFERROR(SUBTOTAL(109,ResultatsFamilia[No compleix]),NA())</totalsRowFormula>
    </tableColumn>
    <tableColumn id="10" name="No aplicable" totalsRowFunction="custom" dataDxfId="183" totalsRowDxfId="182">
      <calculatedColumnFormula>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calculatedColumnFormula>
      <totalsRowFormula>IFERROR(SUBTOTAL(109,ResultatsFamilia[No aplicable]),NA())</totalsRowFormula>
    </tableColumn>
    <tableColumn id="11" name="% compliment" totalsRowFunction="custom" dataDxfId="181" totalsRowDxfId="180">
      <calculatedColumnFormula>IFERROR(AVERAGEIFS(Avaluacio[% compliment],Avaluacio[Avaluable],"Sí",Avaluacio[Família],ResultatsFamilia[[#This Row],[Família]]),NA())</calculatedColumnFormula>
      <totalsRowFormula>IFERROR(AVERAGEIFS(Avaluacio[% compliment],Avaluacio[Avaluable],"Sí"),NA())</totalsRowFormula>
    </tableColumn>
  </tableColumns>
  <tableStyleInfo name="TableStyleMedium8 2" showFirstColumn="0" showLastColumn="0" showRowStripes="1" showColumnStripes="0"/>
</table>
</file>

<file path=xl/tables/table4.xml><?xml version="1.0" encoding="utf-8"?>
<table xmlns="http://schemas.openxmlformats.org/spreadsheetml/2006/main" id="12" name="ResultatsTotals" displayName="ResultatsTotals" ref="A40:L43" totalsRowCount="1" headerRowDxfId="179" dataDxfId="178">
  <autoFilter ref="A40:L42"/>
  <tableColumns count="12">
    <tableColumn id="1" name="Totals" totalsRowLabel="Total" dataDxfId="177"/>
    <tableColumn id="2" name="Total ítems" totalsRowFunction="custom" dataDxfId="176" totalsRowDxfId="175">
      <calculatedColumnFormula>COUNTA(Avaluacio[Família])</calculatedColumnFormula>
      <totalsRowFormula>B41/SUM(ResultatsTotals[Total ítems])</totalsRowFormula>
    </tableColumn>
    <tableColumn id="3" name="Ítems avaluats" totalsRowFunction="custom" dataDxfId="174" totalsRowDxfId="173">
      <calculatedColumnFormula>COUNTIFS(Avaluacio[Avaluable],"Sí",Avaluacio[Grau de compliment],"&lt;&gt;No aplicable")</calculatedColumnFormula>
      <totalsRowFormula>IFERROR(C41/SUM(ResultatsTotals[Ítems avaluats]),NA())</totalsRowFormula>
    </tableColumn>
    <tableColumn id="4" name="Contingut (ítems)" totalsRowFunction="sum" dataDxfId="172" totalsRowDxfId="171">
      <calculatedColumnFormula>COUNTIFS(Avaluacio[Avaluable],"Sí",Avaluacio[Contingut],"Sí")</calculatedColumnFormula>
    </tableColumn>
    <tableColumn id="5" name="Actualització (ítems)" totalsRowFunction="sum" dataDxfId="170" totalsRowDxfId="169">
      <calculatedColumnFormula>COUNTIFS(Avaluacio[Avaluable],"Sí",Avaluacio[Actualització],"Sí")</calculatedColumnFormula>
    </tableColumn>
    <tableColumn id="14" name="Contingut" totalsRowFunction="custom" dataDxfId="168" totalsRowDxfId="167">
      <calculatedColumnFormula>ResultatsTotals[[#This Row],[Contingut (ítems)]]/(COUNTIFS(Avaluacio[Avaluable],"Sí",Avaluacio[Contingut],"Sí")+COUNTIFS(Avaluacio[Avaluable],"Sí",Avaluacio[Contingut],"No"))</calculatedColumnFormula>
      <totalsRowFormula>IFERROR(SUBTOTAL(109,ResultatsTotals[Contingut]),NA())</totalsRowFormula>
    </tableColumn>
    <tableColumn id="13" name="Actualització" totalsRowFunction="custom" dataDxfId="166" totalsRowDxfId="165">
      <calculatedColumnFormula>ResultatsTotals[[#This Row],[Actualització (ítems)]]/(COUNTIFS(Avaluacio[Avaluable],"Sí",Avaluacio[Actualització],"Sí")+COUNTIFS(Avaluacio[Avaluable],"Sí",Avaluacio[Actualització],"No"))</calculatedColumnFormula>
      <totalsRowFormula>IFERROR(SUBTOTAL(109,ResultatsTotals[Actualització]),NA())</totalsRowFormula>
    </tableColumn>
    <tableColumn id="7" name="Compleix totalment" totalsRowFunction="sum" totalsRowDxfId="164">
      <calculatedColumnFormula>COUNTIFS(Avaluacio[Avaluable],"Sí",Avaluacio[Grau de compliment],"&lt;&gt;Compleix totalment")</calculatedColumnFormula>
    </tableColumn>
    <tableColumn id="8" name="Compleix parcialment" totalsRowFunction="sum" totalsRowDxfId="163">
      <calculatedColumnFormula>COUNTIFS(Avaluacio[Avaluable],"Sí",Avaluacio[Grau de compliment],"Compleix parcialment")</calculatedColumnFormula>
    </tableColumn>
    <tableColumn id="9" name="No compleix" totalsRowFunction="sum" totalsRowDxfId="162">
      <calculatedColumnFormula>COUNTIFS(Avaluacio[Avaluable],"Sí",Avaluacio[Grau de compliment],"No compleix")</calculatedColumnFormula>
    </tableColumn>
    <tableColumn id="10" name="No aplicable" totalsRowFunction="sum" totalsRowDxfId="161">
      <calculatedColumnFormula>COUNTIFS(Avaluacio[Avaluable],"Sí",Avaluacio[Grau de compliment],"No aplicable")</calculatedColumnFormula>
    </tableColumn>
    <tableColumn id="11" name="% compliment" totalsRowFunction="custom" dataDxfId="160" totalsRowDxfId="159">
      <calculatedColumnFormula>IFERROR(AVERAGEIFS(Avaluacio[% compliment],Avaluacio[Avaluable],"Sí"),"")</calculatedColumnFormula>
      <totalsRowFormula>IFERROR(SUBTOTAL(109,ResultatsTotals[% compliment]),NA())</totalsRowFormula>
    </tableColumn>
  </tableColumns>
  <tableStyleInfo name="TableStyleMedium8 2" showFirstColumn="0" showLastColumn="0" showRowStripes="1" showColumnStripes="0"/>
</table>
</file>

<file path=xl/tables/table5.xml><?xml version="1.0" encoding="utf-8"?>
<table xmlns="http://schemas.openxmlformats.org/spreadsheetml/2006/main" id="7" name="ResultatsFase" displayName="ResultatsFase" ref="A32:L38" totalsRowCount="1" headerRowDxfId="158" dataDxfId="157">
  <autoFilter ref="A32:L37"/>
  <tableColumns count="12">
    <tableColumn id="1" name="Fase d'avaluació" totalsRowLabel="Total" dataDxfId="156">
      <calculatedColumnFormula>IF(RIGHT('1_Plantejament'!B7,1)&lt;=1,"Fase 1","")</calculatedColumnFormula>
    </tableColumn>
    <tableColumn id="2" name="Total ítems" totalsRowFunction="sum" dataDxfId="155" totalsRowDxfId="154">
      <calculatedColumnFormula>COUNTIF(Avaluacio[Fase],"Fase 1")</calculatedColumnFormula>
    </tableColumn>
    <tableColumn id="3" name="Ítems avaluats" totalsRowFunction="sum" dataDxfId="153" totalsRowDxfId="152">
      <calculatedColumnFormula>COUNTIFS(Avaluacio[Avaluable],"Sí",Avaluacio[Fase],ResultatsFase[[#This Row],[Fase d''avaluació]],Avaluacio[Grau de compliment],"&lt;&gt;No aplicable")</calculatedColumnFormula>
    </tableColumn>
    <tableColumn id="4" name="Contingut (ítems)" totalsRowFunction="sum" dataDxfId="151" totalsRowDxfId="150">
      <calculatedColumnFormula>COUNTIFS(Avaluacio[Avaluable],"Sí",Avaluacio[Fase],ResultatsFase[[#This Row],[Fase d''avaluació]],Avaluacio[Contingut],"Sí")</calculatedColumnFormula>
    </tableColumn>
    <tableColumn id="5" name="Actualització (ítems)" totalsRowFunction="sum" dataDxfId="149" totalsRowDxfId="148">
      <calculatedColumnFormula>COUNTIFS(Avaluacio[Avaluable],"Sí",Avaluacio[Fase],ResultatsFase[[#This Row],[Fase d''avaluació]],Avaluacio[Actualització],"Sí")</calculatedColumnFormula>
    </tableColumn>
    <tableColumn id="14" name="Contingut" totalsRowFunction="custom" dataDxfId="147" totalsRowDxfId="146">
      <calculatedColumnFormula>IFERROR(ResultatsFase[[#This Row],[Contingut (ítems)]]/(COUNTIFS(Avaluacio[Avaluable],"Sí",Avaluacio[Fase],ResultatsFase[[#This Row],[Fase d''avaluació]],Avaluacio[Contingut],"Sí")+COUNTIFS(Avaluacio[Avaluable],"Sí",Avaluacio[Fase],ResultatsFase[[#This Row],[Fase d''avaluació]],Avaluacio[Contingut],"No")),NA())</calculatedColumnFormula>
      <totalsRowFormula>IFERROR(ResultatsFase[[#Totals],[Contingut (ítems)]]/(COUNTIFS(Avaluacio[Avaluable],"Sí",Avaluacio[Contingut],"Sí")+COUNTIFS(Avaluacio[Avaluable],"Sí",Avaluacio[Contingut],"No")),NA())</totalsRowFormula>
    </tableColumn>
    <tableColumn id="13" name="Actualització" totalsRowFunction="custom" dataDxfId="145" totalsRowDxfId="144">
      <calculatedColumnFormula>IFERROR(ResultatsFase[[#This Row],[Actualització (ítems)]]/(COUNTIFS(Avaluacio[Avaluable],"Sí",Avaluacio[Fase],ResultatsFase[[#This Row],[Fase d''avaluació]],Avaluacio[Actualització],"Sí")+COUNTIFS(Avaluacio[Avaluable],"Sí",Avaluacio[Fase],ResultatsFase[[#This Row],[Fase d''avaluació]],Avaluacio[Actualització],"No")),NA())</calculatedColumnFormula>
      <totalsRowFormula>IFERROR(ResultatsFase[[#Totals],[Actualització (ítems)]]/(COUNTIFS(Avaluacio[Avaluable],"Sí",Avaluacio[Actualització],"Sí")+COUNTIFS(Avaluacio[Avaluable],"Sí",Avaluacio[Actualització],"No")),NA())</totalsRowFormula>
    </tableColumn>
    <tableColumn id="7" name="Compleix totalment" totalsRowFunction="custom" dataDxfId="143" totalsRowDxfId="142">
      <calculatedColumnFormula>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calculatedColumnFormula>
      <totalsRowFormula>IFERROR(SUBTOTAL(109,ResultatsFase[Compleix totalment]),NA())</totalsRowFormula>
    </tableColumn>
    <tableColumn id="8" name="Compleix parcialment" totalsRowFunction="custom" dataDxfId="141" totalsRowDxfId="140">
      <calculatedColumnFormula>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calculatedColumnFormula>
      <totalsRowFormula>IFERROR(SUBTOTAL(109,ResultatsFase[Compleix parcialment]),NA())</totalsRowFormula>
    </tableColumn>
    <tableColumn id="9" name="No compleix" totalsRowFunction="custom" dataDxfId="139" totalsRowDxfId="138">
      <calculatedColumnFormula>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calculatedColumnFormula>
      <totalsRowFormula>IFERROR(SUBTOTAL(109,ResultatsFase[No compleix]),NA())</totalsRowFormula>
    </tableColumn>
    <tableColumn id="10" name="No aplicable" totalsRowFunction="custom" dataDxfId="137" totalsRowDxfId="136">
      <calculatedColumnFormula>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calculatedColumnFormula>
      <totalsRowFormula>IFERROR(SUBTOTAL(109,ResultatsFase[No aplicable]),NA())</totalsRowFormula>
    </tableColumn>
    <tableColumn id="11" name="% compliment" totalsRowFunction="custom" dataDxfId="135" totalsRowDxfId="134">
      <calculatedColumnFormula>IFERROR(AVERAGEIFS(Avaluacio[% compliment],Avaluacio[Avaluable],"Sí",Avaluacio[Fase],ResultatsFase[[#This Row],[Fase d''avaluació]]),NA())</calculatedColumnFormula>
      <totalsRowFormula>IFERROR(AVERAGEIFS(Avaluacio[% compliment],Avaluacio[Avaluable],"Sí"),NA())</totalsRowFormula>
    </tableColumn>
  </tableColumns>
  <tableStyleInfo name="TableStyleMedium8 2" showFirstColumn="0" showLastColumn="0" showRowStripes="1" showColumnStripes="0"/>
</table>
</file>

<file path=xl/tables/table6.xml><?xml version="1.0" encoding="utf-8"?>
<table xmlns="http://schemas.openxmlformats.org/spreadsheetml/2006/main" id="3" name="DadesObertes" displayName="DadesObertes" ref="A1:M148" totalsRowShown="0" headerRowDxfId="133">
  <autoFilter ref="A1:M148"/>
  <tableColumns count="13">
    <tableColumn id="1" name="Ens" dataDxfId="132">
      <calculatedColumnFormula array="1">IFERROR(IF(VLOOKUP($E2,Avaluacio[],COLUMN(Avaluacio[Codi ítem]),FALSE)=$E2,'1_Plantejament'!$B$5,""),"")</calculatedColumnFormula>
    </tableColumn>
    <tableColumn id="2" name="Any de l’avaluació" dataDxfId="131">
      <calculatedColumnFormula array="1">IFERROR(IF(VLOOKUP($E2,Avaluacio[],COLUMN(Avaluacio[Codi ítem]),FALSE)=$E2,'1_Plantejament'!$B$9,""),"")</calculatedColumnFormula>
    </tableColumn>
    <tableColumn id="3" name="Data" dataDxfId="130">
      <calculatedColumnFormula array="1">IFERROR(IF(VLOOKUP($E2,Avaluacio[],COLUMN(Avaluacio[Codi ítem]),FALSE)=$E2,'1_Plantejament'!$B$10,""),"")</calculatedColumnFormula>
    </tableColumn>
    <tableColumn id="4" name="Fase d'avaluació" dataDxfId="129">
      <calculatedColumnFormula array="1">IFERROR(IF(VLOOKUP($E2,Avaluacio[],COLUMN(Avaluacio[Codi ítem]),FALSE)=$E2,'1_Plantejament'!$B$7,""),"")</calculatedColumnFormula>
    </tableColumn>
    <tableColumn id="5" name="Codi ítem" dataDxfId="128">
      <calculatedColumnFormula array="1">IFERROR(INDEX(Avaluacio[Codi ítem],(MATCH(0,INDEX(COUNTIF(E$1:E1,Avaluacio[Codi ítem]),0,0)+INDEX(Avaluacio[Avaluable]="No",0,0),0))),"")</calculatedColumnFormula>
    </tableColumn>
    <tableColumn id="6" name="Ítem" dataDxfId="127">
      <calculatedColumnFormula array="1">IFERROR(VLOOKUP(E2,Avaluacio[],COLUMN(Avaluacio[Ítem]),FALSE),"")</calculatedColumnFormula>
    </tableColumn>
    <tableColumn id="7" name="Família" dataDxfId="126">
      <calculatedColumnFormula array="1">IFERROR(VLOOKUP(E2,Avaluacio[],COLUMN(Avaluacio[Família]),FALSE),"")</calculatedColumnFormula>
    </tableColumn>
    <tableColumn id="8" name="Subfamília" dataDxfId="125">
      <calculatedColumnFormula array="1">IFERROR(VLOOKUP(E2,Avaluacio[],COLUMN(Avaluacio[Subfamília]),FALSE),"")</calculatedColumnFormula>
    </tableColumn>
    <tableColumn id="9" name="Contingut" dataDxfId="124">
      <calculatedColumnFormula array="1">IFERROR(VLOOKUP(E2,Avaluacio[],COLUMN(Avaluacio[Contingut]),FALSE),"")</calculatedColumnFormula>
    </tableColumn>
    <tableColumn id="10" name="Actualització" dataDxfId="123">
      <calculatedColumnFormula array="1">IFERROR(VLOOKUP(E2,Avaluacio[],COLUMN(Avaluacio[Actualització]),FALSE),"")</calculatedColumnFormula>
    </tableColumn>
    <tableColumn id="11" name="Reutilització" dataDxfId="122">
      <calculatedColumnFormula array="1">IFERROR(VLOOKUP(E2,Avaluacio[],COLUMN(#REF!),FALSE),"")</calculatedColumnFormula>
    </tableColumn>
    <tableColumn id="12" name="Grau de compliment" dataDxfId="121">
      <calculatedColumnFormula array="1">IFERROR(VLOOKUP(E2,Avaluacio[],COLUMN(Avaluacio[Grau de compliment]),FALSE),"")</calculatedColumnFormula>
    </tableColumn>
    <tableColumn id="13" name="% compliment" dataDxfId="120">
      <calculatedColumnFormula array="1">IFERROR(VLOOKUP(E2,Avaluacio[],COLUMN(Avaluacio[% compliment]),FALSE),"")</calculatedColumnFormula>
    </tableColumn>
  </tableColumns>
  <tableStyleInfo name="TableStyleLight1" showFirstColumn="0" showLastColumn="0" showRowStripes="0" showColumnStripes="0"/>
</table>
</file>

<file path=xl/tables/table7.xml><?xml version="1.0" encoding="utf-8"?>
<table xmlns="http://schemas.openxmlformats.org/spreadsheetml/2006/main" id="4" name="Metodologia" displayName="Metodologia" ref="A1:AH149" tableType="queryTable" totalsRowCount="1" headerRowDxfId="108" dataDxfId="107" totalsRowDxfId="106">
  <autoFilter ref="A1:AH148"/>
  <tableColumns count="34">
    <tableColumn id="1" uniqueName="1" name="Codi ítem" queryTableFieldId="1" dataDxfId="105" totalsRowDxfId="104"/>
    <tableColumn id="33" uniqueName="33" name="Fase" queryTableFieldId="51" dataDxfId="103" totalsRowDxfId="102"/>
    <tableColumn id="2" uniqueName="2" name="Família" queryTableFieldId="2" dataDxfId="101" totalsRowDxfId="100"/>
    <tableColumn id="3" uniqueName="3" name="Subfamília" queryTableFieldId="3" dataDxfId="99" totalsRowDxfId="98"/>
    <tableColumn id="4" uniqueName="4" name="Ítem" queryTableFieldId="4" dataDxfId="97" totalsRowDxfId="96"/>
    <tableColumn id="5" uniqueName="5" name="Codi Municat" queryTableFieldId="5" dataDxfId="95" totalsRowDxfId="94"/>
    <tableColumn id="6" uniqueName="6" name="Tipus ítem" queryTableFieldId="6" dataDxfId="93" totalsRowDxfId="92"/>
    <tableColumn id="59" uniqueName="59" name="A qui afecta?" queryTableFieldId="73" dataDxfId="91" totalsRowDxfId="90"/>
    <tableColumn id="61" uniqueName="61" name="Prioritat" queryTableFieldId="75" dataDxfId="89" totalsRowDxfId="88">
      <calculatedColumnFormula>(Metodologia[[#This Row],[Visites]]*0.15)/MAX(Metodologia[Visites])</calculatedColumnFormula>
    </tableColumn>
    <tableColumn id="22" uniqueName="22" name="Obligació de la LT de publicitar obligacions legals?" queryTableFieldId="22" dataDxfId="87" totalsRowDxfId="86"/>
    <tableColumn id="28" uniqueName="28" name="Obligació LTC i reglament" queryTableFieldId="30" dataDxfId="85" totalsRowDxfId="84"/>
    <tableColumn id="31" uniqueName="31" name="Obligació normativa sectorial" queryTableFieldId="33" dataDxfId="83" totalsRowDxfId="82"/>
    <tableColumn id="27" uniqueName="27" name="Equivalència avaluació Síndic" queryTableFieldId="29" dataDxfId="81" totalsRowDxfId="80"/>
    <tableColumn id="43" uniqueName="43" name="Revisió/actualització" queryTableFieldId="48" dataDxfId="79" totalsRowDxfId="78"/>
    <tableColumn id="8" uniqueName="8" name="Visites" queryTableFieldId="79" dataDxfId="77" totalsRowDxfId="76"/>
    <tableColumn id="7" uniqueName="7" name="Informació complementària" queryTableFieldId="78" dataDxfId="75" totalsRowDxfId="74"/>
    <tableColumn id="10" uniqueName="10" name="Freqüència actualització requerida" queryTableFieldId="10" dataDxfId="73" totalsRowDxfId="72"/>
    <tableColumn id="11" uniqueName="11" name="Llei 19/2014 CAT" queryTableFieldId="11" dataDxfId="71" totalsRowDxfId="70"/>
    <tableColumn id="12" uniqueName="12" name="Llei 19/2013 ESP" queryTableFieldId="12" dataDxfId="69" totalsRowDxfId="68"/>
    <tableColumn id="13" uniqueName="13" name="Decret 8/2021" queryTableFieldId="13" dataDxfId="67" totalsRowDxfId="66"/>
    <tableColumn id="14" uniqueName="14" name="Observacions a la normativa" queryTableFieldId="14" dataDxfId="65" totalsRowDxfId="64"/>
    <tableColumn id="19" uniqueName="19" name="Enllaç Municat" queryTableFieldId="19" dataDxfId="63" totalsRowDxfId="62"/>
    <tableColumn id="55" uniqueName="55" name="Aplica Ens Local" queryTableFieldId="69" dataDxfId="61" totalsRowDxfId="60"/>
    <tableColumn id="34" uniqueName="34" name="Aplica OAL" queryTableFieldId="67" dataDxfId="59" totalsRowDxfId="58"/>
    <tableColumn id="42" uniqueName="42" name="Aplica EPEL" queryTableFieldId="66" dataDxfId="57" totalsRowDxfId="56"/>
    <tableColumn id="45" uniqueName="45" name="Aplica SOC100%" queryTableFieldId="65" dataDxfId="55" totalsRowDxfId="54"/>
    <tableColumn id="46" uniqueName="46" name="Aplica SOCMIX" queryTableFieldId="64" dataDxfId="53" totalsRowDxfId="52"/>
    <tableColumn id="47" uniqueName="47" name="Aplica CONS" queryTableFieldId="63" dataDxfId="51" totalsRowDxfId="50"/>
    <tableColumn id="48" uniqueName="48" name="Aplica FUND" queryTableFieldId="62" dataDxfId="49" totalsRowDxfId="48"/>
    <tableColumn id="49" uniqueName="49" name="Aplica MANC" queryTableFieldId="61" dataDxfId="47" totalsRowDxfId="46"/>
    <tableColumn id="58" uniqueName="58" name="Exemples Compleix Totalment" queryTableFieldId="72" dataDxfId="45" totalsRowDxfId="44"/>
    <tableColumn id="51" uniqueName="51" name="Exemples Compleix Parcialment" queryTableFieldId="59" dataDxfId="43" totalsRowDxfId="42"/>
    <tableColumn id="52" uniqueName="52" name="Exemples No Compleix" queryTableFieldId="58" dataDxfId="41" totalsRowDxfId="40"/>
    <tableColumn id="53" uniqueName="53" name="Criteris No aplica" queryTableFieldId="57" dataDxfId="39" totalsRowDxfId="38"/>
  </tableColumns>
  <tableStyleInfo name="TableStyleMedium8 2" showFirstColumn="0" showLastColumn="0" showRowStripes="1" showColumnStripes="0"/>
</table>
</file>

<file path=xl/tables/table8.xml><?xml version="1.0" encoding="utf-8"?>
<table xmlns="http://schemas.openxmlformats.org/spreadsheetml/2006/main" id="2" name="Fases" displayName="Fases" ref="A1:K7" totalsRowCount="1" headerRowDxfId="37" dataDxfId="36">
  <autoFilter ref="A1:K6"/>
  <tableColumns count="11">
    <tableColumn id="1" name="Fases" totalsRowLabel="Total" dataDxfId="35" totalsRowDxfId="34"/>
    <tableColumn id="2" name="Criteri de selecció" dataDxfId="33" totalsRowDxfId="32"/>
    <tableColumn id="3" name="Total" totalsRowFunction="sum" dataDxfId="31" totalsRowDxfId="30">
      <calculatedColumnFormula>COUNTIF(Metodologia[Fase],Fases[[#This Row],[Fases]])</calculatedColumnFormula>
    </tableColumn>
    <tableColumn id="4" name="Aplica Ens Local" totalsRowFunction="sum" dataDxfId="29" totalsRowDxfId="28">
      <calculatedColumnFormula>COUNTIFS(Metodologia[Fase],Fases[[#This Row],[Fases]],Metodologia[Aplica Ens Local],"Sí")</calculatedColumnFormula>
    </tableColumn>
    <tableColumn id="5" name="Aplica OAL" totalsRowFunction="sum" dataDxfId="27" totalsRowDxfId="26">
      <calculatedColumnFormula>COUNTIFS(Metodologia[Fase],Fases[[#This Row],[Fases]],Metodologia[Aplica OAL],"Sí")+COUNTIFS(Metodologia[Fase],Fases[[#This Row],[Fases]],Metodologia[Aplica OAL],"No, pero és recomanable")</calculatedColumnFormula>
    </tableColumn>
    <tableColumn id="6" name="Aplica EPEL" totalsRowFunction="sum" dataDxfId="25" totalsRowDxfId="24">
      <calculatedColumnFormula>COUNTIFS(Metodologia[Fase],Fases[[#This Row],[Fases]],Metodologia[Aplica EPEL],"Sí")+COUNTIFS(Metodologia[Fase],Fases[[#This Row],[Fases]],Metodologia[Aplica EPEL],"No, pero és recomanable")</calculatedColumnFormula>
    </tableColumn>
    <tableColumn id="7" name="Aplica SOC100%" totalsRowFunction="sum" dataDxfId="23" totalsRowDxfId="22">
      <calculatedColumnFormula>COUNTIFS(Metodologia[Fase],Fases[[#This Row],[Fases]],Metodologia[Aplica SOC100%],"Sí")+COUNTIFS(Metodologia[Fase],Fases[[#This Row],[Fases]],Metodologia[Aplica SOC100%],"No, pero és recomanable")</calculatedColumnFormula>
    </tableColumn>
    <tableColumn id="8" name="Aplica SOCMIX" totalsRowFunction="sum" dataDxfId="21" totalsRowDxfId="20">
      <calculatedColumnFormula>COUNTIFS(Metodologia[Fase],Fases[[#This Row],[Fases]],Metodologia[Aplica SOCMIX],"Sí")+COUNTIFS(Metodologia[Fase],Fases[[#This Row],[Fases]],Metodologia[Aplica SOCMIX],"No, pero és recomanable")</calculatedColumnFormula>
    </tableColumn>
    <tableColumn id="9" name="Aplica CONS" totalsRowFunction="sum" dataDxfId="19" totalsRowDxfId="18">
      <calculatedColumnFormula>COUNTIFS(Metodologia[Fase],Fases[[#This Row],[Fases]],Metodologia[Aplica CONS],"Sí")+COUNTIFS(Metodologia[Fase],Fases[[#This Row],[Fases]],Metodologia[Aplica CONS],"No, pero és recomanable")</calculatedColumnFormula>
    </tableColumn>
    <tableColumn id="10" name="Aplica FUND" totalsRowFunction="sum" dataDxfId="17" totalsRowDxfId="16">
      <calculatedColumnFormula>COUNTIFS(Metodologia[Fase],Fases[[#This Row],[Fases]],Metodologia[Aplica FUND],"Sí")+COUNTIFS(Metodologia[Fase],Fases[[#This Row],[Fases]],Metodologia[Aplica FUND],"No, pero és recomanable")</calculatedColumnFormula>
    </tableColumn>
    <tableColumn id="11" name="Aplica MANC" totalsRowFunction="sum" dataDxfId="15" totalsRowDxfId="14">
      <calculatedColumnFormula>COUNTIFS(Metodologia[Fase],Fases[[#This Row],[Fases]],Metodologia[Aplica MANC],"Sí")+COUNTIFS(Metodologia[Fase],Fases[[#This Row],[Fases]],Metodologia[Aplica MANC],"No, pero és recomanable")</calculatedColumnFormula>
    </tableColumn>
  </tableColumns>
  <tableStyleInfo name="TableStyleMedium8 2" showFirstColumn="0" showLastColumn="0" showRowStripes="1" showColumnStripes="0"/>
</table>
</file>

<file path=xl/tables/table9.xml><?xml version="1.0" encoding="utf-8"?>
<table xmlns="http://schemas.openxmlformats.org/spreadsheetml/2006/main" id="1" name="Taula1_TipusEns" displayName="Taula1_TipusEns" ref="A1:C14" totalsRowShown="0">
  <autoFilter ref="A1:C14"/>
  <tableColumns count="3">
    <tableColumn id="1" name="Tipus d'ens"/>
    <tableColumn id="2" name="Aplica"/>
    <tableColumn id="4" name="Columna" dataDxfId="13">
      <calculatedColumnFormula>MATCH(Taula1_TipusEns[[#This Row],[Aplica]],Metodologia[#Headers],0)</calculatedColumnFormula>
    </tableColumn>
  </tableColumns>
  <tableStyleInfo name="TableStyleMedium8 2" showFirstColumn="0" showLastColumn="0" showRowStripes="1" showColumnStripes="0"/>
</table>
</file>

<file path=xl/theme/theme1.xml><?xml version="1.0" encoding="utf-8"?>
<a:theme xmlns:a="http://schemas.openxmlformats.org/drawingml/2006/main" name="Tema de Office">
  <a:themeElements>
    <a:clrScheme name="AOC">
      <a:dk1>
        <a:srgbClr val="1B2124"/>
      </a:dk1>
      <a:lt1>
        <a:srgbClr val="FFFFFF"/>
      </a:lt1>
      <a:dk2>
        <a:srgbClr val="656D72"/>
      </a:dk2>
      <a:lt2>
        <a:srgbClr val="E5E6E8"/>
      </a:lt2>
      <a:accent1>
        <a:srgbClr val="005CD1"/>
      </a:accent1>
      <a:accent2>
        <a:srgbClr val="118151"/>
      </a:accent2>
      <a:accent3>
        <a:srgbClr val="A91DCE"/>
      </a:accent3>
      <a:accent4>
        <a:srgbClr val="DA0229"/>
      </a:accent4>
      <a:accent5>
        <a:srgbClr val="F47648"/>
      </a:accent5>
      <a:accent6>
        <a:srgbClr val="FFD06A"/>
      </a:accent6>
      <a:hlink>
        <a:srgbClr val="14857A"/>
      </a:hlink>
      <a:folHlink>
        <a:srgbClr val="7048E8"/>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seu-e.cat/ca/web/blanes/govern-obert-i-transparencia/informacio-institucional-i-organitzativa/bon-govern-i-integritat-publica/codi-de-conducta-dels-alts-carrecs-i-de-bon-gover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table" Target="../tables/table9.xml"/><Relationship Id="rId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0"/>
  <sheetViews>
    <sheetView tabSelected="1" workbookViewId="0">
      <selection activeCell="B10" sqref="B10"/>
    </sheetView>
  </sheetViews>
  <sheetFormatPr baseColWidth="10" defaultColWidth="9" defaultRowHeight="13.8" x14ac:dyDescent="0.25"/>
  <cols>
    <col min="1" max="1" width="29" customWidth="1"/>
    <col min="2" max="2" width="67.5" customWidth="1"/>
  </cols>
  <sheetData>
    <row r="1" spans="1:2" ht="22.8" x14ac:dyDescent="0.25">
      <c r="A1" s="49" t="s">
        <v>885</v>
      </c>
    </row>
    <row r="2" spans="1:2" ht="20.100000000000001" customHeight="1" x14ac:dyDescent="0.25">
      <c r="A2" s="50" t="s">
        <v>1228</v>
      </c>
      <c r="B2" s="50"/>
    </row>
    <row r="3" spans="1:2" ht="20.100000000000001" customHeight="1" x14ac:dyDescent="0.25"/>
    <row r="4" spans="1:2" ht="20.100000000000001" customHeight="1" thickBot="1" x14ac:dyDescent="0.3">
      <c r="A4" s="51" t="s">
        <v>1231</v>
      </c>
      <c r="B4" s="51"/>
    </row>
    <row r="5" spans="1:2" ht="20.100000000000001" customHeight="1" thickTop="1" thickBot="1" x14ac:dyDescent="0.3">
      <c r="A5" s="52" t="s">
        <v>908</v>
      </c>
      <c r="B5" s="60" t="s">
        <v>1233</v>
      </c>
    </row>
    <row r="6" spans="1:2" ht="20.100000000000001" customHeight="1" thickBot="1" x14ac:dyDescent="0.3">
      <c r="A6" s="53" t="s">
        <v>909</v>
      </c>
      <c r="B6" s="59" t="s">
        <v>871</v>
      </c>
    </row>
    <row r="7" spans="1:2" ht="20.100000000000001" customHeight="1" thickBot="1" x14ac:dyDescent="0.3">
      <c r="A7" s="53" t="s">
        <v>910</v>
      </c>
      <c r="B7" s="59" t="s">
        <v>626</v>
      </c>
    </row>
    <row r="8" spans="1:2" ht="20.100000000000001" customHeight="1" thickBot="1" x14ac:dyDescent="0.3">
      <c r="A8" s="53" t="s">
        <v>911</v>
      </c>
      <c r="B8" s="58">
        <f>COUNTIF(Avaluacio[Avaluable],"Sí")</f>
        <v>146</v>
      </c>
    </row>
    <row r="9" spans="1:2" ht="20.100000000000001" customHeight="1" thickBot="1" x14ac:dyDescent="0.3">
      <c r="A9" s="53" t="s">
        <v>912</v>
      </c>
      <c r="B9" s="56">
        <v>2026</v>
      </c>
    </row>
    <row r="10" spans="1:2" ht="20.100000000000001" customHeight="1" thickBot="1" x14ac:dyDescent="0.3">
      <c r="A10" s="53" t="s">
        <v>913</v>
      </c>
      <c r="B10" s="57">
        <v>46206</v>
      </c>
    </row>
  </sheetData>
  <sheetProtection algorithmName="SHA-512" hashValue="jXerYmZUBv8RUSQnrb3ik/yjJDqk/ZQlc6vQ7nmIbCVN2JS/LYKKz8Ga48m7SF/CU8ghf703Ea+zKx+Yo8JMJw==" saltValue="G45wojs7Qdq4qvI5Ox7fKg==" spinCount="100000" sheet="1" objects="1" scenarios="1"/>
  <conditionalFormatting sqref="B5">
    <cfRule type="cellIs" dxfId="270" priority="1" operator="equal">
      <formula>"Indiqueu el nom oficial de l'ens avaluat"</formula>
    </cfRule>
  </conditionalFormatting>
  <conditionalFormatting sqref="B6:B7">
    <cfRule type="cellIs" dxfId="269" priority="2" operator="equal">
      <formula>"Seleccioneu..."</formula>
    </cfRule>
  </conditionalFormatting>
  <conditionalFormatting sqref="B8">
    <cfRule type="cellIs" dxfId="268" priority="3" operator="equal">
      <formula>0</formula>
    </cfRule>
  </conditionalFormatting>
  <conditionalFormatting sqref="B9">
    <cfRule type="cellIs" dxfId="267" priority="4" operator="equal">
      <formula>"aaaa"</formula>
    </cfRule>
  </conditionalFormatting>
  <conditionalFormatting sqref="B10">
    <cfRule type="cellIs" dxfId="266" priority="5" operator="equal">
      <formula>"dd/mm/aaaa"</formula>
    </cfRule>
  </conditionalFormatting>
  <dataValidations count="4">
    <dataValidation type="list" allowBlank="1" showInputMessage="1" showErrorMessage="1" sqref="B6">
      <formula1>Desp1_TipusEns</formula1>
    </dataValidation>
    <dataValidation type="list" allowBlank="1" showInputMessage="1" showErrorMessage="1" sqref="B7">
      <formula1>Desp2_Fases</formula1>
    </dataValidation>
    <dataValidation type="whole" allowBlank="1" showInputMessage="1" showErrorMessage="1" sqref="B9">
      <formula1>2000</formula1>
      <formula2>2100</formula2>
    </dataValidation>
    <dataValidation type="date" operator="greaterThan" allowBlank="1" showInputMessage="1" showErrorMessage="1" sqref="B10">
      <formula1>36526</formula1>
    </dataValidation>
  </dataValidations>
  <pageMargins left="0.7" right="0.7" top="0.75" bottom="0.75" header="0.3" footer="0.3"/>
  <pageSetup paperSize="9"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9"/>
  <sheetViews>
    <sheetView workbookViewId="0">
      <selection activeCell="I142" sqref="I142"/>
    </sheetView>
  </sheetViews>
  <sheetFormatPr baseColWidth="10" defaultColWidth="8.8984375" defaultRowHeight="13.8" x14ac:dyDescent="0.25"/>
  <cols>
    <col min="1" max="1" width="9" style="6" bestFit="1" customWidth="1"/>
    <col min="2" max="2" width="10.59765625" style="6" customWidth="1"/>
    <col min="3" max="3" width="17.19921875" customWidth="1"/>
    <col min="4" max="4" width="19.8984375" customWidth="1"/>
    <col min="5" max="5" width="16" customWidth="1"/>
    <col min="6" max="6" width="7.09765625" style="6" bestFit="1" customWidth="1"/>
    <col min="7" max="8" width="15.19921875" customWidth="1"/>
    <col min="9" max="9" width="25.19921875" customWidth="1"/>
    <col min="10" max="10" width="13.09765625" customWidth="1"/>
    <col min="11" max="11" width="11.69921875" customWidth="1"/>
    <col min="12" max="12" width="30.59765625" customWidth="1"/>
    <col min="13" max="14" width="11.69921875" customWidth="1"/>
  </cols>
  <sheetData>
    <row r="1" spans="1:14" ht="27.6" x14ac:dyDescent="0.25">
      <c r="A1" s="6" t="s">
        <v>649</v>
      </c>
      <c r="B1" s="6" t="s">
        <v>650</v>
      </c>
      <c r="C1" t="s">
        <v>887</v>
      </c>
      <c r="D1" t="s">
        <v>651</v>
      </c>
      <c r="E1" t="s">
        <v>652</v>
      </c>
      <c r="F1" s="6" t="s">
        <v>933</v>
      </c>
      <c r="G1" t="s">
        <v>640</v>
      </c>
      <c r="H1" t="s">
        <v>641</v>
      </c>
      <c r="I1" t="s">
        <v>653</v>
      </c>
      <c r="J1" t="s">
        <v>654</v>
      </c>
      <c r="K1" t="s">
        <v>655</v>
      </c>
      <c r="L1" t="s">
        <v>869</v>
      </c>
      <c r="M1" t="s">
        <v>944</v>
      </c>
      <c r="N1" t="s">
        <v>945</v>
      </c>
    </row>
    <row r="2" spans="1:14" ht="55.2" x14ac:dyDescent="0.25">
      <c r="A2" s="6" t="s">
        <v>957</v>
      </c>
      <c r="B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 s="1" t="str">
        <f>VLOOKUP(Avaluacio[[#This Row],[Codi ítem]],Metodologia[[Codi ítem]:[Ítem]],COLUMN(Metodologia[[#Headers],[Ítem]]),FALSE)</f>
        <v>Competències i funcions</v>
      </c>
      <c r="D2" t="str">
        <f>VLOOKUP(Avaluacio[[#This Row],[Codi ítem]],Metodologia[[Codi ítem]:[Família]],COLUMN(Metodologia[[#Headers],[Família]]),FALSE)</f>
        <v>Informació institucional i organitzativa</v>
      </c>
      <c r="E2" t="e">
        <f>VLOOKUP(Avaluacio[[#This Row],[Codi ítem]],Metodologia[[Codi ítem]:[Fase]],COLUMN(Metodologia[[#Headers],[Subfamília]]),FALSE)</f>
        <v>#REF!</v>
      </c>
      <c r="F2" s="6" t="str">
        <f>VLOOKUP(Avaluacio[[#This Row],[Codi ítem]],Metodologia[[Codi ítem]:[Fase]],COLUMN(Metodologia[[#Headers],[Fase]]),FALSE)</f>
        <v>Fase 3</v>
      </c>
      <c r="G2" s="54" t="s">
        <v>620</v>
      </c>
      <c r="H2" s="54" t="s">
        <v>620</v>
      </c>
      <c r="I2" s="55" t="s">
        <v>1243</v>
      </c>
      <c r="J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https://municat.gencat.cat/ca/Temes/Transparencia/Items-de-transparencia/1.1.1.Competencies-i-funcions</v>
      </c>
      <c r="M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1.0070557712971515</v>
      </c>
      <c r="N2" s="8" t="str">
        <f>Avaluacio[[#This Row],[Codi ítem]]</f>
        <v>XGO001</v>
      </c>
    </row>
    <row r="3" spans="1:14" ht="55.2" x14ac:dyDescent="0.25">
      <c r="A3" s="6" t="s">
        <v>958</v>
      </c>
      <c r="B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 s="1" t="str">
        <f>VLOOKUP(Avaluacio[[#This Row],[Codi ítem]],Metodologia[[Codi ítem]:[Ítem]],COLUMN(Metodologia[[#Headers],[Ítem]]),FALSE)</f>
        <v>Organigrama de l'ens</v>
      </c>
      <c r="D3" t="str">
        <f>VLOOKUP(Avaluacio[[#This Row],[Codi ítem]],Metodologia[[Codi ítem]:[Família]],COLUMN(Metodologia[[#Headers],[Família]]),FALSE)</f>
        <v>Informació institucional i organitzativa</v>
      </c>
      <c r="E3" t="e">
        <f>VLOOKUP(Avaluacio[[#This Row],[Codi ítem]],Metodologia[[Codi ítem]:[Fase]],COLUMN(Metodologia[[#Headers],[Subfamília]]),FALSE)</f>
        <v>#REF!</v>
      </c>
      <c r="F3" s="6" t="str">
        <f>VLOOKUP(Avaluacio[[#This Row],[Codi ítem]],Metodologia[[Codi ítem]:[Fase]],COLUMN(Metodologia[[#Headers],[Fase]]),FALSE)</f>
        <v>Fase 3</v>
      </c>
      <c r="G3" s="54" t="s">
        <v>620</v>
      </c>
      <c r="H3" s="54" t="s">
        <v>620</v>
      </c>
      <c r="I3" s="55" t="s">
        <v>1244</v>
      </c>
      <c r="J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https://municat.gencat.cat/ca/Temes/Transparencia/Items-de-transparencia/1.1.2.Organigrama-ens</v>
      </c>
      <c r="M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1.0151857079570947</v>
      </c>
      <c r="N3" s="8" t="str">
        <f>Avaluacio[[#This Row],[Codi ítem]]</f>
        <v>XGO002</v>
      </c>
    </row>
    <row r="4" spans="1:14" ht="55.2" x14ac:dyDescent="0.25">
      <c r="A4" s="6" t="s">
        <v>959</v>
      </c>
      <c r="B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 s="1" t="str">
        <f>VLOOKUP(Avaluacio[[#This Row],[Codi ítem]],Metodologia[[Codi ítem]:[Ítem]],COLUMN(Metodologia[[#Headers],[Ítem]]),FALSE)</f>
        <v>Organismes dependents o vinculats</v>
      </c>
      <c r="D4" t="str">
        <f>VLOOKUP(Avaluacio[[#This Row],[Codi ítem]],Metodologia[[Codi ítem]:[Família]],COLUMN(Metodologia[[#Headers],[Família]]),FALSE)</f>
        <v>Informació institucional i organitzativa</v>
      </c>
      <c r="E4" t="e">
        <f>VLOOKUP(Avaluacio[[#This Row],[Codi ítem]],Metodologia[[Codi ítem]:[Fase]],COLUMN(Metodologia[[#Headers],[Subfamília]]),FALSE)</f>
        <v>#REF!</v>
      </c>
      <c r="F4" s="6" t="str">
        <f>VLOOKUP(Avaluacio[[#This Row],[Codi ítem]],Metodologia[[Codi ítem]:[Fase]],COLUMN(Metodologia[[#Headers],[Fase]]),FALSE)</f>
        <v>Fase 1</v>
      </c>
      <c r="G4" s="54" t="s">
        <v>620</v>
      </c>
      <c r="H4" s="54" t="s">
        <v>620</v>
      </c>
      <c r="I4" s="55"/>
      <c r="J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https://municat.gencat.cat/ca/Temes/Transparencia/Items-de-transparencia/1.1.3.Organismes-dependents-o-vinculats</v>
      </c>
      <c r="M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1.0015700699379795</v>
      </c>
      <c r="N4" s="8" t="str">
        <f>Avaluacio[[#This Row],[Codi ítem]]</f>
        <v>XGO003</v>
      </c>
    </row>
    <row r="5" spans="1:14" ht="55.2" x14ac:dyDescent="0.25">
      <c r="A5" s="6" t="s">
        <v>960</v>
      </c>
      <c r="B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 s="1" t="str">
        <f>VLOOKUP(Avaluacio[[#This Row],[Codi ítem]],Metodologia[[Codi ítem]:[Ítem]],COLUMN(Metodologia[[#Headers],[Ítem]]),FALSE)</f>
        <v>Organismes dels que forma part</v>
      </c>
      <c r="D5" t="str">
        <f>VLOOKUP(Avaluacio[[#This Row],[Codi ítem]],Metodologia[[Codi ítem]:[Família]],COLUMN(Metodologia[[#Headers],[Família]]),FALSE)</f>
        <v>Informació institucional i organitzativa</v>
      </c>
      <c r="E5" t="e">
        <f>VLOOKUP(Avaluacio[[#This Row],[Codi ítem]],Metodologia[[Codi ítem]:[Fase]],COLUMN(Metodologia[[#Headers],[Subfamília]]),FALSE)</f>
        <v>#REF!</v>
      </c>
      <c r="F5" s="6" t="str">
        <f>VLOOKUP(Avaluacio[[#This Row],[Codi ítem]],Metodologia[[Codi ítem]:[Fase]],COLUMN(Metodologia[[#Headers],[Fase]]),FALSE)</f>
        <v>Fase 1</v>
      </c>
      <c r="G5" s="54" t="s">
        <v>620</v>
      </c>
      <c r="H5" s="54" t="s">
        <v>620</v>
      </c>
      <c r="I5" s="55"/>
      <c r="J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https://municat.gencat.cat/ca/Temes/Transparencia/Items-de-transparencia/1.1.3.Organismes-dependents-o-vinculats</v>
      </c>
      <c r="M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1.0010345778272098</v>
      </c>
      <c r="N5" s="8" t="str">
        <f>Avaluacio[[#This Row],[Codi ítem]]</f>
        <v>XGO004</v>
      </c>
    </row>
    <row r="6" spans="1:14" ht="55.2" x14ac:dyDescent="0.25">
      <c r="A6" s="6" t="s">
        <v>961</v>
      </c>
      <c r="B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No</v>
      </c>
      <c r="C6" s="1" t="str">
        <f>VLOOKUP(Avaluacio[[#This Row],[Codi ítem]],Metodologia[[Codi ítem]:[Ítem]],COLUMN(Metodologia[[#Headers],[Ítem]]),FALSE)</f>
        <v>Organismes que el formen</v>
      </c>
      <c r="D6" t="str">
        <f>VLOOKUP(Avaluacio[[#This Row],[Codi ítem]],Metodologia[[Codi ítem]:[Família]],COLUMN(Metodologia[[#Headers],[Família]]),FALSE)</f>
        <v>Informació institucional i organitzativa</v>
      </c>
      <c r="E6" t="e">
        <f>VLOOKUP(Avaluacio[[#This Row],[Codi ítem]],Metodologia[[Codi ítem]:[Fase]],COLUMN(Metodologia[[#Headers],[Subfamília]]),FALSE)</f>
        <v>#REF!</v>
      </c>
      <c r="F6" s="6" t="str">
        <f>VLOOKUP(Avaluacio[[#This Row],[Codi ítem]],Metodologia[[Codi ítem]:[Fase]],COLUMN(Metodologia[[#Headers],[Fase]]),FALSE)</f>
        <v>Fase 1</v>
      </c>
      <c r="G6" s="54" t="str">
        <f>IF(Avaluacio[[#This Row],[Avaluable]]="No","Exclòs",IF(VLOOKUP(Avaluacio[[#This Row],[Codi ítem]],Metodologia[],VLOOKUP('1_Plantejament'!$B$6,Taula1_TipusEns[],3,FALSE),FALSE)="No, però és recomanable","Opcional",IF(LEFT(VLOOKUP(Avaluacio[[#This Row],[Codi ítem]],Metodologia[[Codi ítem]:[Tipus ítem]],COLUMN(Metodologia[[#Headers],[Tipus ítem]]),FALSE),9)="Automàtic","Sí (confirmar)","")))</f>
        <v>Exclòs</v>
      </c>
      <c r="H6" s="54" t="str">
        <f>IF(Avaluacio[[#This Row],[Avaluable]]="No","Exclòs",IF(Avaluacio[[#This Row],[Contingut]]="N/A","N/A",IF(VLOOKUP(Avaluacio[[#This Row],[Codi ítem]],Metodologia[],VLOOKUP('1_Plantejament'!$B$6,Taula1_TipusEns[],3,FALSE),FALSE)="No, però és recomanable","Opcional",IF(LEFT(VLOOKUP(Avaluacio[[#This Row],[Codi ítem]],Metodologia[[Codi ítem]:[Tipus ítem]],COLUMN(Metodologia[[#Headers],[Tipus ítem]]),FALSE),9)="Automàtic","Sí (confirmar)",""))))</f>
        <v>Exclòs</v>
      </c>
      <c r="I6" s="55"/>
      <c r="J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aplicable</v>
      </c>
      <c r="K6" s="8" t="str">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
      </c>
      <c r="L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https://municat.gencat.cat/ca/Temes/Transparencia/Items-de-transparencia/1.1.3.Organismes-dependents-o-vinculats</v>
      </c>
      <c r="M6" s="23" t="str">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v>
      </c>
      <c r="N6" s="8" t="str">
        <f>Avaluacio[[#This Row],[Codi ítem]]</f>
        <v>XGO005</v>
      </c>
    </row>
    <row r="7" spans="1:14" ht="55.2" x14ac:dyDescent="0.25">
      <c r="A7" s="6" t="s">
        <v>963</v>
      </c>
      <c r="B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 s="1" t="str">
        <f>VLOOKUP(Avaluacio[[#This Row],[Codi ítem]],Metodologia[[Codi ítem]:[Ítem]],COLUMN(Metodologia[[#Headers],[Ítem]]),FALSE)</f>
        <v>Agenda institucional dels alts càrrecs i personal directiu</v>
      </c>
      <c r="D7" t="str">
        <f>VLOOKUP(Avaluacio[[#This Row],[Codi ítem]],Metodologia[[Codi ítem]:[Família]],COLUMN(Metodologia[[#Headers],[Família]]),FALSE)</f>
        <v>Informació institucional i organitzativa</v>
      </c>
      <c r="E7" t="e">
        <f>VLOOKUP(Avaluacio[[#This Row],[Codi ítem]],Metodologia[[Codi ítem]:[Fase]],COLUMN(Metodologia[[#Headers],[Subfamília]]),FALSE)</f>
        <v>#REF!</v>
      </c>
      <c r="F7" s="6" t="str">
        <f>VLOOKUP(Avaluacio[[#This Row],[Codi ítem]],Metodologia[[Codi ítem]:[Fase]],COLUMN(Metodologia[[#Headers],[Fase]]),FALSE)</f>
        <v>Fase 4</v>
      </c>
      <c r="G7" s="54" t="s">
        <v>620</v>
      </c>
      <c r="H7" s="54" t="s">
        <v>620</v>
      </c>
      <c r="I7" s="55" t="s">
        <v>1256</v>
      </c>
      <c r="J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https://municat.gencat.cat/ca/Temes/Transparencia/Items-de-transparencia/1.1.5agenda-alts-carrecs</v>
      </c>
      <c r="M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1.0026841762964918</v>
      </c>
      <c r="N7" s="8" t="str">
        <f>Avaluacio[[#This Row],[Codi ítem]]</f>
        <v>XGO006</v>
      </c>
    </row>
    <row r="8" spans="1:14" ht="55.2" x14ac:dyDescent="0.25">
      <c r="A8" s="6" t="s">
        <v>964</v>
      </c>
      <c r="B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 s="1" t="str">
        <f>VLOOKUP(Avaluacio[[#This Row],[Codi ítem]],Metodologia[[Codi ítem]:[Ítem]],COLUMN(Metodologia[[#Headers],[Ítem]]),FALSE)</f>
        <v>Relació d'obsequis als alts càrrecs i personal directiu</v>
      </c>
      <c r="D8" t="str">
        <f>VLOOKUP(Avaluacio[[#This Row],[Codi ítem]],Metodologia[[Codi ítem]:[Família]],COLUMN(Metodologia[[#Headers],[Família]]),FALSE)</f>
        <v>Informació institucional i organitzativa</v>
      </c>
      <c r="E8" t="e">
        <f>VLOOKUP(Avaluacio[[#This Row],[Codi ítem]],Metodologia[[Codi ítem]:[Fase]],COLUMN(Metodologia[[#Headers],[Subfamília]]),FALSE)</f>
        <v>#REF!</v>
      </c>
      <c r="F8" s="6" t="str">
        <f>VLOOKUP(Avaluacio[[#This Row],[Codi ítem]],Metodologia[[Codi ítem]:[Fase]],COLUMN(Metodologia[[#Headers],[Fase]]),FALSE)</f>
        <v>Fase 4</v>
      </c>
      <c r="G8" s="54" t="s">
        <v>620</v>
      </c>
      <c r="H8" s="54" t="s">
        <v>620</v>
      </c>
      <c r="I8" s="55"/>
      <c r="J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https://municat.gencat.cat/ca/Temes/Transparencia/Items-de-transparencia/1.1.5relacio-obsequis-invitacions-alts-carrecs</v>
      </c>
      <c r="M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1.0021094501102796</v>
      </c>
      <c r="N8" s="8" t="str">
        <f>Avaluacio[[#This Row],[Codi ítem]]</f>
        <v>XGO007</v>
      </c>
    </row>
    <row r="9" spans="1:14" ht="55.2" x14ac:dyDescent="0.25">
      <c r="A9" s="6" t="s">
        <v>965</v>
      </c>
      <c r="B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 s="1" t="str">
        <f>VLOOKUP(Avaluacio[[#This Row],[Codi ítem]],Metodologia[[Codi ítem]:[Ítem]],COLUMN(Metodologia[[#Headers],[Ítem]]),FALSE)</f>
        <v>Relació d'invitacions als alts càrrecs i personal directiu</v>
      </c>
      <c r="D9" t="str">
        <f>VLOOKUP(Avaluacio[[#This Row],[Codi ítem]],Metodologia[[Codi ítem]:[Família]],COLUMN(Metodologia[[#Headers],[Família]]),FALSE)</f>
        <v>Informació institucional i organitzativa</v>
      </c>
      <c r="E9" t="e">
        <f>VLOOKUP(Avaluacio[[#This Row],[Codi ítem]],Metodologia[[Codi ítem]:[Fase]],COLUMN(Metodologia[[#Headers],[Subfamília]]),FALSE)</f>
        <v>#REF!</v>
      </c>
      <c r="F9" s="6" t="str">
        <f>VLOOKUP(Avaluacio[[#This Row],[Codi ítem]],Metodologia[[Codi ítem]:[Fase]],COLUMN(Metodologia[[#Headers],[Fase]]),FALSE)</f>
        <v>Fase 4</v>
      </c>
      <c r="G9" s="54" t="s">
        <v>620</v>
      </c>
      <c r="H9" s="54" t="s">
        <v>620</v>
      </c>
      <c r="I9" s="55" t="s">
        <v>1257</v>
      </c>
      <c r="J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https://municat.gencat.cat/ca/Temes/Transparencia/Items-de-transparencia/1.1.5relacio-obsequis-invitacions-alts-carrecs</v>
      </c>
      <c r="M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1.0003170537447923</v>
      </c>
      <c r="N9" s="8" t="str">
        <f>Avaluacio[[#This Row],[Codi ítem]]</f>
        <v>XGO008</v>
      </c>
    </row>
    <row r="10" spans="1:14" ht="55.2" x14ac:dyDescent="0.25">
      <c r="A10" s="6" t="s">
        <v>966</v>
      </c>
      <c r="B1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 s="1" t="str">
        <f>VLOOKUP(Avaluacio[[#This Row],[Codi ítem]],Metodologia[[Codi ítem]:[Ítem]],COLUMN(Metodologia[[#Headers],[Ítem]]),FALSE)</f>
        <v>Agenda d'activitats</v>
      </c>
      <c r="D10" t="str">
        <f>VLOOKUP(Avaluacio[[#This Row],[Codi ítem]],Metodologia[[Codi ítem]:[Família]],COLUMN(Metodologia[[#Headers],[Família]]),FALSE)</f>
        <v>Informació institucional i organitzativa</v>
      </c>
      <c r="E10" t="e">
        <f>VLOOKUP(Avaluacio[[#This Row],[Codi ítem]],Metodologia[[Codi ítem]:[Fase]],COLUMN(Metodologia[[#Headers],[Subfamília]]),FALSE)</f>
        <v>#REF!</v>
      </c>
      <c r="F10" s="6" t="str">
        <f>VLOOKUP(Avaluacio[[#This Row],[Codi ítem]],Metodologia[[Codi ítem]:[Fase]],COLUMN(Metodologia[[#Headers],[Fase]]),FALSE)</f>
        <v>Fase 5</v>
      </c>
      <c r="G10" s="54" t="s">
        <v>620</v>
      </c>
      <c r="H10" s="54" t="s">
        <v>620</v>
      </c>
      <c r="I10" s="55"/>
      <c r="J1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https://municat.gencat.cat/ca/Temes/Transparencia/Items-de-transparencia/1.1.6.Agenda-Activitats</v>
      </c>
      <c r="M1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1.0069069645785813</v>
      </c>
      <c r="N10" s="8" t="str">
        <f>Avaluacio[[#This Row],[Codi ítem]]</f>
        <v>XGO009</v>
      </c>
    </row>
    <row r="11" spans="1:14" ht="55.2" x14ac:dyDescent="0.25">
      <c r="A11" s="6" t="s">
        <v>967</v>
      </c>
      <c r="B1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 s="1" t="str">
        <f>VLOOKUP(Avaluacio[[#This Row],[Codi ítem]],Metodologia[[Codi ítem]:[Ítem]],COLUMN(Metodologia[[#Headers],[Ítem]]),FALSE)</f>
        <v>Dades generals de l'ens</v>
      </c>
      <c r="D11" t="str">
        <f>VLOOKUP(Avaluacio[[#This Row],[Codi ítem]],Metodologia[[Codi ítem]:[Família]],COLUMN(Metodologia[[#Headers],[Família]]),FALSE)</f>
        <v>Informació institucional i organitzativa</v>
      </c>
      <c r="E11" t="e">
        <f>VLOOKUP(Avaluacio[[#This Row],[Codi ítem]],Metodologia[[Codi ítem]:[Fase]],COLUMN(Metodologia[[#Headers],[Subfamília]]),FALSE)</f>
        <v>#REF!</v>
      </c>
      <c r="F11" s="6" t="str">
        <f>VLOOKUP(Avaluacio[[#This Row],[Codi ítem]],Metodologia[[Codi ítem]:[Fase]],COLUMN(Metodologia[[#Headers],[Fase]]),FALSE)</f>
        <v>Fase 1</v>
      </c>
      <c r="G11" s="54" t="s">
        <v>620</v>
      </c>
      <c r="H11" s="54" t="s">
        <v>620</v>
      </c>
      <c r="I11" s="55"/>
      <c r="J1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https://municat.gencat.cat/ca/Temes/Transparencia/Items-de-transparencia/1.1.7.Dades-generals-ens</v>
      </c>
      <c r="M1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1.0067740635662714</v>
      </c>
      <c r="N11" s="8" t="str">
        <f>Avaluacio[[#This Row],[Codi ítem]]</f>
        <v>XGO010</v>
      </c>
    </row>
    <row r="12" spans="1:14" ht="55.2" x14ac:dyDescent="0.25">
      <c r="A12" s="6" t="s">
        <v>968</v>
      </c>
      <c r="B1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 s="1" t="str">
        <f>VLOOKUP(Avaluacio[[#This Row],[Codi ítem]],Metodologia[[Codi ítem]:[Ítem]],COLUMN(Metodologia[[#Headers],[Ítem]]),FALSE)</f>
        <v>Informació històrica sobre el municipi</v>
      </c>
      <c r="D12" t="str">
        <f>VLOOKUP(Avaluacio[[#This Row],[Codi ítem]],Metodologia[[Codi ítem]:[Família]],COLUMN(Metodologia[[#Headers],[Família]]),FALSE)</f>
        <v>Informació institucional i organitzativa</v>
      </c>
      <c r="E12" t="e">
        <f>VLOOKUP(Avaluacio[[#This Row],[Codi ítem]],Metodologia[[Codi ítem]:[Fase]],COLUMN(Metodologia[[#Headers],[Subfamília]]),FALSE)</f>
        <v>#REF!</v>
      </c>
      <c r="F12" s="6" t="str">
        <f>VLOOKUP(Avaluacio[[#This Row],[Codi ítem]],Metodologia[[Codi ítem]:[Fase]],COLUMN(Metodologia[[#Headers],[Fase]]),FALSE)</f>
        <v>Fase 5</v>
      </c>
      <c r="G12" s="54" t="s">
        <v>620</v>
      </c>
      <c r="H12" s="54" t="s">
        <v>620</v>
      </c>
      <c r="I12" s="55"/>
      <c r="J1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https://municat.gencat.cat/ca/Temes/Transparencia/Items-de-transparencia/1.1.8.Informacio-historica-sobre-municipi</v>
      </c>
      <c r="M1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1.0021189935340358</v>
      </c>
      <c r="N12" s="8" t="str">
        <f>Avaluacio[[#This Row],[Codi ítem]]</f>
        <v>XGO011</v>
      </c>
    </row>
    <row r="13" spans="1:14" ht="55.2" x14ac:dyDescent="0.25">
      <c r="A13" s="6" t="s">
        <v>969</v>
      </c>
      <c r="B1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 s="1" t="str">
        <f>VLOOKUP(Avaluacio[[#This Row],[Codi ítem]],Metodologia[[Codi ítem]:[Ítem]],COLUMN(Metodologia[[#Headers],[Ítem]]),FALSE)</f>
        <v>Informació del terme municipal</v>
      </c>
      <c r="D13" t="str">
        <f>VLOOKUP(Avaluacio[[#This Row],[Codi ítem]],Metodologia[[Codi ítem]:[Família]],COLUMN(Metodologia[[#Headers],[Família]]),FALSE)</f>
        <v>Informació institucional i organitzativa</v>
      </c>
      <c r="E13" t="e">
        <f>VLOOKUP(Avaluacio[[#This Row],[Codi ítem]],Metodologia[[Codi ítem]:[Fase]],COLUMN(Metodologia[[#Headers],[Subfamília]]),FALSE)</f>
        <v>#REF!</v>
      </c>
      <c r="F13" s="6" t="str">
        <f>VLOOKUP(Avaluacio[[#This Row],[Codi ítem]],Metodologia[[Codi ítem]:[Fase]],COLUMN(Metodologia[[#Headers],[Fase]]),FALSE)</f>
        <v>Fase 1</v>
      </c>
      <c r="G13" s="54" t="s">
        <v>620</v>
      </c>
      <c r="H13" s="54" t="s">
        <v>620</v>
      </c>
      <c r="I13" s="55"/>
      <c r="J1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https://municat.gencat.cat/ca/Temes/Transparencia/Items-de-transparencia/1.1.9.Informacio-terme-municipal</v>
      </c>
      <c r="M1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1.0033228787678852</v>
      </c>
      <c r="N13" s="8" t="str">
        <f>Avaluacio[[#This Row],[Codi ítem]]</f>
        <v>XGO012</v>
      </c>
    </row>
    <row r="14" spans="1:14" ht="55.2" x14ac:dyDescent="0.25">
      <c r="A14" s="6" t="s">
        <v>970</v>
      </c>
      <c r="B1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 s="1" t="str">
        <f>VLOOKUP(Avaluacio[[#This Row],[Codi ítem]],Metodologia[[Codi ítem]:[Ítem]],COLUMN(Metodologia[[#Headers],[Ítem]]),FALSE)</f>
        <v>Dades estadístiques</v>
      </c>
      <c r="D14" t="str">
        <f>VLOOKUP(Avaluacio[[#This Row],[Codi ítem]],Metodologia[[Codi ítem]:[Família]],COLUMN(Metodologia[[#Headers],[Família]]),FALSE)</f>
        <v>Informació institucional i organitzativa</v>
      </c>
      <c r="E14" t="e">
        <f>VLOOKUP(Avaluacio[[#This Row],[Codi ítem]],Metodologia[[Codi ítem]:[Fase]],COLUMN(Metodologia[[#Headers],[Subfamília]]),FALSE)</f>
        <v>#REF!</v>
      </c>
      <c r="F14" s="6" t="str">
        <f>VLOOKUP(Avaluacio[[#This Row],[Codi ítem]],Metodologia[[Codi ítem]:[Fase]],COLUMN(Metodologia[[#Headers],[Fase]]),FALSE)</f>
        <v>Fase 1</v>
      </c>
      <c r="G14" s="54" t="s">
        <v>620</v>
      </c>
      <c r="H14" s="54" t="s">
        <v>620</v>
      </c>
      <c r="I14" s="55" t="s">
        <v>1234</v>
      </c>
      <c r="J1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https://municat.gencat.cat/ca/Temes/Transparencia/Items-de-transparencia/1.1.10.Dades-estadistiques</v>
      </c>
      <c r="M1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1.0016425292664994</v>
      </c>
      <c r="N14" s="8" t="str">
        <f>Avaluacio[[#This Row],[Codi ítem]]</f>
        <v>XGO013</v>
      </c>
    </row>
    <row r="15" spans="1:14" ht="55.2" x14ac:dyDescent="0.25">
      <c r="A15" s="6" t="s">
        <v>971</v>
      </c>
      <c r="B1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5" s="1" t="str">
        <f>VLOOKUP(Avaluacio[[#This Row],[Codi ítem]],Metodologia[[Codi ítem]:[Ítem]],COLUMN(Metodologia[[#Headers],[Ítem]]),FALSE)</f>
        <v>Registre de funcionaris habilitats</v>
      </c>
      <c r="D15" t="str">
        <f>VLOOKUP(Avaluacio[[#This Row],[Codi ítem]],Metodologia[[Codi ítem]:[Família]],COLUMN(Metodologia[[#Headers],[Família]]),FALSE)</f>
        <v>Informació institucional i organitzativa</v>
      </c>
      <c r="E15" t="e">
        <f>VLOOKUP(Avaluacio[[#This Row],[Codi ítem]],Metodologia[[Codi ítem]:[Fase]],COLUMN(Metodologia[[#Headers],[Subfamília]]),FALSE)</f>
        <v>#REF!</v>
      </c>
      <c r="F15" s="6" t="str">
        <f>VLOOKUP(Avaluacio[[#This Row],[Codi ítem]],Metodologia[[Codi ítem]:[Fase]],COLUMN(Metodologia[[#Headers],[Fase]]),FALSE)</f>
        <v>Fase 5</v>
      </c>
      <c r="G15" s="54" t="s">
        <v>620</v>
      </c>
      <c r="H15" s="54" t="s">
        <v>620</v>
      </c>
      <c r="I15" s="55"/>
      <c r="J1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https://municat.gencat.cat/ca/Temes/Transparencia/Items-de-transparencia/1.1.11.Registre-de-funcionaris-habilitats</v>
      </c>
      <c r="M1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1.0008472439534752</v>
      </c>
      <c r="N15" s="8" t="str">
        <f>Avaluacio[[#This Row],[Codi ítem]]</f>
        <v>XGO014</v>
      </c>
    </row>
    <row r="16" spans="1:14" ht="69" x14ac:dyDescent="0.25">
      <c r="A16" s="6" t="s">
        <v>972</v>
      </c>
      <c r="B1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6" s="1" t="str">
        <f>VLOOKUP(Avaluacio[[#This Row],[Codi ítem]],Metodologia[[Codi ítem]:[Ítem]],COLUMN(Metodologia[[#Headers],[Ítem]]),FALSE)</f>
        <v>Informació proporcionada per les entitats privades</v>
      </c>
      <c r="D16" t="str">
        <f>VLOOKUP(Avaluacio[[#This Row],[Codi ítem]],Metodologia[[Codi ítem]:[Família]],COLUMN(Metodologia[[#Headers],[Família]]),FALSE)</f>
        <v>Informació institucional i organitzativa</v>
      </c>
      <c r="E16" t="e">
        <f>VLOOKUP(Avaluacio[[#This Row],[Codi ítem]],Metodologia[[Codi ítem]:[Fase]],COLUMN(Metodologia[[#Headers],[Subfamília]]),FALSE)</f>
        <v>#REF!</v>
      </c>
      <c r="F16" s="6" t="str">
        <f>VLOOKUP(Avaluacio[[#This Row],[Codi ítem]],Metodologia[[Codi ítem]:[Fase]],COLUMN(Metodologia[[#Headers],[Fase]]),FALSE)</f>
        <v>Fase 3</v>
      </c>
      <c r="G16" s="54" t="s">
        <v>621</v>
      </c>
      <c r="H16" s="54" t="s">
        <v>621</v>
      </c>
      <c r="I16" s="55" t="s">
        <v>1258</v>
      </c>
      <c r="J1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https://municat.gencat.cat/ca/Temes/Transparencia/Items-de-transparencia/1.1.12-Informacioproporcionada-per-entitats-privades</v>
      </c>
      <c r="M1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-3.1033800214903763E-4</v>
      </c>
      <c r="N16" s="8" t="str">
        <f>Avaluacio[[#This Row],[Codi ítem]]</f>
        <v>XGO015</v>
      </c>
    </row>
    <row r="17" spans="1:14" ht="55.2" x14ac:dyDescent="0.25">
      <c r="A17" s="6" t="s">
        <v>973</v>
      </c>
      <c r="B1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7" s="1" t="str">
        <f>VLOOKUP(Avaluacio[[#This Row],[Codi ítem]],Metodologia[[Codi ítem]:[Ítem]],COLUMN(Metodologia[[#Headers],[Ítem]]),FALSE)</f>
        <v>Cartipàs: organització política</v>
      </c>
      <c r="D17" t="str">
        <f>VLOOKUP(Avaluacio[[#This Row],[Codi ítem]],Metodologia[[Codi ítem]:[Família]],COLUMN(Metodologia[[#Headers],[Família]]),FALSE)</f>
        <v>Informació institucional i organitzativa</v>
      </c>
      <c r="E17" t="e">
        <f>VLOOKUP(Avaluacio[[#This Row],[Codi ítem]],Metodologia[[Codi ítem]:[Fase]],COLUMN(Metodologia[[#Headers],[Subfamília]]),FALSE)</f>
        <v>#REF!</v>
      </c>
      <c r="F17" s="6" t="str">
        <f>VLOOKUP(Avaluacio[[#This Row],[Codi ítem]],Metodologia[[Codi ítem]:[Fase]],COLUMN(Metodologia[[#Headers],[Fase]]),FALSE)</f>
        <v>Fase 1</v>
      </c>
      <c r="G17" s="54" t="s">
        <v>620</v>
      </c>
      <c r="H17" s="54" t="s">
        <v>620</v>
      </c>
      <c r="I17" s="55"/>
      <c r="J1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https://municat.gencat.cat/ca/Temes/Transparencia/Items-de-transparencia/1.2.1.Cartipas-organitzacio-politica</v>
      </c>
      <c r="M1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1.0365703998341094</v>
      </c>
      <c r="N17" s="8" t="str">
        <f>Avaluacio[[#This Row],[Codi ítem]]</f>
        <v>XGO016</v>
      </c>
    </row>
    <row r="18" spans="1:14" ht="41.4" x14ac:dyDescent="0.25">
      <c r="A18" s="6" t="s">
        <v>974</v>
      </c>
      <c r="B1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8" s="1" t="str">
        <f>VLOOKUP(Avaluacio[[#This Row],[Codi ítem]],Metodologia[[Codi ítem]:[Ítem]],COLUMN(Metodologia[[#Headers],[Ítem]]),FALSE)</f>
        <v>Càrrecs electes</v>
      </c>
      <c r="D18" t="str">
        <f>VLOOKUP(Avaluacio[[#This Row],[Codi ítem]],Metodologia[[Codi ítem]:[Família]],COLUMN(Metodologia[[#Headers],[Família]]),FALSE)</f>
        <v>Informació institucional i organitzativa</v>
      </c>
      <c r="E18" t="e">
        <f>VLOOKUP(Avaluacio[[#This Row],[Codi ítem]],Metodologia[[Codi ítem]:[Fase]],COLUMN(Metodologia[[#Headers],[Subfamília]]),FALSE)</f>
        <v>#REF!</v>
      </c>
      <c r="F18" s="6" t="str">
        <f>VLOOKUP(Avaluacio[[#This Row],[Codi ítem]],Metodologia[[Codi ítem]:[Fase]],COLUMN(Metodologia[[#Headers],[Fase]]),FALSE)</f>
        <v>Fase 1</v>
      </c>
      <c r="G18" s="54" t="s">
        <v>620</v>
      </c>
      <c r="H18" s="54" t="s">
        <v>620</v>
      </c>
      <c r="I18" s="55"/>
      <c r="J1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https://municat.gencat.cat/ca/Temes/Transparencia/Items-de-transparencia/1.2.2.Carrecs-electes</v>
      </c>
      <c r="M1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1.1037893283314797</v>
      </c>
      <c r="N18" s="8" t="str">
        <f>Avaluacio[[#This Row],[Codi ítem]]</f>
        <v>XGO017</v>
      </c>
    </row>
    <row r="19" spans="1:14" ht="55.2" x14ac:dyDescent="0.25">
      <c r="A19" s="6" t="s">
        <v>975</v>
      </c>
      <c r="B1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9" s="1" t="str">
        <f>VLOOKUP(Avaluacio[[#This Row],[Codi ítem]],Metodologia[[Codi ítem]:[Ítem]],COLUMN(Metodologia[[#Headers],[Ítem]]),FALSE)</f>
        <v>Grups polítics/municipals</v>
      </c>
      <c r="D19" t="str">
        <f>VLOOKUP(Avaluacio[[#This Row],[Codi ítem]],Metodologia[[Codi ítem]:[Família]],COLUMN(Metodologia[[#Headers],[Família]]),FALSE)</f>
        <v>Informació institucional i organitzativa</v>
      </c>
      <c r="E19" t="e">
        <f>VLOOKUP(Avaluacio[[#This Row],[Codi ítem]],Metodologia[[Codi ítem]:[Fase]],COLUMN(Metodologia[[#Headers],[Subfamília]]),FALSE)</f>
        <v>#REF!</v>
      </c>
      <c r="F19" s="6" t="str">
        <f>VLOOKUP(Avaluacio[[#This Row],[Codi ítem]],Metodologia[[Codi ítem]:[Fase]],COLUMN(Metodologia[[#Headers],[Fase]]),FALSE)</f>
        <v>Fase 1</v>
      </c>
      <c r="G19" s="54" t="s">
        <v>620</v>
      </c>
      <c r="H19" s="54" t="s">
        <v>620</v>
      </c>
      <c r="I19" s="55"/>
      <c r="J1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https://municat.gencat.cat/ca/Temes/Transparencia/Items-de-transparencia/1.2.3.Grups-politics-municipals</v>
      </c>
      <c r="M1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1.0191165381642695</v>
      </c>
      <c r="N19" s="8" t="str">
        <f>Avaluacio[[#This Row],[Codi ítem]]</f>
        <v>XGO018</v>
      </c>
    </row>
    <row r="20" spans="1:14" ht="55.2" x14ac:dyDescent="0.25">
      <c r="A20" s="6" t="s">
        <v>976</v>
      </c>
      <c r="B2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0" s="1" t="str">
        <f>VLOOKUP(Avaluacio[[#This Row],[Codi ítem]],Metodologia[[Codi ítem]:[Ítem]],COLUMN(Metodologia[[#Headers],[Ítem]]),FALSE)</f>
        <v>Òrgans de govern i funcions</v>
      </c>
      <c r="D20" t="str">
        <f>VLOOKUP(Avaluacio[[#This Row],[Codi ítem]],Metodologia[[Codi ítem]:[Família]],COLUMN(Metodologia[[#Headers],[Família]]),FALSE)</f>
        <v>Informació institucional i organitzativa</v>
      </c>
      <c r="E20" t="e">
        <f>VLOOKUP(Avaluacio[[#This Row],[Codi ítem]],Metodologia[[Codi ítem]:[Fase]],COLUMN(Metodologia[[#Headers],[Subfamília]]),FALSE)</f>
        <v>#REF!</v>
      </c>
      <c r="F20" s="6" t="str">
        <f>VLOOKUP(Avaluacio[[#This Row],[Codi ítem]],Metodologia[[Codi ítem]:[Fase]],COLUMN(Metodologia[[#Headers],[Fase]]),FALSE)</f>
        <v>Fase 2</v>
      </c>
      <c r="G20" s="54" t="s">
        <v>620</v>
      </c>
      <c r="H20" s="54" t="s">
        <v>620</v>
      </c>
      <c r="I20" s="55"/>
      <c r="J2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https://municat.gencat.cat/ca/Temes/Transparencia/Items-de-transparencia/1.2.4.Organs-govern-funcions</v>
      </c>
      <c r="M2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1.0163330395686845</v>
      </c>
      <c r="N20" s="8" t="str">
        <f>Avaluacio[[#This Row],[Codi ítem]]</f>
        <v>XGO019</v>
      </c>
    </row>
    <row r="21" spans="1:14" ht="55.2" x14ac:dyDescent="0.25">
      <c r="A21" s="6" t="s">
        <v>977</v>
      </c>
      <c r="B2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1" s="1" t="str">
        <f>VLOOKUP(Avaluacio[[#This Row],[Codi ítem]],Metodologia[[Codi ítem]:[Ítem]],COLUMN(Metodologia[[#Headers],[Ítem]]),FALSE)</f>
        <v>Alts càrrecs, personal directiu i càrrecs eventuals</v>
      </c>
      <c r="D21" t="str">
        <f>VLOOKUP(Avaluacio[[#This Row],[Codi ítem]],Metodologia[[Codi ítem]:[Família]],COLUMN(Metodologia[[#Headers],[Família]]),FALSE)</f>
        <v>Informació institucional i organitzativa</v>
      </c>
      <c r="E21" t="e">
        <f>VLOOKUP(Avaluacio[[#This Row],[Codi ítem]],Metodologia[[Codi ítem]:[Fase]],COLUMN(Metodologia[[#Headers],[Subfamília]]),FALSE)</f>
        <v>#REF!</v>
      </c>
      <c r="F21" s="6" t="str">
        <f>VLOOKUP(Avaluacio[[#This Row],[Codi ítem]],Metodologia[[Codi ítem]:[Fase]],COLUMN(Metodologia[[#Headers],[Fase]]),FALSE)</f>
        <v>Fase 2</v>
      </c>
      <c r="G21" s="54" t="s">
        <v>620</v>
      </c>
      <c r="H21" s="54" t="s">
        <v>620</v>
      </c>
      <c r="I21" s="55"/>
      <c r="J2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https://municat.gencat.cat/ca/Temes/Transparencia/Items-de-transparencia/1.2.5.Alts-carrecs-i-carrecs-eventuals</v>
      </c>
      <c r="M2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1.0992215629536073</v>
      </c>
      <c r="N21" s="8" t="str">
        <f>Avaluacio[[#This Row],[Codi ítem]]</f>
        <v>XGO020</v>
      </c>
    </row>
    <row r="22" spans="1:14" ht="110.4" x14ac:dyDescent="0.25">
      <c r="A22" s="6" t="s">
        <v>978</v>
      </c>
      <c r="B2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2" s="1" t="str">
        <f>VLOOKUP(Avaluacio[[#This Row],[Codi ítem]],Metodologia[[Codi ítem]:[Ítem]],COLUMN(Metodologia[[#Headers],[Ítem]]),FALSE)</f>
        <v>Resolucions relatives a les declaracions d'activitats, patrimonials i d'interessos dels alts càrrecs i del personal directiu</v>
      </c>
      <c r="D22" t="str">
        <f>VLOOKUP(Avaluacio[[#This Row],[Codi ítem]],Metodologia[[Codi ítem]:[Família]],COLUMN(Metodologia[[#Headers],[Família]]),FALSE)</f>
        <v>Informació institucional i organitzativa</v>
      </c>
      <c r="E22" t="e">
        <f>VLOOKUP(Avaluacio[[#This Row],[Codi ítem]],Metodologia[[Codi ítem]:[Fase]],COLUMN(Metodologia[[#Headers],[Subfamília]]),FALSE)</f>
        <v>#REF!</v>
      </c>
      <c r="F22" s="6" t="str">
        <f>VLOOKUP(Avaluacio[[#This Row],[Codi ítem]],Metodologia[[Codi ítem]:[Fase]],COLUMN(Metodologia[[#Headers],[Fase]]),FALSE)</f>
        <v>Fase 2</v>
      </c>
      <c r="G22" s="54" t="s">
        <v>620</v>
      </c>
      <c r="H22" s="54" t="s">
        <v>620</v>
      </c>
      <c r="I22" s="55"/>
      <c r="J2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https://municat.gencat.cat/ca/Temes/Transparencia/Items-de-transparencia/1.2.6.Resolucions-declaracions-activitats-patrimonials-interessos</v>
      </c>
      <c r="M2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1.0036063537994608</v>
      </c>
      <c r="N22" s="8" t="str">
        <f>Avaluacio[[#This Row],[Codi ítem]]</f>
        <v>XGO021</v>
      </c>
    </row>
    <row r="23" spans="1:14" ht="69" x14ac:dyDescent="0.25">
      <c r="A23" s="6" t="s">
        <v>979</v>
      </c>
      <c r="B2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3" s="1" t="str">
        <f>VLOOKUP(Avaluacio[[#This Row],[Codi ítem]],Metodologia[[Codi ítem]:[Ítem]],COLUMN(Metodologia[[#Headers],[Ítem]]),FALSE)</f>
        <v>Resolucions sobre el règim d'incompatibilitats dels alts càrrecs i personal directiu</v>
      </c>
      <c r="D23" t="str">
        <f>VLOOKUP(Avaluacio[[#This Row],[Codi ítem]],Metodologia[[Codi ítem]:[Família]],COLUMN(Metodologia[[#Headers],[Família]]),FALSE)</f>
        <v>Informació institucional i organitzativa</v>
      </c>
      <c r="E23" t="e">
        <f>VLOOKUP(Avaluacio[[#This Row],[Codi ítem]],Metodologia[[Codi ítem]:[Fase]],COLUMN(Metodologia[[#Headers],[Subfamília]]),FALSE)</f>
        <v>#REF!</v>
      </c>
      <c r="F23" s="6" t="str">
        <f>VLOOKUP(Avaluacio[[#This Row],[Codi ítem]],Metodologia[[Codi ítem]:[Fase]],COLUMN(Metodologia[[#Headers],[Fase]]),FALSE)</f>
        <v>Fase 2</v>
      </c>
      <c r="G23" s="54" t="s">
        <v>620</v>
      </c>
      <c r="H23" s="54" t="s">
        <v>620</v>
      </c>
      <c r="I23" s="55"/>
      <c r="J2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https://municat.gencat.cat/ca/Temes/Transparencia/Items-de-transparencia/1.2.7.Resolucions-regim-incompatibilitats-alts-carrecs</v>
      </c>
      <c r="M2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1.0005538720380041</v>
      </c>
      <c r="N23" s="8" t="str">
        <f>Avaluacio[[#This Row],[Codi ítem]]</f>
        <v>XGO022</v>
      </c>
    </row>
    <row r="24" spans="1:14" ht="55.2" x14ac:dyDescent="0.25">
      <c r="A24" s="6" t="s">
        <v>980</v>
      </c>
      <c r="B2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4" s="1" t="str">
        <f>VLOOKUP(Avaluacio[[#This Row],[Codi ítem]],Metodologia[[Codi ítem]:[Ítem]],COLUMN(Metodologia[[#Headers],[Ítem]]),FALSE)</f>
        <v>Plantilla d'empleats públics</v>
      </c>
      <c r="D24" t="str">
        <f>VLOOKUP(Avaluacio[[#This Row],[Codi ítem]],Metodologia[[Codi ítem]:[Família]],COLUMN(Metodologia[[#Headers],[Família]]),FALSE)</f>
        <v>Informació institucional i organitzativa</v>
      </c>
      <c r="E24" t="e">
        <f>VLOOKUP(Avaluacio[[#This Row],[Codi ítem]],Metodologia[[Codi ítem]:[Fase]],COLUMN(Metodologia[[#Headers],[Subfamília]]),FALSE)</f>
        <v>#REF!</v>
      </c>
      <c r="F24" s="6" t="str">
        <f>VLOOKUP(Avaluacio[[#This Row],[Codi ítem]],Metodologia[[Codi ítem]:[Fase]],COLUMN(Metodologia[[#Headers],[Fase]]),FALSE)</f>
        <v>Fase 1</v>
      </c>
      <c r="G24" s="54" t="s">
        <v>620</v>
      </c>
      <c r="H24" s="54" t="s">
        <v>620</v>
      </c>
      <c r="I24" s="55"/>
      <c r="J2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https://municat.gencat.cat/ca/Temes/Transparencia/Items-de-transparencia/1.3.1.Plantilla-empleats-publics</v>
      </c>
      <c r="M2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1.0099106688408392</v>
      </c>
      <c r="N24" s="8" t="str">
        <f>Avaluacio[[#This Row],[Codi ítem]]</f>
        <v>XGO023</v>
      </c>
    </row>
    <row r="25" spans="1:14" ht="55.2" x14ac:dyDescent="0.25">
      <c r="A25" s="6" t="s">
        <v>981</v>
      </c>
      <c r="B2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5" s="1" t="str">
        <f>VLOOKUP(Avaluacio[[#This Row],[Codi ítem]],Metodologia[[Codi ítem]:[Ítem]],COLUMN(Metodologia[[#Headers],[Ítem]]),FALSE)</f>
        <v>Relació de llocs de treball (RLT)</v>
      </c>
      <c r="D25" t="str">
        <f>VLOOKUP(Avaluacio[[#This Row],[Codi ítem]],Metodologia[[Codi ítem]:[Família]],COLUMN(Metodologia[[#Headers],[Família]]),FALSE)</f>
        <v>Informació institucional i organitzativa</v>
      </c>
      <c r="E25" t="e">
        <f>VLOOKUP(Avaluacio[[#This Row],[Codi ítem]],Metodologia[[Codi ítem]:[Fase]],COLUMN(Metodologia[[#Headers],[Subfamília]]),FALSE)</f>
        <v>#REF!</v>
      </c>
      <c r="F25" s="6" t="str">
        <f>VLOOKUP(Avaluacio[[#This Row],[Codi ítem]],Metodologia[[Codi ítem]:[Fase]],COLUMN(Metodologia[[#Headers],[Fase]]),FALSE)</f>
        <v>Fase 1</v>
      </c>
      <c r="G25" s="54" t="s">
        <v>620</v>
      </c>
      <c r="H25" s="54" t="s">
        <v>620</v>
      </c>
      <c r="I25" s="55"/>
      <c r="J2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https://municat.gencat.cat/ca/Temes/Transparencia/Items-de-transparencia/1.3.2.Relacio-llocs-treball</v>
      </c>
      <c r="M2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1.0143366967029239</v>
      </c>
      <c r="N25" s="8" t="str">
        <f>Avaluacio[[#This Row],[Codi ítem]]</f>
        <v>XGO024</v>
      </c>
    </row>
    <row r="26" spans="1:14" ht="41.4" x14ac:dyDescent="0.25">
      <c r="A26" s="6" t="s">
        <v>982</v>
      </c>
      <c r="B2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6" s="1" t="str">
        <f>VLOOKUP(Avaluacio[[#This Row],[Codi ítem]],Metodologia[[Codi ítem]:[Ítem]],COLUMN(Metodologia[[#Headers],[Ítem]]),FALSE)</f>
        <v>Tècnics de l'ens</v>
      </c>
      <c r="D26" t="str">
        <f>VLOOKUP(Avaluacio[[#This Row],[Codi ítem]],Metodologia[[Codi ítem]:[Família]],COLUMN(Metodologia[[#Headers],[Família]]),FALSE)</f>
        <v>Informació institucional i organitzativa</v>
      </c>
      <c r="E26" t="e">
        <f>VLOOKUP(Avaluacio[[#This Row],[Codi ítem]],Metodologia[[Codi ítem]:[Fase]],COLUMN(Metodologia[[#Headers],[Subfamília]]),FALSE)</f>
        <v>#REF!</v>
      </c>
      <c r="F26" s="6" t="str">
        <f>VLOOKUP(Avaluacio[[#This Row],[Codi ítem]],Metodologia[[Codi ítem]:[Fase]],COLUMN(Metodologia[[#Headers],[Fase]]),FALSE)</f>
        <v>Fase 5</v>
      </c>
      <c r="G26" s="54" t="s">
        <v>620</v>
      </c>
      <c r="H26" s="54" t="s">
        <v>620</v>
      </c>
      <c r="I26" s="55"/>
      <c r="J2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https://municat.gencat.cat/ca/Temes/Transparencia/Items-de-transparencia/1.3.3.Tecnics-de-lens</v>
      </c>
      <c r="M2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1.0023876232397686</v>
      </c>
      <c r="N26" s="8" t="str">
        <f>Avaluacio[[#This Row],[Codi ítem]]</f>
        <v>XGO025</v>
      </c>
    </row>
    <row r="27" spans="1:14" ht="55.2" x14ac:dyDescent="0.25">
      <c r="A27" s="6" t="s">
        <v>983</v>
      </c>
      <c r="B2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7" s="1" t="str">
        <f>VLOOKUP(Avaluacio[[#This Row],[Codi ítem]],Metodologia[[Codi ítem]:[Ítem]],COLUMN(Metodologia[[#Headers],[Ítem]]),FALSE)</f>
        <v>Responsable de comunicació/premsa</v>
      </c>
      <c r="D27" t="str">
        <f>VLOOKUP(Avaluacio[[#This Row],[Codi ítem]],Metodologia[[Codi ítem]:[Família]],COLUMN(Metodologia[[#Headers],[Família]]),FALSE)</f>
        <v>Informació institucional i organitzativa</v>
      </c>
      <c r="E27" t="e">
        <f>VLOOKUP(Avaluacio[[#This Row],[Codi ítem]],Metodologia[[Codi ítem]:[Fase]],COLUMN(Metodologia[[#Headers],[Subfamília]]),FALSE)</f>
        <v>#REF!</v>
      </c>
      <c r="F27" s="6" t="str">
        <f>VLOOKUP(Avaluacio[[#This Row],[Codi ítem]],Metodologia[[Codi ítem]:[Fase]],COLUMN(Metodologia[[#Headers],[Fase]]),FALSE)</f>
        <v>Fase 5</v>
      </c>
      <c r="G27" s="54" t="s">
        <v>620</v>
      </c>
      <c r="H27" s="54" t="s">
        <v>620</v>
      </c>
      <c r="I27" s="55"/>
      <c r="J2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https://municat.gencat.cat/ca/Temes/Transparencia/Items-de-transparencia/1.3.4.Responsable-comunicacio-premsa</v>
      </c>
      <c r="M2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1.0034398740739345</v>
      </c>
      <c r="N27" s="8" t="str">
        <f>Avaluacio[[#This Row],[Codi ítem]]</f>
        <v>XGO026</v>
      </c>
    </row>
    <row r="28" spans="1:14" ht="55.2" x14ac:dyDescent="0.25">
      <c r="A28" s="6" t="s">
        <v>984</v>
      </c>
      <c r="B2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8" s="1" t="str">
        <f>VLOOKUP(Avaluacio[[#This Row],[Codi ítem]],Metodologia[[Codi ítem]:[Ítem]],COLUMN(Metodologia[[#Headers],[Ítem]]),FALSE)</f>
        <v>Relació de contractes temporals i d'interinatge</v>
      </c>
      <c r="D28" t="str">
        <f>VLOOKUP(Avaluacio[[#This Row],[Codi ítem]],Metodologia[[Codi ítem]:[Família]],COLUMN(Metodologia[[#Headers],[Família]]),FALSE)</f>
        <v>Informació institucional i organitzativa</v>
      </c>
      <c r="E28" t="e">
        <f>VLOOKUP(Avaluacio[[#This Row],[Codi ítem]],Metodologia[[Codi ítem]:[Fase]],COLUMN(Metodologia[[#Headers],[Subfamília]]),FALSE)</f>
        <v>#REF!</v>
      </c>
      <c r="F28" s="6" t="str">
        <f>VLOOKUP(Avaluacio[[#This Row],[Codi ítem]],Metodologia[[Codi ítem]:[Fase]],COLUMN(Metodologia[[#Headers],[Fase]]),FALSE)</f>
        <v>Fase 4</v>
      </c>
      <c r="G28" s="54" t="s">
        <v>620</v>
      </c>
      <c r="H28" s="54" t="s">
        <v>620</v>
      </c>
      <c r="I28" s="61" t="s">
        <v>1251</v>
      </c>
      <c r="J2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https://municat.gencat.cat/ca/Temes/Transparencia/Items-de-transparencia/1.3.5.Relacio-contractes-temporals-interinatge</v>
      </c>
      <c r="M2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1.0018447084660773</v>
      </c>
      <c r="N28" s="8" t="str">
        <f>Avaluacio[[#This Row],[Codi ítem]]</f>
        <v>XGO027</v>
      </c>
    </row>
    <row r="29" spans="1:14" ht="55.2" x14ac:dyDescent="0.25">
      <c r="A29" s="6" t="s">
        <v>985</v>
      </c>
      <c r="B2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9" s="1" t="str">
        <f>VLOOKUP(Avaluacio[[#This Row],[Codi ítem]],Metodologia[[Codi ítem]:[Ítem]],COLUMN(Metodologia[[#Headers],[Ítem]]),FALSE)</f>
        <v>Retribucions, indemnitzacions i dietes dels empleats públics</v>
      </c>
      <c r="D29" t="str">
        <f>VLOOKUP(Avaluacio[[#This Row],[Codi ítem]],Metodologia[[Codi ítem]:[Família]],COLUMN(Metodologia[[#Headers],[Família]]),FALSE)</f>
        <v>Informació institucional i organitzativa</v>
      </c>
      <c r="E29" t="e">
        <f>VLOOKUP(Avaluacio[[#This Row],[Codi ítem]],Metodologia[[Codi ítem]:[Fase]],COLUMN(Metodologia[[#Headers],[Subfamília]]),FALSE)</f>
        <v>#REF!</v>
      </c>
      <c r="F29" s="6" t="str">
        <f>VLOOKUP(Avaluacio[[#This Row],[Codi ítem]],Metodologia[[Codi ítem]:[Fase]],COLUMN(Metodologia[[#Headers],[Fase]]),FALSE)</f>
        <v>Fase 2</v>
      </c>
      <c r="G29" s="54" t="s">
        <v>620</v>
      </c>
      <c r="H29" s="54" t="s">
        <v>620</v>
      </c>
      <c r="I29" s="55"/>
      <c r="J2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https://municat.gencat.cat/ca/Temes/Transparencia/Items-de-transparencia/1.3.6.Retribucions-empleats-publics</v>
      </c>
      <c r="M2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1.0253681876449185</v>
      </c>
      <c r="N29" s="8" t="str">
        <f>Avaluacio[[#This Row],[Codi ítem]]</f>
        <v>XGO028</v>
      </c>
    </row>
    <row r="30" spans="1:14" ht="55.2" x14ac:dyDescent="0.25">
      <c r="A30" s="6" t="s">
        <v>986</v>
      </c>
      <c r="B3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0" s="1" t="str">
        <f>VLOOKUP(Avaluacio[[#This Row],[Codi ítem]],Metodologia[[Codi ítem]:[Ítem]],COLUMN(Metodologia[[#Headers],[Ítem]]),FALSE)</f>
        <v>Convocatòries de personal</v>
      </c>
      <c r="D30" t="str">
        <f>VLOOKUP(Avaluacio[[#This Row],[Codi ítem]],Metodologia[[Codi ítem]:[Família]],COLUMN(Metodologia[[#Headers],[Família]]),FALSE)</f>
        <v>Informació institucional i organitzativa</v>
      </c>
      <c r="E30" t="e">
        <f>VLOOKUP(Avaluacio[[#This Row],[Codi ítem]],Metodologia[[Codi ítem]:[Fase]],COLUMN(Metodologia[[#Headers],[Subfamília]]),FALSE)</f>
        <v>#REF!</v>
      </c>
      <c r="F30" s="6" t="str">
        <f>VLOOKUP(Avaluacio[[#This Row],[Codi ítem]],Metodologia[[Codi ítem]:[Fase]],COLUMN(Metodologia[[#Headers],[Fase]]),FALSE)</f>
        <v>Fase 1</v>
      </c>
      <c r="G30" s="54" t="s">
        <v>620</v>
      </c>
      <c r="H30" s="54" t="s">
        <v>620</v>
      </c>
      <c r="I30" s="55"/>
      <c r="J3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https://municat.gencat.cat/ca/Temes/Transparencia/Items-de-transparencia/1.3.7.Convocatories-personal</v>
      </c>
      <c r="M3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1.1449670810790431</v>
      </c>
      <c r="N30" s="8" t="str">
        <f>Avaluacio[[#This Row],[Codi ítem]]</f>
        <v>XGO029</v>
      </c>
    </row>
    <row r="31" spans="1:14" ht="55.2" x14ac:dyDescent="0.25">
      <c r="A31" s="6" t="s">
        <v>987</v>
      </c>
      <c r="B3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1" s="1" t="str">
        <f>VLOOKUP(Avaluacio[[#This Row],[Codi ítem]],Metodologia[[Codi ítem]:[Ítem]],COLUMN(Metodologia[[#Headers],[Ítem]]),FALSE)</f>
        <v>Resultats de les convocatòries de personal</v>
      </c>
      <c r="D31" t="str">
        <f>VLOOKUP(Avaluacio[[#This Row],[Codi ítem]],Metodologia[[Codi ítem]:[Família]],COLUMN(Metodologia[[#Headers],[Família]]),FALSE)</f>
        <v>Informació institucional i organitzativa</v>
      </c>
      <c r="E31" t="e">
        <f>VLOOKUP(Avaluacio[[#This Row],[Codi ítem]],Metodologia[[Codi ítem]:[Fase]],COLUMN(Metodologia[[#Headers],[Subfamília]]),FALSE)</f>
        <v>#REF!</v>
      </c>
      <c r="F31" s="6" t="str">
        <f>VLOOKUP(Avaluacio[[#This Row],[Codi ítem]],Metodologia[[Codi ítem]:[Fase]],COLUMN(Metodologia[[#Headers],[Fase]]),FALSE)</f>
        <v>Fase 1</v>
      </c>
      <c r="G31" s="54" t="s">
        <v>620</v>
      </c>
      <c r="H31" s="54" t="s">
        <v>620</v>
      </c>
      <c r="I31" s="55"/>
      <c r="J3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https://municat.gencat.cat/ca/Temes/Transparencia/Items-de-transparencia/1.3.8.Resultats-convocatories-personal</v>
      </c>
      <c r="M3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1.0114909891228534</v>
      </c>
      <c r="N31" s="8" t="str">
        <f>Avaluacio[[#This Row],[Codi ítem]]</f>
        <v>XGO030</v>
      </c>
    </row>
    <row r="32" spans="1:14" ht="69" x14ac:dyDescent="0.25">
      <c r="A32" s="6" t="s">
        <v>988</v>
      </c>
      <c r="B3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2" s="1" t="str">
        <f>VLOOKUP(Avaluacio[[#This Row],[Codi ítem]],Metodologia[[Codi ítem]:[Ítem]],COLUMN(Metodologia[[#Headers],[Ítem]]),FALSE)</f>
        <v>Llistes de personal per cada procés de formació i/o promoció</v>
      </c>
      <c r="D32" t="str">
        <f>VLOOKUP(Avaluacio[[#This Row],[Codi ítem]],Metodologia[[Codi ítem]:[Família]],COLUMN(Metodologia[[#Headers],[Família]]),FALSE)</f>
        <v>Informació institucional i organitzativa</v>
      </c>
      <c r="E32" t="e">
        <f>VLOOKUP(Avaluacio[[#This Row],[Codi ítem]],Metodologia[[Codi ítem]:[Fase]],COLUMN(Metodologia[[#Headers],[Subfamília]]),FALSE)</f>
        <v>#REF!</v>
      </c>
      <c r="F32" s="6" t="str">
        <f>VLOOKUP(Avaluacio[[#This Row],[Codi ítem]],Metodologia[[Codi ítem]:[Fase]],COLUMN(Metodologia[[#Headers],[Fase]]),FALSE)</f>
        <v>Fase 4</v>
      </c>
      <c r="G32" s="54" t="s">
        <v>620</v>
      </c>
      <c r="H32" s="54" t="s">
        <v>620</v>
      </c>
      <c r="I32" s="55" t="s">
        <v>1245</v>
      </c>
      <c r="J3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https://municat.gencat.cat/ca/Temes/Transparencia/Items-de-transparencia/1.3.9.Llistes-de-personal-per-cada-proces-formacio-promocio</v>
      </c>
      <c r="M3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1.001087243387939</v>
      </c>
      <c r="N32" s="8" t="str">
        <f>Avaluacio[[#This Row],[Codi ítem]]</f>
        <v>XGO031</v>
      </c>
    </row>
    <row r="33" spans="1:14" ht="55.2" x14ac:dyDescent="0.25">
      <c r="A33" s="6" t="s">
        <v>989</v>
      </c>
      <c r="B3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3" s="1" t="str">
        <f>VLOOKUP(Avaluacio[[#This Row],[Codi ítem]],Metodologia[[Codi ítem]:[Ítem]],COLUMN(Metodologia[[#Headers],[Ítem]]),FALSE)</f>
        <v>Convenis, acords, pactes de caràcter funcionarial, laboral o sindical</v>
      </c>
      <c r="D33" t="str">
        <f>VLOOKUP(Avaluacio[[#This Row],[Codi ítem]],Metodologia[[Codi ítem]:[Família]],COLUMN(Metodologia[[#Headers],[Família]]),FALSE)</f>
        <v>Informació institucional i organitzativa</v>
      </c>
      <c r="E33" t="e">
        <f>VLOOKUP(Avaluacio[[#This Row],[Codi ítem]],Metodologia[[Codi ítem]:[Fase]],COLUMN(Metodologia[[#Headers],[Subfamília]]),FALSE)</f>
        <v>#REF!</v>
      </c>
      <c r="F33" s="6" t="str">
        <f>VLOOKUP(Avaluacio[[#This Row],[Codi ítem]],Metodologia[[Codi ítem]:[Fase]],COLUMN(Metodologia[[#Headers],[Fase]]),FALSE)</f>
        <v>Fase 1</v>
      </c>
      <c r="G33" s="54" t="s">
        <v>620</v>
      </c>
      <c r="H33" s="54" t="s">
        <v>620</v>
      </c>
      <c r="I33" s="55"/>
      <c r="J3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https://municat.gencat.cat/ca/Temes/Transparencia/Items-de-transparencia/1.3.10.Convenis-funcionarials-laborals-sindicals</v>
      </c>
      <c r="M3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1.0050452900258262</v>
      </c>
      <c r="N33" s="8" t="str">
        <f>Avaluacio[[#This Row],[Codi ítem]]</f>
        <v>XGO032</v>
      </c>
    </row>
    <row r="34" spans="1:14" ht="55.2" x14ac:dyDescent="0.25">
      <c r="A34" s="6" t="s">
        <v>990</v>
      </c>
      <c r="B3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4" s="1" t="str">
        <f>VLOOKUP(Avaluacio[[#This Row],[Codi ítem]],Metodologia[[Codi ítem]:[Ítem]],COLUMN(Metodologia[[#Headers],[Ítem]]),FALSE)</f>
        <v>Alliberats sindicals</v>
      </c>
      <c r="D34" t="str">
        <f>VLOOKUP(Avaluacio[[#This Row],[Codi ítem]],Metodologia[[Codi ítem]:[Família]],COLUMN(Metodologia[[#Headers],[Família]]),FALSE)</f>
        <v>Informació institucional i organitzativa</v>
      </c>
      <c r="E34" t="e">
        <f>VLOOKUP(Avaluacio[[#This Row],[Codi ítem]],Metodologia[[Codi ítem]:[Fase]],COLUMN(Metodologia[[#Headers],[Subfamília]]),FALSE)</f>
        <v>#REF!</v>
      </c>
      <c r="F34" s="6" t="str">
        <f>VLOOKUP(Avaluacio[[#This Row],[Codi ítem]],Metodologia[[Codi ítem]:[Fase]],COLUMN(Metodologia[[#Headers],[Fase]]),FALSE)</f>
        <v>Fase 2</v>
      </c>
      <c r="G34" s="54" t="s">
        <v>620</v>
      </c>
      <c r="H34" s="54" t="s">
        <v>620</v>
      </c>
      <c r="I34" s="55"/>
      <c r="J3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https://municat.gencat.cat/ca/Temes/Transparencia/Items-de-transparencia/1.3.11.Alliberats-sindicals</v>
      </c>
      <c r="M3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1.0004139018229117</v>
      </c>
      <c r="N34" s="8" t="str">
        <f>Avaluacio[[#This Row],[Codi ítem]]</f>
        <v>XGO033</v>
      </c>
    </row>
    <row r="35" spans="1:14" ht="69" x14ac:dyDescent="0.25">
      <c r="A35" s="6" t="s">
        <v>991</v>
      </c>
      <c r="B3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5" s="1" t="str">
        <f>VLOOKUP(Avaluacio[[#This Row],[Codi ítem]],Metodologia[[Codi ítem]:[Ítem]],COLUMN(Metodologia[[#Headers],[Ítem]]),FALSE)</f>
        <v>Resolucions sobre el règim d'incompatibilitats dels empleats públics</v>
      </c>
      <c r="D35" t="str">
        <f>VLOOKUP(Avaluacio[[#This Row],[Codi ítem]],Metodologia[[Codi ítem]:[Família]],COLUMN(Metodologia[[#Headers],[Família]]),FALSE)</f>
        <v>Informació institucional i organitzativa</v>
      </c>
      <c r="E35" t="e">
        <f>VLOOKUP(Avaluacio[[#This Row],[Codi ítem]],Metodologia[[Codi ítem]:[Fase]],COLUMN(Metodologia[[#Headers],[Subfamília]]),FALSE)</f>
        <v>#REF!</v>
      </c>
      <c r="F35" s="6" t="str">
        <f>VLOOKUP(Avaluacio[[#This Row],[Codi ítem]],Metodologia[[Codi ítem]:[Fase]],COLUMN(Metodologia[[#Headers],[Fase]]),FALSE)</f>
        <v>Fase 4</v>
      </c>
      <c r="G35" s="54" t="s">
        <v>620</v>
      </c>
      <c r="H35" s="54" t="s">
        <v>620</v>
      </c>
      <c r="I35" s="55"/>
      <c r="J3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https://municat.gencat.cat/ca/Temes/Transparencia/Items-de-transparencia/1.3.12.Resolucions-regim-incompatibilitats-empleats-publics</v>
      </c>
      <c r="M3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1.0014149009369051</v>
      </c>
      <c r="N35" s="8" t="str">
        <f>Avaluacio[[#This Row],[Codi ítem]]</f>
        <v>XGO034</v>
      </c>
    </row>
    <row r="36" spans="1:14" ht="55.2" x14ac:dyDescent="0.25">
      <c r="A36" s="6" t="s">
        <v>992</v>
      </c>
      <c r="B3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6" s="1" t="str">
        <f>VLOOKUP(Avaluacio[[#This Row],[Codi ítem]],Metodologia[[Codi ítem]:[Ítem]],COLUMN(Metodologia[[#Headers],[Ítem]]),FALSE)</f>
        <v>Delegat/da de Protecció de Dades</v>
      </c>
      <c r="D36" t="str">
        <f>VLOOKUP(Avaluacio[[#This Row],[Codi ítem]],Metodologia[[Codi ítem]:[Família]],COLUMN(Metodologia[[#Headers],[Família]]),FALSE)</f>
        <v>Informació institucional i organitzativa</v>
      </c>
      <c r="E36" t="e">
        <f>VLOOKUP(Avaluacio[[#This Row],[Codi ítem]],Metodologia[[Codi ítem]:[Fase]],COLUMN(Metodologia[[#Headers],[Subfamília]]),FALSE)</f>
        <v>#REF!</v>
      </c>
      <c r="F36" s="6" t="str">
        <f>VLOOKUP(Avaluacio[[#This Row],[Codi ítem]],Metodologia[[Codi ítem]:[Fase]],COLUMN(Metodologia[[#Headers],[Fase]]),FALSE)</f>
        <v>Fase 4</v>
      </c>
      <c r="G36" s="54" t="s">
        <v>620</v>
      </c>
      <c r="H36" s="54" t="s">
        <v>620</v>
      </c>
      <c r="I36" s="55"/>
      <c r="J3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https://municat.gencat.cat/ca/Temes/Transparencia/Items-de-transparencia/1.4.1.Delegat-proteccio-dades</v>
      </c>
      <c r="M3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1.0008348728486061</v>
      </c>
      <c r="N36" s="8" t="str">
        <f>Avaluacio[[#This Row],[Codi ítem]]</f>
        <v>XGO035</v>
      </c>
    </row>
    <row r="37" spans="1:14" ht="55.2" x14ac:dyDescent="0.25">
      <c r="A37" s="6" t="s">
        <v>993</v>
      </c>
      <c r="B3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7" s="1" t="str">
        <f>VLOOKUP(Avaluacio[[#This Row],[Codi ítem]],Metodologia[[Codi ítem]:[Ítem]],COLUMN(Metodologia[[#Headers],[Ítem]]),FALSE)</f>
        <v>Exercici dels drets relatius a la protecció de dades personals</v>
      </c>
      <c r="D37" t="str">
        <f>VLOOKUP(Avaluacio[[#This Row],[Codi ítem]],Metodologia[[Codi ítem]:[Família]],COLUMN(Metodologia[[#Headers],[Família]]),FALSE)</f>
        <v>Informació institucional i organitzativa</v>
      </c>
      <c r="E37" t="e">
        <f>VLOOKUP(Avaluacio[[#This Row],[Codi ítem]],Metodologia[[Codi ítem]:[Fase]],COLUMN(Metodologia[[#Headers],[Subfamília]]),FALSE)</f>
        <v>#REF!</v>
      </c>
      <c r="F37" s="6" t="str">
        <f>VLOOKUP(Avaluacio[[#This Row],[Codi ítem]],Metodologia[[Codi ítem]:[Fase]],COLUMN(Metodologia[[#Headers],[Fase]]),FALSE)</f>
        <v>Fase 5</v>
      </c>
      <c r="G37" s="54" t="s">
        <v>620</v>
      </c>
      <c r="H37" s="54" t="s">
        <v>620</v>
      </c>
      <c r="I37" s="55"/>
      <c r="J3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https://municat.gencat.cat/ca/Temes/Transparencia/Items-de-transparencia/1.4.2.Exercici-drets-proteccio-dades</v>
      </c>
      <c r="M3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1.0016100109337003</v>
      </c>
      <c r="N37" s="8" t="str">
        <f>Avaluacio[[#This Row],[Codi ítem]]</f>
        <v>XGO036</v>
      </c>
    </row>
    <row r="38" spans="1:14" ht="69" x14ac:dyDescent="0.25">
      <c r="A38" s="6" t="s">
        <v>994</v>
      </c>
      <c r="B3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8" s="1" t="str">
        <f>VLOOKUP(Avaluacio[[#This Row],[Codi ítem]],Metodologia[[Codi ítem]:[Ítem]],COLUMN(Metodologia[[#Headers],[Ítem]]),FALSE)</f>
        <v>Registre de les activitats de tractament de dades personals</v>
      </c>
      <c r="D38" t="str">
        <f>VLOOKUP(Avaluacio[[#This Row],[Codi ítem]],Metodologia[[Codi ítem]:[Família]],COLUMN(Metodologia[[#Headers],[Família]]),FALSE)</f>
        <v>Informació institucional i organitzativa</v>
      </c>
      <c r="E38" t="e">
        <f>VLOOKUP(Avaluacio[[#This Row],[Codi ítem]],Metodologia[[Codi ítem]:[Fase]],COLUMN(Metodologia[[#Headers],[Subfamília]]),FALSE)</f>
        <v>#REF!</v>
      </c>
      <c r="F38" s="6" t="str">
        <f>VLOOKUP(Avaluacio[[#This Row],[Codi ítem]],Metodologia[[Codi ítem]:[Fase]],COLUMN(Metodologia[[#Headers],[Fase]]),FALSE)</f>
        <v>Fase 3</v>
      </c>
      <c r="G38" s="54" t="s">
        <v>620</v>
      </c>
      <c r="H38" s="54" t="s">
        <v>620</v>
      </c>
      <c r="I38" s="55"/>
      <c r="J3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https://municat.gencat.cat/ca/Temes/Transparencia/Items-de-transparencia/1.4.3.Registre-activitats-tractament-dades-personals</v>
      </c>
      <c r="M3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1.0010151375195582</v>
      </c>
      <c r="N38" s="8" t="str">
        <f>Avaluacio[[#This Row],[Codi ítem]]</f>
        <v>XGO037</v>
      </c>
    </row>
    <row r="39" spans="1:14" ht="55.2" x14ac:dyDescent="0.25">
      <c r="A39" s="6" t="s">
        <v>1098</v>
      </c>
      <c r="B3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9" s="1" t="str">
        <f>VLOOKUP(Avaluacio[[#This Row],[Codi ítem]],Metodologia[[Codi ítem]:[Ítem]],COLUMN(Metodologia[[#Headers],[Ítem]]),FALSE)</f>
        <v>Sistema d'Integritat Institucional</v>
      </c>
      <c r="D39" t="str">
        <f>VLOOKUP(Avaluacio[[#This Row],[Codi ítem]],Metodologia[[Codi ítem]:[Família]],COLUMN(Metodologia[[#Headers],[Família]]),FALSE)</f>
        <v>Informació institucional i organitzativa</v>
      </c>
      <c r="E39" t="e">
        <f>VLOOKUP(Avaluacio[[#This Row],[Codi ítem]],Metodologia[[Codi ítem]:[Fase]],COLUMN(Metodologia[[#Headers],[Subfamília]]),FALSE)</f>
        <v>#REF!</v>
      </c>
      <c r="F39" s="6" t="str">
        <f>VLOOKUP(Avaluacio[[#This Row],[Codi ítem]],Metodologia[[Codi ítem]:[Fase]],COLUMN(Metodologia[[#Headers],[Fase]]),FALSE)</f>
        <v>Fase 5</v>
      </c>
      <c r="G39" s="54" t="s">
        <v>620</v>
      </c>
      <c r="H39" s="54" t="s">
        <v>620</v>
      </c>
      <c r="I39" s="55"/>
      <c r="J3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https://municat.gencat.cat/ca/Temes/Transparencia/Items-de-transparencia/1.5.1Fitxa-sistema-integritat-institucional</v>
      </c>
      <c r="M3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39" s="8" t="str">
        <f>Avaluacio[[#This Row],[Codi ítem]]</f>
        <v>XGO038</v>
      </c>
    </row>
    <row r="40" spans="1:14" ht="55.2" x14ac:dyDescent="0.25">
      <c r="A40" s="6" t="s">
        <v>1099</v>
      </c>
      <c r="B4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0" s="1" t="str">
        <f>VLOOKUP(Avaluacio[[#This Row],[Codi ítem]],Metodologia[[Codi ítem]:[Ítem]],COLUMN(Metodologia[[#Headers],[Ítem]]),FALSE)</f>
        <v>Pla de mesures antifrau</v>
      </c>
      <c r="D40" t="str">
        <f>VLOOKUP(Avaluacio[[#This Row],[Codi ítem]],Metodologia[[Codi ítem]:[Família]],COLUMN(Metodologia[[#Headers],[Família]]),FALSE)</f>
        <v>Informació institucional i organitzativa</v>
      </c>
      <c r="E40" t="e">
        <f>VLOOKUP(Avaluacio[[#This Row],[Codi ítem]],Metodologia[[Codi ítem]:[Fase]],COLUMN(Metodologia[[#Headers],[Subfamília]]),FALSE)</f>
        <v>#REF!</v>
      </c>
      <c r="F40" s="6" t="str">
        <f>VLOOKUP(Avaluacio[[#This Row],[Codi ítem]],Metodologia[[Codi ítem]:[Fase]],COLUMN(Metodologia[[#Headers],[Fase]]),FALSE)</f>
        <v>Fase 1</v>
      </c>
      <c r="G40" s="54" t="s">
        <v>620</v>
      </c>
      <c r="H40" s="54" t="s">
        <v>620</v>
      </c>
      <c r="I40" s="55"/>
      <c r="J4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https://municat.gencat.cat/ca/Temes/Transparencia/Items-de-transparencia/1.5.2Pla-de-mesures-antifrau</v>
      </c>
      <c r="M4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40" s="8" t="str">
        <f>Avaluacio[[#This Row],[Codi ítem]]</f>
        <v>XGO039</v>
      </c>
    </row>
    <row r="41" spans="1:14" ht="82.8" x14ac:dyDescent="0.25">
      <c r="A41" s="6" t="s">
        <v>1100</v>
      </c>
      <c r="B4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1" s="1" t="str">
        <f>VLOOKUP(Avaluacio[[#This Row],[Codi ítem]],Metodologia[[Codi ítem]:[Ítem]],COLUMN(Metodologia[[#Headers],[Ítem]]),FALSE)</f>
        <v>Declaració institucional d’impuls de la política d’integritat i de lluita contra el frau</v>
      </c>
      <c r="D41" t="str">
        <f>VLOOKUP(Avaluacio[[#This Row],[Codi ítem]],Metodologia[[Codi ítem]:[Família]],COLUMN(Metodologia[[#Headers],[Família]]),FALSE)</f>
        <v>Informació institucional i organitzativa</v>
      </c>
      <c r="E41" t="e">
        <f>VLOOKUP(Avaluacio[[#This Row],[Codi ítem]],Metodologia[[Codi ítem]:[Fase]],COLUMN(Metodologia[[#Headers],[Subfamília]]),FALSE)</f>
        <v>#REF!</v>
      </c>
      <c r="F41" s="6" t="str">
        <f>VLOOKUP(Avaluacio[[#This Row],[Codi ítem]],Metodologia[[Codi ítem]:[Fase]],COLUMN(Metodologia[[#Headers],[Fase]]),FALSE)</f>
        <v>Fase 5</v>
      </c>
      <c r="G41" s="54" t="s">
        <v>620</v>
      </c>
      <c r="H41" s="54" t="s">
        <v>620</v>
      </c>
      <c r="J4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https://municat.gencat.cat/ca/Temes/Transparencia/Items-de-transparencia/1.5.3Declaracio-institucional</v>
      </c>
      <c r="M4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41" s="8" t="str">
        <f>Avaluacio[[#This Row],[Codi ítem]]</f>
        <v>XGO040</v>
      </c>
    </row>
    <row r="42" spans="1:14" ht="55.2" x14ac:dyDescent="0.25">
      <c r="A42" s="6" t="s">
        <v>1101</v>
      </c>
      <c r="B4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2" s="1" t="str">
        <f>VLOOKUP(Avaluacio[[#This Row],[Codi ítem]],Metodologia[[Codi ítem]:[Ítem]],COLUMN(Metodologia[[#Headers],[Ítem]]),FALSE)</f>
        <v>Canals d’alertes i sistema intern d’alertes (SIA)</v>
      </c>
      <c r="D42" t="str">
        <f>VLOOKUP(Avaluacio[[#This Row],[Codi ítem]],Metodologia[[Codi ítem]:[Família]],COLUMN(Metodologia[[#Headers],[Família]]),FALSE)</f>
        <v>Informació institucional i organitzativa</v>
      </c>
      <c r="E42" t="e">
        <f>VLOOKUP(Avaluacio[[#This Row],[Codi ítem]],Metodologia[[Codi ítem]:[Fase]],COLUMN(Metodologia[[#Headers],[Subfamília]]),FALSE)</f>
        <v>#REF!</v>
      </c>
      <c r="F42" s="6" t="str">
        <f>VLOOKUP(Avaluacio[[#This Row],[Codi ítem]],Metodologia[[Codi ítem]:[Fase]],COLUMN(Metodologia[[#Headers],[Fase]]),FALSE)</f>
        <v>Fase 1</v>
      </c>
      <c r="G42" s="54" t="s">
        <v>620</v>
      </c>
      <c r="H42" s="54" t="s">
        <v>620</v>
      </c>
      <c r="J4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https://municat.gencat.cat/ca/Temes/Transparencia/Items-de-transparencia/1.5.4canal-alertes-sistema-intern-alertes-sia</v>
      </c>
      <c r="M4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42" s="8" t="str">
        <f>Avaluacio[[#This Row],[Codi ítem]]</f>
        <v>XGO041</v>
      </c>
    </row>
    <row r="43" spans="1:14" ht="69" x14ac:dyDescent="0.25">
      <c r="A43" s="6" t="s">
        <v>1094</v>
      </c>
      <c r="B4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3" s="1" t="str">
        <f>VLOOKUP(Avaluacio[[#This Row],[Codi ítem]],Metodologia[[Codi ítem]:[Ítem]],COLUMN(Metodologia[[#Headers],[Ítem]]),FALSE)</f>
        <v>Registre de grups d'interès</v>
      </c>
      <c r="D43" t="str">
        <f>VLOOKUP(Avaluacio[[#This Row],[Codi ítem]],Metodologia[[Codi ítem]:[Família]],COLUMN(Metodologia[[#Headers],[Família]]),FALSE)</f>
        <v>Informació institucional i organitzativa</v>
      </c>
      <c r="E43" t="e">
        <f>VLOOKUP(Avaluacio[[#This Row],[Codi ítem]],Metodologia[[Codi ítem]:[Fase]],COLUMN(Metodologia[[#Headers],[Subfamília]]),FALSE)</f>
        <v>#REF!</v>
      </c>
      <c r="F43" s="6" t="str">
        <f>VLOOKUP(Avaluacio[[#This Row],[Codi ítem]],Metodologia[[Codi ítem]:[Fase]],COLUMN(Metodologia[[#Headers],[Fase]]),FALSE)</f>
        <v>Fase 1</v>
      </c>
      <c r="G43" s="54" t="s">
        <v>620</v>
      </c>
      <c r="H43" s="54" t="s">
        <v>620</v>
      </c>
      <c r="I43" s="48" t="s">
        <v>1252</v>
      </c>
      <c r="J4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https://municat.gencat.cat/ca/Temes/Transparencia/Items-de-transparencia/1.5.5.Registre-grups-interes</v>
      </c>
      <c r="M4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1.0004877749919883</v>
      </c>
      <c r="N43" s="8" t="str">
        <f>Avaluacio[[#This Row],[Codi ítem]]</f>
        <v>XGO042</v>
      </c>
    </row>
    <row r="44" spans="1:14" ht="55.2" x14ac:dyDescent="0.25">
      <c r="A44" s="6" t="s">
        <v>1097</v>
      </c>
      <c r="B4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4" s="1" t="str">
        <f>VLOOKUP(Avaluacio[[#This Row],[Codi ítem]],Metodologia[[Codi ítem]:[Ítem]],COLUMN(Metodologia[[#Headers],[Ítem]]),FALSE)</f>
        <v>Codi de conducta dels grups d'interès</v>
      </c>
      <c r="D44" t="str">
        <f>VLOOKUP(Avaluacio[[#This Row],[Codi ítem]],Metodologia[[Codi ítem]:[Família]],COLUMN(Metodologia[[#Headers],[Família]]),FALSE)</f>
        <v>Informació institucional i organitzativa</v>
      </c>
      <c r="E44" t="e">
        <f>VLOOKUP(Avaluacio[[#This Row],[Codi ítem]],Metodologia[[Codi ítem]:[Fase]],COLUMN(Metodologia[[#Headers],[Subfamília]]),FALSE)</f>
        <v>#REF!</v>
      </c>
      <c r="F44" s="6" t="str">
        <f>VLOOKUP(Avaluacio[[#This Row],[Codi ítem]],Metodologia[[Codi ítem]:[Fase]],COLUMN(Metodologia[[#Headers],[Fase]]),FALSE)</f>
        <v>Fase 1</v>
      </c>
      <c r="G44" s="54" t="s">
        <v>620</v>
      </c>
      <c r="H44" s="54" t="s">
        <v>620</v>
      </c>
      <c r="I44" s="55"/>
      <c r="J4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https://municat.gencat.cat/ca/Temes/Transparencia/Items-de-transparencia/1.5.5.Registre-grups-interes</v>
      </c>
      <c r="M4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1.0001541086206571</v>
      </c>
      <c r="N44" s="8" t="str">
        <f>Avaluacio[[#This Row],[Codi ítem]]</f>
        <v>XGO043</v>
      </c>
    </row>
    <row r="45" spans="1:14" ht="41.4" x14ac:dyDescent="0.25">
      <c r="A45" s="6" t="s">
        <v>1102</v>
      </c>
      <c r="B4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5" s="1" t="str">
        <f>VLOOKUP(Avaluacio[[#This Row],[Codi ítem]],Metodologia[[Codi ítem]:[Ítem]],COLUMN(Metodologia[[#Headers],[Ítem]]),FALSE)</f>
        <v>Comissió antifrau</v>
      </c>
      <c r="D45" t="str">
        <f>VLOOKUP(Avaluacio[[#This Row],[Codi ítem]],Metodologia[[Codi ítem]:[Família]],COLUMN(Metodologia[[#Headers],[Família]]),FALSE)</f>
        <v>Informació institucional i organitzativa</v>
      </c>
      <c r="E45" t="e">
        <f>VLOOKUP(Avaluacio[[#This Row],[Codi ítem]],Metodologia[[Codi ítem]:[Fase]],COLUMN(Metodologia[[#Headers],[Subfamília]]),FALSE)</f>
        <v>#REF!</v>
      </c>
      <c r="F45" s="6" t="str">
        <f>VLOOKUP(Avaluacio[[#This Row],[Codi ítem]],Metodologia[[Codi ítem]:[Fase]],COLUMN(Metodologia[[#Headers],[Fase]]),FALSE)</f>
        <v>Fase 5</v>
      </c>
      <c r="G45" s="54" t="s">
        <v>620</v>
      </c>
      <c r="H45" s="54" t="s">
        <v>620</v>
      </c>
      <c r="I45" s="55"/>
      <c r="J4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https://municat.gencat.cat/ca/Temes/Transparencia/Items-de-transparencia/1.5.6Comissio-antifrau</v>
      </c>
      <c r="M4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45" s="8" t="str">
        <f>Avaluacio[[#This Row],[Codi ítem]]</f>
        <v>XGO044</v>
      </c>
    </row>
    <row r="46" spans="1:14" ht="55.2" x14ac:dyDescent="0.25">
      <c r="A46" s="6" t="s">
        <v>962</v>
      </c>
      <c r="B4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6" s="1" t="str">
        <f>VLOOKUP(Avaluacio[[#This Row],[Codi ítem]],Metodologia[[Codi ítem]:[Ítem]],COLUMN(Metodologia[[#Headers],[Ítem]]),FALSE)</f>
        <v>Codi de conducta dels alts càrrecs i de bon govern</v>
      </c>
      <c r="D46" t="str">
        <f>VLOOKUP(Avaluacio[[#This Row],[Codi ítem]],Metodologia[[Codi ítem]:[Família]],COLUMN(Metodologia[[#Headers],[Família]]),FALSE)</f>
        <v>Informació institucional i organitzativa</v>
      </c>
      <c r="E46" t="e">
        <f>VLOOKUP(Avaluacio[[#This Row],[Codi ítem]],Metodologia[[Codi ítem]:[Fase]],COLUMN(Metodologia[[#Headers],[Subfamília]]),FALSE)</f>
        <v>#REF!</v>
      </c>
      <c r="F46" s="6" t="str">
        <f>VLOOKUP(Avaluacio[[#This Row],[Codi ítem]],Metodologia[[Codi ítem]:[Fase]],COLUMN(Metodologia[[#Headers],[Fase]]),FALSE)</f>
        <v>Fase 1</v>
      </c>
      <c r="G46" s="54" t="s">
        <v>620</v>
      </c>
      <c r="H46" s="54" t="s">
        <v>620</v>
      </c>
      <c r="I46" s="55"/>
      <c r="J4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https://municat.gencat.cat/ca/Temes/Transparencia/Items-de-transparencia/1.5.7codi-conducta-alts-carrecs</v>
      </c>
      <c r="M4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1.0020133089524383</v>
      </c>
      <c r="N46" s="8" t="str">
        <f>Avaluacio[[#This Row],[Codi ítem]]</f>
        <v>XGO045</v>
      </c>
    </row>
    <row r="47" spans="1:14" ht="41.4" x14ac:dyDescent="0.25">
      <c r="A47" s="6" t="s">
        <v>1056</v>
      </c>
      <c r="B4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7" s="1" t="str">
        <f>VLOOKUP(Avaluacio[[#This Row],[Codi ítem]],Metodologia[[Codi ítem]:[Ítem]],COLUMN(Metodologia[[#Headers],[Ítem]]),FALSE)</f>
        <v>Actes de ple</v>
      </c>
      <c r="D47" t="str">
        <f>VLOOKUP(Avaluacio[[#This Row],[Codi ítem]],Metodologia[[Codi ítem]:[Família]],COLUMN(Metodologia[[#Headers],[Família]]),FALSE)</f>
        <v>Acció de govern i normativa</v>
      </c>
      <c r="E47" t="e">
        <f>VLOOKUP(Avaluacio[[#This Row],[Codi ítem]],Metodologia[[Codi ítem]:[Fase]],COLUMN(Metodologia[[#Headers],[Subfamília]]),FALSE)</f>
        <v>#REF!</v>
      </c>
      <c r="F47" s="6" t="str">
        <f>VLOOKUP(Avaluacio[[#This Row],[Codi ítem]],Metodologia[[Codi ítem]:[Fase]],COLUMN(Metodologia[[#Headers],[Fase]]),FALSE)</f>
        <v>Fase 1</v>
      </c>
      <c r="G47" s="54" t="s">
        <v>620</v>
      </c>
      <c r="H47" s="54" t="s">
        <v>620</v>
      </c>
      <c r="I47" s="55"/>
      <c r="J4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https://municat.gencat.cat/ca/Temes/Transparencia/Items-de-transparencia/2.1.1.Actes-ple</v>
      </c>
      <c r="M4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1.0003414424943917</v>
      </c>
      <c r="N47" s="8" t="str">
        <f>Avaluacio[[#This Row],[Codi ítem]]</f>
        <v>XGO046</v>
      </c>
    </row>
    <row r="48" spans="1:14" ht="55.2" x14ac:dyDescent="0.25">
      <c r="A48" s="6" t="s">
        <v>1057</v>
      </c>
      <c r="B4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8" s="1" t="str">
        <f>VLOOKUP(Avaluacio[[#This Row],[Codi ítem]],Metodologia[[Codi ítem]:[Ítem]],COLUMN(Metodologia[[#Headers],[Ítem]]),FALSE)</f>
        <v>Acords de junta de govern</v>
      </c>
      <c r="D48" t="str">
        <f>VLOOKUP(Avaluacio[[#This Row],[Codi ítem]],Metodologia[[Codi ítem]:[Família]],COLUMN(Metodologia[[#Headers],[Família]]),FALSE)</f>
        <v>Acció de govern i normativa</v>
      </c>
      <c r="E48" t="e">
        <f>VLOOKUP(Avaluacio[[#This Row],[Codi ítem]],Metodologia[[Codi ítem]:[Fase]],COLUMN(Metodologia[[#Headers],[Subfamília]]),FALSE)</f>
        <v>#REF!</v>
      </c>
      <c r="F48" s="6" t="str">
        <f>VLOOKUP(Avaluacio[[#This Row],[Codi ítem]],Metodologia[[Codi ítem]:[Fase]],COLUMN(Metodologia[[#Headers],[Fase]]),FALSE)</f>
        <v>Fase 4</v>
      </c>
      <c r="G48" s="54" t="s">
        <v>620</v>
      </c>
      <c r="H48" s="54" t="s">
        <v>620</v>
      </c>
      <c r="I48" s="55" t="s">
        <v>1243</v>
      </c>
      <c r="J4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https://municat.gencat.cat/ca/Temes/Transparencia/Items-de-transparencia/2.1.2.Acords-junta-govern</v>
      </c>
      <c r="M4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1.0001686004863612</v>
      </c>
      <c r="N48" s="8" t="str">
        <f>Avaluacio[[#This Row],[Codi ítem]]</f>
        <v>XGO047</v>
      </c>
    </row>
    <row r="49" spans="1:14" ht="69" x14ac:dyDescent="0.25">
      <c r="A49" s="6" t="s">
        <v>1058</v>
      </c>
      <c r="B4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9" s="1" t="str">
        <f>VLOOKUP(Avaluacio[[#This Row],[Codi ítem]],Metodologia[[Codi ítem]:[Ítem]],COLUMN(Metodologia[[#Headers],[Ítem]]),FALSE)</f>
        <v>Acords d'òrgans de govern</v>
      </c>
      <c r="D49" t="str">
        <f>VLOOKUP(Avaluacio[[#This Row],[Codi ítem]],Metodologia[[Codi ítem]:[Família]],COLUMN(Metodologia[[#Headers],[Família]]),FALSE)</f>
        <v>Acció de govern i normativa</v>
      </c>
      <c r="E49" t="e">
        <f>VLOOKUP(Avaluacio[[#This Row],[Codi ítem]],Metodologia[[Codi ítem]:[Fase]],COLUMN(Metodologia[[#Headers],[Subfamília]]),FALSE)</f>
        <v>#REF!</v>
      </c>
      <c r="F49" s="6" t="str">
        <f>VLOOKUP(Avaluacio[[#This Row],[Codi ítem]],Metodologia[[Codi ítem]:[Fase]],COLUMN(Metodologia[[#Headers],[Fase]]),FALSE)</f>
        <v>Fase 4</v>
      </c>
      <c r="G49" s="54" t="s">
        <v>621</v>
      </c>
      <c r="H49" s="54" t="s">
        <v>621</v>
      </c>
      <c r="I49" s="55"/>
      <c r="J4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4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49" s="48" t="str">
        <f>HYPERLINK(VLOOKUP(Avaluacio[[#This Row],[Codi ítem]],Metodologia[[#Headers],[#Data],[Codi ítem]:[Enllaç Municat]],COLUMN(Metodologia[[#Headers],[Enllaç Municat]]),FALSE),VLOOKUP(Avaluacio[[#This Row],[Codi ítem]],Metodologia[[#Headers],[#Data],[Codi ítem]:[Enllaç Municat]],COLUMN(Metodologia[[#Headers],[Enllaç Municat]]),FALSE))</f>
        <v>https://suport-governobert.aoc.cat/hc/ca/articles/13363503104157-Qu%C3%A8-ha-d-incloure-l-%C3%ADtem-Acords-dels-%C3%B2rgans-de-govern-</v>
      </c>
      <c r="M4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-4.2627292778102437E-4</v>
      </c>
      <c r="N49" s="8" t="str">
        <f>Avaluacio[[#This Row],[Codi ítem]]</f>
        <v>XGO048</v>
      </c>
    </row>
    <row r="50" spans="1:14" ht="55.2" x14ac:dyDescent="0.25">
      <c r="A50" s="6" t="s">
        <v>1059</v>
      </c>
      <c r="B5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0" s="1" t="str">
        <f>VLOOKUP(Avaluacio[[#This Row],[Codi ítem]],Metodologia[[Codi ítem]:[Ítem]],COLUMN(Metodologia[[#Headers],[Ítem]]),FALSE)</f>
        <v>Resolucions i decrets</v>
      </c>
      <c r="D50" t="str">
        <f>VLOOKUP(Avaluacio[[#This Row],[Codi ítem]],Metodologia[[Codi ítem]:[Família]],COLUMN(Metodologia[[#Headers],[Família]]),FALSE)</f>
        <v>Acció de govern i normativa</v>
      </c>
      <c r="E50" t="e">
        <f>VLOOKUP(Avaluacio[[#This Row],[Codi ítem]],Metodologia[[Codi ítem]:[Fase]],COLUMN(Metodologia[[#Headers],[Subfamília]]),FALSE)</f>
        <v>#REF!</v>
      </c>
      <c r="F50" s="6" t="str">
        <f>VLOOKUP(Avaluacio[[#This Row],[Codi ítem]],Metodologia[[Codi ítem]:[Fase]],COLUMN(Metodologia[[#Headers],[Fase]]),FALSE)</f>
        <v>Fase 3</v>
      </c>
      <c r="G50" s="54" t="s">
        <v>620</v>
      </c>
      <c r="H50" s="54" t="s">
        <v>620</v>
      </c>
      <c r="I50" s="55" t="s">
        <v>1237</v>
      </c>
      <c r="J5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https://municat.gencat.cat/ca/Temes/Transparencia/Items-de-transparencia/2.1.3.Resolucions-i-decrets</v>
      </c>
      <c r="M5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1.0039219937036967</v>
      </c>
      <c r="N50" s="8" t="str">
        <f>Avaluacio[[#This Row],[Codi ítem]]</f>
        <v>XGO049</v>
      </c>
    </row>
    <row r="51" spans="1:14" ht="55.2" x14ac:dyDescent="0.25">
      <c r="A51" s="6" t="s">
        <v>1060</v>
      </c>
      <c r="B5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1" s="1" t="str">
        <f>VLOOKUP(Avaluacio[[#This Row],[Codi ítem]],Metodologia[[Codi ítem]:[Ítem]],COLUMN(Metodologia[[#Headers],[Ítem]]),FALSE)</f>
        <v>Tauler d'edictes i anuncis</v>
      </c>
      <c r="D51" t="str">
        <f>VLOOKUP(Avaluacio[[#This Row],[Codi ítem]],Metodologia[[Codi ítem]:[Família]],COLUMN(Metodologia[[#Headers],[Família]]),FALSE)</f>
        <v>Acció de govern i normativa</v>
      </c>
      <c r="E51" t="e">
        <f>VLOOKUP(Avaluacio[[#This Row],[Codi ítem]],Metodologia[[Codi ítem]:[Fase]],COLUMN(Metodologia[[#Headers],[Subfamília]]),FALSE)</f>
        <v>#REF!</v>
      </c>
      <c r="F51" s="6" t="str">
        <f>VLOOKUP(Avaluacio[[#This Row],[Codi ítem]],Metodologia[[Codi ítem]:[Fase]],COLUMN(Metodologia[[#Headers],[Fase]]),FALSE)</f>
        <v>Fase 1</v>
      </c>
      <c r="G51" s="54" t="s">
        <v>620</v>
      </c>
      <c r="H51" s="54" t="s">
        <v>620</v>
      </c>
      <c r="I51" s="55" t="s">
        <v>1235</v>
      </c>
      <c r="J5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https://municat.gencat.cat/ca/Temes/Transparencia/Items-de-transparencia/2.1.4.Tauler-edictes-i-anuncis</v>
      </c>
      <c r="M5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1.0527701849303448</v>
      </c>
      <c r="N51" s="8" t="str">
        <f>Avaluacio[[#This Row],[Codi ítem]]</f>
        <v>XGO050</v>
      </c>
    </row>
    <row r="52" spans="1:14" ht="55.2" x14ac:dyDescent="0.25">
      <c r="A52" s="6" t="s">
        <v>1061</v>
      </c>
      <c r="B5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2" s="1" t="str">
        <f>VLOOKUP(Avaluacio[[#This Row],[Codi ítem]],Metodologia[[Codi ítem]:[Ítem]],COLUMN(Metodologia[[#Headers],[Ítem]]),FALSE)</f>
        <v>Convocatòries de sessions del ple</v>
      </c>
      <c r="D52" t="str">
        <f>VLOOKUP(Avaluacio[[#This Row],[Codi ítem]],Metodologia[[Codi ítem]:[Família]],COLUMN(Metodologia[[#Headers],[Família]]),FALSE)</f>
        <v>Acció de govern i normativa</v>
      </c>
      <c r="E52" t="e">
        <f>VLOOKUP(Avaluacio[[#This Row],[Codi ítem]],Metodologia[[Codi ítem]:[Fase]],COLUMN(Metodologia[[#Headers],[Subfamília]]),FALSE)</f>
        <v>#REF!</v>
      </c>
      <c r="F52" s="6" t="str">
        <f>VLOOKUP(Avaluacio[[#This Row],[Codi ítem]],Metodologia[[Codi ítem]:[Fase]],COLUMN(Metodologia[[#Headers],[Fase]]),FALSE)</f>
        <v>Fase 4</v>
      </c>
      <c r="G52" s="54" t="s">
        <v>620</v>
      </c>
      <c r="H52" s="54" t="s">
        <v>620</v>
      </c>
      <c r="I52" s="55"/>
      <c r="J5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https://municat.gencat.cat/ca/Temes/Transparencia/Items-de-transparencia/2.1.5.Convocatories-sessions-ple</v>
      </c>
      <c r="M5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1.0002120760834732</v>
      </c>
      <c r="N52" s="8" t="str">
        <f>Avaluacio[[#This Row],[Codi ítem]]</f>
        <v>XGO051</v>
      </c>
    </row>
    <row r="53" spans="1:14" ht="69" x14ac:dyDescent="0.25">
      <c r="A53" s="6" t="s">
        <v>1062</v>
      </c>
      <c r="B5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3" s="1" t="str">
        <f>VLOOKUP(Avaluacio[[#This Row],[Codi ítem]],Metodologia[[Codi ítem]:[Ítem]],COLUMN(Metodologia[[#Headers],[Ítem]]),FALSE)</f>
        <v>Actes administratius amb incidència al domini públic i als serveis públics</v>
      </c>
      <c r="D53" t="str">
        <f>VLOOKUP(Avaluacio[[#This Row],[Codi ítem]],Metodologia[[Codi ítem]:[Família]],COLUMN(Metodologia[[#Headers],[Família]]),FALSE)</f>
        <v>Acció de govern i normativa</v>
      </c>
      <c r="E53" t="e">
        <f>VLOOKUP(Avaluacio[[#This Row],[Codi ítem]],Metodologia[[Codi ítem]:[Fase]],COLUMN(Metodologia[[#Headers],[Subfamília]]),FALSE)</f>
        <v>#REF!</v>
      </c>
      <c r="F53" s="6" t="str">
        <f>VLOOKUP(Avaluacio[[#This Row],[Codi ítem]],Metodologia[[Codi ítem]:[Fase]],COLUMN(Metodologia[[#Headers],[Fase]]),FALSE)</f>
        <v>Fase 4</v>
      </c>
      <c r="G53" s="54" t="s">
        <v>620</v>
      </c>
      <c r="H53" s="54" t="s">
        <v>620</v>
      </c>
      <c r="I53" s="55"/>
      <c r="J5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https://municat.gencat.cat/ca/Temes/Transparencia/Items-de-transparencia/2.1.6.Actes-administratius-incidencia-domini-public</v>
      </c>
      <c r="M5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1.0005726054253774</v>
      </c>
      <c r="N53" s="8" t="str">
        <f>Avaluacio[[#This Row],[Codi ítem]]</f>
        <v>XGO052</v>
      </c>
    </row>
    <row r="54" spans="1:14" ht="55.2" x14ac:dyDescent="0.25">
      <c r="A54" s="6" t="s">
        <v>1063</v>
      </c>
      <c r="B5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4" s="1" t="str">
        <f>VLOOKUP(Avaluacio[[#This Row],[Codi ítem]],Metodologia[[Codi ítem]:[Ítem]],COLUMN(Metodologia[[#Headers],[Ítem]]),FALSE)</f>
        <v>Actes objecte de revisió en via administrativa</v>
      </c>
      <c r="D54" t="str">
        <f>VLOOKUP(Avaluacio[[#This Row],[Codi ítem]],Metodologia[[Codi ítem]:[Família]],COLUMN(Metodologia[[#Headers],[Família]]),FALSE)</f>
        <v>Acció de govern i normativa</v>
      </c>
      <c r="E54" t="e">
        <f>VLOOKUP(Avaluacio[[#This Row],[Codi ítem]],Metodologia[[Codi ítem]:[Fase]],COLUMN(Metodologia[[#Headers],[Subfamília]]),FALSE)</f>
        <v>#REF!</v>
      </c>
      <c r="F54" s="6" t="str">
        <f>VLOOKUP(Avaluacio[[#This Row],[Codi ítem]],Metodologia[[Codi ítem]:[Fase]],COLUMN(Metodologia[[#Headers],[Fase]]),FALSE)</f>
        <v>Fase 3</v>
      </c>
      <c r="G54" s="54" t="s">
        <v>621</v>
      </c>
      <c r="H54" s="54" t="s">
        <v>621</v>
      </c>
      <c r="I54" s="55"/>
      <c r="J5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5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5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https://municat.gencat.cat/ca/Temes/Transparencia/Items-de-transparencia/2.1.7.Actes-revisio-via-administrativa</v>
      </c>
      <c r="M5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-2.7569890851509042E-4</v>
      </c>
      <c r="N54" s="8" t="str">
        <f>Avaluacio[[#This Row],[Codi ítem]]</f>
        <v>XGO053</v>
      </c>
    </row>
    <row r="55" spans="1:14" ht="55.2" x14ac:dyDescent="0.25">
      <c r="A55" s="6" t="s">
        <v>1064</v>
      </c>
      <c r="B5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5" s="1" t="str">
        <f>VLOOKUP(Avaluacio[[#This Row],[Codi ítem]],Metodologia[[Codi ítem]:[Ítem]],COLUMN(Metodologia[[#Headers],[Ítem]]),FALSE)</f>
        <v>Resolucions administratives i judicials rellevants</v>
      </c>
      <c r="D55" t="str">
        <f>VLOOKUP(Avaluacio[[#This Row],[Codi ítem]],Metodologia[[Codi ítem]:[Família]],COLUMN(Metodologia[[#Headers],[Família]]),FALSE)</f>
        <v>Acció de govern i normativa</v>
      </c>
      <c r="E55" t="e">
        <f>VLOOKUP(Avaluacio[[#This Row],[Codi ítem]],Metodologia[[Codi ítem]:[Fase]],COLUMN(Metodologia[[#Headers],[Subfamília]]),FALSE)</f>
        <v>#REF!</v>
      </c>
      <c r="F55" s="6" t="str">
        <f>VLOOKUP(Avaluacio[[#This Row],[Codi ítem]],Metodologia[[Codi ítem]:[Fase]],COLUMN(Metodologia[[#Headers],[Fase]]),FALSE)</f>
        <v>Fase 4</v>
      </c>
      <c r="G55" s="54" t="s">
        <v>620</v>
      </c>
      <c r="H55" s="54" t="s">
        <v>620</v>
      </c>
      <c r="I55" s="55"/>
      <c r="J5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https://municat.gencat.cat/ca/Temes/Transparencia/Items-de-transparencia/2.1.8.Resolucions-administratives-i-judicials-rellevants</v>
      </c>
      <c r="M5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1.0015587592135275</v>
      </c>
      <c r="N55" s="8" t="str">
        <f>Avaluacio[[#This Row],[Codi ítem]]</f>
        <v>XGO054</v>
      </c>
    </row>
    <row r="56" spans="1:14" ht="55.2" x14ac:dyDescent="0.25">
      <c r="A56" s="6" t="s">
        <v>1065</v>
      </c>
      <c r="B5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6" s="1" t="str">
        <f>VLOOKUP(Avaluacio[[#This Row],[Codi ítem]],Metodologia[[Codi ítem]:[Ítem]],COLUMN(Metodologia[[#Headers],[Ítem]]),FALSE)</f>
        <v>Dictàmens de la Comissió Jurídica Assessora i altres òrgans consultius</v>
      </c>
      <c r="D56" t="str">
        <f>VLOOKUP(Avaluacio[[#This Row],[Codi ítem]],Metodologia[[Codi ítem]:[Família]],COLUMN(Metodologia[[#Headers],[Família]]),FALSE)</f>
        <v>Acció de govern i normativa</v>
      </c>
      <c r="E56" t="e">
        <f>VLOOKUP(Avaluacio[[#This Row],[Codi ítem]],Metodologia[[Codi ítem]:[Fase]],COLUMN(Metodologia[[#Headers],[Subfamília]]),FALSE)</f>
        <v>#REF!</v>
      </c>
      <c r="F56" s="6" t="str">
        <f>VLOOKUP(Avaluacio[[#This Row],[Codi ítem]],Metodologia[[Codi ítem]:[Fase]],COLUMN(Metodologia[[#Headers],[Fase]]),FALSE)</f>
        <v>Fase 1</v>
      </c>
      <c r="G56" s="54" t="s">
        <v>620</v>
      </c>
      <c r="H56" s="54" t="s">
        <v>620</v>
      </c>
      <c r="I56" s="55"/>
      <c r="J5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https://municat.gencat.cat/ca/Temes/Transparencia/Items-de-transparencia/2.1.9.Dictamens-CJA-i-altres-organs-consultius</v>
      </c>
      <c r="M5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1.0005065083793616</v>
      </c>
      <c r="N56" s="8" t="str">
        <f>Avaluacio[[#This Row],[Codi ítem]]</f>
        <v>XGO055</v>
      </c>
    </row>
    <row r="57" spans="1:14" ht="69" x14ac:dyDescent="0.25">
      <c r="A57" s="6" t="s">
        <v>1066</v>
      </c>
      <c r="B5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7" s="1" t="str">
        <f>VLOOKUP(Avaluacio[[#This Row],[Codi ítem]],Metodologia[[Codi ítem]:[Ítem]],COLUMN(Metodologia[[#Headers],[Ítem]]),FALSE)</f>
        <v>Notícies i opinions sobre les actuacions de govern i de l'oposició</v>
      </c>
      <c r="D57" t="str">
        <f>VLOOKUP(Avaluacio[[#This Row],[Codi ítem]],Metodologia[[Codi ítem]:[Família]],COLUMN(Metodologia[[#Headers],[Família]]),FALSE)</f>
        <v>Acció de govern i normativa</v>
      </c>
      <c r="E57" t="e">
        <f>VLOOKUP(Avaluacio[[#This Row],[Codi ítem]],Metodologia[[Codi ítem]:[Fase]],COLUMN(Metodologia[[#Headers],[Subfamília]]),FALSE)</f>
        <v>#REF!</v>
      </c>
      <c r="F57" s="6" t="str">
        <f>VLOOKUP(Avaluacio[[#This Row],[Codi ítem]],Metodologia[[Codi ítem]:[Fase]],COLUMN(Metodologia[[#Headers],[Fase]]),FALSE)</f>
        <v>Fase 5</v>
      </c>
      <c r="G57" s="54" t="s">
        <v>620</v>
      </c>
      <c r="H57" s="54" t="s">
        <v>620</v>
      </c>
      <c r="I57" s="55" t="s">
        <v>1237</v>
      </c>
      <c r="J5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https://municat.gencat.cat/ca/Temes/Transparencia/Items-de-transparencia/2.1.10.Noticies-i-opinions-sobre-actuacions-govern-i-oposicio</v>
      </c>
      <c r="M5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1.0007415593718778</v>
      </c>
      <c r="N57" s="8" t="str">
        <f>Avaluacio[[#This Row],[Codi ítem]]</f>
        <v>XGO056</v>
      </c>
    </row>
    <row r="58" spans="1:14" ht="69" x14ac:dyDescent="0.25">
      <c r="A58" s="6" t="s">
        <v>1067</v>
      </c>
      <c r="B5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8" s="1" t="str">
        <f>VLOOKUP(Avaluacio[[#This Row],[Codi ítem]],Metodologia[[Codi ítem]:[Ítem]],COLUMN(Metodologia[[#Headers],[Ítem]]),FALSE)</f>
        <v>Opinions i propostes dels grups municipals</v>
      </c>
      <c r="D58" t="str">
        <f>VLOOKUP(Avaluacio[[#This Row],[Codi ítem]],Metodologia[[Codi ítem]:[Família]],COLUMN(Metodologia[[#Headers],[Família]]),FALSE)</f>
        <v>Acció de govern i normativa</v>
      </c>
      <c r="E58" t="e">
        <f>VLOOKUP(Avaluacio[[#This Row],[Codi ítem]],Metodologia[[Codi ítem]:[Fase]],COLUMN(Metodologia[[#Headers],[Subfamília]]),FALSE)</f>
        <v>#REF!</v>
      </c>
      <c r="F58" s="6" t="str">
        <f>VLOOKUP(Avaluacio[[#This Row],[Codi ítem]],Metodologia[[Codi ítem]:[Fase]],COLUMN(Metodologia[[#Headers],[Fase]]),FALSE)</f>
        <v>Fase 5</v>
      </c>
      <c r="G58" s="54" t="s">
        <v>620</v>
      </c>
      <c r="H58" s="54" t="s">
        <v>620</v>
      </c>
      <c r="I58" s="55"/>
      <c r="J5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https://municat.gencat.cat/ca/Temes/Transparencia/Items-de-transparencia/2.1.11.Opinions-i-propostes-dels-grups-politics-municipals</v>
      </c>
      <c r="M5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1.0010791138047392</v>
      </c>
      <c r="N58" s="8" t="str">
        <f>Avaluacio[[#This Row],[Codi ítem]]</f>
        <v>XGO057</v>
      </c>
    </row>
    <row r="59" spans="1:14" ht="55.2" x14ac:dyDescent="0.25">
      <c r="A59" s="6" t="s">
        <v>1068</v>
      </c>
      <c r="B5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9" s="1" t="str">
        <f>VLOOKUP(Avaluacio[[#This Row],[Codi ítem]],Metodologia[[Codi ítem]:[Ítem]],COLUMN(Metodologia[[#Headers],[Ítem]]),FALSE)</f>
        <v>Resolucions de les sol·licituds d’accés a la informació pública</v>
      </c>
      <c r="D59" t="str">
        <f>VLOOKUP(Avaluacio[[#This Row],[Codi ítem]],Metodologia[[Codi ítem]:[Família]],COLUMN(Metodologia[[#Headers],[Família]]),FALSE)</f>
        <v>Acció de govern i normativa</v>
      </c>
      <c r="E59" t="e">
        <f>VLOOKUP(Avaluacio[[#This Row],[Codi ítem]],Metodologia[[Codi ítem]:[Fase]],COLUMN(Metodologia[[#Headers],[Subfamília]]),FALSE)</f>
        <v>#REF!</v>
      </c>
      <c r="F59" s="6" t="str">
        <f>VLOOKUP(Avaluacio[[#This Row],[Codi ítem]],Metodologia[[Codi ítem]:[Fase]],COLUMN(Metodologia[[#Headers],[Fase]]),FALSE)</f>
        <v>Fase 3</v>
      </c>
      <c r="G59" s="54" t="s">
        <v>620</v>
      </c>
      <c r="H59" s="54" t="s">
        <v>620</v>
      </c>
      <c r="I59" s="55"/>
      <c r="J5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https://municat.gencat.cat/ca/Temes/Transparencia/Items-de-transparencia/2.1.12.Resolucions-de-solicituds-acces-informacio-publica</v>
      </c>
      <c r="M5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1.0011144598186514</v>
      </c>
      <c r="N59" s="8" t="str">
        <f>Avaluacio[[#This Row],[Codi ítem]]</f>
        <v>XGO058</v>
      </c>
    </row>
    <row r="60" spans="1:14" ht="41.4" x14ac:dyDescent="0.25">
      <c r="A60" s="6" t="s">
        <v>1069</v>
      </c>
      <c r="B6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0" s="1" t="str">
        <f>VLOOKUP(Avaluacio[[#This Row],[Codi ítem]],Metodologia[[Codi ítem]:[Ítem]],COLUMN(Metodologia[[#Headers],[Ítem]]),FALSE)</f>
        <v>Estatuts</v>
      </c>
      <c r="D60" t="str">
        <f>VLOOKUP(Avaluacio[[#This Row],[Codi ítem]],Metodologia[[Codi ítem]:[Família]],COLUMN(Metodologia[[#Headers],[Família]]),FALSE)</f>
        <v>Acció de govern i normativa</v>
      </c>
      <c r="E60" t="e">
        <f>VLOOKUP(Avaluacio[[#This Row],[Codi ítem]],Metodologia[[Codi ítem]:[Fase]],COLUMN(Metodologia[[#Headers],[Subfamília]]),FALSE)</f>
        <v>#REF!</v>
      </c>
      <c r="F60" s="6" t="str">
        <f>VLOOKUP(Avaluacio[[#This Row],[Codi ítem]],Metodologia[[Codi ítem]:[Fase]],COLUMN(Metodologia[[#Headers],[Fase]]),FALSE)</f>
        <v>Fase 1</v>
      </c>
      <c r="G60" s="54" t="s">
        <v>620</v>
      </c>
      <c r="H60" s="54" t="s">
        <v>620</v>
      </c>
      <c r="I60" s="55"/>
      <c r="J6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https://municat.gencat.cat/ca/Temes/Transparencia/Items-de-transparencia/2.2.1.Estatuts</v>
      </c>
      <c r="M6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1.0011738411220239</v>
      </c>
      <c r="N60" s="8" t="str">
        <f>Avaluacio[[#This Row],[Codi ítem]]</f>
        <v>XGO059</v>
      </c>
    </row>
    <row r="61" spans="1:14" ht="55.2" x14ac:dyDescent="0.25">
      <c r="A61" s="6" t="s">
        <v>1070</v>
      </c>
      <c r="B6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1" s="1" t="str">
        <f>VLOOKUP(Avaluacio[[#This Row],[Codi ítem]],Metodologia[[Codi ítem]:[Ítem]],COLUMN(Metodologia[[#Headers],[Ítem]]),FALSE)</f>
        <v>Ordenances reguladores i reglaments</v>
      </c>
      <c r="D61" t="str">
        <f>VLOOKUP(Avaluacio[[#This Row],[Codi ítem]],Metodologia[[Codi ítem]:[Família]],COLUMN(Metodologia[[#Headers],[Família]]),FALSE)</f>
        <v>Acció de govern i normativa</v>
      </c>
      <c r="E61" t="e">
        <f>VLOOKUP(Avaluacio[[#This Row],[Codi ítem]],Metodologia[[Codi ítem]:[Fase]],COLUMN(Metodologia[[#Headers],[Subfamília]]),FALSE)</f>
        <v>#REF!</v>
      </c>
      <c r="F61" s="6" t="str">
        <f>VLOOKUP(Avaluacio[[#This Row],[Codi ítem]],Metodologia[[Codi ítem]:[Fase]],COLUMN(Metodologia[[#Headers],[Fase]]),FALSE)</f>
        <v>Fase 1</v>
      </c>
      <c r="G61" s="54" t="s">
        <v>620</v>
      </c>
      <c r="H61" s="54" t="s">
        <v>620</v>
      </c>
      <c r="I61" s="55"/>
      <c r="J6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https://municat.gencat.cat/ca/Temes/Transparencia/Items-de-transparencia/2.2.2.Ordenances-reguladores-i-reglaments</v>
      </c>
      <c r="M6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1.0274182564518257</v>
      </c>
      <c r="N61" s="8" t="str">
        <f>Avaluacio[[#This Row],[Codi ítem]]</f>
        <v>XGO060</v>
      </c>
    </row>
    <row r="62" spans="1:14" ht="55.2" x14ac:dyDescent="0.25">
      <c r="A62" s="6" t="s">
        <v>1071</v>
      </c>
      <c r="B6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2" s="1" t="str">
        <f>VLOOKUP(Avaluacio[[#This Row],[Codi ítem]],Metodologia[[Codi ítem]:[Ítem]],COLUMN(Metodologia[[#Headers],[Ítem]]),FALSE)</f>
        <v>Ordenances fiscals</v>
      </c>
      <c r="D62" t="str">
        <f>VLOOKUP(Avaluacio[[#This Row],[Codi ítem]],Metodologia[[Codi ítem]:[Família]],COLUMN(Metodologia[[#Headers],[Família]]),FALSE)</f>
        <v>Acció de govern i normativa</v>
      </c>
      <c r="E62" t="e">
        <f>VLOOKUP(Avaluacio[[#This Row],[Codi ítem]],Metodologia[[Codi ítem]:[Fase]],COLUMN(Metodologia[[#Headers],[Subfamília]]),FALSE)</f>
        <v>#REF!</v>
      </c>
      <c r="F62" s="6" t="str">
        <f>VLOOKUP(Avaluacio[[#This Row],[Codi ítem]],Metodologia[[Codi ítem]:[Fase]],COLUMN(Metodologia[[#Headers],[Fase]]),FALSE)</f>
        <v>Fase 1</v>
      </c>
      <c r="G62" s="54" t="s">
        <v>620</v>
      </c>
      <c r="H62" s="54" t="s">
        <v>620</v>
      </c>
      <c r="I62" s="55"/>
      <c r="J6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https://municat.gencat.cat/ca/Temes/Transparencia/Items-de-transparencia/2.2.3.Ordenances-fiscals</v>
      </c>
      <c r="M6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1.0263889805267028</v>
      </c>
      <c r="N62" s="8" t="str">
        <f>Avaluacio[[#This Row],[Codi ítem]]</f>
        <v>XGO061</v>
      </c>
    </row>
    <row r="63" spans="1:14" ht="55.2" x14ac:dyDescent="0.25">
      <c r="A63" s="6" t="s">
        <v>1072</v>
      </c>
      <c r="B6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3" s="1" t="str">
        <f>VLOOKUP(Avaluacio[[#This Row],[Codi ítem]],Metodologia[[Codi ítem]:[Ítem]],COLUMN(Metodologia[[#Headers],[Ítem]]),FALSE)</f>
        <v>Plecs de clàusules generals</v>
      </c>
      <c r="D63" t="str">
        <f>VLOOKUP(Avaluacio[[#This Row],[Codi ítem]],Metodologia[[Codi ítem]:[Família]],COLUMN(Metodologia[[#Headers],[Família]]),FALSE)</f>
        <v>Acció de govern i normativa</v>
      </c>
      <c r="E63" t="e">
        <f>VLOOKUP(Avaluacio[[#This Row],[Codi ítem]],Metodologia[[Codi ítem]:[Fase]],COLUMN(Metodologia[[#Headers],[Subfamília]]),FALSE)</f>
        <v>#REF!</v>
      </c>
      <c r="F63" s="6" t="str">
        <f>VLOOKUP(Avaluacio[[#This Row],[Codi ítem]],Metodologia[[Codi ítem]:[Fase]],COLUMN(Metodologia[[#Headers],[Fase]]),FALSE)</f>
        <v>Fase 1</v>
      </c>
      <c r="G63" s="54" t="s">
        <v>621</v>
      </c>
      <c r="H63" s="54" t="s">
        <v>621</v>
      </c>
      <c r="I63" s="55" t="s">
        <v>1236</v>
      </c>
      <c r="J6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6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6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https://municat.gencat.cat/ca/Temes/Transparencia/Items-de-transparencia/2.2.4.Plecs-clausules-administratives-generals</v>
      </c>
      <c r="M6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-4.4147171376326651E-4</v>
      </c>
      <c r="N63" s="8" t="str">
        <f>Avaluacio[[#This Row],[Codi ítem]]</f>
        <v>XGO062</v>
      </c>
    </row>
    <row r="64" spans="1:14" ht="82.8" x14ac:dyDescent="0.25">
      <c r="A64" s="6" t="s">
        <v>1075</v>
      </c>
      <c r="B6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4" s="1" t="str">
        <f>VLOOKUP(Avaluacio[[#This Row],[Codi ítem]],Metodologia[[Codi ítem]:[Ítem]],COLUMN(Metodologia[[#Headers],[Ítem]]),FALSE)</f>
        <v>Directives, instruccions, circulars i respostes a consultes sobre les normes</v>
      </c>
      <c r="D64" t="str">
        <f>VLOOKUP(Avaluacio[[#This Row],[Codi ítem]],Metodologia[[Codi ítem]:[Família]],COLUMN(Metodologia[[#Headers],[Família]]),FALSE)</f>
        <v>Acció de govern i normativa</v>
      </c>
      <c r="E64" t="e">
        <f>VLOOKUP(Avaluacio[[#This Row],[Codi ítem]],Metodologia[[Codi ítem]:[Fase]],COLUMN(Metodologia[[#Headers],[Subfamília]]),FALSE)</f>
        <v>#REF!</v>
      </c>
      <c r="F64" s="6" t="str">
        <f>VLOOKUP(Avaluacio[[#This Row],[Codi ítem]],Metodologia[[Codi ítem]:[Fase]],COLUMN(Metodologia[[#Headers],[Fase]]),FALSE)</f>
        <v>Fase 2</v>
      </c>
      <c r="G64" s="54" t="s">
        <v>620</v>
      </c>
      <c r="H64" s="54" t="s">
        <v>620</v>
      </c>
      <c r="I64" s="55"/>
      <c r="J6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https://municat.gencat.cat/ca/Temes/Transparencia/Items-de-transparencia/2.2.5.Directives-instruccions-circulars-respostes-a-consultes-sobre-normes</v>
      </c>
      <c r="M6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1.0005252417667352</v>
      </c>
      <c r="N64" s="8" t="str">
        <f>Avaluacio[[#This Row],[Codi ítem]]</f>
        <v>XGO063</v>
      </c>
    </row>
    <row r="65" spans="1:14" ht="55.2" x14ac:dyDescent="0.25">
      <c r="A65" s="6" t="s">
        <v>1076</v>
      </c>
      <c r="B6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5" s="1" t="str">
        <f>VLOOKUP(Avaluacio[[#This Row],[Codi ítem]],Metodologia[[Codi ítem]:[Ítem]],COLUMN(Metodologia[[#Headers],[Ítem]]),FALSE)</f>
        <v>Memòries i documents dels projectes normatius en curs</v>
      </c>
      <c r="D65" t="str">
        <f>VLOOKUP(Avaluacio[[#This Row],[Codi ítem]],Metodologia[[Codi ítem]:[Família]],COLUMN(Metodologia[[#Headers],[Família]]),FALSE)</f>
        <v>Acció de govern i normativa</v>
      </c>
      <c r="E65" t="e">
        <f>VLOOKUP(Avaluacio[[#This Row],[Codi ítem]],Metodologia[[Codi ítem]:[Fase]],COLUMN(Metodologia[[#Headers],[Subfamília]]),FALSE)</f>
        <v>#REF!</v>
      </c>
      <c r="F65" s="6" t="str">
        <f>VLOOKUP(Avaluacio[[#This Row],[Codi ítem]],Metodologia[[Codi ítem]:[Fase]],COLUMN(Metodologia[[#Headers],[Fase]]),FALSE)</f>
        <v>Fase 2</v>
      </c>
      <c r="G65" s="54" t="s">
        <v>620</v>
      </c>
      <c r="H65" s="54" t="s">
        <v>620</v>
      </c>
      <c r="I65" s="55"/>
      <c r="J6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https://municat.gencat.cat/ca/Temes/Transparencia/Items-de-transparencia/2.2.6.Memories-documents-projectes-normatius-curs</v>
      </c>
      <c r="M6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1.002301732425962</v>
      </c>
      <c r="N65" s="8" t="str">
        <f>Avaluacio[[#This Row],[Codi ítem]]</f>
        <v>XGO064</v>
      </c>
    </row>
    <row r="66" spans="1:14" ht="55.2" x14ac:dyDescent="0.25">
      <c r="A66" s="6" t="s">
        <v>1077</v>
      </c>
      <c r="B6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6" s="1" t="str">
        <f>VLOOKUP(Avaluacio[[#This Row],[Codi ítem]],Metodologia[[Codi ítem]:[Ítem]],COLUMN(Metodologia[[#Headers],[Ítem]]),FALSE)</f>
        <v>Avaluació de l'aplicació de les normes</v>
      </c>
      <c r="D66" t="str">
        <f>VLOOKUP(Avaluacio[[#This Row],[Codi ítem]],Metodologia[[Codi ítem]:[Família]],COLUMN(Metodologia[[#Headers],[Família]]),FALSE)</f>
        <v>Acció de govern i normativa</v>
      </c>
      <c r="E66" t="e">
        <f>VLOOKUP(Avaluacio[[#This Row],[Codi ítem]],Metodologia[[Codi ítem]:[Fase]],COLUMN(Metodologia[[#Headers],[Subfamília]]),FALSE)</f>
        <v>#REF!</v>
      </c>
      <c r="F66" s="6" t="str">
        <f>VLOOKUP(Avaluacio[[#This Row],[Codi ítem]],Metodologia[[Codi ítem]:[Fase]],COLUMN(Metodologia[[#Headers],[Fase]]),FALSE)</f>
        <v>Fase 4</v>
      </c>
      <c r="G66" s="54" t="s">
        <v>621</v>
      </c>
      <c r="H66" s="54" t="s">
        <v>621</v>
      </c>
      <c r="I66" s="55"/>
      <c r="J6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6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6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https://municat.gencat.cat/ca/Temes/Transparencia/Items-de-transparencia/2.2.7.Avaluacio-aplicacio-de-normes</v>
      </c>
      <c r="M6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-2.0041189888212339E-4</v>
      </c>
      <c r="N66" s="8" t="str">
        <f>Avaluacio[[#This Row],[Codi ítem]]</f>
        <v>XGO065</v>
      </c>
    </row>
    <row r="67" spans="1:14" ht="69" x14ac:dyDescent="0.25">
      <c r="A67" s="6" t="s">
        <v>1078</v>
      </c>
      <c r="B6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7" s="1" t="str">
        <f>VLOOKUP(Avaluacio[[#This Row],[Codi ítem]],Metodologia[[Codi ítem]:[Ítem]],COLUMN(Metodologia[[#Headers],[Ítem]]),FALSE)</f>
        <v>Plans i programes destacats sobre les polítiques públiques</v>
      </c>
      <c r="D67" t="str">
        <f>VLOOKUP(Avaluacio[[#This Row],[Codi ítem]],Metodologia[[Codi ítem]:[Família]],COLUMN(Metodologia[[#Headers],[Família]]),FALSE)</f>
        <v>Acció de govern i normativa</v>
      </c>
      <c r="E67" t="e">
        <f>VLOOKUP(Avaluacio[[#This Row],[Codi ítem]],Metodologia[[Codi ítem]:[Fase]],COLUMN(Metodologia[[#Headers],[Subfamília]]),FALSE)</f>
        <v>#REF!</v>
      </c>
      <c r="F67" s="6" t="str">
        <f>VLOOKUP(Avaluacio[[#This Row],[Codi ítem]],Metodologia[[Codi ítem]:[Fase]],COLUMN(Metodologia[[#Headers],[Fase]]),FALSE)</f>
        <v>Fase 2</v>
      </c>
      <c r="G67" s="54" t="s">
        <v>620</v>
      </c>
      <c r="H67" s="54" t="s">
        <v>620</v>
      </c>
      <c r="I67" s="55"/>
      <c r="J6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https://municat.gencat.cat/ca/Temes/Transparencia/Items-de-transparencia/2.2.8.Plans-programes-destacats-sobre-politiques-publiques</v>
      </c>
      <c r="M6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1.0029414952777724</v>
      </c>
      <c r="N67" s="8" t="str">
        <f>Avaluacio[[#This Row],[Codi ítem]]</f>
        <v>XGO066</v>
      </c>
    </row>
    <row r="68" spans="1:14" ht="41.4" x14ac:dyDescent="0.25">
      <c r="A68" s="6" t="s">
        <v>1079</v>
      </c>
      <c r="B6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8" s="1" t="str">
        <f>VLOOKUP(Avaluacio[[#This Row],[Codi ítem]],Metodologia[[Codi ítem]:[Ítem]],COLUMN(Metodologia[[#Headers],[Ítem]]),FALSE)</f>
        <v>Pla anual normatiu</v>
      </c>
      <c r="D68" t="str">
        <f>VLOOKUP(Avaluacio[[#This Row],[Codi ítem]],Metodologia[[Codi ítem]:[Família]],COLUMN(Metodologia[[#Headers],[Família]]),FALSE)</f>
        <v>Acció de govern i normativa</v>
      </c>
      <c r="E68" t="e">
        <f>VLOOKUP(Avaluacio[[#This Row],[Codi ítem]],Metodologia[[Codi ítem]:[Fase]],COLUMN(Metodologia[[#Headers],[Subfamília]]),FALSE)</f>
        <v>#REF!</v>
      </c>
      <c r="F68" s="6" t="str">
        <f>VLOOKUP(Avaluacio[[#This Row],[Codi ítem]],Metodologia[[Codi ítem]:[Fase]],COLUMN(Metodologia[[#Headers],[Fase]]),FALSE)</f>
        <v>Fase 5</v>
      </c>
      <c r="G68" s="54" t="s">
        <v>621</v>
      </c>
      <c r="H68" s="54" t="s">
        <v>621</v>
      </c>
      <c r="I68" s="55"/>
      <c r="J6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6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6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https://municat.gencat.cat/ca/Temes/Transparencia/Items-de-transparencia/2.2.9.Pla-normatiu</v>
      </c>
      <c r="M6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-4.3107998567308231E-3</v>
      </c>
      <c r="N68" s="8" t="str">
        <f>Avaluacio[[#This Row],[Codi ítem]]</f>
        <v>XGO067</v>
      </c>
    </row>
    <row r="69" spans="1:14" ht="55.2" x14ac:dyDescent="0.25">
      <c r="A69" s="6" t="s">
        <v>1073</v>
      </c>
      <c r="B6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9" s="1" t="str">
        <f>VLOOKUP(Avaluacio[[#This Row],[Codi ítem]],Metodologia[[Codi ítem]:[Ítem]],COLUMN(Metodologia[[#Headers],[Ítem]]),FALSE)</f>
        <v>Calendari i padrons fiscals</v>
      </c>
      <c r="D69" t="str">
        <f>VLOOKUP(Avaluacio[[#This Row],[Codi ítem]],Metodologia[[Codi ítem]:[Família]],COLUMN(Metodologia[[#Headers],[Família]]),FALSE)</f>
        <v>Acció de govern i normativa</v>
      </c>
      <c r="E69" t="e">
        <f>VLOOKUP(Avaluacio[[#This Row],[Codi ítem]],Metodologia[[Codi ítem]:[Fase]],COLUMN(Metodologia[[#Headers],[Subfamília]]),FALSE)</f>
        <v>#REF!</v>
      </c>
      <c r="F69" s="6" t="str">
        <f>VLOOKUP(Avaluacio[[#This Row],[Codi ítem]],Metodologia[[Codi ítem]:[Fase]],COLUMN(Metodologia[[#Headers],[Fase]]),FALSE)</f>
        <v>Fase 5</v>
      </c>
      <c r="G69" s="54" t="s">
        <v>620</v>
      </c>
      <c r="H69" s="54" t="s">
        <v>620</v>
      </c>
      <c r="I69" s="55"/>
      <c r="J6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https://municat.gencat.cat/ca/Temes/Transparencia/Items-de-transparencia/2.2.10.Calendari-i-padrons-fiscals</v>
      </c>
      <c r="M6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1.0062714432484401</v>
      </c>
      <c r="N69" s="8" t="str">
        <f>Avaluacio[[#This Row],[Codi ítem]]</f>
        <v>XGO068</v>
      </c>
    </row>
    <row r="70" spans="1:14" ht="55.2" x14ac:dyDescent="0.25">
      <c r="A70" s="6" t="s">
        <v>1074</v>
      </c>
      <c r="B7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0" s="1" t="str">
        <f>VLOOKUP(Avaluacio[[#This Row],[Codi ítem]],Metodologia[[Codi ítem]:[Ítem]],COLUMN(Metodologia[[#Headers],[Ítem]]),FALSE)</f>
        <v>Tipus impositius</v>
      </c>
      <c r="D70" t="str">
        <f>VLOOKUP(Avaluacio[[#This Row],[Codi ítem]],Metodologia[[Codi ítem]:[Família]],COLUMN(Metodologia[[#Headers],[Família]]),FALSE)</f>
        <v>Acció de govern i normativa</v>
      </c>
      <c r="E70" t="e">
        <f>VLOOKUP(Avaluacio[[#This Row],[Codi ítem]],Metodologia[[Codi ítem]:[Fase]],COLUMN(Metodologia[[#Headers],[Subfamília]]),FALSE)</f>
        <v>#REF!</v>
      </c>
      <c r="F70" s="6" t="str">
        <f>VLOOKUP(Avaluacio[[#This Row],[Codi ítem]],Metodologia[[Codi ítem]:[Fase]],COLUMN(Metodologia[[#Headers],[Fase]]),FALSE)</f>
        <v>Fase 5</v>
      </c>
      <c r="G70" s="54" t="s">
        <v>620</v>
      </c>
      <c r="H70" s="54" t="s">
        <v>620</v>
      </c>
      <c r="I70" s="55"/>
      <c r="J7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https://municat.gencat.cat/ca/Temes/Transparencia/Items-de-transparencia/2.2.11.Tipus-impositius</v>
      </c>
      <c r="M7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1.0055677041114484</v>
      </c>
      <c r="N70" s="8" t="str">
        <f>Avaluacio[[#This Row],[Codi ítem]]</f>
        <v>XGO069</v>
      </c>
    </row>
    <row r="71" spans="1:14" ht="55.2" x14ac:dyDescent="0.25">
      <c r="A71" s="6" t="s">
        <v>1080</v>
      </c>
      <c r="B7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1" s="1" t="str">
        <f>VLOOKUP(Avaluacio[[#This Row],[Codi ítem]],Metodologia[[Codi ítem]:[Ítem]],COLUMN(Metodologia[[#Headers],[Ítem]]),FALSE)</f>
        <v>Normativa d'urbanisme</v>
      </c>
      <c r="D71" t="str">
        <f>VLOOKUP(Avaluacio[[#This Row],[Codi ítem]],Metodologia[[Codi ítem]:[Família]],COLUMN(Metodologia[[#Headers],[Família]]),FALSE)</f>
        <v>Acció de govern i normativa</v>
      </c>
      <c r="E71" t="e">
        <f>VLOOKUP(Avaluacio[[#This Row],[Codi ítem]],Metodologia[[Codi ítem]:[Fase]],COLUMN(Metodologia[[#Headers],[Subfamília]]),FALSE)</f>
        <v>#REF!</v>
      </c>
      <c r="F71" s="6" t="str">
        <f>VLOOKUP(Avaluacio[[#This Row],[Codi ítem]],Metodologia[[Codi ítem]:[Fase]],COLUMN(Metodologia[[#Headers],[Fase]]),FALSE)</f>
        <v>Fase 1</v>
      </c>
      <c r="G71" s="54" t="s">
        <v>620</v>
      </c>
      <c r="H71" s="54" t="s">
        <v>620</v>
      </c>
      <c r="I71" s="55" t="s">
        <v>1237</v>
      </c>
      <c r="J7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https://municat.gencat.cat/ca/Temes/Transparencia/Items-de-transparencia/2.3.1.Normativa-urbanisme</v>
      </c>
      <c r="M7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1.0199782739834486</v>
      </c>
      <c r="N71" s="8" t="str">
        <f>Avaluacio[[#This Row],[Codi ítem]]</f>
        <v>XGO070</v>
      </c>
    </row>
    <row r="72" spans="1:14" ht="55.2" x14ac:dyDescent="0.25">
      <c r="A72" s="6" t="s">
        <v>1081</v>
      </c>
      <c r="B7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2" s="1" t="str">
        <f>VLOOKUP(Avaluacio[[#This Row],[Codi ítem]],Metodologia[[Codi ítem]:[Ítem]],COLUMN(Metodologia[[#Headers],[Ítem]]),FALSE)</f>
        <v>Planejament urbanístic</v>
      </c>
      <c r="D72" t="str">
        <f>VLOOKUP(Avaluacio[[#This Row],[Codi ítem]],Metodologia[[Codi ítem]:[Família]],COLUMN(Metodologia[[#Headers],[Família]]),FALSE)</f>
        <v>Acció de govern i normativa</v>
      </c>
      <c r="E72" t="e">
        <f>VLOOKUP(Avaluacio[[#This Row],[Codi ítem]],Metodologia[[Codi ítem]:[Fase]],COLUMN(Metodologia[[#Headers],[Subfamília]]),FALSE)</f>
        <v>#REF!</v>
      </c>
      <c r="F72" s="6" t="str">
        <f>VLOOKUP(Avaluacio[[#This Row],[Codi ítem]],Metodologia[[Codi ítem]:[Fase]],COLUMN(Metodologia[[#Headers],[Fase]]),FALSE)</f>
        <v>Fase 1</v>
      </c>
      <c r="G72" s="54" t="s">
        <v>620</v>
      </c>
      <c r="H72" s="54" t="s">
        <v>620</v>
      </c>
      <c r="I72" s="55" t="s">
        <v>1238</v>
      </c>
      <c r="J7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https://municat.gencat.cat/ca/Temes/Transparencia/Items-de-transparencia/2.3.2.Plantejament-urbanistic</v>
      </c>
      <c r="M7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1.0155674449073464</v>
      </c>
      <c r="N72" s="8" t="str">
        <f>Avaluacio[[#This Row],[Codi ítem]]</f>
        <v>XGO071</v>
      </c>
    </row>
    <row r="73" spans="1:14" ht="55.2" x14ac:dyDescent="0.25">
      <c r="A73" s="6" t="s">
        <v>1082</v>
      </c>
      <c r="B7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3" s="1" t="str">
        <f>VLOOKUP(Avaluacio[[#This Row],[Codi ítem]],Metodologia[[Codi ítem]:[Ítem]],COLUMN(Metodologia[[#Headers],[Ítem]]),FALSE)</f>
        <v>Informació geogràfica d'urbanisme</v>
      </c>
      <c r="D73" t="str">
        <f>VLOOKUP(Avaluacio[[#This Row],[Codi ítem]],Metodologia[[Codi ítem]:[Família]],COLUMN(Metodologia[[#Headers],[Família]]),FALSE)</f>
        <v>Acció de govern i normativa</v>
      </c>
      <c r="E73" t="e">
        <f>VLOOKUP(Avaluacio[[#This Row],[Codi ítem]],Metodologia[[Codi ítem]:[Fase]],COLUMN(Metodologia[[#Headers],[Subfamília]]),FALSE)</f>
        <v>#REF!</v>
      </c>
      <c r="F73" s="6" t="str">
        <f>VLOOKUP(Avaluacio[[#This Row],[Codi ítem]],Metodologia[[Codi ítem]:[Fase]],COLUMN(Metodologia[[#Headers],[Fase]]),FALSE)</f>
        <v>Fase 1</v>
      </c>
      <c r="G73" s="54" t="s">
        <v>620</v>
      </c>
      <c r="H73" s="54" t="s">
        <v>620</v>
      </c>
      <c r="I73" s="55" t="s">
        <v>1237</v>
      </c>
      <c r="J7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https://municat.gencat.cat/ca/Temes/Transparencia/Items-de-transparencia/2.3.3.Informacio-geografica-urbanisme</v>
      </c>
      <c r="M7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1.0026930127999698</v>
      </c>
      <c r="N73" s="8" t="str">
        <f>Avaluacio[[#This Row],[Codi ítem]]</f>
        <v>XGO072</v>
      </c>
    </row>
    <row r="74" spans="1:14" ht="55.2" x14ac:dyDescent="0.25">
      <c r="A74" s="6" t="s">
        <v>1083</v>
      </c>
      <c r="B7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4" s="1" t="str">
        <f>VLOOKUP(Avaluacio[[#This Row],[Codi ítem]],Metodologia[[Codi ítem]:[Ítem]],COLUMN(Metodologia[[#Headers],[Ítem]]),FALSE)</f>
        <v>Plans territorials d'urbanisme</v>
      </c>
      <c r="D74" t="str">
        <f>VLOOKUP(Avaluacio[[#This Row],[Codi ítem]],Metodologia[[Codi ítem]:[Família]],COLUMN(Metodologia[[#Headers],[Família]]),FALSE)</f>
        <v>Acció de govern i normativa</v>
      </c>
      <c r="E74" t="e">
        <f>VLOOKUP(Avaluacio[[#This Row],[Codi ítem]],Metodologia[[Codi ítem]:[Fase]],COLUMN(Metodologia[[#Headers],[Subfamília]]),FALSE)</f>
        <v>#REF!</v>
      </c>
      <c r="F74" s="6" t="str">
        <f>VLOOKUP(Avaluacio[[#This Row],[Codi ítem]],Metodologia[[Codi ítem]:[Fase]],COLUMN(Metodologia[[#Headers],[Fase]]),FALSE)</f>
        <v>Fase 1</v>
      </c>
      <c r="G74" s="54" t="s">
        <v>620</v>
      </c>
      <c r="H74" s="54" t="s">
        <v>620</v>
      </c>
      <c r="I74" s="55" t="s">
        <v>1237</v>
      </c>
      <c r="J7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https://municat.gencat.cat/ca/Temes/Transparencia/Items-de-transparencia/2.3.4.Plans-territorials-urbanisme</v>
      </c>
      <c r="M7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1.0028672686485569</v>
      </c>
      <c r="N74" s="8" t="str">
        <f>Avaluacio[[#This Row],[Codi ítem]]</f>
        <v>XGO073</v>
      </c>
    </row>
    <row r="75" spans="1:14" ht="55.2" x14ac:dyDescent="0.25">
      <c r="A75" s="6" t="s">
        <v>1084</v>
      </c>
      <c r="B7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5" s="1" t="str">
        <f>VLOOKUP(Avaluacio[[#This Row],[Codi ítem]],Metodologia[[Codi ítem]:[Ítem]],COLUMN(Metodologia[[#Headers],[Ítem]]),FALSE)</f>
        <v>Estudis d'impacte ambiental i paisatgístic</v>
      </c>
      <c r="D75" t="str">
        <f>VLOOKUP(Avaluacio[[#This Row],[Codi ítem]],Metodologia[[Codi ítem]:[Família]],COLUMN(Metodologia[[#Headers],[Família]]),FALSE)</f>
        <v>Acció de govern i normativa</v>
      </c>
      <c r="E75" t="e">
        <f>VLOOKUP(Avaluacio[[#This Row],[Codi ítem]],Metodologia[[Codi ítem]:[Fase]],COLUMN(Metodologia[[#Headers],[Subfamília]]),FALSE)</f>
        <v>#REF!</v>
      </c>
      <c r="F75" s="6" t="str">
        <f>VLOOKUP(Avaluacio[[#This Row],[Codi ítem]],Metodologia[[Codi ítem]:[Fase]],COLUMN(Metodologia[[#Headers],[Fase]]),FALSE)</f>
        <v>Fase 4</v>
      </c>
      <c r="G75" s="54" t="s">
        <v>620</v>
      </c>
      <c r="H75" s="54" t="s">
        <v>621</v>
      </c>
      <c r="I75" s="55"/>
      <c r="J7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parcialment</v>
      </c>
      <c r="K7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0.5</v>
      </c>
      <c r="L7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https://municat.gencat.cat/ca/Temes/Transparencia/Items-de-transparencia/2.3.5.Estudis-impacte-ambiental-paisagistic</v>
      </c>
      <c r="M7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0.49909973702565652</v>
      </c>
      <c r="N75" s="8" t="str">
        <f>Avaluacio[[#This Row],[Codi ítem]]</f>
        <v>XGO074</v>
      </c>
    </row>
    <row r="76" spans="1:14" ht="69" x14ac:dyDescent="0.25">
      <c r="A76" s="6" t="s">
        <v>1085</v>
      </c>
      <c r="B7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6" s="1" t="str">
        <f>VLOOKUP(Avaluacio[[#This Row],[Codi ítem]],Metodologia[[Codi ítem]:[Ítem]],COLUMN(Metodologia[[#Headers],[Ítem]]),FALSE)</f>
        <v>Calendari de conservació i règim d'accés documental</v>
      </c>
      <c r="D76" t="str">
        <f>VLOOKUP(Avaluacio[[#This Row],[Codi ítem]],Metodologia[[Codi ítem]:[Família]],COLUMN(Metodologia[[#Headers],[Família]]),FALSE)</f>
        <v>Acció de govern i normativa</v>
      </c>
      <c r="E76" t="e">
        <f>VLOOKUP(Avaluacio[[#This Row],[Codi ítem]],Metodologia[[Codi ítem]:[Fase]],COLUMN(Metodologia[[#Headers],[Subfamília]]),FALSE)</f>
        <v>#REF!</v>
      </c>
      <c r="F76" s="6" t="str">
        <f>VLOOKUP(Avaluacio[[#This Row],[Codi ítem]],Metodologia[[Codi ítem]:[Fase]],COLUMN(Metodologia[[#Headers],[Fase]]),FALSE)</f>
        <v>Fase 4</v>
      </c>
      <c r="G76" s="54" t="s">
        <v>620</v>
      </c>
      <c r="H76" s="54" t="s">
        <v>620</v>
      </c>
      <c r="I76" s="55"/>
      <c r="J7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https://municat.gencat.cat/ca/Temes/Transparencia/Items-de-transparencia/2.4.1.Calendari-conservacio-regim-acces-documental</v>
      </c>
      <c r="M7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1.0004799988689275</v>
      </c>
      <c r="N76" s="8" t="str">
        <f>Avaluacio[[#This Row],[Codi ítem]]</f>
        <v>XGO075</v>
      </c>
    </row>
    <row r="77" spans="1:14" ht="55.2" x14ac:dyDescent="0.25">
      <c r="A77" s="6" t="s">
        <v>1086</v>
      </c>
      <c r="B7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7" s="1" t="str">
        <f>VLOOKUP(Avaluacio[[#This Row],[Codi ítem]],Metodologia[[Codi ítem]:[Ítem]],COLUMN(Metodologia[[#Headers],[Ítem]]),FALSE)</f>
        <v>Quadre de classificació documental</v>
      </c>
      <c r="D77" t="str">
        <f>VLOOKUP(Avaluacio[[#This Row],[Codi ítem]],Metodologia[[Codi ítem]:[Família]],COLUMN(Metodologia[[#Headers],[Família]]),FALSE)</f>
        <v>Acció de govern i normativa</v>
      </c>
      <c r="E77" t="e">
        <f>VLOOKUP(Avaluacio[[#This Row],[Codi ítem]],Metodologia[[Codi ítem]:[Fase]],COLUMN(Metodologia[[#Headers],[Subfamília]]),FALSE)</f>
        <v>#REF!</v>
      </c>
      <c r="F77" s="6" t="str">
        <f>VLOOKUP(Avaluacio[[#This Row],[Codi ítem]],Metodologia[[Codi ítem]:[Fase]],COLUMN(Metodologia[[#Headers],[Fase]]),FALSE)</f>
        <v>Fase 5</v>
      </c>
      <c r="G77" s="54" t="s">
        <v>620</v>
      </c>
      <c r="H77" s="54" t="s">
        <v>620</v>
      </c>
      <c r="I77" s="55"/>
      <c r="J7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https://municat.gencat.cat/ca/Temes/Transparencia/Items-de-transparencia/2.4.2.Quadre-classificacio-documental</v>
      </c>
      <c r="M7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1.000968480781194</v>
      </c>
      <c r="N77" s="8" t="str">
        <f>Avaluacio[[#This Row],[Codi ítem]]</f>
        <v>XGO076</v>
      </c>
    </row>
    <row r="78" spans="1:14" ht="55.2" x14ac:dyDescent="0.25">
      <c r="A78" s="6" t="s">
        <v>1087</v>
      </c>
      <c r="B7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8" s="1" t="str">
        <f>VLOOKUP(Avaluacio[[#This Row],[Codi ítem]],Metodologia[[Codi ítem]:[Ítem]],COLUMN(Metodologia[[#Headers],[Ítem]]),FALSE)</f>
        <v>Instruments de descripció documental</v>
      </c>
      <c r="D78" t="str">
        <f>VLOOKUP(Avaluacio[[#This Row],[Codi ítem]],Metodologia[[Codi ítem]:[Família]],COLUMN(Metodologia[[#Headers],[Família]]),FALSE)</f>
        <v>Acció de govern i normativa</v>
      </c>
      <c r="E78" t="e">
        <f>VLOOKUP(Avaluacio[[#This Row],[Codi ítem]],Metodologia[[Codi ítem]:[Fase]],COLUMN(Metodologia[[#Headers],[Subfamília]]),FALSE)</f>
        <v>#REF!</v>
      </c>
      <c r="F78" s="6" t="str">
        <f>VLOOKUP(Avaluacio[[#This Row],[Codi ítem]],Metodologia[[Codi ítem]:[Fase]],COLUMN(Metodologia[[#Headers],[Fase]]),FALSE)</f>
        <v>Fase 5</v>
      </c>
      <c r="G78" s="54" t="s">
        <v>620</v>
      </c>
      <c r="H78" s="54" t="s">
        <v>620</v>
      </c>
      <c r="I78" s="55"/>
      <c r="J7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https://municat.gencat.cat/ca/Temes/Transparencia/Items-de-transparencia/2.4.3.Instruments-descripcio-documental</v>
      </c>
      <c r="M7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1.0004895422926838</v>
      </c>
      <c r="N78" s="8" t="str">
        <f>Avaluacio[[#This Row],[Codi ítem]]</f>
        <v>XGO077</v>
      </c>
    </row>
    <row r="79" spans="1:14" ht="55.2" x14ac:dyDescent="0.25">
      <c r="A79" s="6" t="s">
        <v>1088</v>
      </c>
      <c r="B7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9" s="1" t="str">
        <f>VLOOKUP(Avaluacio[[#This Row],[Codi ítem]],Metodologia[[Codi ítem]:[Ítem]],COLUMN(Metodologia[[#Headers],[Ítem]]),FALSE)</f>
        <v>Registre d'eliminació de documents</v>
      </c>
      <c r="D79" t="str">
        <f>VLOOKUP(Avaluacio[[#This Row],[Codi ítem]],Metodologia[[Codi ítem]:[Família]],COLUMN(Metodologia[[#Headers],[Família]]),FALSE)</f>
        <v>Acció de govern i normativa</v>
      </c>
      <c r="E79" t="e">
        <f>VLOOKUP(Avaluacio[[#This Row],[Codi ítem]],Metodologia[[Codi ítem]:[Fase]],COLUMN(Metodologia[[#Headers],[Subfamília]]),FALSE)</f>
        <v>#REF!</v>
      </c>
      <c r="F79" s="6" t="str">
        <f>VLOOKUP(Avaluacio[[#This Row],[Codi ítem]],Metodologia[[Codi ítem]:[Fase]],COLUMN(Metodologia[[#Headers],[Fase]]),FALSE)</f>
        <v>Fase 5</v>
      </c>
      <c r="G79" s="54" t="s">
        <v>620</v>
      </c>
      <c r="H79" s="54" t="s">
        <v>620</v>
      </c>
      <c r="I79" s="55"/>
      <c r="J7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https://municat.gencat.cat/ca/Temes/Transparencia/Items-de-transparencia/2.4.4.Registre-eliminacio-documents</v>
      </c>
      <c r="M7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1.0004853007710144</v>
      </c>
      <c r="N79" s="8" t="str">
        <f>Avaluacio[[#This Row],[Codi ítem]]</f>
        <v>XGO078</v>
      </c>
    </row>
    <row r="80" spans="1:14" ht="55.2" x14ac:dyDescent="0.25">
      <c r="A80" s="6" t="s">
        <v>995</v>
      </c>
      <c r="B8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0" s="1" t="str">
        <f>VLOOKUP(Avaluacio[[#This Row],[Codi ítem]],Metodologia[[Codi ítem]:[Ítem]],COLUMN(Metodologia[[#Headers],[Ítem]]),FALSE)</f>
        <v>Licitacions en tràmit (perfil de contractant)</v>
      </c>
      <c r="D80" t="str">
        <f>VLOOKUP(Avaluacio[[#This Row],[Codi ítem]],Metodologia[[Codi ítem]:[Família]],COLUMN(Metodologia[[#Headers],[Família]]),FALSE)</f>
        <v>Contractes, convenis i subvencions</v>
      </c>
      <c r="E80" t="e">
        <f>VLOOKUP(Avaluacio[[#This Row],[Codi ítem]],Metodologia[[Codi ítem]:[Fase]],COLUMN(Metodologia[[#Headers],[Subfamília]]),FALSE)</f>
        <v>#REF!</v>
      </c>
      <c r="F80" s="6" t="str">
        <f>VLOOKUP(Avaluacio[[#This Row],[Codi ítem]],Metodologia[[Codi ítem]:[Fase]],COLUMN(Metodologia[[#Headers],[Fase]]),FALSE)</f>
        <v>Fase 1</v>
      </c>
      <c r="G80" s="54" t="s">
        <v>620</v>
      </c>
      <c r="H80" s="54" t="s">
        <v>620</v>
      </c>
      <c r="I80" s="55"/>
      <c r="J8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https://municat.gencat.cat/ca/Temes/Transparencia/Items-de-transparencia/3.1.1.Licitacions-en-tramit</v>
      </c>
      <c r="M8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1.0163775755462137</v>
      </c>
      <c r="N80" s="8" t="str">
        <f>Avaluacio[[#This Row],[Codi ítem]]</f>
        <v>XGO079</v>
      </c>
    </row>
    <row r="81" spans="1:14" ht="55.2" x14ac:dyDescent="0.25">
      <c r="A81" s="6" t="s">
        <v>996</v>
      </c>
      <c r="B8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1" s="1" t="str">
        <f>VLOOKUP(Avaluacio[[#This Row],[Codi ítem]],Metodologia[[Codi ítem]:[Ítem]],COLUMN(Metodologia[[#Headers],[Ítem]]),FALSE)</f>
        <v>Contractes programats</v>
      </c>
      <c r="D81" t="str">
        <f>VLOOKUP(Avaluacio[[#This Row],[Codi ítem]],Metodologia[[Codi ítem]:[Família]],COLUMN(Metodologia[[#Headers],[Família]]),FALSE)</f>
        <v>Contractes, convenis i subvencions</v>
      </c>
      <c r="E81" t="e">
        <f>VLOOKUP(Avaluacio[[#This Row],[Codi ítem]],Metodologia[[Codi ítem]:[Fase]],COLUMN(Metodologia[[#Headers],[Subfamília]]),FALSE)</f>
        <v>#REF!</v>
      </c>
      <c r="F81" s="6" t="str">
        <f>VLOOKUP(Avaluacio[[#This Row],[Codi ítem]],Metodologia[[Codi ítem]:[Fase]],COLUMN(Metodologia[[#Headers],[Fase]]),FALSE)</f>
        <v>Fase 1</v>
      </c>
      <c r="G81" s="54" t="s">
        <v>620</v>
      </c>
      <c r="H81" s="54" t="s">
        <v>620</v>
      </c>
      <c r="I81" s="55"/>
      <c r="J8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https://municat.gencat.cat/ca/Temes/Transparencia/Items-de-transparencia/3.1.2.Contractes-programats</v>
      </c>
      <c r="M8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1.0019376684826664</v>
      </c>
      <c r="N81" s="8" t="str">
        <f>Avaluacio[[#This Row],[Codi ítem]]</f>
        <v>XGO080</v>
      </c>
    </row>
    <row r="82" spans="1:14" ht="55.2" x14ac:dyDescent="0.25">
      <c r="A82" s="6" t="s">
        <v>997</v>
      </c>
      <c r="B8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2" s="1" t="str">
        <f>VLOOKUP(Avaluacio[[#This Row],[Codi ítem]],Metodologia[[Codi ítem]:[Ítem]],COLUMN(Metodologia[[#Headers],[Ítem]]),FALSE)</f>
        <v>Relació de contractes adjudicats (històric)</v>
      </c>
      <c r="D82" t="str">
        <f>VLOOKUP(Avaluacio[[#This Row],[Codi ítem]],Metodologia[[Codi ítem]:[Família]],COLUMN(Metodologia[[#Headers],[Família]]),FALSE)</f>
        <v>Contractes, convenis i subvencions</v>
      </c>
      <c r="E82" t="e">
        <f>VLOOKUP(Avaluacio[[#This Row],[Codi ítem]],Metodologia[[Codi ítem]:[Fase]],COLUMN(Metodologia[[#Headers],[Subfamília]]),FALSE)</f>
        <v>#REF!</v>
      </c>
      <c r="F82" s="6" t="str">
        <f>VLOOKUP(Avaluacio[[#This Row],[Codi ítem]],Metodologia[[Codi ítem]:[Fase]],COLUMN(Metodologia[[#Headers],[Fase]]),FALSE)</f>
        <v>Fase 1</v>
      </c>
      <c r="G82" s="54" t="s">
        <v>620</v>
      </c>
      <c r="H82" s="54" t="s">
        <v>620</v>
      </c>
      <c r="I82" s="55"/>
      <c r="J8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https://municat.gencat.cat/ca/Temes/Transparencia/Items-de-transparencia/3.1.3.Relacio-contractes-adjudicats</v>
      </c>
      <c r="M8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1.0028771655324524</v>
      </c>
      <c r="N82" s="8" t="str">
        <f>Avaluacio[[#This Row],[Codi ítem]]</f>
        <v>XGO081</v>
      </c>
    </row>
    <row r="83" spans="1:14" ht="55.2" x14ac:dyDescent="0.25">
      <c r="A83" s="6" t="s">
        <v>998</v>
      </c>
      <c r="B8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3" s="1" t="str">
        <f>VLOOKUP(Avaluacio[[#This Row],[Codi ítem]],Metodologia[[Codi ítem]:[Ítem]],COLUMN(Metodologia[[#Headers],[Ítem]]),FALSE)</f>
        <v>Relació de contractes menors (històric)</v>
      </c>
      <c r="D83" t="str">
        <f>VLOOKUP(Avaluacio[[#This Row],[Codi ítem]],Metodologia[[Codi ítem]:[Família]],COLUMN(Metodologia[[#Headers],[Família]]),FALSE)</f>
        <v>Contractes, convenis i subvencions</v>
      </c>
      <c r="E83" t="e">
        <f>VLOOKUP(Avaluacio[[#This Row],[Codi ítem]],Metodologia[[Codi ítem]:[Fase]],COLUMN(Metodologia[[#Headers],[Subfamília]]),FALSE)</f>
        <v>#REF!</v>
      </c>
      <c r="F83" s="6" t="str">
        <f>VLOOKUP(Avaluacio[[#This Row],[Codi ítem]],Metodologia[[Codi ítem]:[Fase]],COLUMN(Metodologia[[#Headers],[Fase]]),FALSE)</f>
        <v>Fase 1</v>
      </c>
      <c r="G83" s="54" t="s">
        <v>620</v>
      </c>
      <c r="H83" s="54" t="s">
        <v>620</v>
      </c>
      <c r="I83" s="55"/>
      <c r="J8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https://municat.gencat.cat/ca/Temes/Transparencia/Items-de-transparencia/3.1.4.Relacio-contractes-menors</v>
      </c>
      <c r="M8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1.0029209945897035</v>
      </c>
      <c r="N83" s="8" t="str">
        <f>Avaluacio[[#This Row],[Codi ítem]]</f>
        <v>XGO082</v>
      </c>
    </row>
    <row r="84" spans="1:14" ht="55.2" x14ac:dyDescent="0.25">
      <c r="A84" s="6" t="s">
        <v>999</v>
      </c>
      <c r="B8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4" s="1" t="str">
        <f>VLOOKUP(Avaluacio[[#This Row],[Codi ítem]],Metodologia[[Codi ítem]:[Ítem]],COLUMN(Metodologia[[#Headers],[Ítem]]),FALSE)</f>
        <v>Modificacions de contractes</v>
      </c>
      <c r="D84" t="str">
        <f>VLOOKUP(Avaluacio[[#This Row],[Codi ítem]],Metodologia[[Codi ítem]:[Família]],COLUMN(Metodologia[[#Headers],[Família]]),FALSE)</f>
        <v>Contractes, convenis i subvencions</v>
      </c>
      <c r="E84" t="e">
        <f>VLOOKUP(Avaluacio[[#This Row],[Codi ítem]],Metodologia[[Codi ítem]:[Fase]],COLUMN(Metodologia[[#Headers],[Subfamília]]),FALSE)</f>
        <v>#REF!</v>
      </c>
      <c r="F84" s="6" t="str">
        <f>VLOOKUP(Avaluacio[[#This Row],[Codi ítem]],Metodologia[[Codi ítem]:[Fase]],COLUMN(Metodologia[[#Headers],[Fase]]),FALSE)</f>
        <v>Fase 1</v>
      </c>
      <c r="G84" s="54" t="s">
        <v>620</v>
      </c>
      <c r="H84" s="54" t="s">
        <v>620</v>
      </c>
      <c r="I84" s="55" t="s">
        <v>1239</v>
      </c>
      <c r="J8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https://municat.gencat.cat/ca/Temes/Transparencia/Items-de-transparencia/3.1.5.Modificacions-de-contractes</v>
      </c>
      <c r="M8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1.0007482751145211</v>
      </c>
      <c r="N84" s="8" t="str">
        <f>Avaluacio[[#This Row],[Codi ítem]]</f>
        <v>XGO083</v>
      </c>
    </row>
    <row r="85" spans="1:14" ht="55.2" x14ac:dyDescent="0.25">
      <c r="A85" s="6" t="s">
        <v>1000</v>
      </c>
      <c r="B8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5" s="1" t="str">
        <f>VLOOKUP(Avaluacio[[#This Row],[Codi ítem]],Metodologia[[Codi ítem]:[Ítem]],COLUMN(Metodologia[[#Headers],[Ítem]]),FALSE)</f>
        <v>Registre de factures</v>
      </c>
      <c r="D85" t="str">
        <f>VLOOKUP(Avaluacio[[#This Row],[Codi ítem]],Metodologia[[Codi ítem]:[Família]],COLUMN(Metodologia[[#Headers],[Família]]),FALSE)</f>
        <v>Contractes, convenis i subvencions</v>
      </c>
      <c r="E85" t="e">
        <f>VLOOKUP(Avaluacio[[#This Row],[Codi ítem]],Metodologia[[Codi ítem]:[Fase]],COLUMN(Metodologia[[#Headers],[Subfamília]]),FALSE)</f>
        <v>#REF!</v>
      </c>
      <c r="F85" s="6" t="str">
        <f>VLOOKUP(Avaluacio[[#This Row],[Codi ítem]],Metodologia[[Codi ítem]:[Fase]],COLUMN(Metodologia[[#Headers],[Fase]]),FALSE)</f>
        <v>Fase 5</v>
      </c>
      <c r="G85" s="54" t="s">
        <v>620</v>
      </c>
      <c r="H85" s="54" t="s">
        <v>620</v>
      </c>
      <c r="I85" s="55"/>
      <c r="J8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https://municat.gencat.cat/ca/Temes/Transparencia/Items-de-transparencia/3.1.6.Registre-de-factures</v>
      </c>
      <c r="M8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1.0011240032424076</v>
      </c>
      <c r="N85" s="8" t="str">
        <f>Avaluacio[[#This Row],[Codi ítem]]</f>
        <v>XGO084</v>
      </c>
    </row>
    <row r="86" spans="1:14" ht="69" x14ac:dyDescent="0.25">
      <c r="A86" s="6" t="s">
        <v>1001</v>
      </c>
      <c r="B8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6" s="1" t="str">
        <f>VLOOKUP(Avaluacio[[#This Row],[Codi ítem]],Metodologia[[Codi ítem]:[Ítem]],COLUMN(Metodologia[[#Headers],[Ítem]]),FALSE)</f>
        <v>Relació de proveïdors, adjudicataris i/o contractistes</v>
      </c>
      <c r="D86" t="str">
        <f>VLOOKUP(Avaluacio[[#This Row],[Codi ítem]],Metodologia[[Codi ítem]:[Família]],COLUMN(Metodologia[[#Headers],[Família]]),FALSE)</f>
        <v>Contractes, convenis i subvencions</v>
      </c>
      <c r="E86" t="e">
        <f>VLOOKUP(Avaluacio[[#This Row],[Codi ítem]],Metodologia[[Codi ítem]:[Fase]],COLUMN(Metodologia[[#Headers],[Subfamília]]),FALSE)</f>
        <v>#REF!</v>
      </c>
      <c r="F86" s="6" t="str">
        <f>VLOOKUP(Avaluacio[[#This Row],[Codi ítem]],Metodologia[[Codi ítem]:[Fase]],COLUMN(Metodologia[[#Headers],[Fase]]),FALSE)</f>
        <v>Fase 5</v>
      </c>
      <c r="G86" s="54" t="s">
        <v>620</v>
      </c>
      <c r="H86" s="54" t="s">
        <v>620</v>
      </c>
      <c r="I86" s="55" t="s">
        <v>1247</v>
      </c>
      <c r="J8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https://municat.gencat.cat/ca/Temes/Transparencia/Items-de-transparencia/3.1.7.Relacio-proveidors-adjudicataris-contractistes</v>
      </c>
      <c r="M8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1.0012947244896035</v>
      </c>
      <c r="N86" s="8" t="str">
        <f>Avaluacio[[#This Row],[Codi ítem]]</f>
        <v>XGO085</v>
      </c>
    </row>
    <row r="87" spans="1:14" ht="55.2" x14ac:dyDescent="0.25">
      <c r="A87" s="6" t="s">
        <v>1002</v>
      </c>
      <c r="B8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7" s="1" t="str">
        <f>VLOOKUP(Avaluacio[[#This Row],[Codi ítem]],Metodologia[[Codi ítem]:[Ítem]],COLUMN(Metodologia[[#Headers],[Ítem]]),FALSE)</f>
        <v>Òrgans de contractació</v>
      </c>
      <c r="D87" t="str">
        <f>VLOOKUP(Avaluacio[[#This Row],[Codi ítem]],Metodologia[[Codi ítem]:[Família]],COLUMN(Metodologia[[#Headers],[Família]]),FALSE)</f>
        <v>Contractes, convenis i subvencions</v>
      </c>
      <c r="E87" t="e">
        <f>VLOOKUP(Avaluacio[[#This Row],[Codi ítem]],Metodologia[[Codi ítem]:[Fase]],COLUMN(Metodologia[[#Headers],[Subfamília]]),FALSE)</f>
        <v>#REF!</v>
      </c>
      <c r="F87" s="6" t="str">
        <f>VLOOKUP(Avaluacio[[#This Row],[Codi ítem]],Metodologia[[Codi ítem]:[Fase]],COLUMN(Metodologia[[#Headers],[Fase]]),FALSE)</f>
        <v>Fase 1</v>
      </c>
      <c r="G87" s="54" t="s">
        <v>620</v>
      </c>
      <c r="H87" s="54" t="s">
        <v>620</v>
      </c>
      <c r="I87" s="55"/>
      <c r="J8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https://municat.gencat.cat/ca/Temes/Transparencia/Items-de-transparencia/3.2.1.Organs-contractacio</v>
      </c>
      <c r="M8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1.0008087167983108</v>
      </c>
      <c r="N87" s="8" t="str">
        <f>Avaluacio[[#This Row],[Codi ítem]]</f>
        <v>XGO086</v>
      </c>
    </row>
    <row r="88" spans="1:14" ht="55.2" x14ac:dyDescent="0.25">
      <c r="A88" s="6" t="s">
        <v>1003</v>
      </c>
      <c r="B8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8" s="1" t="str">
        <f>VLOOKUP(Avaluacio[[#This Row],[Codi ítem]],Metodologia[[Codi ítem]:[Ítem]],COLUMN(Metodologia[[#Headers],[Ítem]]),FALSE)</f>
        <v>Registre de licitadors</v>
      </c>
      <c r="D88" t="str">
        <f>VLOOKUP(Avaluacio[[#This Row],[Codi ítem]],Metodologia[[Codi ítem]:[Família]],COLUMN(Metodologia[[#Headers],[Família]]),FALSE)</f>
        <v>Contractes, convenis i subvencions</v>
      </c>
      <c r="E88" t="e">
        <f>VLOOKUP(Avaluacio[[#This Row],[Codi ítem]],Metodologia[[Codi ítem]:[Fase]],COLUMN(Metodologia[[#Headers],[Subfamília]]),FALSE)</f>
        <v>#REF!</v>
      </c>
      <c r="F88" s="6" t="str">
        <f>VLOOKUP(Avaluacio[[#This Row],[Codi ítem]],Metodologia[[Codi ítem]:[Fase]],COLUMN(Metodologia[[#Headers],[Fase]]),FALSE)</f>
        <v>Fase 1</v>
      </c>
      <c r="G88" s="54" t="s">
        <v>620</v>
      </c>
      <c r="H88" s="54" t="s">
        <v>620</v>
      </c>
      <c r="I88" s="55" t="s">
        <v>1240</v>
      </c>
      <c r="J8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https://municat.gencat.cat/ca/Temes/Transparencia/Items-de-transparencia/3.2.2.Registre-de-licitadors</v>
      </c>
      <c r="M8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1.0006238571455501</v>
      </c>
      <c r="N88" s="8" t="str">
        <f>Avaluacio[[#This Row],[Codi ítem]]</f>
        <v>XGO087</v>
      </c>
    </row>
    <row r="89" spans="1:14" ht="55.2" x14ac:dyDescent="0.25">
      <c r="A89" s="6" t="s">
        <v>1004</v>
      </c>
      <c r="B8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9" s="1" t="str">
        <f>VLOOKUP(Avaluacio[[#This Row],[Codi ítem]],Metodologia[[Codi ítem]:[Ítem]],COLUMN(Metodologia[[#Headers],[Ítem]]),FALSE)</f>
        <v>Registre d'empreses classificades</v>
      </c>
      <c r="D89" t="str">
        <f>VLOOKUP(Avaluacio[[#This Row],[Codi ítem]],Metodologia[[Codi ítem]:[Família]],COLUMN(Metodologia[[#Headers],[Família]]),FALSE)</f>
        <v>Contractes, convenis i subvencions</v>
      </c>
      <c r="E89" t="e">
        <f>VLOOKUP(Avaluacio[[#This Row],[Codi ítem]],Metodologia[[Codi ítem]:[Fase]],COLUMN(Metodologia[[#Headers],[Subfamília]]),FALSE)</f>
        <v>#REF!</v>
      </c>
      <c r="F89" s="6" t="str">
        <f>VLOOKUP(Avaluacio[[#This Row],[Codi ítem]],Metodologia[[Codi ítem]:[Fase]],COLUMN(Metodologia[[#Headers],[Fase]]),FALSE)</f>
        <v>Fase 1</v>
      </c>
      <c r="G89" s="54" t="s">
        <v>620</v>
      </c>
      <c r="H89" s="54" t="s">
        <v>620</v>
      </c>
      <c r="I89" s="55" t="s">
        <v>1240</v>
      </c>
      <c r="J8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https://municat.gencat.cat/ca/Temes/Transparencia/Items-de-transparencia/3.2.3.Registre-empreses-classificades</v>
      </c>
      <c r="M8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1.0004658604633627</v>
      </c>
      <c r="N89" s="8" t="str">
        <f>Avaluacio[[#This Row],[Codi ítem]]</f>
        <v>XGO088</v>
      </c>
    </row>
    <row r="90" spans="1:14" ht="55.2" x14ac:dyDescent="0.25">
      <c r="A90" s="6" t="s">
        <v>1005</v>
      </c>
      <c r="B9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0" s="1" t="str">
        <f>VLOOKUP(Avaluacio[[#This Row],[Codi ítem]],Metodologia[[Codi ítem]:[Ítem]],COLUMN(Metodologia[[#Headers],[Ítem]]),FALSE)</f>
        <v>Criteris interpretatius de contractació</v>
      </c>
      <c r="D90" t="str">
        <f>VLOOKUP(Avaluacio[[#This Row],[Codi ítem]],Metodologia[[Codi ítem]:[Família]],COLUMN(Metodologia[[#Headers],[Família]]),FALSE)</f>
        <v>Contractes, convenis i subvencions</v>
      </c>
      <c r="E90" t="e">
        <f>VLOOKUP(Avaluacio[[#This Row],[Codi ítem]],Metodologia[[Codi ítem]:[Fase]],COLUMN(Metodologia[[#Headers],[Subfamília]]),FALSE)</f>
        <v>#REF!</v>
      </c>
      <c r="F90" s="6" t="str">
        <f>VLOOKUP(Avaluacio[[#This Row],[Codi ítem]],Metodologia[[Codi ítem]:[Fase]],COLUMN(Metodologia[[#Headers],[Fase]]),FALSE)</f>
        <v>Fase 1</v>
      </c>
      <c r="G90" s="54" t="s">
        <v>620</v>
      </c>
      <c r="H90" s="54" t="s">
        <v>620</v>
      </c>
      <c r="I90" s="55"/>
      <c r="J9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https://municat.gencat.cat/ca/Temes/Transparencia/Items-de-transparencia/3.2.4.Criteris-interpretatius-contractacio</v>
      </c>
      <c r="M9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1.0002739316078195</v>
      </c>
      <c r="N90" s="8" t="str">
        <f>Avaluacio[[#This Row],[Codi ítem]]</f>
        <v>XGO089</v>
      </c>
    </row>
    <row r="91" spans="1:14" ht="55.2" x14ac:dyDescent="0.25">
      <c r="A91" s="6" t="s">
        <v>1006</v>
      </c>
      <c r="B9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1" s="1" t="str">
        <f>VLOOKUP(Avaluacio[[#This Row],[Codi ítem]],Metodologia[[Codi ítem]:[Ítem]],COLUMN(Metodologia[[#Headers],[Ítem]]),FALSE)</f>
        <v>Consultes més freqüents sobre contractació</v>
      </c>
      <c r="D91" t="str">
        <f>VLOOKUP(Avaluacio[[#This Row],[Codi ítem]],Metodologia[[Codi ítem]:[Família]],COLUMN(Metodologia[[#Headers],[Família]]),FALSE)</f>
        <v>Contractes, convenis i subvencions</v>
      </c>
      <c r="E91" t="e">
        <f>VLOOKUP(Avaluacio[[#This Row],[Codi ítem]],Metodologia[[Codi ítem]:[Fase]],COLUMN(Metodologia[[#Headers],[Subfamília]]),FALSE)</f>
        <v>#REF!</v>
      </c>
      <c r="F91" s="6" t="str">
        <f>VLOOKUP(Avaluacio[[#This Row],[Codi ítem]],Metodologia[[Codi ítem]:[Fase]],COLUMN(Metodologia[[#Headers],[Fase]]),FALSE)</f>
        <v>Fase 1</v>
      </c>
      <c r="G91" s="54" t="s">
        <v>620</v>
      </c>
      <c r="H91" s="54" t="s">
        <v>620</v>
      </c>
      <c r="I91" s="55" t="s">
        <v>1238</v>
      </c>
      <c r="J9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https://municat.gencat.cat/ca/Temes/Transparencia/Items-de-transparencia/3.2.5.Consultes-frequents-sobre-contractacio</v>
      </c>
      <c r="M9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1.0003230625671575</v>
      </c>
      <c r="N91" s="8" t="str">
        <f>Avaluacio[[#This Row],[Codi ítem]]</f>
        <v>XGO090</v>
      </c>
    </row>
    <row r="92" spans="1:14" ht="82.8" x14ac:dyDescent="0.25">
      <c r="A92" s="6" t="s">
        <v>1007</v>
      </c>
      <c r="B9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2" s="1" t="str">
        <f>VLOOKUP(Avaluacio[[#This Row],[Codi ítem]],Metodologia[[Codi ítem]:[Ítem]],COLUMN(Metodologia[[#Headers],[Ítem]]),FALSE)</f>
        <v>Resolucions de recursos, actes de desistiment, renúncia i resolució de contractes</v>
      </c>
      <c r="D92" t="str">
        <f>VLOOKUP(Avaluacio[[#This Row],[Codi ítem]],Metodologia[[Codi ítem]:[Família]],COLUMN(Metodologia[[#Headers],[Família]]),FALSE)</f>
        <v>Contractes, convenis i subvencions</v>
      </c>
      <c r="E92" t="e">
        <f>VLOOKUP(Avaluacio[[#This Row],[Codi ítem]],Metodologia[[Codi ítem]:[Fase]],COLUMN(Metodologia[[#Headers],[Subfamília]]),FALSE)</f>
        <v>#REF!</v>
      </c>
      <c r="F92" s="6" t="str">
        <f>VLOOKUP(Avaluacio[[#This Row],[Codi ítem]],Metodologia[[Codi ítem]:[Fase]],COLUMN(Metodologia[[#Headers],[Fase]]),FALSE)</f>
        <v>Fase 4</v>
      </c>
      <c r="G92" s="54" t="s">
        <v>620</v>
      </c>
      <c r="H92" s="54" t="s">
        <v>620</v>
      </c>
      <c r="I92" s="55"/>
      <c r="J9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https://municat.gencat.cat/ca/Temes/Transparencia/Items-de-transparencia/3.2.6.Resolucions-recursos-actes-desistiment-renuncia-resolucio-contractes</v>
      </c>
      <c r="M9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1.0004078930005467</v>
      </c>
      <c r="N92" s="8" t="str">
        <f>Avaluacio[[#This Row],[Codi ítem]]</f>
        <v>XGO091</v>
      </c>
    </row>
    <row r="93" spans="1:14" ht="69" x14ac:dyDescent="0.25">
      <c r="A93" s="6" t="s">
        <v>1008</v>
      </c>
      <c r="B9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3" s="1" t="str">
        <f>VLOOKUP(Avaluacio[[#This Row],[Codi ítem]],Metodologia[[Codi ítem]:[Ítem]],COLUMN(Metodologia[[#Headers],[Ítem]]),FALSE)</f>
        <v>Informe de contractes adjudicats segons el procediment</v>
      </c>
      <c r="D93" t="str">
        <f>VLOOKUP(Avaluacio[[#This Row],[Codi ítem]],Metodologia[[Codi ítem]:[Família]],COLUMN(Metodologia[[#Headers],[Família]]),FALSE)</f>
        <v>Contractes, convenis i subvencions</v>
      </c>
      <c r="E93" t="e">
        <f>VLOOKUP(Avaluacio[[#This Row],[Codi ítem]],Metodologia[[Codi ítem]:[Fase]],COLUMN(Metodologia[[#Headers],[Subfamília]]),FALSE)</f>
        <v>#REF!</v>
      </c>
      <c r="F93" s="6" t="str">
        <f>VLOOKUP(Avaluacio[[#This Row],[Codi ítem]],Metodologia[[Codi ítem]:[Fase]],COLUMN(Metodologia[[#Headers],[Fase]]),FALSE)</f>
        <v>Fase 3</v>
      </c>
      <c r="G93" s="54" t="s">
        <v>620</v>
      </c>
      <c r="H93" s="54" t="s">
        <v>620</v>
      </c>
      <c r="I93" s="55"/>
      <c r="J9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https://municat.gencat.cat/ca/Temes/Transparencia/Items-de-transparencia/3.2.7.Informe-contractes-adjudicats-segons-procediment</v>
      </c>
      <c r="M9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1.0005620016212038</v>
      </c>
      <c r="N93" s="8" t="str">
        <f>Avaluacio[[#This Row],[Codi ítem]]</f>
        <v>XGO092</v>
      </c>
    </row>
    <row r="94" spans="1:14" ht="55.2" x14ac:dyDescent="0.25">
      <c r="A94" s="6" t="s">
        <v>1009</v>
      </c>
      <c r="B9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4" s="1" t="str">
        <f>VLOOKUP(Avaluacio[[#This Row],[Codi ítem]],Metodologia[[Codi ítem]:[Ítem]],COLUMN(Metodologia[[#Headers],[Ítem]]),FALSE)</f>
        <v>Personal adscrit pels concessionaris i retribucions</v>
      </c>
      <c r="D94" t="str">
        <f>VLOOKUP(Avaluacio[[#This Row],[Codi ítem]],Metodologia[[Codi ítem]:[Família]],COLUMN(Metodologia[[#Headers],[Família]]),FALSE)</f>
        <v>Contractes, convenis i subvencions</v>
      </c>
      <c r="E94" t="e">
        <f>VLOOKUP(Avaluacio[[#This Row],[Codi ítem]],Metodologia[[Codi ítem]:[Fase]],COLUMN(Metodologia[[#Headers],[Subfamília]]),FALSE)</f>
        <v>#REF!</v>
      </c>
      <c r="F94" s="6" t="str">
        <f>VLOOKUP(Avaluacio[[#This Row],[Codi ítem]],Metodologia[[Codi ítem]:[Fase]],COLUMN(Metodologia[[#Headers],[Fase]]),FALSE)</f>
        <v>Fase 3</v>
      </c>
      <c r="G94" s="54" t="s">
        <v>620</v>
      </c>
      <c r="H94" s="54" t="s">
        <v>620</v>
      </c>
      <c r="I94" s="55" t="s">
        <v>1245</v>
      </c>
      <c r="J9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https://municat.gencat.cat/ca/Temes/Transparencia/Items-de-transparencia/3.2.8.Personal-adscrit-pels-concessionaris-retribucions</v>
      </c>
      <c r="M9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1.000339321733557</v>
      </c>
      <c r="N94" s="8" t="str">
        <f>Avaluacio[[#This Row],[Codi ítem]]</f>
        <v>XGO093</v>
      </c>
    </row>
    <row r="95" spans="1:14" ht="55.2" x14ac:dyDescent="0.25">
      <c r="A95" s="6" t="s">
        <v>1010</v>
      </c>
      <c r="B9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5" s="1" t="str">
        <f>VLOOKUP(Avaluacio[[#This Row],[Codi ítem]],Metodologia[[Codi ítem]:[Ítem]],COLUMN(Metodologia[[#Headers],[Ítem]]),FALSE)</f>
        <v>Convenis de col·laboració</v>
      </c>
      <c r="D95" t="str">
        <f>VLOOKUP(Avaluacio[[#This Row],[Codi ítem]],Metodologia[[Codi ítem]:[Família]],COLUMN(Metodologia[[#Headers],[Família]]),FALSE)</f>
        <v>Contractes, convenis i subvencions</v>
      </c>
      <c r="E95" t="e">
        <f>VLOOKUP(Avaluacio[[#This Row],[Codi ítem]],Metodologia[[Codi ítem]:[Fase]],COLUMN(Metodologia[[#Headers],[Subfamília]]),FALSE)</f>
        <v>#REF!</v>
      </c>
      <c r="F95" s="6" t="str">
        <f>VLOOKUP(Avaluacio[[#This Row],[Codi ítem]],Metodologia[[Codi ítem]:[Fase]],COLUMN(Metodologia[[#Headers],[Fase]]),FALSE)</f>
        <v>Fase 1</v>
      </c>
      <c r="G95" s="54" t="s">
        <v>620</v>
      </c>
      <c r="H95" s="54" t="s">
        <v>620</v>
      </c>
      <c r="I95" s="55"/>
      <c r="J9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https://municat.gencat.cat/ca/Temes/Transparencia/Items-de-transparencia/3.3.1.Convenis-de-colaboracio</v>
      </c>
      <c r="M9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1.0043337747657737</v>
      </c>
      <c r="N95" s="8" t="str">
        <f>Avaluacio[[#This Row],[Codi ítem]]</f>
        <v>XGO094</v>
      </c>
    </row>
    <row r="96" spans="1:14" ht="55.2" x14ac:dyDescent="0.25">
      <c r="A96" s="6" t="s">
        <v>1011</v>
      </c>
      <c r="B9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6" s="1" t="str">
        <f>VLOOKUP(Avaluacio[[#This Row],[Codi ítem]],Metodologia[[Codi ítem]:[Ítem]],COLUMN(Metodologia[[#Headers],[Ítem]]),FALSE)</f>
        <v>Convenis urbanístics</v>
      </c>
      <c r="D96" t="str">
        <f>VLOOKUP(Avaluacio[[#This Row],[Codi ítem]],Metodologia[[Codi ítem]:[Família]],COLUMN(Metodologia[[#Headers],[Família]]),FALSE)</f>
        <v>Contractes, convenis i subvencions</v>
      </c>
      <c r="E96" t="e">
        <f>VLOOKUP(Avaluacio[[#This Row],[Codi ítem]],Metodologia[[Codi ítem]:[Fase]],COLUMN(Metodologia[[#Headers],[Subfamília]]),FALSE)</f>
        <v>#REF!</v>
      </c>
      <c r="F96" s="6" t="str">
        <f>VLOOKUP(Avaluacio[[#This Row],[Codi ítem]],Metodologia[[Codi ítem]:[Fase]],COLUMN(Metodologia[[#Headers],[Fase]]),FALSE)</f>
        <v>Fase 1</v>
      </c>
      <c r="G96" s="54" t="s">
        <v>620</v>
      </c>
      <c r="H96" s="54" t="s">
        <v>620</v>
      </c>
      <c r="I96" s="55" t="s">
        <v>1241</v>
      </c>
      <c r="J9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https://municat.gencat.cat/ca/Temes/Transparencia/Items-de-transparencia/3.3.2.Convenis-urbanistics</v>
      </c>
      <c r="M9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1.0008451231926405</v>
      </c>
      <c r="N96" s="8" t="str">
        <f>Avaluacio[[#This Row],[Codi ítem]]</f>
        <v>XGO095</v>
      </c>
    </row>
    <row r="97" spans="1:14" ht="55.2" x14ac:dyDescent="0.25">
      <c r="A97" s="6" t="s">
        <v>1012</v>
      </c>
      <c r="B9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7" s="1" t="str">
        <f>VLOOKUP(Avaluacio[[#This Row],[Codi ítem]],Metodologia[[Codi ítem]:[Ítem]],COLUMN(Metodologia[[#Headers],[Ítem]]),FALSE)</f>
        <v>Informació de l'execució dels convenis</v>
      </c>
      <c r="D97" t="str">
        <f>VLOOKUP(Avaluacio[[#This Row],[Codi ítem]],Metodologia[[Codi ítem]:[Família]],COLUMN(Metodologia[[#Headers],[Família]]),FALSE)</f>
        <v>Contractes, convenis i subvencions</v>
      </c>
      <c r="E97" t="e">
        <f>VLOOKUP(Avaluacio[[#This Row],[Codi ítem]],Metodologia[[Codi ítem]:[Fase]],COLUMN(Metodologia[[#Headers],[Subfamília]]),FALSE)</f>
        <v>#REF!</v>
      </c>
      <c r="F97" s="6" t="str">
        <f>VLOOKUP(Avaluacio[[#This Row],[Codi ítem]],Metodologia[[Codi ítem]:[Fase]],COLUMN(Metodologia[[#Headers],[Fase]]),FALSE)</f>
        <v>Fase 4</v>
      </c>
      <c r="G97" s="54" t="s">
        <v>620</v>
      </c>
      <c r="H97" s="54" t="s">
        <v>620</v>
      </c>
      <c r="I97" s="55"/>
      <c r="J9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https://municat.gencat.cat/ca/Temes/Transparencia/Items-de-transparencia/3.3.3.Informacio-execucio-convenis</v>
      </c>
      <c r="M9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1.0003145795238184</v>
      </c>
      <c r="N97" s="8" t="str">
        <f>Avaluacio[[#This Row],[Codi ítem]]</f>
        <v>XGO096</v>
      </c>
    </row>
    <row r="98" spans="1:14" ht="55.2" x14ac:dyDescent="0.25">
      <c r="A98" s="6" t="s">
        <v>1013</v>
      </c>
      <c r="B9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8" s="1" t="str">
        <f>VLOOKUP(Avaluacio[[#This Row],[Codi ítem]],Metodologia[[Codi ítem]:[Ítem]],COLUMN(Metodologia[[#Headers],[Ítem]]),FALSE)</f>
        <v>Convocatòries de subvencions i ajuts</v>
      </c>
      <c r="D98" t="str">
        <f>VLOOKUP(Avaluacio[[#This Row],[Codi ítem]],Metodologia[[Codi ítem]:[Família]],COLUMN(Metodologia[[#Headers],[Família]]),FALSE)</f>
        <v>Contractes, convenis i subvencions</v>
      </c>
      <c r="E98" t="e">
        <f>VLOOKUP(Avaluacio[[#This Row],[Codi ítem]],Metodologia[[Codi ítem]:[Fase]],COLUMN(Metodologia[[#Headers],[Subfamília]]),FALSE)</f>
        <v>#REF!</v>
      </c>
      <c r="F98" s="6" t="str">
        <f>VLOOKUP(Avaluacio[[#This Row],[Codi ítem]],Metodologia[[Codi ítem]:[Fase]],COLUMN(Metodologia[[#Headers],[Fase]]),FALSE)</f>
        <v>Fase 1</v>
      </c>
      <c r="G98" s="54" t="s">
        <v>620</v>
      </c>
      <c r="H98" s="54" t="s">
        <v>620</v>
      </c>
      <c r="I98" s="55"/>
      <c r="J9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https://municat.gencat.cat/ca/Temes/Transparencia/Items-de-transparencia/3.3.4.Convocatories-subvencions-ajuts</v>
      </c>
      <c r="M9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1.0109031849114936</v>
      </c>
      <c r="N98" s="8" t="str">
        <f>Avaluacio[[#This Row],[Codi ítem]]</f>
        <v>XGO097</v>
      </c>
    </row>
    <row r="99" spans="1:14" ht="55.2" x14ac:dyDescent="0.25">
      <c r="A99" s="6" t="s">
        <v>1014</v>
      </c>
      <c r="B9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9" s="1" t="str">
        <f>VLOOKUP(Avaluacio[[#This Row],[Codi ítem]],Metodologia[[Codi ítem]:[Ítem]],COLUMN(Metodologia[[#Headers],[Ítem]]),FALSE)</f>
        <v>Subvencions atorgades</v>
      </c>
      <c r="D99" t="str">
        <f>VLOOKUP(Avaluacio[[#This Row],[Codi ítem]],Metodologia[[Codi ítem]:[Família]],COLUMN(Metodologia[[#Headers],[Família]]),FALSE)</f>
        <v>Contractes, convenis i subvencions</v>
      </c>
      <c r="E99" t="e">
        <f>VLOOKUP(Avaluacio[[#This Row],[Codi ítem]],Metodologia[[Codi ítem]:[Fase]],COLUMN(Metodologia[[#Headers],[Subfamília]]),FALSE)</f>
        <v>#REF!</v>
      </c>
      <c r="F99" s="6" t="str">
        <f>VLOOKUP(Avaluacio[[#This Row],[Codi ítem]],Metodologia[[Codi ítem]:[Fase]],COLUMN(Metodologia[[#Headers],[Fase]]),FALSE)</f>
        <v>Fase 1</v>
      </c>
      <c r="G99" s="54" t="s">
        <v>620</v>
      </c>
      <c r="H99" s="54" t="s">
        <v>620</v>
      </c>
      <c r="I99" s="55"/>
      <c r="J9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https://municat.gencat.cat/ca/Temes/Transparencia/Items-de-transparencia/3.3.5.Subvencions-atorgades</v>
      </c>
      <c r="M9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1.0040923614907535</v>
      </c>
      <c r="N99" s="8" t="str">
        <f>Avaluacio[[#This Row],[Codi ítem]]</f>
        <v>XGO098</v>
      </c>
    </row>
    <row r="100" spans="1:14" ht="41.4" x14ac:dyDescent="0.25">
      <c r="A100" s="6" t="s">
        <v>1015</v>
      </c>
      <c r="B10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0" s="1" t="str">
        <f>VLOOKUP(Avaluacio[[#This Row],[Codi ítem]],Metodologia[[Codi ítem]:[Ítem]],COLUMN(Metodologia[[#Headers],[Ítem]]),FALSE)</f>
        <v>Ajuts atorgats</v>
      </c>
      <c r="D100" t="str">
        <f>VLOOKUP(Avaluacio[[#This Row],[Codi ítem]],Metodologia[[Codi ítem]:[Família]],COLUMN(Metodologia[[#Headers],[Família]]),FALSE)</f>
        <v>Contractes, convenis i subvencions</v>
      </c>
      <c r="E100" t="e">
        <f>VLOOKUP(Avaluacio[[#This Row],[Codi ítem]],Metodologia[[Codi ítem]:[Fase]],COLUMN(Metodologia[[#Headers],[Subfamília]]),FALSE)</f>
        <v>#REF!</v>
      </c>
      <c r="F100" s="6" t="str">
        <f>VLOOKUP(Avaluacio[[#This Row],[Codi ítem]],Metodologia[[Codi ítem]:[Fase]],COLUMN(Metodologia[[#Headers],[Fase]]),FALSE)</f>
        <v>Fase 1</v>
      </c>
      <c r="G100" s="54" t="s">
        <v>620</v>
      </c>
      <c r="H100" s="54" t="s">
        <v>620</v>
      </c>
      <c r="I100" s="55"/>
      <c r="J10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https://municat.gencat.cat/ca/Temes/Transparencia/Items-de-transparencia/3.3.6.Ajuts-atorgats</v>
      </c>
      <c r="M10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1.0014385827662262</v>
      </c>
      <c r="N100" s="8" t="str">
        <f>Avaluacio[[#This Row],[Codi ítem]]</f>
        <v>XGO099</v>
      </c>
    </row>
    <row r="101" spans="1:14" ht="55.2" x14ac:dyDescent="0.25">
      <c r="A101" s="6" t="s">
        <v>1016</v>
      </c>
      <c r="B10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1" s="1" t="str">
        <f>VLOOKUP(Avaluacio[[#This Row],[Codi ítem]],Metodologia[[Codi ítem]:[Ítem]],COLUMN(Metodologia[[#Headers],[Ítem]]),FALSE)</f>
        <v>Retribució dels directius beneficiaris de subvencions</v>
      </c>
      <c r="D101" t="str">
        <f>VLOOKUP(Avaluacio[[#This Row],[Codi ítem]],Metodologia[[Codi ítem]:[Família]],COLUMN(Metodologia[[#Headers],[Família]]),FALSE)</f>
        <v>Contractes, convenis i subvencions</v>
      </c>
      <c r="E101" t="e">
        <f>VLOOKUP(Avaluacio[[#This Row],[Codi ítem]],Metodologia[[Codi ítem]:[Fase]],COLUMN(Metodologia[[#Headers],[Subfamília]]),FALSE)</f>
        <v>#REF!</v>
      </c>
      <c r="F101" s="6" t="str">
        <f>VLOOKUP(Avaluacio[[#This Row],[Codi ítem]],Metodologia[[Codi ítem]:[Fase]],COLUMN(Metodologia[[#Headers],[Fase]]),FALSE)</f>
        <v>Fase 4</v>
      </c>
      <c r="G101" s="54" t="s">
        <v>621</v>
      </c>
      <c r="H101" s="54" t="s">
        <v>621</v>
      </c>
      <c r="I101" s="55"/>
      <c r="J10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0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0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https://municat.gencat.cat/ca/Temes/Transparencia/Items-de-transparencia/3.3.7.Retribucio-directius-beneficiaris-subvencions</v>
      </c>
      <c r="M10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-1.9652383735178236E-4</v>
      </c>
      <c r="N101" s="8" t="str">
        <f>Avaluacio[[#This Row],[Codi ítem]]</f>
        <v>XGO100</v>
      </c>
    </row>
    <row r="102" spans="1:14" ht="41.4" x14ac:dyDescent="0.25">
      <c r="A102" s="6" t="s">
        <v>1017</v>
      </c>
      <c r="B10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2" s="1" t="str">
        <f>VLOOKUP(Avaluacio[[#This Row],[Codi ítem]],Metodologia[[Codi ítem]:[Ítem]],COLUMN(Metodologia[[#Headers],[Ítem]]),FALSE)</f>
        <v>Pressupost</v>
      </c>
      <c r="D102" t="str">
        <f>VLOOKUP(Avaluacio[[#This Row],[Codi ítem]],Metodologia[[Codi ítem]:[Família]],COLUMN(Metodologia[[#Headers],[Família]]),FALSE)</f>
        <v>Gestió econòmica</v>
      </c>
      <c r="E102" t="e">
        <f>VLOOKUP(Avaluacio[[#This Row],[Codi ítem]],Metodologia[[Codi ítem]:[Fase]],COLUMN(Metodologia[[#Headers],[Subfamília]]),FALSE)</f>
        <v>#REF!</v>
      </c>
      <c r="F102" s="6" t="str">
        <f>VLOOKUP(Avaluacio[[#This Row],[Codi ítem]],Metodologia[[Codi ítem]:[Fase]],COLUMN(Metodologia[[#Headers],[Fase]]),FALSE)</f>
        <v>Fase 1</v>
      </c>
      <c r="G102" s="54" t="s">
        <v>620</v>
      </c>
      <c r="H102" s="54" t="s">
        <v>620</v>
      </c>
      <c r="I102" s="55"/>
      <c r="J10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https://municat.gencat.cat/ca/Temes/Transparencia/Items-de-transparencia/4.1.1.Pressupost</v>
      </c>
      <c r="M10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1.0140203498784097</v>
      </c>
      <c r="N102" s="8" t="str">
        <f>Avaluacio[[#This Row],[Codi ítem]]</f>
        <v>XGO101</v>
      </c>
    </row>
    <row r="103" spans="1:14" ht="55.2" x14ac:dyDescent="0.25">
      <c r="A103" s="6" t="s">
        <v>1018</v>
      </c>
      <c r="B10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3" s="1" t="str">
        <f>VLOOKUP(Avaluacio[[#This Row],[Codi ítem]],Metodologia[[Codi ítem]:[Ítem]],COLUMN(Metodologia[[#Headers],[Ítem]]),FALSE)</f>
        <v>Execució pressupostària trimestral</v>
      </c>
      <c r="D103" t="str">
        <f>VLOOKUP(Avaluacio[[#This Row],[Codi ítem]],Metodologia[[Codi ítem]:[Família]],COLUMN(Metodologia[[#Headers],[Família]]),FALSE)</f>
        <v>Gestió econòmica</v>
      </c>
      <c r="E103" t="e">
        <f>VLOOKUP(Avaluacio[[#This Row],[Codi ítem]],Metodologia[[Codi ítem]:[Fase]],COLUMN(Metodologia[[#Headers],[Subfamília]]),FALSE)</f>
        <v>#REF!</v>
      </c>
      <c r="F103" s="6" t="str">
        <f>VLOOKUP(Avaluacio[[#This Row],[Codi ítem]],Metodologia[[Codi ítem]:[Fase]],COLUMN(Metodologia[[#Headers],[Fase]]),FALSE)</f>
        <v>Fase 3</v>
      </c>
      <c r="G103" s="54" t="s">
        <v>620</v>
      </c>
      <c r="H103" s="54" t="s">
        <v>620</v>
      </c>
      <c r="I103" s="55"/>
      <c r="J10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https://municat.gencat.cat/ca/Temes/Transparencia/Items-de-transparencia/4.1.2.Execucio-pressupostaria-trimestral</v>
      </c>
      <c r="M10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1.0020521895677419</v>
      </c>
      <c r="N103" s="8" t="str">
        <f>Avaluacio[[#This Row],[Codi ítem]]</f>
        <v>XGO102</v>
      </c>
    </row>
    <row r="104" spans="1:14" ht="55.2" x14ac:dyDescent="0.25">
      <c r="A104" s="6" t="s">
        <v>1019</v>
      </c>
      <c r="B10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4" s="1" t="str">
        <f>VLOOKUP(Avaluacio[[#This Row],[Codi ítem]],Metodologia[[Codi ítem]:[Ítem]],COLUMN(Metodologia[[#Headers],[Ítem]]),FALSE)</f>
        <v>Liquidació del pressupost</v>
      </c>
      <c r="D104" t="str">
        <f>VLOOKUP(Avaluacio[[#This Row],[Codi ítem]],Metodologia[[Codi ítem]:[Família]],COLUMN(Metodologia[[#Headers],[Família]]),FALSE)</f>
        <v>Gestió econòmica</v>
      </c>
      <c r="E104" t="e">
        <f>VLOOKUP(Avaluacio[[#This Row],[Codi ítem]],Metodologia[[Codi ítem]:[Fase]],COLUMN(Metodologia[[#Headers],[Subfamília]]),FALSE)</f>
        <v>#REF!</v>
      </c>
      <c r="F104" s="6" t="str">
        <f>VLOOKUP(Avaluacio[[#This Row],[Codi ítem]],Metodologia[[Codi ítem]:[Fase]],COLUMN(Metodologia[[#Headers],[Fase]]),FALSE)</f>
        <v>Fase 1</v>
      </c>
      <c r="G104" s="54" t="s">
        <v>620</v>
      </c>
      <c r="H104" s="54" t="s">
        <v>620</v>
      </c>
      <c r="I104" s="55"/>
      <c r="J10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https://municat.gencat.cat/ca/Temes/Transparencia/Items-de-transparencia/4.1.3.Liquidacio-pressupost</v>
      </c>
      <c r="M10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1.0053948621034177</v>
      </c>
      <c r="N104" s="8" t="str">
        <f>Avaluacio[[#This Row],[Codi ítem]]</f>
        <v>XGO103</v>
      </c>
    </row>
    <row r="105" spans="1:14" ht="41.4" x14ac:dyDescent="0.25">
      <c r="A105" s="6" t="s">
        <v>1020</v>
      </c>
      <c r="B10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5" s="1" t="str">
        <f>VLOOKUP(Avaluacio[[#This Row],[Codi ítem]],Metodologia[[Codi ítem]:[Ítem]],COLUMN(Metodologia[[#Headers],[Ítem]]),FALSE)</f>
        <v>Compte general</v>
      </c>
      <c r="D105" t="str">
        <f>VLOOKUP(Avaluacio[[#This Row],[Codi ítem]],Metodologia[[Codi ítem]:[Família]],COLUMN(Metodologia[[#Headers],[Família]]),FALSE)</f>
        <v>Gestió econòmica</v>
      </c>
      <c r="E105" t="e">
        <f>VLOOKUP(Avaluacio[[#This Row],[Codi ítem]],Metodologia[[Codi ítem]:[Fase]],COLUMN(Metodologia[[#Headers],[Subfamília]]),FALSE)</f>
        <v>#REF!</v>
      </c>
      <c r="F105" s="6" t="str">
        <f>VLOOKUP(Avaluacio[[#This Row],[Codi ítem]],Metodologia[[Codi ítem]:[Fase]],COLUMN(Metodologia[[#Headers],[Fase]]),FALSE)</f>
        <v>Fase 1</v>
      </c>
      <c r="G105" s="54" t="s">
        <v>620</v>
      </c>
      <c r="H105" s="54" t="s">
        <v>620</v>
      </c>
      <c r="I105" s="55" t="s">
        <v>1242</v>
      </c>
      <c r="J10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https://municat.gencat.cat/ca/Temes/Transparencia/Items-de-transparencia/4.1.4.Compte-general</v>
      </c>
      <c r="M10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1.0023271815559787</v>
      </c>
      <c r="N105" s="8" t="str">
        <f>Avaluacio[[#This Row],[Codi ítem]]</f>
        <v>XGO104</v>
      </c>
    </row>
    <row r="106" spans="1:14" ht="55.2" x14ac:dyDescent="0.25">
      <c r="A106" s="6" t="s">
        <v>1021</v>
      </c>
      <c r="B10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6" s="1" t="str">
        <f>VLOOKUP(Avaluacio[[#This Row],[Codi ítem]],Metodologia[[Codi ítem]:[Ítem]],COLUMN(Metodologia[[#Headers],[Ítem]]),FALSE)</f>
        <v>Modificació de pressupostos</v>
      </c>
      <c r="D106" t="str">
        <f>VLOOKUP(Avaluacio[[#This Row],[Codi ítem]],Metodologia[[Codi ítem]:[Família]],COLUMN(Metodologia[[#Headers],[Família]]),FALSE)</f>
        <v>Gestió econòmica</v>
      </c>
      <c r="E106" t="e">
        <f>VLOOKUP(Avaluacio[[#This Row],[Codi ítem]],Metodologia[[Codi ítem]:[Fase]],COLUMN(Metodologia[[#Headers],[Subfamília]]),FALSE)</f>
        <v>#REF!</v>
      </c>
      <c r="F106" s="6" t="str">
        <f>VLOOKUP(Avaluacio[[#This Row],[Codi ítem]],Metodologia[[Codi ítem]:[Fase]],COLUMN(Metodologia[[#Headers],[Fase]]),FALSE)</f>
        <v>Fase 1</v>
      </c>
      <c r="G106" s="54" t="s">
        <v>620</v>
      </c>
      <c r="H106" s="54" t="s">
        <v>620</v>
      </c>
      <c r="I106" s="55"/>
      <c r="J10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https://municat.gencat.cat/ca/Temes/Transparencia/Items-de-transparencia/4.1.5.Modificacio-de-pressupostos</v>
      </c>
      <c r="M10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1.0013374931664374</v>
      </c>
      <c r="N106" s="8" t="str">
        <f>Avaluacio[[#This Row],[Codi ítem]]</f>
        <v>XGO105</v>
      </c>
    </row>
    <row r="107" spans="1:14" ht="55.2" x14ac:dyDescent="0.25">
      <c r="A107" s="6" t="s">
        <v>1022</v>
      </c>
      <c r="B10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7" s="1" t="str">
        <f>VLOOKUP(Avaluacio[[#This Row],[Codi ítem]],Metodologia[[Codi ítem]:[Ítem]],COLUMN(Metodologia[[#Headers],[Ítem]]),FALSE)</f>
        <v>Compliment dels objectius d’estabilitat pressupostària</v>
      </c>
      <c r="D107" t="str">
        <f>VLOOKUP(Avaluacio[[#This Row],[Codi ítem]],Metodologia[[Codi ítem]:[Família]],COLUMN(Metodologia[[#Headers],[Família]]),FALSE)</f>
        <v>Gestió econòmica</v>
      </c>
      <c r="E107" t="e">
        <f>VLOOKUP(Avaluacio[[#This Row],[Codi ítem]],Metodologia[[Codi ítem]:[Fase]],COLUMN(Metodologia[[#Headers],[Subfamília]]),FALSE)</f>
        <v>#REF!</v>
      </c>
      <c r="F107" s="6" t="str">
        <f>VLOOKUP(Avaluacio[[#This Row],[Codi ítem]],Metodologia[[Codi ítem]:[Fase]],COLUMN(Metodologia[[#Headers],[Fase]]),FALSE)</f>
        <v>Fase 1</v>
      </c>
      <c r="G107" s="54" t="s">
        <v>620</v>
      </c>
      <c r="H107" s="54" t="s">
        <v>620</v>
      </c>
      <c r="I107" s="55"/>
      <c r="J10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https://municat.gencat.cat/ca/Temes/Transparencia/Items-de-transparencia/4.1.6.Compliment-objectius-estabilitat-pressupostaria</v>
      </c>
      <c r="M10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1.0010116029181668</v>
      </c>
      <c r="N107" s="8" t="str">
        <f>Avaluacio[[#This Row],[Codi ítem]]</f>
        <v>XGO106</v>
      </c>
    </row>
    <row r="108" spans="1:14" ht="55.2" x14ac:dyDescent="0.25">
      <c r="A108" s="6" t="s">
        <v>1023</v>
      </c>
      <c r="B10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8" s="1" t="str">
        <f>VLOOKUP(Avaluacio[[#This Row],[Codi ítem]],Metodologia[[Codi ítem]:[Ítem]],COLUMN(Metodologia[[#Headers],[Ítem]]),FALSE)</f>
        <v>Informació de les campanyes institucionals</v>
      </c>
      <c r="D108" t="str">
        <f>VLOOKUP(Avaluacio[[#This Row],[Codi ítem]],Metodologia[[Codi ítem]:[Família]],COLUMN(Metodologia[[#Headers],[Família]]),FALSE)</f>
        <v>Gestió econòmica</v>
      </c>
      <c r="E108" t="e">
        <f>VLOOKUP(Avaluacio[[#This Row],[Codi ítem]],Metodologia[[Codi ítem]:[Fase]],COLUMN(Metodologia[[#Headers],[Subfamília]]),FALSE)</f>
        <v>#REF!</v>
      </c>
      <c r="F108" s="6" t="str">
        <f>VLOOKUP(Avaluacio[[#This Row],[Codi ítem]],Metodologia[[Codi ítem]:[Fase]],COLUMN(Metodologia[[#Headers],[Fase]]),FALSE)</f>
        <v>Fase 4</v>
      </c>
      <c r="G108" s="54" t="s">
        <v>620</v>
      </c>
      <c r="H108" s="54" t="s">
        <v>620</v>
      </c>
      <c r="I108" s="62" t="s">
        <v>1259</v>
      </c>
      <c r="J10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https://municat.gencat.cat/ca/Temes/Transparencia/Items-de-transparencia/4.1.7.Cost-campanyes-institucionals</v>
      </c>
      <c r="M10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1.0010091286971932</v>
      </c>
      <c r="N108" s="8" t="str">
        <f>Avaluacio[[#This Row],[Codi ítem]]</f>
        <v>XGO107</v>
      </c>
    </row>
    <row r="109" spans="1:14" ht="41.4" x14ac:dyDescent="0.25">
      <c r="A109" s="6" t="s">
        <v>1024</v>
      </c>
      <c r="B10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9" s="1" t="str">
        <f>VLOOKUP(Avaluacio[[#This Row],[Codi ítem]],Metodologia[[Codi ítem]:[Ítem]],COLUMN(Metodologia[[#Headers],[Ítem]]),FALSE)</f>
        <v>Endeutament</v>
      </c>
      <c r="D109" t="str">
        <f>VLOOKUP(Avaluacio[[#This Row],[Codi ítem]],Metodologia[[Codi ítem]:[Família]],COLUMN(Metodologia[[#Headers],[Família]]),FALSE)</f>
        <v>Gestió econòmica</v>
      </c>
      <c r="E109" t="e">
        <f>VLOOKUP(Avaluacio[[#This Row],[Codi ítem]],Metodologia[[Codi ítem]:[Fase]],COLUMN(Metodologia[[#Headers],[Subfamília]]),FALSE)</f>
        <v>#REF!</v>
      </c>
      <c r="F109" s="6" t="str">
        <f>VLOOKUP(Avaluacio[[#This Row],[Codi ítem]],Metodologia[[Codi ítem]:[Fase]],COLUMN(Metodologia[[#Headers],[Fase]]),FALSE)</f>
        <v>Fase 1</v>
      </c>
      <c r="G109" s="54" t="s">
        <v>620</v>
      </c>
      <c r="H109" s="54" t="s">
        <v>620</v>
      </c>
      <c r="I109" s="55"/>
      <c r="J10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https://municat.gencat.cat/ca/Temes/Transparencia/Items-de-transparencia/4.2.1.Endeutament</v>
      </c>
      <c r="M10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1.0014937225479292</v>
      </c>
      <c r="N109" s="8" t="str">
        <f>Avaluacio[[#This Row],[Codi ítem]]</f>
        <v>XGO108</v>
      </c>
    </row>
    <row r="110" spans="1:14" ht="55.2" x14ac:dyDescent="0.25">
      <c r="A110" s="6" t="s">
        <v>1025</v>
      </c>
      <c r="B11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0" s="1" t="str">
        <f>VLOOKUP(Avaluacio[[#This Row],[Codi ítem]],Metodologia[[Codi ítem]:[Ítem]],COLUMN(Metodologia[[#Headers],[Ítem]]),FALSE)</f>
        <v>Període mitjà de Pagament a Proveïdors (PMP)</v>
      </c>
      <c r="D110" t="str">
        <f>VLOOKUP(Avaluacio[[#This Row],[Codi ítem]],Metodologia[[Codi ítem]:[Família]],COLUMN(Metodologia[[#Headers],[Família]]),FALSE)</f>
        <v>Gestió econòmica</v>
      </c>
      <c r="E110" t="e">
        <f>VLOOKUP(Avaluacio[[#This Row],[Codi ítem]],Metodologia[[Codi ítem]:[Fase]],COLUMN(Metodologia[[#Headers],[Subfamília]]),FALSE)</f>
        <v>#REF!</v>
      </c>
      <c r="F110" s="6" t="str">
        <f>VLOOKUP(Avaluacio[[#This Row],[Codi ítem]],Metodologia[[Codi ítem]:[Fase]],COLUMN(Metodologia[[#Headers],[Fase]]),FALSE)</f>
        <v>Fase 1</v>
      </c>
      <c r="G110" s="54" t="s">
        <v>620</v>
      </c>
      <c r="H110" s="54" t="s">
        <v>620</v>
      </c>
      <c r="I110" s="55"/>
      <c r="J11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https://municat.gencat.cat/ca/Temes/Transparencia/Items-de-transparencia/4.2.2.Termini-pagament-proveidors</v>
      </c>
      <c r="M11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1.0000063622825042</v>
      </c>
      <c r="N110" s="8" t="str">
        <f>Avaluacio[[#This Row],[Codi ítem]]</f>
        <v>XGO109</v>
      </c>
    </row>
    <row r="111" spans="1:14" ht="55.2" x14ac:dyDescent="0.25">
      <c r="A111" s="6" t="s">
        <v>1026</v>
      </c>
      <c r="B11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1" s="1" t="str">
        <f>VLOOKUP(Avaluacio[[#This Row],[Codi ítem]],Metodologia[[Codi ítem]:[Ítem]],COLUMN(Metodologia[[#Headers],[Ítem]]),FALSE)</f>
        <v>Auditories de comptes</v>
      </c>
      <c r="D111" t="str">
        <f>VLOOKUP(Avaluacio[[#This Row],[Codi ítem]],Metodologia[[Codi ítem]:[Família]],COLUMN(Metodologia[[#Headers],[Família]]),FALSE)</f>
        <v>Gestió econòmica</v>
      </c>
      <c r="E111" t="e">
        <f>VLOOKUP(Avaluacio[[#This Row],[Codi ítem]],Metodologia[[Codi ítem]:[Fase]],COLUMN(Metodologia[[#Headers],[Subfamília]]),FALSE)</f>
        <v>#REF!</v>
      </c>
      <c r="F111" s="6" t="str">
        <f>VLOOKUP(Avaluacio[[#This Row],[Codi ítem]],Metodologia[[Codi ítem]:[Fase]],COLUMN(Metodologia[[#Headers],[Fase]]),FALSE)</f>
        <v>Fase 2</v>
      </c>
      <c r="G111" s="54" t="s">
        <v>620</v>
      </c>
      <c r="H111" s="54" t="s">
        <v>620</v>
      </c>
      <c r="I111" s="62" t="s">
        <v>1260</v>
      </c>
      <c r="J11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https://municat.gencat.cat/ca/Temes/Transparencia/Items-de-transparencia/4.2.3.Auditories-de-comptes</v>
      </c>
      <c r="M11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1.0010317501460968</v>
      </c>
      <c r="N111" s="8" t="str">
        <f>Avaluacio[[#This Row],[Codi ítem]]</f>
        <v>XGO110</v>
      </c>
    </row>
    <row r="112" spans="1:14" ht="55.2" x14ac:dyDescent="0.25">
      <c r="A112" s="6" t="s">
        <v>1027</v>
      </c>
      <c r="B11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2" s="1" t="str">
        <f>VLOOKUP(Avaluacio[[#This Row],[Codi ítem]],Metodologia[[Codi ítem]:[Ítem]],COLUMN(Metodologia[[#Headers],[Ítem]]),FALSE)</f>
        <v>Indicadors de gestió econòmica</v>
      </c>
      <c r="D112" t="str">
        <f>VLOOKUP(Avaluacio[[#This Row],[Codi ítem]],Metodologia[[Codi ítem]:[Família]],COLUMN(Metodologia[[#Headers],[Família]]),FALSE)</f>
        <v>Gestió econòmica</v>
      </c>
      <c r="E112" t="e">
        <f>VLOOKUP(Avaluacio[[#This Row],[Codi ítem]],Metodologia[[Codi ítem]:[Fase]],COLUMN(Metodologia[[#Headers],[Subfamília]]),FALSE)</f>
        <v>#REF!</v>
      </c>
      <c r="F112" s="6" t="str">
        <f>VLOOKUP(Avaluacio[[#This Row],[Codi ítem]],Metodologia[[Codi ítem]:[Fase]],COLUMN(Metodologia[[#Headers],[Fase]]),FALSE)</f>
        <v>Fase 1</v>
      </c>
      <c r="G112" s="54" t="s">
        <v>620</v>
      </c>
      <c r="H112" s="54" t="s">
        <v>620</v>
      </c>
      <c r="I112" s="55"/>
      <c r="J11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https://municat.gencat.cat/ca/Temes/Transparencia/Items-de-transparencia/4.2.4.Indicadors-gestio-economica</v>
      </c>
      <c r="M11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1.0007493354949384</v>
      </c>
      <c r="N112" s="8" t="str">
        <f>Avaluacio[[#This Row],[Codi ítem]]</f>
        <v>XGO111</v>
      </c>
    </row>
    <row r="113" spans="1:14" ht="55.2" x14ac:dyDescent="0.25">
      <c r="A113" s="6" t="s">
        <v>1028</v>
      </c>
      <c r="B11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3" s="1" t="str">
        <f>VLOOKUP(Avaluacio[[#This Row],[Codi ítem]],Metodologia[[Codi ítem]:[Ítem]],COLUMN(Metodologia[[#Headers],[Ítem]]),FALSE)</f>
        <v>Cost efectiu dels serveis</v>
      </c>
      <c r="D113" t="str">
        <f>VLOOKUP(Avaluacio[[#This Row],[Codi ítem]],Metodologia[[Codi ítem]:[Família]],COLUMN(Metodologia[[#Headers],[Família]]),FALSE)</f>
        <v>Gestió econòmica</v>
      </c>
      <c r="E113" t="e">
        <f>VLOOKUP(Avaluacio[[#This Row],[Codi ítem]],Metodologia[[Codi ítem]:[Fase]],COLUMN(Metodologia[[#Headers],[Subfamília]]),FALSE)</f>
        <v>#REF!</v>
      </c>
      <c r="F113" s="6" t="str">
        <f>VLOOKUP(Avaluacio[[#This Row],[Codi ítem]],Metodologia[[Codi ítem]:[Fase]],COLUMN(Metodologia[[#Headers],[Fase]]),FALSE)</f>
        <v>Fase 5</v>
      </c>
      <c r="G113" s="54" t="s">
        <v>620</v>
      </c>
      <c r="H113" s="54" t="s">
        <v>620</v>
      </c>
      <c r="I113" s="55"/>
      <c r="J11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https://municat.gencat.cat/ca/Temes/Transparencia/Items-de-transparencia/4.2.5.Cost-efectiu-serveis</v>
      </c>
      <c r="M11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1.0011558146549286</v>
      </c>
      <c r="N113" s="8" t="str">
        <f>Avaluacio[[#This Row],[Codi ítem]]</f>
        <v>XGO112</v>
      </c>
    </row>
    <row r="114" spans="1:14" ht="55.2" x14ac:dyDescent="0.25">
      <c r="A114" s="6" t="s">
        <v>1029</v>
      </c>
      <c r="B11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4" s="1" t="str">
        <f>VLOOKUP(Avaluacio[[#This Row],[Codi ítem]],Metodologia[[Codi ítem]:[Ítem]],COLUMN(Metodologia[[#Headers],[Ítem]]),FALSE)</f>
        <v>Pla anual de control financer</v>
      </c>
      <c r="D114" t="str">
        <f>VLOOKUP(Avaluacio[[#This Row],[Codi ítem]],Metodologia[[Codi ítem]:[Família]],COLUMN(Metodologia[[#Headers],[Família]]),FALSE)</f>
        <v>Gestió econòmica</v>
      </c>
      <c r="E114" t="e">
        <f>VLOOKUP(Avaluacio[[#This Row],[Codi ítem]],Metodologia[[Codi ítem]:[Fase]],COLUMN(Metodologia[[#Headers],[Subfamília]]),FALSE)</f>
        <v>#REF!</v>
      </c>
      <c r="F114" s="6" t="str">
        <f>VLOOKUP(Avaluacio[[#This Row],[Codi ítem]],Metodologia[[Codi ítem]:[Fase]],COLUMN(Metodologia[[#Headers],[Fase]]),FALSE)</f>
        <v>Fase 3</v>
      </c>
      <c r="G114" s="54" t="s">
        <v>620</v>
      </c>
      <c r="H114" s="54" t="s">
        <v>620</v>
      </c>
      <c r="I114" s="55"/>
      <c r="J11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https://municat.gencat.cat/ca/Temes/Transparencia/Items-de-transparencia/4.2.6.Pla-anual-control-financer</v>
      </c>
      <c r="M11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1.0003909269138689</v>
      </c>
      <c r="N114" s="8" t="str">
        <f>Avaluacio[[#This Row],[Codi ítem]]</f>
        <v>XGO113</v>
      </c>
    </row>
    <row r="115" spans="1:14" ht="55.2" x14ac:dyDescent="0.25">
      <c r="A115" s="6" t="s">
        <v>1030</v>
      </c>
      <c r="B11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5" s="1" t="str">
        <f>VLOOKUP(Avaluacio[[#This Row],[Codi ítem]],Metodologia[[Codi ítem]:[Ítem]],COLUMN(Metodologia[[#Headers],[Ítem]]),FALSE)</f>
        <v>Inventari general del patrimoni</v>
      </c>
      <c r="D115" t="str">
        <f>VLOOKUP(Avaluacio[[#This Row],[Codi ítem]],Metodologia[[Codi ítem]:[Família]],COLUMN(Metodologia[[#Headers],[Família]]),FALSE)</f>
        <v>Gestió econòmica</v>
      </c>
      <c r="E115" t="e">
        <f>VLOOKUP(Avaluacio[[#This Row],[Codi ítem]],Metodologia[[Codi ítem]:[Fase]],COLUMN(Metodologia[[#Headers],[Subfamília]]),FALSE)</f>
        <v>#REF!</v>
      </c>
      <c r="F115" s="6" t="str">
        <f>VLOOKUP(Avaluacio[[#This Row],[Codi ítem]],Metodologia[[Codi ítem]:[Fase]],COLUMN(Metodologia[[#Headers],[Fase]]),FALSE)</f>
        <v>Fase 2</v>
      </c>
      <c r="G115" s="54" t="s">
        <v>620</v>
      </c>
      <c r="H115" s="54" t="s">
        <v>620</v>
      </c>
      <c r="I115" s="55" t="s">
        <v>1253</v>
      </c>
      <c r="J11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https://municat.gencat.cat/ca/Temes/Transparencia/Items-de-transparencia/4.3.1.Inventari-general-patrimoni</v>
      </c>
      <c r="M11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1.0028796397534263</v>
      </c>
      <c r="N115" s="8" t="str">
        <f>Avaluacio[[#This Row],[Codi ítem]]</f>
        <v>XGO114</v>
      </c>
    </row>
    <row r="116" spans="1:14" ht="55.2" x14ac:dyDescent="0.25">
      <c r="A116" s="6" t="s">
        <v>1031</v>
      </c>
      <c r="B11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6" s="1" t="str">
        <f>VLOOKUP(Avaluacio[[#This Row],[Codi ítem]],Metodologia[[Codi ítem]:[Ítem]],COLUMN(Metodologia[[#Headers],[Ítem]]),FALSE)</f>
        <v>Inventari de béns mobles de valor històric i artístic</v>
      </c>
      <c r="D116" t="str">
        <f>VLOOKUP(Avaluacio[[#This Row],[Codi ítem]],Metodologia[[Codi ítem]:[Família]],COLUMN(Metodologia[[#Headers],[Família]]),FALSE)</f>
        <v>Gestió econòmica</v>
      </c>
      <c r="E116" t="e">
        <f>VLOOKUP(Avaluacio[[#This Row],[Codi ítem]],Metodologia[[Codi ítem]:[Fase]],COLUMN(Metodologia[[#Headers],[Subfamília]]),FALSE)</f>
        <v>#REF!</v>
      </c>
      <c r="F116" s="6" t="str">
        <f>VLOOKUP(Avaluacio[[#This Row],[Codi ítem]],Metodologia[[Codi ítem]:[Fase]],COLUMN(Metodologia[[#Headers],[Fase]]),FALSE)</f>
        <v>Fase 2</v>
      </c>
      <c r="G116" s="54" t="s">
        <v>620</v>
      </c>
      <c r="H116" s="54" t="s">
        <v>620</v>
      </c>
      <c r="I116" s="55"/>
      <c r="J11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https://municat.gencat.cat/ca/Temes/Transparencia/Items-de-transparencia/4.3.2.Inventari-bens-mobles-valor-historic-artistic</v>
      </c>
      <c r="M11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1.0007472147341037</v>
      </c>
      <c r="N116" s="8" t="str">
        <f>Avaluacio[[#This Row],[Codi ítem]]</f>
        <v>XGO115</v>
      </c>
    </row>
    <row r="117" spans="1:14" ht="55.2" x14ac:dyDescent="0.25">
      <c r="A117" s="6" t="s">
        <v>1032</v>
      </c>
      <c r="B11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7" s="1" t="str">
        <f>VLOOKUP(Avaluacio[[#This Row],[Codi ítem]],Metodologia[[Codi ítem]:[Ítem]],COLUMN(Metodologia[[#Headers],[Ítem]]),FALSE)</f>
        <v>Inventari de vehicles oficials</v>
      </c>
      <c r="D117" t="str">
        <f>VLOOKUP(Avaluacio[[#This Row],[Codi ítem]],Metodologia[[Codi ítem]:[Família]],COLUMN(Metodologia[[#Headers],[Família]]),FALSE)</f>
        <v>Gestió econòmica</v>
      </c>
      <c r="E117" t="e">
        <f>VLOOKUP(Avaluacio[[#This Row],[Codi ítem]],Metodologia[[Codi ítem]:[Fase]],COLUMN(Metodologia[[#Headers],[Subfamília]]),FALSE)</f>
        <v>#REF!</v>
      </c>
      <c r="F117" s="6" t="str">
        <f>VLOOKUP(Avaluacio[[#This Row],[Codi ítem]],Metodologia[[Codi ítem]:[Fase]],COLUMN(Metodologia[[#Headers],[Fase]]),FALSE)</f>
        <v>Fase 2</v>
      </c>
      <c r="G117" s="54" t="s">
        <v>620</v>
      </c>
      <c r="H117" s="54" t="s">
        <v>621</v>
      </c>
      <c r="I117" s="55" t="s">
        <v>1254</v>
      </c>
      <c r="J11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parcialment</v>
      </c>
      <c r="K11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0.5</v>
      </c>
      <c r="L11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https://municat.gencat.cat/ca/Temes/Transparencia/Items-de-transparencia/4.3.3.Inventari-vehicles-oficials</v>
      </c>
      <c r="M11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0.49921072350934076</v>
      </c>
      <c r="N117" s="8" t="str">
        <f>Avaluacio[[#This Row],[Codi ítem]]</f>
        <v>XGO116</v>
      </c>
    </row>
    <row r="118" spans="1:14" ht="55.2" x14ac:dyDescent="0.25">
      <c r="A118" s="6" t="s">
        <v>1033</v>
      </c>
      <c r="B11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8" s="1" t="str">
        <f>VLOOKUP(Avaluacio[[#This Row],[Codi ítem]],Metodologia[[Codi ítem]:[Ítem]],COLUMN(Metodologia[[#Headers],[Ítem]]),FALSE)</f>
        <v>Informació relativa a la gestió del patrimoni</v>
      </c>
      <c r="D118" t="str">
        <f>VLOOKUP(Avaluacio[[#This Row],[Codi ítem]],Metodologia[[Codi ítem]:[Família]],COLUMN(Metodologia[[#Headers],[Família]]),FALSE)</f>
        <v>Gestió econòmica</v>
      </c>
      <c r="E118" t="e">
        <f>VLOOKUP(Avaluacio[[#This Row],[Codi ítem]],Metodologia[[Codi ítem]:[Fase]],COLUMN(Metodologia[[#Headers],[Subfamília]]),FALSE)</f>
        <v>#REF!</v>
      </c>
      <c r="F118" s="6" t="str">
        <f>VLOOKUP(Avaluacio[[#This Row],[Codi ítem]],Metodologia[[Codi ítem]:[Fase]],COLUMN(Metodologia[[#Headers],[Fase]]),FALSE)</f>
        <v>Fase 2</v>
      </c>
      <c r="G118" s="54" t="s">
        <v>620</v>
      </c>
      <c r="H118" s="54" t="s">
        <v>620</v>
      </c>
      <c r="I118" s="63"/>
      <c r="J11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https://municat.gencat.cat/ca/Temes/Transparencia/Items-de-transparencia/4.3.4.Informacio-gestio-patrimoni</v>
      </c>
      <c r="M11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1.000577200407186</v>
      </c>
      <c r="N118" s="8" t="str">
        <f>Avaluacio[[#This Row],[Codi ítem]]</f>
        <v>XGO117</v>
      </c>
    </row>
    <row r="119" spans="1:14" ht="55.2" x14ac:dyDescent="0.25">
      <c r="A119" s="6" t="s">
        <v>1035</v>
      </c>
      <c r="B11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9" s="1" t="str">
        <f>VLOOKUP(Avaluacio[[#This Row],[Codi ítem]],Metodologia[[Codi ítem]:[Ítem]],COLUMN(Metodologia[[#Headers],[Ítem]]),FALSE)</f>
        <v>Incidències de serveis</v>
      </c>
      <c r="D119" t="str">
        <f>VLOOKUP(Avaluacio[[#This Row],[Codi ítem]],Metodologia[[Codi ítem]:[Família]],COLUMN(Metodologia[[#Headers],[Família]]),FALSE)</f>
        <v>Serveis i tràmits</v>
      </c>
      <c r="E119" t="e">
        <f>VLOOKUP(Avaluacio[[#This Row],[Codi ítem]],Metodologia[[Codi ítem]:[Fase]],COLUMN(Metodologia[[#Headers],[Subfamília]]),FALSE)</f>
        <v>#REF!</v>
      </c>
      <c r="F119" s="6" t="str">
        <f>VLOOKUP(Avaluacio[[#This Row],[Codi ítem]],Metodologia[[Codi ítem]:[Fase]],COLUMN(Metodologia[[#Headers],[Fase]]),FALSE)</f>
        <v>Fase 5</v>
      </c>
      <c r="G119" s="54" t="s">
        <v>620</v>
      </c>
      <c r="H119" s="54" t="s">
        <v>620</v>
      </c>
      <c r="I119" s="55"/>
      <c r="J11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https://municat.gencat.cat/ca/Temes/Transparencia/Items-de-transparencia/5.3.1.Incidencies-serveis</v>
      </c>
      <c r="M11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1.0014407035270609</v>
      </c>
      <c r="N119" s="8" t="str">
        <f>Avaluacio[[#This Row],[Codi ítem]]</f>
        <v>XGO118</v>
      </c>
    </row>
    <row r="120" spans="1:14" ht="55.2" x14ac:dyDescent="0.25">
      <c r="A120" s="6" t="s">
        <v>1036</v>
      </c>
      <c r="B12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0" s="1" t="str">
        <f>VLOOKUP(Avaluacio[[#This Row],[Codi ítem]],Metodologia[[Codi ítem]:[Ítem]],COLUMN(Metodologia[[#Headers],[Ítem]]),FALSE)</f>
        <v>Incidències de trànsit</v>
      </c>
      <c r="D120" t="str">
        <f>VLOOKUP(Avaluacio[[#This Row],[Codi ítem]],Metodologia[[Codi ítem]:[Família]],COLUMN(Metodologia[[#Headers],[Família]]),FALSE)</f>
        <v>Serveis i tràmits</v>
      </c>
      <c r="E120" t="e">
        <f>VLOOKUP(Avaluacio[[#This Row],[Codi ítem]],Metodologia[[Codi ítem]:[Fase]],COLUMN(Metodologia[[#Headers],[Subfamília]]),FALSE)</f>
        <v>#REF!</v>
      </c>
      <c r="F120" s="6" t="str">
        <f>VLOOKUP(Avaluacio[[#This Row],[Codi ítem]],Metodologia[[Codi ítem]:[Fase]],COLUMN(Metodologia[[#Headers],[Fase]]),FALSE)</f>
        <v>Fase 5</v>
      </c>
      <c r="G120" s="54" t="s">
        <v>620</v>
      </c>
      <c r="H120" s="54" t="s">
        <v>620</v>
      </c>
      <c r="I120" s="55" t="s">
        <v>1248</v>
      </c>
      <c r="J12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https://municat.gencat.cat/ca/Temes/Transparencia/Items-de-transparencia/5.3.2.Incidencies-transit</v>
      </c>
      <c r="M12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1.0017945171263218</v>
      </c>
      <c r="N120" s="8" t="str">
        <f>Avaluacio[[#This Row],[Codi ítem]]</f>
        <v>XGO119</v>
      </c>
    </row>
    <row r="121" spans="1:14" ht="55.2" x14ac:dyDescent="0.25">
      <c r="A121" s="6" t="s">
        <v>1037</v>
      </c>
      <c r="B12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1" s="1" t="str">
        <f>VLOOKUP(Avaluacio[[#This Row],[Codi ítem]],Metodologia[[Codi ítem]:[Ítem]],COLUMN(Metodologia[[#Headers],[Ítem]]),FALSE)</f>
        <v>Informació de la contaminació de l'aire</v>
      </c>
      <c r="D121" t="str">
        <f>VLOOKUP(Avaluacio[[#This Row],[Codi ítem]],Metodologia[[Codi ítem]:[Família]],COLUMN(Metodologia[[#Headers],[Família]]),FALSE)</f>
        <v>Serveis i tràmits</v>
      </c>
      <c r="E121" t="e">
        <f>VLOOKUP(Avaluacio[[#This Row],[Codi ítem]],Metodologia[[Codi ítem]:[Fase]],COLUMN(Metodologia[[#Headers],[Subfamília]]),FALSE)</f>
        <v>#REF!</v>
      </c>
      <c r="F121" s="6" t="str">
        <f>VLOOKUP(Avaluacio[[#This Row],[Codi ítem]],Metodologia[[Codi ítem]:[Fase]],COLUMN(Metodologia[[#Headers],[Fase]]),FALSE)</f>
        <v>Fase 5</v>
      </c>
      <c r="G121" s="54" t="s">
        <v>620</v>
      </c>
      <c r="H121" s="54" t="s">
        <v>620</v>
      </c>
      <c r="I121" s="55" t="s">
        <v>1249</v>
      </c>
      <c r="J12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https://municat.gencat.cat/ca/Temes/Transparencia/Items-de-transparencia/5.3.3.Informacio-contaminacio-aire</v>
      </c>
      <c r="M12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1.000617494863046</v>
      </c>
      <c r="N121" s="8" t="str">
        <f>Avaluacio[[#This Row],[Codi ítem]]</f>
        <v>XGO120</v>
      </c>
    </row>
    <row r="122" spans="1:14" ht="55.2" x14ac:dyDescent="0.25">
      <c r="A122" s="6" t="s">
        <v>1038</v>
      </c>
      <c r="B12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2" s="1" t="str">
        <f>VLOOKUP(Avaluacio[[#This Row],[Codi ítem]],Metodologia[[Codi ítem]:[Ítem]],COLUMN(Metodologia[[#Headers],[Ítem]]),FALSE)</f>
        <v>Informació de la contaminació acústica</v>
      </c>
      <c r="D122" t="str">
        <f>VLOOKUP(Avaluacio[[#This Row],[Codi ítem]],Metodologia[[Codi ítem]:[Família]],COLUMN(Metodologia[[#Headers],[Família]]),FALSE)</f>
        <v>Serveis i tràmits</v>
      </c>
      <c r="E122" t="e">
        <f>VLOOKUP(Avaluacio[[#This Row],[Codi ítem]],Metodologia[[Codi ítem]:[Fase]],COLUMN(Metodologia[[#Headers],[Subfamília]]),FALSE)</f>
        <v>#REF!</v>
      </c>
      <c r="F122" s="6" t="str">
        <f>VLOOKUP(Avaluacio[[#This Row],[Codi ítem]],Metodologia[[Codi ítem]:[Fase]],COLUMN(Metodologia[[#Headers],[Fase]]),FALSE)</f>
        <v>Fase 5</v>
      </c>
      <c r="G122" s="54" t="s">
        <v>620</v>
      </c>
      <c r="H122" s="54" t="s">
        <v>620</v>
      </c>
      <c r="I122" s="55"/>
      <c r="J12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https://municat.gencat.cat/ca/Temes/Transparencia/Items-de-transparencia/5.3.4.Informacio-contaminacio-acustica</v>
      </c>
      <c r="M12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1.0009320743868644</v>
      </c>
      <c r="N122" s="8" t="str">
        <f>Avaluacio[[#This Row],[Codi ítem]]</f>
        <v>XGO121</v>
      </c>
    </row>
    <row r="123" spans="1:14" ht="55.2" x14ac:dyDescent="0.25">
      <c r="A123" s="6" t="s">
        <v>1039</v>
      </c>
      <c r="B12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3" s="1" t="str">
        <f>VLOOKUP(Avaluacio[[#This Row],[Codi ítem]],Metodologia[[Codi ítem]:[Ítem]],COLUMN(Metodologia[[#Headers],[Ítem]]),FALSE)</f>
        <v>Avaluacions de les polítiques públiques</v>
      </c>
      <c r="D123" t="str">
        <f>VLOOKUP(Avaluacio[[#This Row],[Codi ítem]],Metodologia[[Codi ítem]:[Família]],COLUMN(Metodologia[[#Headers],[Família]]),FALSE)</f>
        <v>Serveis i tràmits</v>
      </c>
      <c r="E123" t="e">
        <f>VLOOKUP(Avaluacio[[#This Row],[Codi ítem]],Metodologia[[Codi ítem]:[Fase]],COLUMN(Metodologia[[#Headers],[Subfamília]]),FALSE)</f>
        <v>#REF!</v>
      </c>
      <c r="F123" s="6" t="str">
        <f>VLOOKUP(Avaluacio[[#This Row],[Codi ítem]],Metodologia[[Codi ítem]:[Fase]],COLUMN(Metodologia[[#Headers],[Fase]]),FALSE)</f>
        <v>Fase 2</v>
      </c>
      <c r="G123" s="54" t="s">
        <v>621</v>
      </c>
      <c r="H123" s="54" t="s">
        <v>621</v>
      </c>
      <c r="I123" s="55" t="s">
        <v>1261</v>
      </c>
      <c r="J12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2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2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https://municat.gencat.cat/ca/Temes/Transparencia/Items-de-transparencia/5.3.5.Avaluacions-politiques-publiques</v>
      </c>
      <c r="M12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-2.863027126887477E-4</v>
      </c>
      <c r="N123" s="8" t="str">
        <f>Avaluacio[[#This Row],[Codi ítem]]</f>
        <v>XGO122</v>
      </c>
    </row>
    <row r="124" spans="1:14" ht="55.2" x14ac:dyDescent="0.25">
      <c r="A124" s="6" t="s">
        <v>1040</v>
      </c>
      <c r="B12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4" s="1" t="str">
        <f>VLOOKUP(Avaluacio[[#This Row],[Codi ítem]],Metodologia[[Codi ítem]:[Ítem]],COLUMN(Metodologia[[#Headers],[Ítem]]),FALSE)</f>
        <v>Avaluacions de qualitat dels serveis públics</v>
      </c>
      <c r="D124" t="str">
        <f>VLOOKUP(Avaluacio[[#This Row],[Codi ítem]],Metodologia[[Codi ítem]:[Família]],COLUMN(Metodologia[[#Headers],[Família]]),FALSE)</f>
        <v>Serveis i tràmits</v>
      </c>
      <c r="E124" t="e">
        <f>VLOOKUP(Avaluacio[[#This Row],[Codi ítem]],Metodologia[[Codi ítem]:[Fase]],COLUMN(Metodologia[[#Headers],[Subfamília]]),FALSE)</f>
        <v>#REF!</v>
      </c>
      <c r="F124" s="6" t="str">
        <f>VLOOKUP(Avaluacio[[#This Row],[Codi ítem]],Metodologia[[Codi ítem]:[Fase]],COLUMN(Metodologia[[#Headers],[Fase]]),FALSE)</f>
        <v>Fase 2</v>
      </c>
      <c r="G124" s="54" t="s">
        <v>620</v>
      </c>
      <c r="H124" s="54" t="s">
        <v>621</v>
      </c>
      <c r="I124" s="55" t="s">
        <v>1255</v>
      </c>
      <c r="J12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parcialment</v>
      </c>
      <c r="K12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0.5</v>
      </c>
      <c r="L12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https://municat.gencat.cat/ca/Temes/Transparencia/Items-de-transparencia/5.3.6.Avaluacions-qualitat-serveis-publics</v>
      </c>
      <c r="M12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0.49936094406846759</v>
      </c>
      <c r="N124" s="8" t="str">
        <f>Avaluacio[[#This Row],[Codi ítem]]</f>
        <v>XGO123</v>
      </c>
    </row>
    <row r="125" spans="1:14" ht="55.2" x14ac:dyDescent="0.25">
      <c r="A125" s="6" t="s">
        <v>1034</v>
      </c>
      <c r="B12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5" s="1" t="str">
        <f>VLOOKUP(Avaluacio[[#This Row],[Codi ítem]],Metodologia[[Codi ítem]:[Ítem]],COLUMN(Metodologia[[#Headers],[Ítem]]),FALSE)</f>
        <v>Indicadors de transparència</v>
      </c>
      <c r="D125" t="str">
        <f>VLOOKUP(Avaluacio[[#This Row],[Codi ítem]],Metodologia[[Codi ítem]:[Família]],COLUMN(Metodologia[[#Headers],[Família]]),FALSE)</f>
        <v>Serveis i tràmits</v>
      </c>
      <c r="E125" t="e">
        <f>VLOOKUP(Avaluacio[[#This Row],[Codi ítem]],Metodologia[[Codi ítem]:[Fase]],COLUMN(Metodologia[[#Headers],[Subfamília]]),FALSE)</f>
        <v>#REF!</v>
      </c>
      <c r="F125" s="6" t="str">
        <f>VLOOKUP(Avaluacio[[#This Row],[Codi ítem]],Metodologia[[Codi ítem]:[Fase]],COLUMN(Metodologia[[#Headers],[Fase]]),FALSE)</f>
        <v>Fase 4</v>
      </c>
      <c r="G125" s="54" t="s">
        <v>620</v>
      </c>
      <c r="H125" s="54" t="s">
        <v>620</v>
      </c>
      <c r="I125" s="55"/>
      <c r="J12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https://municat.gencat.cat/ca/Temes/Transparencia/Items-de-transparencia/5.3.7.Indicadors-transparencia</v>
      </c>
      <c r="M12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1.0003598224216261</v>
      </c>
      <c r="N125" s="8" t="str">
        <f>Avaluacio[[#This Row],[Codi ítem]]</f>
        <v>XGO124</v>
      </c>
    </row>
    <row r="126" spans="1:14" ht="55.2" x14ac:dyDescent="0.25">
      <c r="A126" s="6" t="s">
        <v>1041</v>
      </c>
      <c r="B12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6" s="1" t="str">
        <f>VLOOKUP(Avaluacio[[#This Row],[Codi ítem]],Metodologia[[Codi ítem]:[Ítem]],COLUMN(Metodologia[[#Headers],[Ítem]]),FALSE)</f>
        <v>Atenció ciutadana</v>
      </c>
      <c r="D126" t="str">
        <f>VLOOKUP(Avaluacio[[#This Row],[Codi ítem]],Metodologia[[Codi ítem]:[Família]],COLUMN(Metodologia[[#Headers],[Família]]),FALSE)</f>
        <v>Serveis i tràmits</v>
      </c>
      <c r="E126" t="e">
        <f>VLOOKUP(Avaluacio[[#This Row],[Codi ítem]],Metodologia[[Codi ítem]:[Fase]],COLUMN(Metodologia[[#Headers],[Subfamília]]),FALSE)</f>
        <v>#REF!</v>
      </c>
      <c r="F126" s="6" t="str">
        <f>VLOOKUP(Avaluacio[[#This Row],[Codi ítem]],Metodologia[[Codi ítem]:[Fase]],COLUMN(Metodologia[[#Headers],[Fase]]),FALSE)</f>
        <v>Fase 1</v>
      </c>
      <c r="G126" s="54" t="s">
        <v>620</v>
      </c>
      <c r="H126" s="54" t="s">
        <v>620</v>
      </c>
      <c r="I126" s="55"/>
      <c r="J12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https://municat.gencat.cat/ca/Temes/Transparencia/Items-de-transparencia/5.2.1.Atencio-ciutadana</v>
      </c>
      <c r="M12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1.0332075800705036</v>
      </c>
      <c r="N126" s="8" t="str">
        <f>Avaluacio[[#This Row],[Codi ítem]]</f>
        <v>XGO125</v>
      </c>
    </row>
    <row r="127" spans="1:14" ht="55.2" x14ac:dyDescent="0.25">
      <c r="A127" s="6" t="s">
        <v>1042</v>
      </c>
      <c r="B12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7" s="1" t="str">
        <f>VLOOKUP(Avaluacio[[#This Row],[Codi ítem]],Metodologia[[Codi ítem]:[Ítem]],COLUMN(Metodologia[[#Headers],[Ítem]]),FALSE)</f>
        <v>Calendari dies inhàbils</v>
      </c>
      <c r="D127" t="str">
        <f>VLOOKUP(Avaluacio[[#This Row],[Codi ítem]],Metodologia[[Codi ítem]:[Família]],COLUMN(Metodologia[[#Headers],[Família]]),FALSE)</f>
        <v>Serveis i tràmits</v>
      </c>
      <c r="E127" t="e">
        <f>VLOOKUP(Avaluacio[[#This Row],[Codi ítem]],Metodologia[[Codi ítem]:[Fase]],COLUMN(Metodologia[[#Headers],[Subfamília]]),FALSE)</f>
        <v>#REF!</v>
      </c>
      <c r="F127" s="6" t="str">
        <f>VLOOKUP(Avaluacio[[#This Row],[Codi ítem]],Metodologia[[Codi ítem]:[Fase]],COLUMN(Metodologia[[#Headers],[Fase]]),FALSE)</f>
        <v>Fase 5</v>
      </c>
      <c r="G127" s="54" t="s">
        <v>620</v>
      </c>
      <c r="H127" s="54" t="s">
        <v>620</v>
      </c>
      <c r="I127" s="55" t="s">
        <v>1237</v>
      </c>
      <c r="J12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https://municat.gencat.cat/ca/Temes/Transparencia/Items-de-transparencia/5.2.2.Calendari-dies-inhabils</v>
      </c>
      <c r="M12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1.0068991884555205</v>
      </c>
      <c r="N127" s="8" t="str">
        <f>Avaluacio[[#This Row],[Codi ítem]]</f>
        <v>XGO126</v>
      </c>
    </row>
    <row r="128" spans="1:14" ht="55.2" x14ac:dyDescent="0.25">
      <c r="A128" s="6" t="s">
        <v>1043</v>
      </c>
      <c r="B12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8" s="1" t="str">
        <f>VLOOKUP(Avaluacio[[#This Row],[Codi ítem]],Metodologia[[Codi ítem]:[Ítem]],COLUMN(Metodologia[[#Headers],[Ítem]]),FALSE)</f>
        <v>Catàleg i cartes de serveis</v>
      </c>
      <c r="D128" t="str">
        <f>VLOOKUP(Avaluacio[[#This Row],[Codi ítem]],Metodologia[[Codi ítem]:[Família]],COLUMN(Metodologia[[#Headers],[Família]]),FALSE)</f>
        <v>Serveis i tràmits</v>
      </c>
      <c r="E128" t="e">
        <f>VLOOKUP(Avaluacio[[#This Row],[Codi ítem]],Metodologia[[Codi ítem]:[Fase]],COLUMN(Metodologia[[#Headers],[Subfamília]]),FALSE)</f>
        <v>#REF!</v>
      </c>
      <c r="F128" s="6" t="str">
        <f>VLOOKUP(Avaluacio[[#This Row],[Codi ítem]],Metodologia[[Codi ítem]:[Fase]],COLUMN(Metodologia[[#Headers],[Fase]]),FALSE)</f>
        <v>Fase 1</v>
      </c>
      <c r="G128" s="54" t="s">
        <v>620</v>
      </c>
      <c r="H128" s="54" t="s">
        <v>620</v>
      </c>
      <c r="I128" s="55"/>
      <c r="J12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https://municat.gencat.cat/ca/Temes/Transparencia/Items-de-transparencia/5.2.3.Cataleg-cartes-serveis</v>
      </c>
      <c r="M12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1.0061367749354346</v>
      </c>
      <c r="N128" s="8" t="str">
        <f>Avaluacio[[#This Row],[Codi ítem]]</f>
        <v>XGO127</v>
      </c>
    </row>
    <row r="129" spans="1:14" ht="55.2" x14ac:dyDescent="0.25">
      <c r="A129" s="6" t="s">
        <v>1044</v>
      </c>
      <c r="B12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9" s="1" t="str">
        <f>VLOOKUP(Avaluacio[[#This Row],[Codi ítem]],Metodologia[[Codi ítem]:[Ítem]],COLUMN(Metodologia[[#Headers],[Ítem]]),FALSE)</f>
        <v>Equipaments municipals</v>
      </c>
      <c r="D129" t="str">
        <f>VLOOKUP(Avaluacio[[#This Row],[Codi ítem]],Metodologia[[Codi ítem]:[Família]],COLUMN(Metodologia[[#Headers],[Família]]),FALSE)</f>
        <v>Serveis i tràmits</v>
      </c>
      <c r="E129" t="e">
        <f>VLOOKUP(Avaluacio[[#This Row],[Codi ítem]],Metodologia[[Codi ítem]:[Fase]],COLUMN(Metodologia[[#Headers],[Subfamília]]),FALSE)</f>
        <v>#REF!</v>
      </c>
      <c r="F129" s="6" t="str">
        <f>VLOOKUP(Avaluacio[[#This Row],[Codi ítem]],Metodologia[[Codi ítem]:[Fase]],COLUMN(Metodologia[[#Headers],[Fase]]),FALSE)</f>
        <v>Fase 5</v>
      </c>
      <c r="G129" s="54" t="s">
        <v>621</v>
      </c>
      <c r="H129" s="54" t="s">
        <v>621</v>
      </c>
      <c r="I129" s="55"/>
      <c r="J12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2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2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https://municat.gencat.cat/ca/Temes/Transparencia/Items-de-transparencia/5.2.4.Equipaments-municipals</v>
      </c>
      <c r="M12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-2.885648575791279E-3</v>
      </c>
      <c r="N129" s="8" t="str">
        <f>Avaluacio[[#This Row],[Codi ítem]]</f>
        <v>XGO128</v>
      </c>
    </row>
    <row r="130" spans="1:14" ht="55.2" x14ac:dyDescent="0.25">
      <c r="A130" s="6" t="s">
        <v>1045</v>
      </c>
      <c r="B13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0" s="1" t="str">
        <f>VLOOKUP(Avaluacio[[#This Row],[Codi ítem]],Metodologia[[Codi ítem]:[Ítem]],COLUMN(Metodologia[[#Headers],[Ítem]]),FALSE)</f>
        <v>Instància genèrica</v>
      </c>
      <c r="D130" t="str">
        <f>VLOOKUP(Avaluacio[[#This Row],[Codi ítem]],Metodologia[[Codi ítem]:[Família]],COLUMN(Metodologia[[#Headers],[Família]]),FALSE)</f>
        <v>Serveis i tràmits</v>
      </c>
      <c r="E130" t="e">
        <f>VLOOKUP(Avaluacio[[#This Row],[Codi ítem]],Metodologia[[Codi ítem]:[Fase]],COLUMN(Metodologia[[#Headers],[Subfamília]]),FALSE)</f>
        <v>#REF!</v>
      </c>
      <c r="F130" s="6" t="str">
        <f>VLOOKUP(Avaluacio[[#This Row],[Codi ítem]],Metodologia[[Codi ítem]:[Fase]],COLUMN(Metodologia[[#Headers],[Fase]]),FALSE)</f>
        <v>Fase 5</v>
      </c>
      <c r="G130" s="54" t="s">
        <v>620</v>
      </c>
      <c r="H130" s="54" t="s">
        <v>620</v>
      </c>
      <c r="I130" s="55" t="s">
        <v>1250</v>
      </c>
      <c r="J13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https://municat.gencat.cat/ca/Temes/Transparencia/Items-de-transparencia/5.1.1.Instancia-generica</v>
      </c>
      <c r="M13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1.1499999999999999</v>
      </c>
      <c r="N130" s="8" t="str">
        <f>Avaluacio[[#This Row],[Codi ítem]]</f>
        <v>XGO129</v>
      </c>
    </row>
    <row r="131" spans="1:14" ht="41.4" x14ac:dyDescent="0.25">
      <c r="A131" s="6" t="s">
        <v>1046</v>
      </c>
      <c r="B13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1" s="1" t="str">
        <f>VLOOKUP(Avaluacio[[#This Row],[Codi ítem]],Metodologia[[Codi ítem]:[Ítem]],COLUMN(Metodologia[[#Headers],[Ítem]]),FALSE)</f>
        <v>Gestió tributària</v>
      </c>
      <c r="D131" t="str">
        <f>VLOOKUP(Avaluacio[[#This Row],[Codi ítem]],Metodologia[[Codi ítem]:[Família]],COLUMN(Metodologia[[#Headers],[Família]]),FALSE)</f>
        <v>Serveis i tràmits</v>
      </c>
      <c r="E131" t="e">
        <f>VLOOKUP(Avaluacio[[#This Row],[Codi ítem]],Metodologia[[Codi ítem]:[Fase]],COLUMN(Metodologia[[#Headers],[Subfamília]]),FALSE)</f>
        <v>#REF!</v>
      </c>
      <c r="F131" s="6" t="str">
        <f>VLOOKUP(Avaluacio[[#This Row],[Codi ítem]],Metodologia[[Codi ítem]:[Fase]],COLUMN(Metodologia[[#Headers],[Fase]]),FALSE)</f>
        <v>Fase 5</v>
      </c>
      <c r="G131" s="54" t="s">
        <v>620</v>
      </c>
      <c r="H131" s="54" t="s">
        <v>620</v>
      </c>
      <c r="I131" s="55"/>
      <c r="J13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https://municat.gencat.cat/ca/Temes/Transparencia/Items-de-transparencia/5.1.2.Gestio-tributaria</v>
      </c>
      <c r="M13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1.0351084886987012</v>
      </c>
      <c r="N131" s="8" t="str">
        <f>Avaluacio[[#This Row],[Codi ítem]]</f>
        <v>XGO130</v>
      </c>
    </row>
    <row r="132" spans="1:14" ht="55.2" x14ac:dyDescent="0.25">
      <c r="A132" s="6" t="s">
        <v>1047</v>
      </c>
      <c r="B13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2" s="1" t="str">
        <f>VLOOKUP(Avaluacio[[#This Row],[Codi ítem]],Metodologia[[Codi ítem]:[Ítem]],COLUMN(Metodologia[[#Headers],[Ítem]]),FALSE)</f>
        <v>Notificacions electròniques</v>
      </c>
      <c r="D132" t="str">
        <f>VLOOKUP(Avaluacio[[#This Row],[Codi ítem]],Metodologia[[Codi ítem]:[Família]],COLUMN(Metodologia[[#Headers],[Família]]),FALSE)</f>
        <v>Serveis i tràmits</v>
      </c>
      <c r="E132" t="e">
        <f>VLOOKUP(Avaluacio[[#This Row],[Codi ítem]],Metodologia[[Codi ítem]:[Fase]],COLUMN(Metodologia[[#Headers],[Subfamília]]),FALSE)</f>
        <v>#REF!</v>
      </c>
      <c r="F132" s="6" t="str">
        <f>VLOOKUP(Avaluacio[[#This Row],[Codi ítem]],Metodologia[[Codi ítem]:[Fase]],COLUMN(Metodologia[[#Headers],[Fase]]),FALSE)</f>
        <v>Fase 5</v>
      </c>
      <c r="G132" s="54" t="s">
        <v>620</v>
      </c>
      <c r="H132" s="54" t="s">
        <v>620</v>
      </c>
      <c r="I132" s="55"/>
      <c r="J13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https://municat.gencat.cat/ca/Temes/Transparencia/Items-de-transparencia/5.1.3.Notificacions-electroniques</v>
      </c>
      <c r="M13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1.026326064621939</v>
      </c>
      <c r="N132" s="8" t="str">
        <f>Avaluacio[[#This Row],[Codi ítem]]</f>
        <v>XGO131</v>
      </c>
    </row>
    <row r="133" spans="1:14" ht="55.2" x14ac:dyDescent="0.25">
      <c r="A133" s="6" t="s">
        <v>1048</v>
      </c>
      <c r="B13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3" s="1" t="str">
        <f>VLOOKUP(Avaluacio[[#This Row],[Codi ítem]],Metodologia[[Codi ítem]:[Ítem]],COLUMN(Metodologia[[#Headers],[Ítem]]),FALSE)</f>
        <v>Factures electròniques</v>
      </c>
      <c r="D133" t="str">
        <f>VLOOKUP(Avaluacio[[#This Row],[Codi ítem]],Metodologia[[Codi ítem]:[Família]],COLUMN(Metodologia[[#Headers],[Família]]),FALSE)</f>
        <v>Serveis i tràmits</v>
      </c>
      <c r="E133" t="e">
        <f>VLOOKUP(Avaluacio[[#This Row],[Codi ítem]],Metodologia[[Codi ítem]:[Fase]],COLUMN(Metodologia[[#Headers],[Subfamília]]),FALSE)</f>
        <v>#REF!</v>
      </c>
      <c r="F133" s="6" t="str">
        <f>VLOOKUP(Avaluacio[[#This Row],[Codi ítem]],Metodologia[[Codi ítem]:[Fase]],COLUMN(Metodologia[[#Headers],[Fase]]),FALSE)</f>
        <v>Fase 5</v>
      </c>
      <c r="G133" s="54" t="s">
        <v>620</v>
      </c>
      <c r="H133" s="54" t="s">
        <v>620</v>
      </c>
      <c r="I133" s="55"/>
      <c r="J13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https://municat.gencat.cat/ca/Temes/Transparencia/Items-de-transparencia/5.1.4.Factura-electronica</v>
      </c>
      <c r="M13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1.0121516061228721</v>
      </c>
      <c r="N133" s="8" t="str">
        <f>Avaluacio[[#This Row],[Codi ítem]]</f>
        <v>XGO132</v>
      </c>
    </row>
    <row r="134" spans="1:14" ht="55.2" x14ac:dyDescent="0.25">
      <c r="A134" s="6" t="s">
        <v>1049</v>
      </c>
      <c r="B13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4" s="1" t="str">
        <f>VLOOKUP(Avaluacio[[#This Row],[Codi ítem]],Metodologia[[Codi ítem]:[Ítem]],COLUMN(Metodologia[[#Headers],[Ítem]]),FALSE)</f>
        <v>Sol·licitud d'accés a la informació pública</v>
      </c>
      <c r="D134" t="str">
        <f>VLOOKUP(Avaluacio[[#This Row],[Codi ítem]],Metodologia[[Codi ítem]:[Família]],COLUMN(Metodologia[[#Headers],[Família]]),FALSE)</f>
        <v>Serveis i tràmits</v>
      </c>
      <c r="E134" t="e">
        <f>VLOOKUP(Avaluacio[[#This Row],[Codi ítem]],Metodologia[[Codi ítem]:[Fase]],COLUMN(Metodologia[[#Headers],[Subfamília]]),FALSE)</f>
        <v>#REF!</v>
      </c>
      <c r="F134" s="6" t="str">
        <f>VLOOKUP(Avaluacio[[#This Row],[Codi ítem]],Metodologia[[Codi ítem]:[Fase]],COLUMN(Metodologia[[#Headers],[Fase]]),FALSE)</f>
        <v>Fase 3</v>
      </c>
      <c r="G134" s="54" t="s">
        <v>620</v>
      </c>
      <c r="H134" s="54" t="s">
        <v>620</v>
      </c>
      <c r="I134" s="55"/>
      <c r="J13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https://municat.gencat.cat/ca/Temes/Transparencia/Items-de-transparencia/5.1.5.Solicitud-acces-informacio-publica</v>
      </c>
      <c r="M13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1.0050088836314965</v>
      </c>
      <c r="N134" s="8" t="str">
        <f>Avaluacio[[#This Row],[Codi ítem]]</f>
        <v>XGO133</v>
      </c>
    </row>
    <row r="135" spans="1:14" ht="55.2" x14ac:dyDescent="0.25">
      <c r="A135" s="6" t="s">
        <v>1050</v>
      </c>
      <c r="B13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5" s="1" t="str">
        <f>VLOOKUP(Avaluacio[[#This Row],[Codi ítem]],Metodologia[[Codi ítem]:[Ítem]],COLUMN(Metodologia[[#Headers],[Ítem]]),FALSE)</f>
        <v>Suggeriments, queixes i propostes</v>
      </c>
      <c r="D135" t="str">
        <f>VLOOKUP(Avaluacio[[#This Row],[Codi ítem]],Metodologia[[Codi ítem]:[Família]],COLUMN(Metodologia[[#Headers],[Família]]),FALSE)</f>
        <v>Serveis i tràmits</v>
      </c>
      <c r="E135" t="e">
        <f>VLOOKUP(Avaluacio[[#This Row],[Codi ítem]],Metodologia[[Codi ítem]:[Fase]],COLUMN(Metodologia[[#Headers],[Subfamília]]),FALSE)</f>
        <v>#REF!</v>
      </c>
      <c r="F135" s="6" t="str">
        <f>VLOOKUP(Avaluacio[[#This Row],[Codi ítem]],Metodologia[[Codi ítem]:[Fase]],COLUMN(Metodologia[[#Headers],[Fase]]),FALSE)</f>
        <v>Fase 3</v>
      </c>
      <c r="G135" s="54" t="s">
        <v>620</v>
      </c>
      <c r="H135" s="54" t="s">
        <v>620</v>
      </c>
      <c r="I135" s="55" t="s">
        <v>1246</v>
      </c>
      <c r="J13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https://municat.gencat.cat/ca/Temes/Transparencia/Items-de-transparencia/5.1.6.Proposta-actuacio-millora-suggeriments</v>
      </c>
      <c r="M13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1.0094865166738929</v>
      </c>
      <c r="N135" s="8" t="str">
        <f>Avaluacio[[#This Row],[Codi ítem]]</f>
        <v>XGO134</v>
      </c>
    </row>
    <row r="136" spans="1:14" ht="55.2" x14ac:dyDescent="0.25">
      <c r="A136" s="6" t="s">
        <v>1051</v>
      </c>
      <c r="B13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6" s="1" t="str">
        <f>VLOOKUP(Avaluacio[[#This Row],[Codi ítem]],Metodologia[[Codi ítem]:[Ítem]],COLUMN(Metodologia[[#Headers],[Ítem]]),FALSE)</f>
        <v xml:space="preserve">El meu espai personal </v>
      </c>
      <c r="D136" t="str">
        <f>VLOOKUP(Avaluacio[[#This Row],[Codi ítem]],Metodologia[[Codi ítem]:[Família]],COLUMN(Metodologia[[#Headers],[Família]]),FALSE)</f>
        <v>Serveis i tràmits</v>
      </c>
      <c r="E136" t="e">
        <f>VLOOKUP(Avaluacio[[#This Row],[Codi ítem]],Metodologia[[Codi ítem]:[Fase]],COLUMN(Metodologia[[#Headers],[Subfamília]]),FALSE)</f>
        <v>#REF!</v>
      </c>
      <c r="F136" s="6" t="str">
        <f>VLOOKUP(Avaluacio[[#This Row],[Codi ítem]],Metodologia[[Codi ítem]:[Fase]],COLUMN(Metodologia[[#Headers],[Fase]]),FALSE)</f>
        <v>Fase 5</v>
      </c>
      <c r="G136" s="54" t="s">
        <v>620</v>
      </c>
      <c r="H136" s="54" t="s">
        <v>620</v>
      </c>
      <c r="I136" s="55" t="s">
        <v>1250</v>
      </c>
      <c r="J13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https://municat.gencat.cat/ca/Temes/Transparencia/Items-de-transparencia/5.1.7.El-meu-espai-personal</v>
      </c>
      <c r="M13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1.0172552170716533</v>
      </c>
      <c r="N136" s="8" t="str">
        <f>Avaluacio[[#This Row],[Codi ítem]]</f>
        <v>XGO135</v>
      </c>
    </row>
    <row r="137" spans="1:14" ht="55.2" x14ac:dyDescent="0.25">
      <c r="A137" s="6" t="s">
        <v>1052</v>
      </c>
      <c r="B13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7" s="1" t="str">
        <f>VLOOKUP(Avaluacio[[#This Row],[Codi ítem]],Metodologia[[Codi ítem]:[Ítem]],COLUMN(Metodologia[[#Headers],[Ítem]]),FALSE)</f>
        <v>Catàleg de tràmits i procediments</v>
      </c>
      <c r="D137" t="str">
        <f>VLOOKUP(Avaluacio[[#This Row],[Codi ítem]],Metodologia[[Codi ítem]:[Família]],COLUMN(Metodologia[[#Headers],[Família]]),FALSE)</f>
        <v>Serveis i tràmits</v>
      </c>
      <c r="E137" t="e">
        <f>VLOOKUP(Avaluacio[[#This Row],[Codi ítem]],Metodologia[[Codi ítem]:[Fase]],COLUMN(Metodologia[[#Headers],[Subfamília]]),FALSE)</f>
        <v>#REF!</v>
      </c>
      <c r="F137" s="6" t="str">
        <f>VLOOKUP(Avaluacio[[#This Row],[Codi ítem]],Metodologia[[Codi ítem]:[Fase]],COLUMN(Metodologia[[#Headers],[Fase]]),FALSE)</f>
        <v>Fase 1</v>
      </c>
      <c r="G137" s="54" t="s">
        <v>620</v>
      </c>
      <c r="H137" s="54" t="s">
        <v>620</v>
      </c>
      <c r="I137" s="55"/>
      <c r="J13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https://municat.gencat.cat/ca/Temes/Transparencia/Items-de-transparencia/5.1.8.Cataleg-tramits-procediments</v>
      </c>
      <c r="M13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1.0301169246140216</v>
      </c>
      <c r="N137" s="8" t="str">
        <f>Avaluacio[[#This Row],[Codi ítem]]</f>
        <v>XGO136</v>
      </c>
    </row>
    <row r="138" spans="1:14" ht="55.2" x14ac:dyDescent="0.25">
      <c r="A138" s="6" t="s">
        <v>1053</v>
      </c>
      <c r="B13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8" s="1" t="str">
        <f>VLOOKUP(Avaluacio[[#This Row],[Codi ítem]],Metodologia[[Codi ítem]:[Ítem]],COLUMN(Metodologia[[#Headers],[Ítem]]),FALSE)</f>
        <v>Catàleg de dades i documents interoperables</v>
      </c>
      <c r="D138" t="str">
        <f>VLOOKUP(Avaluacio[[#This Row],[Codi ítem]],Metodologia[[Codi ítem]:[Família]],COLUMN(Metodologia[[#Headers],[Família]]),FALSE)</f>
        <v>Serveis i tràmits</v>
      </c>
      <c r="E138" t="e">
        <f>VLOOKUP(Avaluacio[[#This Row],[Codi ítem]],Metodologia[[Codi ítem]:[Fase]],COLUMN(Metodologia[[#Headers],[Subfamília]]),FALSE)</f>
        <v>#REF!</v>
      </c>
      <c r="F138" s="6" t="str">
        <f>VLOOKUP(Avaluacio[[#This Row],[Codi ítem]],Metodologia[[Codi ítem]:[Fase]],COLUMN(Metodologia[[#Headers],[Fase]]),FALSE)</f>
        <v>Fase 5</v>
      </c>
      <c r="G138" s="54" t="s">
        <v>620</v>
      </c>
      <c r="H138" s="54" t="s">
        <v>620</v>
      </c>
      <c r="I138" s="55"/>
      <c r="J13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https://municat.gencat.cat/ca/Temes/Transparencia/Items-de-transparencia/5.1.9.Cataleg-dades-documents-interoperables</v>
      </c>
      <c r="M13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1.0004513685976586</v>
      </c>
      <c r="N138" s="8" t="str">
        <f>Avaluacio[[#This Row],[Codi ítem]]</f>
        <v>XGO137</v>
      </c>
    </row>
    <row r="139" spans="1:14" ht="55.2" x14ac:dyDescent="0.25">
      <c r="A139" s="6" t="s">
        <v>1055</v>
      </c>
      <c r="B13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9" s="1" t="str">
        <f>VLOOKUP(Avaluacio[[#This Row],[Codi ítem]],Metodologia[[Codi ítem]:[Ítem]],COLUMN(Metodologia[[#Headers],[Ítem]]),FALSE)</f>
        <v>Gestor de representacions</v>
      </c>
      <c r="D139" t="str">
        <f>VLOOKUP(Avaluacio[[#This Row],[Codi ítem]],Metodologia[[Codi ítem]:[Família]],COLUMN(Metodologia[[#Headers],[Família]]),FALSE)</f>
        <v>Serveis i tràmits</v>
      </c>
      <c r="E139" t="e">
        <f>VLOOKUP(Avaluacio[[#This Row],[Codi ítem]],Metodologia[[Codi ítem]:[Fase]],COLUMN(Metodologia[[#Headers],[Subfamília]]),FALSE)</f>
        <v>#REF!</v>
      </c>
      <c r="F139" s="6" t="str">
        <f>VLOOKUP(Avaluacio[[#This Row],[Codi ítem]],Metodologia[[Codi ítem]:[Fase]],COLUMN(Metodologia[[#Headers],[Fase]]),FALSE)</f>
        <v>Fase 5</v>
      </c>
      <c r="G139" s="54" t="s">
        <v>620</v>
      </c>
      <c r="H139" s="54" t="s">
        <v>620</v>
      </c>
      <c r="I139" s="55"/>
      <c r="J13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https://municat.gencat.cat/ca/Temes/Transparencia/Items-de-transparencia/5.1.10.Gestor-de-representacions</v>
      </c>
      <c r="M13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1.0002771127490715</v>
      </c>
      <c r="N139" s="8" t="str">
        <f>Avaluacio[[#This Row],[Codi ítem]]</f>
        <v>XGO138</v>
      </c>
    </row>
    <row r="140" spans="1:14" ht="82.8" x14ac:dyDescent="0.25">
      <c r="A140" s="6" t="s">
        <v>1054</v>
      </c>
      <c r="B14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0" s="1" t="str">
        <f>VLOOKUP(Avaluacio[[#This Row],[Codi ítem]],Metodologia[[Codi ítem]:[Ítem]],COLUMN(Metodologia[[#Headers],[Ítem]]),FALSE)</f>
        <v>Finestra única empresarial (FUE)</v>
      </c>
      <c r="D140" t="str">
        <f>VLOOKUP(Avaluacio[[#This Row],[Codi ítem]],Metodologia[[Codi ítem]:[Família]],COLUMN(Metodologia[[#Headers],[Família]]),FALSE)</f>
        <v>Serveis i tràmits</v>
      </c>
      <c r="E140" t="e">
        <f>VLOOKUP(Avaluacio[[#This Row],[Codi ítem]],Metodologia[[Codi ítem]:[Fase]],COLUMN(Metodologia[[#Headers],[Subfamília]]),FALSE)</f>
        <v>#REF!</v>
      </c>
      <c r="F140" s="6" t="str">
        <f>VLOOKUP(Avaluacio[[#This Row],[Codi ítem]],Metodologia[[Codi ítem]:[Fase]],COLUMN(Metodologia[[#Headers],[Fase]]),FALSE)</f>
        <v>Fase 5</v>
      </c>
      <c r="G140" s="54" t="s">
        <v>620</v>
      </c>
      <c r="H140" s="54" t="s">
        <v>620</v>
      </c>
      <c r="I140" s="55"/>
      <c r="J14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0" s="48" t="str">
        <f>HYPERLINK(VLOOKUP(Avaluacio[[#This Row],[Codi ítem]],Metodologia[[#Headers],[#Data],[Codi ítem]:[Enllaç Municat]],COLUMN(Metodologia[[#Headers],[Enllaç Municat]]),FALSE),VLOOKUP(Avaluacio[[#This Row],[Codi ítem]],Metodologia[[#Headers],[#Data],[Codi ítem]:[Enllaç Municat]],COLUMN(Metodologia[[#Headers],[Enllaç Municat]]),FALSE))</f>
        <v>https://suport-governobert.aoc.cat/hc/ca/articles/13276646197405-Qu%C3%A8-ha-d-incloure-l-%C3%ADtem-de-Finestreta-%C3%9Anica-Empresarial-</v>
      </c>
      <c r="M14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1.0005718985050993</v>
      </c>
      <c r="N140" s="8" t="str">
        <f>Avaluacio[[#This Row],[Codi ítem]]</f>
        <v>XGO139</v>
      </c>
    </row>
    <row r="141" spans="1:14" ht="69" x14ac:dyDescent="0.25">
      <c r="A141" s="6" t="s">
        <v>1103</v>
      </c>
      <c r="B14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1" s="1" t="str">
        <f>VLOOKUP(Avaluacio[[#This Row],[Codi ítem]],Metodologia[[Codi ítem]:[Ítem]],COLUMN(Metodologia[[#Headers],[Ítem]]),FALSE)</f>
        <v>Verificació de documents mitjançant Codi Segur de Verificació (CSV)</v>
      </c>
      <c r="D141" t="str">
        <f>VLOOKUP(Avaluacio[[#This Row],[Codi ítem]],Metodologia[[Codi ítem]:[Família]],COLUMN(Metodologia[[#Headers],[Família]]),FALSE)</f>
        <v>Serveis i tràmits</v>
      </c>
      <c r="E141" t="e">
        <f>VLOOKUP(Avaluacio[[#This Row],[Codi ítem]],Metodologia[[Codi ítem]:[Fase]],COLUMN(Metodologia[[#Headers],[Subfamília]]),FALSE)</f>
        <v>#REF!</v>
      </c>
      <c r="F141" s="6" t="str">
        <f>VLOOKUP(Avaluacio[[#This Row],[Codi ítem]],Metodologia[[Codi ítem]:[Fase]],COLUMN(Metodologia[[#Headers],[Fase]]),FALSE)</f>
        <v>Fase 5</v>
      </c>
      <c r="G141" s="54" t="s">
        <v>620</v>
      </c>
      <c r="H141" s="54" t="s">
        <v>620</v>
      </c>
      <c r="I141" s="55"/>
      <c r="J14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1" s="48">
        <f>HYPERLINK(VLOOKUP(Avaluacio[[#This Row],[Codi ítem]],Metodologia[[#Headers],[#Data],[Codi ítem]:[Enllaç Municat]],COLUMN(Metodologia[[#Headers],[Enllaç Municat]]),FALSE),VLOOKUP(Avaluacio[[#This Row],[Codi ítem]],Metodologia[[#Headers],[#Data],[Codi ítem]:[Enllaç Municat]],COLUMN(Metodologia[[#Headers],[Enllaç Municat]]),FALSE))</f>
        <v>0</v>
      </c>
      <c r="M14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141" s="8" t="str">
        <f>Avaluacio[[#This Row],[Codi ítem]]</f>
        <v>XGO140</v>
      </c>
    </row>
    <row r="142" spans="1:14" ht="55.2" x14ac:dyDescent="0.25">
      <c r="A142" s="6" t="s">
        <v>1089</v>
      </c>
      <c r="B14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2" s="1" t="str">
        <f>VLOOKUP(Avaluacio[[#This Row],[Codi ítem]],Metodologia[[Codi ítem]:[Ítem]],COLUMN(Metodologia[[#Headers],[Ítem]]),FALSE)</f>
        <v>Espais de participació ciutadana</v>
      </c>
      <c r="D142" t="str">
        <f>VLOOKUP(Avaluacio[[#This Row],[Codi ítem]],Metodologia[[Codi ítem]:[Família]],COLUMN(Metodologia[[#Headers],[Família]]),FALSE)</f>
        <v>Participació</v>
      </c>
      <c r="E142" t="e">
        <f>VLOOKUP(Avaluacio[[#This Row],[Codi ítem]],Metodologia[[Codi ítem]:[Fase]],COLUMN(Metodologia[[#Headers],[Subfamília]]),FALSE)</f>
        <v>#REF!</v>
      </c>
      <c r="F142" s="6" t="str">
        <f>VLOOKUP(Avaluacio[[#This Row],[Codi ítem]],Metodologia[[Codi ítem]:[Fase]],COLUMN(Metodologia[[#Headers],[Fase]]),FALSE)</f>
        <v>Fase 2</v>
      </c>
      <c r="G142" s="54" t="s">
        <v>620</v>
      </c>
      <c r="H142" s="54" t="s">
        <v>620</v>
      </c>
      <c r="I142" s="55" t="s">
        <v>1237</v>
      </c>
      <c r="J14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https://municat.gencat.cat/ca/Temes/Transparencia/Items-de-transparencia/6.1.1.Espais-participacio-ciutadana</v>
      </c>
      <c r="M14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1.0020917771033235</v>
      </c>
      <c r="N142" s="8" t="str">
        <f>Avaluacio[[#This Row],[Codi ítem]]</f>
        <v>XGO141</v>
      </c>
    </row>
    <row r="143" spans="1:14" ht="41.4" x14ac:dyDescent="0.25">
      <c r="A143" s="6" t="s">
        <v>1090</v>
      </c>
      <c r="B14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3" s="1" t="str">
        <f>VLOOKUP(Avaluacio[[#This Row],[Codi ítem]],Metodologia[[Codi ítem]:[Ítem]],COLUMN(Metodologia[[#Headers],[Ítem]]),FALSE)</f>
        <v>Xarxes socials</v>
      </c>
      <c r="D143" t="str">
        <f>VLOOKUP(Avaluacio[[#This Row],[Codi ítem]],Metodologia[[Codi ítem]:[Família]],COLUMN(Metodologia[[#Headers],[Família]]),FALSE)</f>
        <v>Participació</v>
      </c>
      <c r="E143" t="e">
        <f>VLOOKUP(Avaluacio[[#This Row],[Codi ítem]],Metodologia[[Codi ítem]:[Fase]],COLUMN(Metodologia[[#Headers],[Subfamília]]),FALSE)</f>
        <v>#REF!</v>
      </c>
      <c r="F143" s="6" t="str">
        <f>VLOOKUP(Avaluacio[[#This Row],[Codi ítem]],Metodologia[[Codi ítem]:[Fase]],COLUMN(Metodologia[[#Headers],[Fase]]),FALSE)</f>
        <v>Fase 5</v>
      </c>
      <c r="G143" s="54" t="s">
        <v>620</v>
      </c>
      <c r="H143" s="54" t="s">
        <v>620</v>
      </c>
      <c r="I143" s="55" t="s">
        <v>1237</v>
      </c>
      <c r="J14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https://municat.gencat.cat/ca/Temes/Transparencia/Items-de-transparencia/6.1.2.Xarxes-socials</v>
      </c>
      <c r="M14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1.000551044356891</v>
      </c>
      <c r="N143" s="8" t="str">
        <f>Avaluacio[[#This Row],[Codi ítem]]</f>
        <v>XGO142</v>
      </c>
    </row>
    <row r="144" spans="1:14" ht="55.2" x14ac:dyDescent="0.25">
      <c r="A144" s="6" t="s">
        <v>1091</v>
      </c>
      <c r="B14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4" s="1" t="str">
        <f>VLOOKUP(Avaluacio[[#This Row],[Codi ítem]],Metodologia[[Codi ítem]:[Ítem]],COLUMN(Metodologia[[#Headers],[Ítem]]),FALSE)</f>
        <v>Processos participatius en tràmit</v>
      </c>
      <c r="D144" t="str">
        <f>VLOOKUP(Avaluacio[[#This Row],[Codi ítem]],Metodologia[[Codi ítem]:[Família]],COLUMN(Metodologia[[#Headers],[Família]]),FALSE)</f>
        <v>Participació</v>
      </c>
      <c r="E144" t="e">
        <f>VLOOKUP(Avaluacio[[#This Row],[Codi ítem]],Metodologia[[Codi ítem]:[Fase]],COLUMN(Metodologia[[#Headers],[Subfamília]]),FALSE)</f>
        <v>#REF!</v>
      </c>
      <c r="F144" s="6" t="str">
        <f>VLOOKUP(Avaluacio[[#This Row],[Codi ítem]],Metodologia[[Codi ítem]:[Fase]],COLUMN(Metodologia[[#Headers],[Fase]]),FALSE)</f>
        <v>Fase 4</v>
      </c>
      <c r="G144" s="54" t="s">
        <v>620</v>
      </c>
      <c r="H144" s="54" t="s">
        <v>620</v>
      </c>
      <c r="I144" s="55"/>
      <c r="J14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https://municat.gencat.cat/ca/Temes/Transparencia/Items-de-transparencia/6.1.3.Processos-participatius-en-tramit</v>
      </c>
      <c r="M14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1.0012834137651516</v>
      </c>
      <c r="N144" s="8" t="str">
        <f>Avaluacio[[#This Row],[Codi ítem]]</f>
        <v>XGO143</v>
      </c>
    </row>
    <row r="145" spans="1:14" ht="69" x14ac:dyDescent="0.25">
      <c r="A145" s="6" t="s">
        <v>1092</v>
      </c>
      <c r="B14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5" s="1" t="str">
        <f>VLOOKUP(Avaluacio[[#This Row],[Codi ítem]],Metodologia[[Codi ítem]:[Ítem]],COLUMN(Metodologia[[#Headers],[Ítem]]),FALSE)</f>
        <v>Consultes més freqüents rebudes pels ciutadans o organitzacions</v>
      </c>
      <c r="D145" t="str">
        <f>VLOOKUP(Avaluacio[[#This Row],[Codi ítem]],Metodologia[[Codi ítem]:[Família]],COLUMN(Metodologia[[#Headers],[Família]]),FALSE)</f>
        <v>Participació</v>
      </c>
      <c r="E145" t="e">
        <f>VLOOKUP(Avaluacio[[#This Row],[Codi ítem]],Metodologia[[Codi ítem]:[Fase]],COLUMN(Metodologia[[#Headers],[Subfamília]]),FALSE)</f>
        <v>#REF!</v>
      </c>
      <c r="F145" s="6" t="str">
        <f>VLOOKUP(Avaluacio[[#This Row],[Codi ítem]],Metodologia[[Codi ítem]:[Fase]],COLUMN(Metodologia[[#Headers],[Fase]]),FALSE)</f>
        <v>Fase 4</v>
      </c>
      <c r="G145" s="54" t="s">
        <v>620</v>
      </c>
      <c r="H145" s="54" t="s">
        <v>620</v>
      </c>
      <c r="I145" s="55"/>
      <c r="J14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https://municat.gencat.cat/ca/Temes/Transparencia/Items-de-transparencia/6.1.4.Consultes-mes-frequents-rebudes-pels-ciutadans-organitzacions</v>
      </c>
      <c r="M14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1.0001604709031613</v>
      </c>
      <c r="N145" s="8" t="str">
        <f>Avaluacio[[#This Row],[Codi ítem]]</f>
        <v>XGO144</v>
      </c>
    </row>
    <row r="146" spans="1:14" ht="55.2" x14ac:dyDescent="0.25">
      <c r="A146" s="6" t="s">
        <v>1093</v>
      </c>
      <c r="B14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6" s="1" t="str">
        <f>VLOOKUP(Avaluacio[[#This Row],[Codi ítem]],Metodologia[[Codi ítem]:[Ítem]],COLUMN(Metodologia[[#Headers],[Ítem]]),FALSE)</f>
        <v>Directori d'associacions i entitats</v>
      </c>
      <c r="D146" t="str">
        <f>VLOOKUP(Avaluacio[[#This Row],[Codi ítem]],Metodologia[[Codi ítem]:[Família]],COLUMN(Metodologia[[#Headers],[Família]]),FALSE)</f>
        <v>Participació</v>
      </c>
      <c r="E146" t="e">
        <f>VLOOKUP(Avaluacio[[#This Row],[Codi ítem]],Metodologia[[Codi ítem]:[Fase]],COLUMN(Metodologia[[#Headers],[Subfamília]]),FALSE)</f>
        <v>#REF!</v>
      </c>
      <c r="F146" s="6" t="str">
        <f>VLOOKUP(Avaluacio[[#This Row],[Codi ítem]],Metodologia[[Codi ítem]:[Fase]],COLUMN(Metodologia[[#Headers],[Fase]]),FALSE)</f>
        <v>Fase 5</v>
      </c>
      <c r="G146" s="54" t="s">
        <v>620</v>
      </c>
      <c r="H146" s="54" t="s">
        <v>620</v>
      </c>
      <c r="I146" s="55" t="s">
        <v>1237</v>
      </c>
      <c r="J14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https://municat.gencat.cat/ca/Temes/Transparencia/Items-de-transparencia/6.1.5.Directori-associacions-entitats</v>
      </c>
      <c r="M14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1.0043411974286953</v>
      </c>
      <c r="N146" s="8" t="str">
        <f>Avaluacio[[#This Row],[Codi ítem]]</f>
        <v>XGO145</v>
      </c>
    </row>
    <row r="147" spans="1:14" ht="69" x14ac:dyDescent="0.25">
      <c r="A147" s="6" t="s">
        <v>1095</v>
      </c>
      <c r="B14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7" s="1" t="str">
        <f>VLOOKUP(Avaluacio[[#This Row],[Codi ítem]],Metodologia[[Codi ítem]:[Ítem]],COLUMN(Metodologia[[#Headers],[Ítem]]),FALSE)</f>
        <v>Normativa, reglaments i directrius de participació ciutadana</v>
      </c>
      <c r="D147" t="str">
        <f>VLOOKUP(Avaluacio[[#This Row],[Codi ítem]],Metodologia[[Codi ítem]:[Família]],COLUMN(Metodologia[[#Headers],[Família]]),FALSE)</f>
        <v>Participació</v>
      </c>
      <c r="E147" t="e">
        <f>VLOOKUP(Avaluacio[[#This Row],[Codi ítem]],Metodologia[[Codi ítem]:[Fase]],COLUMN(Metodologia[[#Headers],[Subfamília]]),FALSE)</f>
        <v>#REF!</v>
      </c>
      <c r="F147" s="6" t="str">
        <f>VLOOKUP(Avaluacio[[#This Row],[Codi ítem]],Metodologia[[Codi ítem]:[Fase]],COLUMN(Metodologia[[#Headers],[Fase]]),FALSE)</f>
        <v>Fase 4</v>
      </c>
      <c r="G147" s="54" t="s">
        <v>620</v>
      </c>
      <c r="H147" s="54" t="s">
        <v>620</v>
      </c>
      <c r="I147" s="55" t="s">
        <v>1237</v>
      </c>
      <c r="J14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https://municat.gencat.cat/ca/Temes/Transparencia/Items-de-transparencia/6.1.7.Normativa-reglaments-directius-participacio-ciutadana</v>
      </c>
      <c r="M14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1.0069794239071013</v>
      </c>
      <c r="N147" s="8" t="str">
        <f>Avaluacio[[#This Row],[Codi ítem]]</f>
        <v>XGO146</v>
      </c>
    </row>
    <row r="148" spans="1:14" ht="55.2" x14ac:dyDescent="0.25">
      <c r="A148" s="6" t="s">
        <v>1096</v>
      </c>
      <c r="B14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8" s="1" t="str">
        <f>VLOOKUP(Avaluacio[[#This Row],[Codi ítem]],Metodologia[[Codi ítem]:[Ítem]],COLUMN(Metodologia[[#Headers],[Ítem]]),FALSE)</f>
        <v>Agenda i activitats de les associacions</v>
      </c>
      <c r="D148" t="str">
        <f>VLOOKUP(Avaluacio[[#This Row],[Codi ítem]],Metodologia[[Codi ítem]:[Família]],COLUMN(Metodologia[[#Headers],[Família]]),FALSE)</f>
        <v>Participació</v>
      </c>
      <c r="E148" t="e">
        <f>VLOOKUP(Avaluacio[[#This Row],[Codi ítem]],Metodologia[[Codi ítem]:[Fase]],COLUMN(Metodologia[[#Headers],[Subfamília]]),FALSE)</f>
        <v>#REF!</v>
      </c>
      <c r="F148" s="6" t="str">
        <f>VLOOKUP(Avaluacio[[#This Row],[Codi ítem]],Metodologia[[Codi ítem]:[Fase]],COLUMN(Metodologia[[#Headers],[Fase]]),FALSE)</f>
        <v>Fase 5</v>
      </c>
      <c r="G148" s="54" t="s">
        <v>620</v>
      </c>
      <c r="H148" s="54" t="s">
        <v>620</v>
      </c>
      <c r="I148" s="55" t="s">
        <v>1237</v>
      </c>
      <c r="J14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https://municat.gencat.cat/ca/Temes/Transparencia/Items-de-transparencia/6.1.8.Agenda-activitats-associacions</v>
      </c>
      <c r="M14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1.0005715450449602</v>
      </c>
      <c r="N148" s="8" t="str">
        <f>Avaluacio[[#This Row],[Codi ítem]]</f>
        <v>XGO147</v>
      </c>
    </row>
    <row r="149" spans="1:14" x14ac:dyDescent="0.25">
      <c r="A149" s="6" t="s">
        <v>914</v>
      </c>
      <c r="B149" s="6">
        <f>COUNTIF(Avaluacio[Avaluable],"Sí")</f>
        <v>146</v>
      </c>
      <c r="C149" s="1"/>
      <c r="G149" s="6">
        <f>COUNTIF(Avaluacio[Contingut],"Sí")</f>
        <v>137</v>
      </c>
      <c r="H149" s="6">
        <f>COUNTIF(Avaluacio[Actualització],"Sí")</f>
        <v>134</v>
      </c>
      <c r="I149" s="6"/>
      <c r="J149" s="19">
        <f>COUNTIF(Avaluacio[Grau de compliment],"Compleix totalment")/Avaluacio[[#Totals],[Avaluable]]</f>
        <v>0.9178082191780822</v>
      </c>
      <c r="K149" s="19">
        <f>SUBTOTAL(101,Avaluacio[% compliment])</f>
        <v>0.92808219178082196</v>
      </c>
      <c r="M149" s="19"/>
      <c r="N149" s="19"/>
    </row>
  </sheetData>
  <sheetProtection autoFilter="0"/>
  <conditionalFormatting sqref="A2:N27 A28:H28 A29:N40 A41:H43 A44:N107 A108:H108 A109:N110 A111:H111 A112:N117 A118:H118 A119:N148 J28:N28 J41:N43 J108:N108 J111:N111 J118:N118">
    <cfRule type="expression" dxfId="265" priority="13">
      <formula>$B2="No"</formula>
    </cfRule>
  </conditionalFormatting>
  <conditionalFormatting sqref="G2:H148">
    <cfRule type="cellIs" dxfId="264" priority="2" operator="equal">
      <formula>"Opcional"</formula>
    </cfRule>
    <cfRule type="cellIs" dxfId="263" priority="8" operator="equal">
      <formula>"Sí (confirmar)"</formula>
    </cfRule>
    <cfRule type="cellIs" dxfId="262" priority="9" operator="equal">
      <formula>"N/A"</formula>
    </cfRule>
    <cfRule type="cellIs" dxfId="261" priority="11" operator="equal">
      <formula>"No"</formula>
    </cfRule>
    <cfRule type="cellIs" dxfId="260" priority="12" operator="equal">
      <formula>"Sí"</formula>
    </cfRule>
    <cfRule type="containsBlanks" dxfId="259" priority="14">
      <formula>LEN(TRIM(G2))=0</formula>
    </cfRule>
  </conditionalFormatting>
  <conditionalFormatting sqref="J2:J148">
    <cfRule type="cellIs" dxfId="258" priority="3" operator="equal">
      <formula>"Pendent d'avaluar"</formula>
    </cfRule>
    <cfRule type="cellIs" dxfId="257" priority="4" operator="equal">
      <formula>"No compleix"</formula>
    </cfRule>
    <cfRule type="cellIs" dxfId="256" priority="5" operator="equal">
      <formula>"Compleix parcialment"</formula>
    </cfRule>
    <cfRule type="cellIs" dxfId="255" priority="6" operator="equal">
      <formula>"Compleix totalment"</formula>
    </cfRule>
  </conditionalFormatting>
  <conditionalFormatting sqref="K2:K148 M2:N148">
    <cfRule type="colorScale" priority="1">
      <colorScale>
        <cfvo type="percent" val="0"/>
        <cfvo type="percent" val="50"/>
        <cfvo type="percent" val="100"/>
        <color theme="7" tint="0.59999389629810485"/>
        <color theme="9" tint="0.39997558519241921"/>
        <color theme="5" tint="0.59999389629810485"/>
      </colorScale>
    </cfRule>
  </conditionalFormatting>
  <dataValidations count="1">
    <dataValidation type="list" allowBlank="1" showInputMessage="1" showErrorMessage="1" sqref="G2:H148">
      <formula1>Desp4_ValorsAvaluacio</formula1>
    </dataValidation>
  </dataValidations>
  <hyperlinks>
    <hyperlink ref="I43" r:id="rId1" display="https://seu-e.cat/ca/web/blanes/govern-obert-i-transparencia/informacio-institucional-i-organitzativa/bon-govern-i-integritat-publica/codi-de-conducta-dels-alts-carrecs-i-de-bon-govern"/>
  </hyperlinks>
  <pageMargins left="0.7" right="0.7" top="0.75" bottom="0.75" header="0.3" footer="0.3"/>
  <pageSetup paperSize="9"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5"/>
  <sheetViews>
    <sheetView showGridLines="0" topLeftCell="A13" zoomScaleNormal="100" workbookViewId="0">
      <selection activeCell="A90" sqref="A90:D92"/>
    </sheetView>
  </sheetViews>
  <sheetFormatPr baseColWidth="10" defaultColWidth="10.09765625" defaultRowHeight="13.8" x14ac:dyDescent="0.25"/>
  <sheetData>
    <row r="1" spans="1:10" ht="22.8" x14ac:dyDescent="0.25">
      <c r="A1" s="7" t="str">
        <f>CONCATENATE("Informe d'autoavaluació de la transparència (",AnyAvaluacio,")")</f>
        <v>Informe d'autoavaluació de la transparència (2026)</v>
      </c>
      <c r="B1" s="7"/>
      <c r="C1" s="7"/>
      <c r="D1" s="7"/>
      <c r="E1" s="7"/>
      <c r="F1" s="7"/>
      <c r="G1" s="7"/>
      <c r="H1" s="7"/>
      <c r="I1" s="7"/>
      <c r="J1" s="7"/>
    </row>
    <row r="2" spans="1:10" ht="15.6" x14ac:dyDescent="0.25">
      <c r="A2" s="36" t="str">
        <f>NomEns</f>
        <v>Ajuntament de Blanes</v>
      </c>
      <c r="B2" s="36"/>
      <c r="C2" s="36"/>
      <c r="D2" s="36"/>
      <c r="E2" s="36"/>
      <c r="F2" s="36"/>
      <c r="G2" s="36"/>
      <c r="H2" s="36"/>
      <c r="I2" s="36"/>
      <c r="J2" s="36"/>
    </row>
    <row r="4" spans="1:10" ht="14.25" customHeight="1" x14ac:dyDescent="0.25">
      <c r="A4" s="68" t="str">
        <f>CONCATENATE("Aquest informe mostra els resultats de l'autoavaluació de les obligacions derivades de la Llei 19/2014, de transparència, accés a la informació pública i bon govern, segons la informació i les dades publicades al portal de transparència ",IF(TipusEns="Ajuntament","de l'",IF(TipusEns="Consell comarcal","del ",IF(TipusEns="Diputació","de la ",IF(TipusEns="Entitat metropolitana","de l'",IF(TipusEns="Entitat municipal descentralitzada","de l'",IF(TipusEns="Mancomunitat de municipis","de la ",IF(TipusEns="Aran","del ",IF(TipusEns="Organismes autònom local","de ",IF(TipusEns="Entitat pública empresarial local","de ",IF(TipusEns="Societat mercantil local de capital íntegrament públic","de ",IF(TipusEns="Societat mercantil local de capital mixt","de ",IF(TipusEns="Consorci local","del ",IF(TipusEns="Fundació local","de la ","de "))))))))))))),NomEns," durant l'any ",AnyAvaluacio,".",)</f>
        <v>Aquest informe mostra els resultats de l'autoavaluació de les obligacions derivades de la Llei 19/2014, de transparència, accés a la informació pública i bon govern, segons la informació i les dades publicades al portal de transparència de l'Ajuntament de Blanes durant l'any 2026.</v>
      </c>
      <c r="B4" s="68"/>
      <c r="C4" s="68"/>
      <c r="D4" s="68"/>
      <c r="E4" s="68"/>
      <c r="F4" s="68"/>
      <c r="G4" s="68"/>
      <c r="H4" s="68"/>
      <c r="I4" s="9"/>
      <c r="J4" s="9"/>
    </row>
    <row r="5" spans="1:10" x14ac:dyDescent="0.25">
      <c r="A5" s="68"/>
      <c r="B5" s="68"/>
      <c r="C5" s="68"/>
      <c r="D5" s="68"/>
      <c r="E5" s="68"/>
      <c r="F5" s="68"/>
      <c r="G5" s="68"/>
      <c r="H5" s="68"/>
      <c r="I5" s="9"/>
      <c r="J5" s="9"/>
    </row>
    <row r="6" spans="1:10" x14ac:dyDescent="0.25">
      <c r="A6" s="68"/>
      <c r="B6" s="68"/>
      <c r="C6" s="68"/>
      <c r="D6" s="68"/>
      <c r="E6" s="68"/>
      <c r="F6" s="68"/>
      <c r="G6" s="68"/>
      <c r="H6" s="68"/>
      <c r="I6" s="9"/>
      <c r="J6" s="9"/>
    </row>
    <row r="7" spans="1:10" x14ac:dyDescent="0.25">
      <c r="A7" s="68"/>
      <c r="B7" s="68"/>
      <c r="C7" s="68"/>
      <c r="D7" s="68"/>
      <c r="E7" s="68"/>
      <c r="F7" s="68"/>
      <c r="G7" s="68"/>
      <c r="H7" s="68"/>
      <c r="I7" s="9"/>
      <c r="J7" s="9"/>
    </row>
    <row r="8" spans="1:10" x14ac:dyDescent="0.25">
      <c r="A8" s="9"/>
      <c r="B8" s="9"/>
      <c r="C8" s="9"/>
      <c r="D8" s="9"/>
      <c r="E8" s="9"/>
      <c r="F8" s="9"/>
      <c r="G8" s="9"/>
      <c r="H8" s="9"/>
      <c r="I8" s="9"/>
      <c r="J8" s="9"/>
    </row>
    <row r="9" spans="1:10" ht="14.25" customHeight="1" x14ac:dyDescent="0.25">
      <c r="A9" s="68" t="s">
        <v>1229</v>
      </c>
      <c r="B9" s="68"/>
      <c r="C9" s="68"/>
      <c r="D9" s="68"/>
      <c r="E9" s="68"/>
      <c r="F9" s="68"/>
      <c r="G9" s="68"/>
      <c r="H9" s="68"/>
      <c r="I9" s="9"/>
      <c r="J9" s="9"/>
    </row>
    <row r="10" spans="1:10" x14ac:dyDescent="0.25">
      <c r="A10" s="68"/>
      <c r="B10" s="68"/>
      <c r="C10" s="68"/>
      <c r="D10" s="68"/>
      <c r="E10" s="68"/>
      <c r="F10" s="68"/>
      <c r="G10" s="68"/>
      <c r="H10" s="68"/>
      <c r="I10" s="9"/>
      <c r="J10" s="9"/>
    </row>
    <row r="11" spans="1:10" x14ac:dyDescent="0.25">
      <c r="A11" s="68"/>
      <c r="B11" s="68"/>
      <c r="C11" s="68"/>
      <c r="D11" s="68"/>
      <c r="E11" s="68"/>
      <c r="F11" s="68"/>
      <c r="G11" s="68"/>
      <c r="H11" s="68"/>
      <c r="I11" s="9"/>
      <c r="J11" s="9"/>
    </row>
    <row r="12" spans="1:10" x14ac:dyDescent="0.25">
      <c r="A12" s="9"/>
      <c r="B12" s="9"/>
      <c r="C12" s="9"/>
      <c r="E12" s="9"/>
      <c r="F12" s="9"/>
      <c r="G12" s="9"/>
      <c r="H12" s="9"/>
      <c r="I12" s="9"/>
      <c r="J12" s="9"/>
    </row>
    <row r="13" spans="1:10" x14ac:dyDescent="0.25">
      <c r="A13" s="41" t="s">
        <v>936</v>
      </c>
      <c r="B13" s="39">
        <f>NumItemsAvaluats</f>
        <v>146</v>
      </c>
      <c r="C13" s="40"/>
      <c r="D13" s="38" t="s">
        <v>926</v>
      </c>
      <c r="E13" s="39" t="str">
        <f>VLOOKUP(FaseAvaluacio,Taula2_Fases[],3,FALSE)</f>
        <v>1, 2, 3, 4 i 5</v>
      </c>
      <c r="F13" s="40"/>
      <c r="G13" s="38" t="s">
        <v>932</v>
      </c>
      <c r="H13" s="46">
        <f>DataAvaluacio</f>
        <v>46206</v>
      </c>
      <c r="J13" s="22"/>
    </row>
    <row r="14" spans="1:10" x14ac:dyDescent="0.25">
      <c r="A14" s="12"/>
      <c r="B14" s="15"/>
      <c r="C14" s="13"/>
      <c r="D14" s="12"/>
      <c r="E14" s="15"/>
      <c r="F14" s="13"/>
      <c r="G14" s="13"/>
      <c r="H14" s="15"/>
      <c r="I14" s="16"/>
      <c r="J14" s="22"/>
    </row>
    <row r="15" spans="1:10" ht="14.4" thickBot="1" x14ac:dyDescent="0.3">
      <c r="A15" s="69" t="s">
        <v>937</v>
      </c>
      <c r="B15" s="69"/>
      <c r="C15" s="69"/>
      <c r="D15" s="69"/>
      <c r="E15" s="69"/>
      <c r="F15" s="69"/>
      <c r="G15" s="69"/>
      <c r="H15" s="69"/>
    </row>
    <row r="16" spans="1:10" x14ac:dyDescent="0.25">
      <c r="A16" s="12"/>
      <c r="B16" s="9"/>
      <c r="C16" s="9"/>
      <c r="D16" s="9"/>
      <c r="E16" s="9"/>
      <c r="F16" s="9"/>
      <c r="G16" s="9"/>
      <c r="H16" s="9"/>
      <c r="I16" s="9"/>
      <c r="J16" s="9"/>
    </row>
    <row r="27" spans="1:8" ht="15.75" customHeight="1" thickBot="1" x14ac:dyDescent="0.3">
      <c r="A27" s="69" t="s">
        <v>938</v>
      </c>
      <c r="B27" s="69"/>
      <c r="C27" s="69"/>
      <c r="D27" s="69"/>
      <c r="E27" s="69"/>
      <c r="F27" s="69"/>
      <c r="G27" s="69"/>
      <c r="H27" s="69"/>
    </row>
    <row r="53" spans="1:8" ht="15.75" customHeight="1" thickBot="1" x14ac:dyDescent="0.3">
      <c r="A53" s="69" t="s">
        <v>939</v>
      </c>
      <c r="B53" s="69"/>
      <c r="C53" s="69"/>
      <c r="D53" s="69"/>
      <c r="E53" s="69"/>
      <c r="F53" s="69"/>
      <c r="G53" s="69"/>
      <c r="H53" s="69"/>
    </row>
    <row r="72" spans="1:4" ht="15" customHeight="1" x14ac:dyDescent="0.25">
      <c r="A72" s="71" t="s">
        <v>1224</v>
      </c>
      <c r="B72" s="71"/>
      <c r="C72" s="71"/>
      <c r="D72" s="71"/>
    </row>
    <row r="73" spans="1:4" ht="14.25" customHeight="1" x14ac:dyDescent="0.25">
      <c r="A73" s="72" t="str">
        <f>VLOOKUP(VLOOKUP(LARGE(Avaluacio[Compliment ponderat],1),Avaluacio[[Compliment ponderat]:[Codi bis]],2,FALSE),Avaluacio[[Codi ítem]:[Ítem]],3,FALSE)</f>
        <v>Instància genèrica</v>
      </c>
      <c r="B73" s="72"/>
      <c r="C73" s="72"/>
      <c r="D73" s="72"/>
    </row>
    <row r="74" spans="1:4" ht="14.25" customHeight="1" x14ac:dyDescent="0.25">
      <c r="A74" s="73"/>
      <c r="B74" s="73"/>
      <c r="C74" s="73"/>
      <c r="D74" s="73"/>
    </row>
    <row r="75" spans="1:4" ht="14.25" customHeight="1" x14ac:dyDescent="0.25">
      <c r="A75" s="74"/>
      <c r="B75" s="74"/>
      <c r="C75" s="74"/>
      <c r="D75" s="74"/>
    </row>
    <row r="76" spans="1:4" ht="14.25" customHeight="1" x14ac:dyDescent="0.25">
      <c r="A76" s="72" t="str">
        <f>VLOOKUP(VLOOKUP(LARGE(Avaluacio[Compliment ponderat],2),Avaluacio[[Compliment ponderat]:[Codi bis]],2,FALSE),Avaluacio[[Codi ítem]:[Ítem]],3,FALSE)</f>
        <v>Convocatòries de personal</v>
      </c>
      <c r="B76" s="72"/>
      <c r="C76" s="72"/>
      <c r="D76" s="72"/>
    </row>
    <row r="77" spans="1:4" ht="14.25" customHeight="1" x14ac:dyDescent="0.25">
      <c r="A77" s="73"/>
      <c r="B77" s="73"/>
      <c r="C77" s="73"/>
      <c r="D77" s="73"/>
    </row>
    <row r="78" spans="1:4" ht="14.25" customHeight="1" x14ac:dyDescent="0.25">
      <c r="A78" s="74"/>
      <c r="B78" s="74"/>
      <c r="C78" s="74"/>
      <c r="D78" s="74"/>
    </row>
    <row r="79" spans="1:4" ht="14.25" customHeight="1" x14ac:dyDescent="0.25">
      <c r="A79" s="72" t="str">
        <f>VLOOKUP(VLOOKUP(LARGE(Avaluacio[Compliment ponderat],3),Avaluacio[[Compliment ponderat]:[Codi bis]],2,FALSE),Avaluacio[[Codi ítem]:[Ítem]],3,FALSE)</f>
        <v>Càrrecs electes</v>
      </c>
      <c r="B79" s="72"/>
      <c r="C79" s="72"/>
      <c r="D79" s="72"/>
    </row>
    <row r="80" spans="1:4" ht="14.25" customHeight="1" x14ac:dyDescent="0.25">
      <c r="A80" s="73"/>
      <c r="B80" s="73"/>
      <c r="C80" s="73"/>
      <c r="D80" s="73"/>
    </row>
    <row r="81" spans="1:4" ht="14.25" customHeight="1" x14ac:dyDescent="0.25">
      <c r="A81" s="74"/>
      <c r="B81" s="74"/>
      <c r="C81" s="74"/>
      <c r="D81" s="74"/>
    </row>
    <row r="82" spans="1:4" ht="14.25" customHeight="1" x14ac:dyDescent="0.25">
      <c r="A82" s="72" t="str">
        <f>VLOOKUP(VLOOKUP(LARGE(Avaluacio[Compliment ponderat],4),Avaluacio[[Compliment ponderat]:[Codi bis]],2,FALSE),Avaluacio[[Codi ítem]:[Ítem]],3,FALSE)</f>
        <v>Alts càrrecs, personal directiu i càrrecs eventuals</v>
      </c>
      <c r="B82" s="72"/>
      <c r="C82" s="72"/>
      <c r="D82" s="72"/>
    </row>
    <row r="83" spans="1:4" ht="14.25" customHeight="1" x14ac:dyDescent="0.25">
      <c r="A83" s="73"/>
      <c r="B83" s="73"/>
      <c r="C83" s="73"/>
      <c r="D83" s="73"/>
    </row>
    <row r="84" spans="1:4" ht="14.25" customHeight="1" x14ac:dyDescent="0.25">
      <c r="A84" s="74"/>
      <c r="B84" s="74"/>
      <c r="C84" s="74"/>
      <c r="D84" s="74"/>
    </row>
    <row r="85" spans="1:4" ht="14.25" customHeight="1" x14ac:dyDescent="0.25">
      <c r="A85" s="72" t="str">
        <f>VLOOKUP(VLOOKUP(LARGE(Avaluacio[Compliment ponderat],5),Avaluacio[[Compliment ponderat]:[Codi bis]],2,FALSE),Avaluacio[[Codi ítem]:[Ítem]],3,FALSE)</f>
        <v>Tauler d'edictes i anuncis</v>
      </c>
      <c r="B85" s="72"/>
      <c r="C85" s="72"/>
      <c r="D85" s="72"/>
    </row>
    <row r="86" spans="1:4" ht="14.25" customHeight="1" x14ac:dyDescent="0.25">
      <c r="A86" s="73"/>
      <c r="B86" s="73"/>
      <c r="C86" s="73"/>
      <c r="D86" s="73"/>
    </row>
    <row r="87" spans="1:4" ht="14.25" customHeight="1" x14ac:dyDescent="0.25">
      <c r="A87" s="73"/>
      <c r="B87" s="73"/>
      <c r="C87" s="73"/>
      <c r="D87" s="73"/>
    </row>
    <row r="88" spans="1:4" ht="14.25" customHeight="1" x14ac:dyDescent="0.25">
      <c r="A88" s="9"/>
      <c r="B88" s="9"/>
      <c r="C88" s="9"/>
      <c r="D88" s="9"/>
    </row>
    <row r="89" spans="1:4" ht="14.25" customHeight="1" x14ac:dyDescent="0.25">
      <c r="A89" s="75" t="s">
        <v>1225</v>
      </c>
      <c r="B89" s="75"/>
      <c r="C89" s="75"/>
      <c r="D89" s="75"/>
    </row>
    <row r="90" spans="1:4" ht="14.25" customHeight="1" x14ac:dyDescent="0.25">
      <c r="A90" s="65" t="str">
        <f>VLOOKUP(VLOOKUP(SMALL(Avaluacio[Compliment ponderat],1),Avaluacio[[Compliment ponderat]:[Codi bis]],2,FALSE),Avaluacio[[Codi ítem]:[Ítem]],3,FALSE)</f>
        <v>Pla anual normatiu</v>
      </c>
      <c r="B90" s="65"/>
      <c r="C90" s="65"/>
      <c r="D90" s="65"/>
    </row>
    <row r="91" spans="1:4" ht="14.25" customHeight="1" x14ac:dyDescent="0.25">
      <c r="A91" s="66"/>
      <c r="B91" s="66"/>
      <c r="C91" s="66"/>
      <c r="D91" s="66"/>
    </row>
    <row r="92" spans="1:4" ht="14.25" customHeight="1" x14ac:dyDescent="0.25">
      <c r="A92" s="67"/>
      <c r="B92" s="67"/>
      <c r="C92" s="67"/>
      <c r="D92" s="67"/>
    </row>
    <row r="93" spans="1:4" ht="14.25" customHeight="1" x14ac:dyDescent="0.25">
      <c r="A93" s="65" t="str">
        <f>VLOOKUP(VLOOKUP(SMALL(Avaluacio[Compliment ponderat],2),Avaluacio[[Compliment ponderat]:[Codi bis]],2,FALSE),Avaluacio[[Codi ítem]:[Ítem]],3,FALSE)</f>
        <v>Equipaments municipals</v>
      </c>
      <c r="B93" s="65"/>
      <c r="C93" s="65"/>
      <c r="D93" s="65"/>
    </row>
    <row r="94" spans="1:4" ht="14.25" customHeight="1" x14ac:dyDescent="0.25">
      <c r="A94" s="66"/>
      <c r="B94" s="66"/>
      <c r="C94" s="66"/>
      <c r="D94" s="66"/>
    </row>
    <row r="95" spans="1:4" ht="14.25" customHeight="1" x14ac:dyDescent="0.25">
      <c r="A95" s="67"/>
      <c r="B95" s="67"/>
      <c r="C95" s="67"/>
      <c r="D95" s="67"/>
    </row>
    <row r="96" spans="1:4" ht="14.25" customHeight="1" x14ac:dyDescent="0.25">
      <c r="A96" s="65" t="str">
        <f>VLOOKUP(VLOOKUP(SMALL(Avaluacio[Compliment ponderat],3),Avaluacio[[Compliment ponderat]:[Codi bis]],2,FALSE),Avaluacio[[Codi ítem]:[Ítem]],3,FALSE)</f>
        <v>Plecs de clàusules generals</v>
      </c>
      <c r="B96" s="65"/>
      <c r="C96" s="65"/>
      <c r="D96" s="65"/>
    </row>
    <row r="97" spans="1:8" ht="14.25" customHeight="1" x14ac:dyDescent="0.25">
      <c r="A97" s="66"/>
      <c r="B97" s="66"/>
      <c r="C97" s="66"/>
      <c r="D97" s="66"/>
    </row>
    <row r="98" spans="1:8" ht="14.25" customHeight="1" x14ac:dyDescent="0.25">
      <c r="A98" s="67"/>
      <c r="B98" s="67"/>
      <c r="C98" s="67"/>
      <c r="D98" s="67"/>
    </row>
    <row r="99" spans="1:8" ht="14.25" customHeight="1" x14ac:dyDescent="0.25">
      <c r="A99" s="65" t="str">
        <f>VLOOKUP(VLOOKUP(SMALL(Avaluacio[Compliment ponderat],4),Avaluacio[[Compliment ponderat]:[Codi bis]],2,FALSE),Avaluacio[[Codi ítem]:[Ítem]],3,FALSE)</f>
        <v>Acords d'òrgans de govern</v>
      </c>
      <c r="B99" s="65"/>
      <c r="C99" s="65"/>
      <c r="D99" s="65"/>
    </row>
    <row r="100" spans="1:8" x14ac:dyDescent="0.25">
      <c r="A100" s="66"/>
      <c r="B100" s="66"/>
      <c r="C100" s="66"/>
      <c r="D100" s="66"/>
    </row>
    <row r="101" spans="1:8" x14ac:dyDescent="0.25">
      <c r="A101" s="67"/>
      <c r="B101" s="67"/>
      <c r="C101" s="67"/>
      <c r="D101" s="67"/>
    </row>
    <row r="102" spans="1:8" ht="14.25" customHeight="1" x14ac:dyDescent="0.25">
      <c r="A102" s="65" t="str">
        <f>VLOOKUP(VLOOKUP(SMALL(Avaluacio[Compliment ponderat],5),Avaluacio[[Compliment ponderat]:[Codi bis]],2,FALSE),Avaluacio[[Codi ítem]:[Ítem]],3,FALSE)</f>
        <v>Informació proporcionada per les entitats privades</v>
      </c>
      <c r="B102" s="65"/>
      <c r="C102" s="65"/>
      <c r="D102" s="65"/>
    </row>
    <row r="103" spans="1:8" x14ac:dyDescent="0.25">
      <c r="A103" s="66"/>
      <c r="B103" s="66"/>
      <c r="C103" s="66"/>
      <c r="D103" s="66"/>
    </row>
    <row r="104" spans="1:8" x14ac:dyDescent="0.25">
      <c r="A104" s="66"/>
      <c r="B104" s="66"/>
      <c r="C104" s="66"/>
      <c r="D104" s="66"/>
    </row>
    <row r="105" spans="1:8" x14ac:dyDescent="0.25">
      <c r="A105" s="9"/>
      <c r="B105" s="9"/>
      <c r="C105" s="9"/>
      <c r="D105" s="9"/>
      <c r="E105" s="9"/>
    </row>
    <row r="106" spans="1:8" ht="15.75" customHeight="1" thickBot="1" x14ac:dyDescent="0.3">
      <c r="A106" s="70" t="str">
        <f>CONCATENATE("Valoració individual dels ",'1_Plantejament'!B8," ítems avaluats")</f>
        <v>Valoració individual dels 146 ítems avaluats</v>
      </c>
      <c r="B106" s="70"/>
      <c r="C106" s="70"/>
      <c r="D106" s="70"/>
      <c r="E106" s="70"/>
      <c r="F106" s="70"/>
      <c r="G106" s="70"/>
      <c r="H106" s="70"/>
    </row>
    <row r="108" spans="1:8" ht="30" customHeight="1" x14ac:dyDescent="0.25">
      <c r="A108" s="31" t="s">
        <v>1218</v>
      </c>
      <c r="B108" s="37" t="s">
        <v>887</v>
      </c>
      <c r="C108" s="29" t="s">
        <v>1226</v>
      </c>
      <c r="D108" s="29" t="s">
        <v>1226</v>
      </c>
      <c r="E108" s="31" t="s">
        <v>1226</v>
      </c>
      <c r="F108" s="31" t="s">
        <v>640</v>
      </c>
      <c r="G108" s="31" t="s">
        <v>641</v>
      </c>
      <c r="H108" s="31" t="s">
        <v>654</v>
      </c>
    </row>
    <row r="109" spans="1:8" ht="30" customHeight="1" x14ac:dyDescent="0.25">
      <c r="A109" s="28" t="str">
        <f t="array" ref="A109">IFERROR(INDEX(Avaluacio[Codi ítem],(MATCH(0,INDEX(COUNTIF($A$108:A108,Avaluacio[Codi ítem]),0,0)+INDEX(Avaluacio[Avaluable]="No",0,0),0))),"")</f>
        <v>XGO001</v>
      </c>
      <c r="B109" s="64" t="str">
        <f t="array" ref="B109">IFERROR(VLOOKUP(A109,Avaluacio[#Data],COLUMN(Avaluacio[Ítem]),FALSE),"")</f>
        <v>Competències i funcions</v>
      </c>
      <c r="C109" s="64"/>
      <c r="D109" s="64"/>
      <c r="E109" s="64"/>
      <c r="F109" s="28" t="str">
        <f t="array" ref="F109">IFERROR(VLOOKUP(A109,Avaluacio[],COLUMN(Avaluacio[Contingut]),FALSE),"")</f>
        <v>Sí</v>
      </c>
      <c r="G109" s="28" t="str">
        <f t="array" ref="G109">IFERROR(VLOOKUP(A109,Avaluacio[],COLUMN(Avaluacio[Actualització]),FALSE),"")</f>
        <v>Sí</v>
      </c>
      <c r="H109" s="28" t="str">
        <f t="array" ref="H109">IFERROR(VLOOKUP(A109,Avaluacio[#Data],COLUMN(Avaluacio[Grau de compliment]),FALSE),"")</f>
        <v>Compleix totalment</v>
      </c>
    </row>
    <row r="110" spans="1:8" ht="30" customHeight="1" x14ac:dyDescent="0.25">
      <c r="A110" s="28" t="str">
        <f t="array" ref="A110">IFERROR(INDEX(Avaluacio[Codi ítem],(MATCH(0,INDEX(COUNTIF($A$108:A109,Avaluacio[Codi ítem]),0,0)+INDEX(Avaluacio[Avaluable]="No",0,0),0))),"")</f>
        <v>XGO002</v>
      </c>
      <c r="B110" s="64" t="str">
        <f t="array" ref="B110">IFERROR(VLOOKUP(A110,Avaluacio[#Data],COLUMN(Avaluacio[Ítem]),FALSE),"")</f>
        <v>Organigrama de l'ens</v>
      </c>
      <c r="C110" s="64"/>
      <c r="D110" s="64"/>
      <c r="E110" s="64"/>
      <c r="F110" s="28" t="str">
        <f t="array" ref="F110">IFERROR(VLOOKUP(A110,Avaluacio[],COLUMN(Avaluacio[Contingut]),FALSE),"")</f>
        <v>Sí</v>
      </c>
      <c r="G110" s="28" t="str">
        <f t="array" ref="G110">IFERROR(VLOOKUP(A110,Avaluacio[],COLUMN(Avaluacio[Actualització]),FALSE),"")</f>
        <v>Sí</v>
      </c>
      <c r="H110" s="28" t="str">
        <f t="array" ref="H110">IFERROR(VLOOKUP(A110,Avaluacio[#Data],COLUMN(Avaluacio[Grau de compliment]),FALSE),"")</f>
        <v>Compleix totalment</v>
      </c>
    </row>
    <row r="111" spans="1:8" ht="30" customHeight="1" x14ac:dyDescent="0.25">
      <c r="A111" s="28" t="str">
        <f t="array" ref="A111">IFERROR(INDEX(Avaluacio[Codi ítem],(MATCH(0,INDEX(COUNTIF($A$108:A110,Avaluacio[Codi ítem]),0,0)+INDEX(Avaluacio[Avaluable]="No",0,0),0))),"")</f>
        <v>XGO003</v>
      </c>
      <c r="B111" s="64" t="str">
        <f t="array" ref="B111">IFERROR(VLOOKUP(A111,Avaluacio[#Data],COLUMN(Avaluacio[Ítem]),FALSE),"")</f>
        <v>Organismes dependents o vinculats</v>
      </c>
      <c r="C111" s="64"/>
      <c r="D111" s="64"/>
      <c r="E111" s="64"/>
      <c r="F111" s="28" t="str">
        <f t="array" ref="F111">IFERROR(VLOOKUP(A111,Avaluacio[],COLUMN(Avaluacio[Contingut]),FALSE),"")</f>
        <v>Sí</v>
      </c>
      <c r="G111" s="28" t="str">
        <f t="array" ref="G111">IFERROR(VLOOKUP(A111,Avaluacio[],COLUMN(Avaluacio[Actualització]),FALSE),"")</f>
        <v>Sí</v>
      </c>
      <c r="H111" s="28" t="str">
        <f t="array" ref="H111">IFERROR(VLOOKUP(A111,Avaluacio[#Data],COLUMN(Avaluacio[Grau de compliment]),FALSE),"")</f>
        <v>Compleix totalment</v>
      </c>
    </row>
    <row r="112" spans="1:8" ht="30" customHeight="1" x14ac:dyDescent="0.25">
      <c r="A112" s="28" t="str">
        <f t="array" ref="A112">IFERROR(INDEX(Avaluacio[Codi ítem],(MATCH(0,INDEX(COUNTIF($A$108:A111,Avaluacio[Codi ítem]),0,0)+INDEX(Avaluacio[Avaluable]="No",0,0),0))),"")</f>
        <v>XGO004</v>
      </c>
      <c r="B112" s="64" t="str">
        <f t="array" ref="B112">IFERROR(VLOOKUP(A112,Avaluacio[#Data],COLUMN(Avaluacio[Ítem]),FALSE),"")</f>
        <v>Organismes dels que forma part</v>
      </c>
      <c r="C112" s="64"/>
      <c r="D112" s="64"/>
      <c r="E112" s="64"/>
      <c r="F112" s="28" t="str">
        <f t="array" ref="F112">IFERROR(VLOOKUP(A112,Avaluacio[],COLUMN(Avaluacio[Contingut]),FALSE),"")</f>
        <v>Sí</v>
      </c>
      <c r="G112" s="28" t="str">
        <f t="array" ref="G112">IFERROR(VLOOKUP(A112,Avaluacio[],COLUMN(Avaluacio[Actualització]),FALSE),"")</f>
        <v>Sí</v>
      </c>
      <c r="H112" s="28" t="str">
        <f t="array" ref="H112">IFERROR(VLOOKUP(A112,Avaluacio[#Data],COLUMN(Avaluacio[Grau de compliment]),FALSE),"")</f>
        <v>Compleix totalment</v>
      </c>
    </row>
    <row r="113" spans="1:8" ht="30" customHeight="1" x14ac:dyDescent="0.25">
      <c r="A113" s="28" t="str">
        <f t="array" ref="A113">IFERROR(INDEX(Avaluacio[Codi ítem],(MATCH(0,INDEX(COUNTIF($A$108:A112,Avaluacio[Codi ítem]),0,0)+INDEX(Avaluacio[Avaluable]="No",0,0),0))),"")</f>
        <v>XGO006</v>
      </c>
      <c r="B113" s="64" t="str">
        <f t="array" ref="B113">IFERROR(VLOOKUP(A113,Avaluacio[#Data],COLUMN(Avaluacio[Ítem]),FALSE),"")</f>
        <v>Agenda institucional dels alts càrrecs i personal directiu</v>
      </c>
      <c r="C113" s="64"/>
      <c r="D113" s="64"/>
      <c r="E113" s="64"/>
      <c r="F113" s="28" t="str">
        <f t="array" ref="F113">IFERROR(VLOOKUP(A113,Avaluacio[],COLUMN(Avaluacio[Contingut]),FALSE),"")</f>
        <v>Sí</v>
      </c>
      <c r="G113" s="28" t="str">
        <f t="array" ref="G113">IFERROR(VLOOKUP(A113,Avaluacio[],COLUMN(Avaluacio[Actualització]),FALSE),"")</f>
        <v>Sí</v>
      </c>
      <c r="H113" s="28" t="str">
        <f t="array" ref="H113">IFERROR(VLOOKUP(A113,Avaluacio[#Data],COLUMN(Avaluacio[Grau de compliment]),FALSE),"")</f>
        <v>Compleix totalment</v>
      </c>
    </row>
    <row r="114" spans="1:8" ht="30" customHeight="1" x14ac:dyDescent="0.25">
      <c r="A114" s="28" t="str">
        <f t="array" ref="A114">IFERROR(INDEX(Avaluacio[Codi ítem],(MATCH(0,INDEX(COUNTIF($A$108:A113,Avaluacio[Codi ítem]),0,0)+INDEX(Avaluacio[Avaluable]="No",0,0),0))),"")</f>
        <v>XGO007</v>
      </c>
      <c r="B114" s="64" t="str">
        <f t="array" ref="B114">IFERROR(VLOOKUP(A114,Avaluacio[#Data],COLUMN(Avaluacio[Ítem]),FALSE),"")</f>
        <v>Relació d'obsequis als alts càrrecs i personal directiu</v>
      </c>
      <c r="C114" s="64"/>
      <c r="D114" s="64"/>
      <c r="E114" s="64"/>
      <c r="F114" s="28" t="str">
        <f t="array" ref="F114">IFERROR(VLOOKUP(A114,Avaluacio[],COLUMN(Avaluacio[Contingut]),FALSE),"")</f>
        <v>Sí</v>
      </c>
      <c r="G114" s="28" t="str">
        <f t="array" ref="G114">IFERROR(VLOOKUP(A114,Avaluacio[],COLUMN(Avaluacio[Actualització]),FALSE),"")</f>
        <v>Sí</v>
      </c>
      <c r="H114" s="28" t="str">
        <f t="array" ref="H114">IFERROR(VLOOKUP(A114,Avaluacio[#Data],COLUMN(Avaluacio[Grau de compliment]),FALSE),"")</f>
        <v>Compleix totalment</v>
      </c>
    </row>
    <row r="115" spans="1:8" ht="30" customHeight="1" x14ac:dyDescent="0.25">
      <c r="A115" s="28" t="str">
        <f t="array" ref="A115">IFERROR(INDEX(Avaluacio[Codi ítem],(MATCH(0,INDEX(COUNTIF($A$108:A114,Avaluacio[Codi ítem]),0,0)+INDEX(Avaluacio[Avaluable]="No",0,0),0))),"")</f>
        <v>XGO008</v>
      </c>
      <c r="B115" s="64" t="str">
        <f t="array" ref="B115">IFERROR(VLOOKUP(A115,Avaluacio[#Data],COLUMN(Avaluacio[Ítem]),FALSE),"")</f>
        <v>Relació d'invitacions als alts càrrecs i personal directiu</v>
      </c>
      <c r="C115" s="64"/>
      <c r="D115" s="64"/>
      <c r="E115" s="64"/>
      <c r="F115" s="28" t="str">
        <f t="array" ref="F115">IFERROR(VLOOKUP(A115,Avaluacio[],COLUMN(Avaluacio[Contingut]),FALSE),"")</f>
        <v>Sí</v>
      </c>
      <c r="G115" s="28" t="str">
        <f t="array" ref="G115">IFERROR(VLOOKUP(A115,Avaluacio[],COLUMN(Avaluacio[Actualització]),FALSE),"")</f>
        <v>Sí</v>
      </c>
      <c r="H115" s="28" t="str">
        <f t="array" ref="H115">IFERROR(VLOOKUP(A115,Avaluacio[#Data],COLUMN(Avaluacio[Grau de compliment]),FALSE),"")</f>
        <v>Compleix totalment</v>
      </c>
    </row>
    <row r="116" spans="1:8" ht="30" customHeight="1" x14ac:dyDescent="0.25">
      <c r="A116" s="28" t="str">
        <f t="array" ref="A116">IFERROR(INDEX(Avaluacio[Codi ítem],(MATCH(0,INDEX(COUNTIF($A$108:A115,Avaluacio[Codi ítem]),0,0)+INDEX(Avaluacio[Avaluable]="No",0,0),0))),"")</f>
        <v>XGO009</v>
      </c>
      <c r="B116" s="64" t="str">
        <f t="array" ref="B116">IFERROR(VLOOKUP(A116,Avaluacio[#Data],COLUMN(Avaluacio[Ítem]),FALSE),"")</f>
        <v>Agenda d'activitats</v>
      </c>
      <c r="C116" s="64"/>
      <c r="D116" s="64"/>
      <c r="E116" s="64"/>
      <c r="F116" s="28" t="str">
        <f t="array" ref="F116">IFERROR(VLOOKUP(A116,Avaluacio[],COLUMN(Avaluacio[Contingut]),FALSE),"")</f>
        <v>Sí</v>
      </c>
      <c r="G116" s="28" t="str">
        <f t="array" ref="G116">IFERROR(VLOOKUP(A116,Avaluacio[],COLUMN(Avaluacio[Actualització]),FALSE),"")</f>
        <v>Sí</v>
      </c>
      <c r="H116" s="28" t="str">
        <f t="array" ref="H116">IFERROR(VLOOKUP(A116,Avaluacio[#Data],COLUMN(Avaluacio[Grau de compliment]),FALSE),"")</f>
        <v>Compleix totalment</v>
      </c>
    </row>
    <row r="117" spans="1:8" ht="30" customHeight="1" x14ac:dyDescent="0.25">
      <c r="A117" s="28" t="str">
        <f t="array" ref="A117">IFERROR(INDEX(Avaluacio[Codi ítem],(MATCH(0,INDEX(COUNTIF($A$108:A116,Avaluacio[Codi ítem]),0,0)+INDEX(Avaluacio[Avaluable]="No",0,0),0))),"")</f>
        <v>XGO010</v>
      </c>
      <c r="B117" s="64" t="str">
        <f t="array" ref="B117">IFERROR(VLOOKUP(A117,Avaluacio[#Data],COLUMN(Avaluacio[Ítem]),FALSE),"")</f>
        <v>Dades generals de l'ens</v>
      </c>
      <c r="C117" s="64"/>
      <c r="D117" s="64"/>
      <c r="E117" s="64"/>
      <c r="F117" s="28" t="str">
        <f t="array" ref="F117">IFERROR(VLOOKUP(A117,Avaluacio[],COLUMN(Avaluacio[Contingut]),FALSE),"")</f>
        <v>Sí</v>
      </c>
      <c r="G117" s="28" t="str">
        <f t="array" ref="G117">IFERROR(VLOOKUP(A117,Avaluacio[],COLUMN(Avaluacio[Actualització]),FALSE),"")</f>
        <v>Sí</v>
      </c>
      <c r="H117" s="28" t="str">
        <f t="array" ref="H117">IFERROR(VLOOKUP(A117,Avaluacio[#Data],COLUMN(Avaluacio[Grau de compliment]),FALSE),"")</f>
        <v>Compleix totalment</v>
      </c>
    </row>
    <row r="118" spans="1:8" ht="30" customHeight="1" x14ac:dyDescent="0.25">
      <c r="A118" s="28" t="str">
        <f t="array" ref="A118">IFERROR(INDEX(Avaluacio[Codi ítem],(MATCH(0,INDEX(COUNTIF($A$108:A117,Avaluacio[Codi ítem]),0,0)+INDEX(Avaluacio[Avaluable]="No",0,0),0))),"")</f>
        <v>XGO011</v>
      </c>
      <c r="B118" s="64" t="str">
        <f t="array" ref="B118">IFERROR(VLOOKUP(A118,Avaluacio[#Data],COLUMN(Avaluacio[Ítem]),FALSE),"")</f>
        <v>Informació històrica sobre el municipi</v>
      </c>
      <c r="C118" s="64"/>
      <c r="D118" s="64"/>
      <c r="E118" s="64"/>
      <c r="F118" s="28" t="str">
        <f t="array" ref="F118">IFERROR(VLOOKUP(A118,Avaluacio[],COLUMN(Avaluacio[Contingut]),FALSE),"")</f>
        <v>Sí</v>
      </c>
      <c r="G118" s="28" t="str">
        <f t="array" ref="G118">IFERROR(VLOOKUP(A118,Avaluacio[],COLUMN(Avaluacio[Actualització]),FALSE),"")</f>
        <v>Sí</v>
      </c>
      <c r="H118" s="28" t="str">
        <f t="array" ref="H118">IFERROR(VLOOKUP(A118,Avaluacio[#Data],COLUMN(Avaluacio[Grau de compliment]),FALSE),"")</f>
        <v>Compleix totalment</v>
      </c>
    </row>
    <row r="119" spans="1:8" ht="30" customHeight="1" x14ac:dyDescent="0.25">
      <c r="A119" s="28" t="str">
        <f t="array" ref="A119">IFERROR(INDEX(Avaluacio[Codi ítem],(MATCH(0,INDEX(COUNTIF($A$108:A118,Avaluacio[Codi ítem]),0,0)+INDEX(Avaluacio[Avaluable]="No",0,0),0))),"")</f>
        <v>XGO012</v>
      </c>
      <c r="B119" s="64" t="str">
        <f t="array" ref="B119">IFERROR(VLOOKUP(A119,Avaluacio[#Data],COLUMN(Avaluacio[Ítem]),FALSE),"")</f>
        <v>Informació del terme municipal</v>
      </c>
      <c r="C119" s="64"/>
      <c r="D119" s="64"/>
      <c r="E119" s="64"/>
      <c r="F119" s="28" t="str">
        <f t="array" ref="F119">IFERROR(VLOOKUP(A119,Avaluacio[],COLUMN(Avaluacio[Contingut]),FALSE),"")</f>
        <v>Sí</v>
      </c>
      <c r="G119" s="28" t="str">
        <f t="array" ref="G119">IFERROR(VLOOKUP(A119,Avaluacio[],COLUMN(Avaluacio[Actualització]),FALSE),"")</f>
        <v>Sí</v>
      </c>
      <c r="H119" s="28" t="str">
        <f t="array" ref="H119">IFERROR(VLOOKUP(A119,Avaluacio[#Data],COLUMN(Avaluacio[Grau de compliment]),FALSE),"")</f>
        <v>Compleix totalment</v>
      </c>
    </row>
    <row r="120" spans="1:8" ht="30" customHeight="1" x14ac:dyDescent="0.25">
      <c r="A120" s="28" t="str">
        <f t="array" ref="A120">IFERROR(INDEX(Avaluacio[Codi ítem],(MATCH(0,INDEX(COUNTIF($A$108:A119,Avaluacio[Codi ítem]),0,0)+INDEX(Avaluacio[Avaluable]="No",0,0),0))),"")</f>
        <v>XGO013</v>
      </c>
      <c r="B120" s="64" t="str">
        <f t="array" ref="B120">IFERROR(VLOOKUP(A120,Avaluacio[#Data],COLUMN(Avaluacio[Ítem]),FALSE),"")</f>
        <v>Dades estadístiques</v>
      </c>
      <c r="C120" s="64"/>
      <c r="D120" s="64"/>
      <c r="E120" s="64"/>
      <c r="F120" s="28" t="str">
        <f t="array" ref="F120">IFERROR(VLOOKUP(A120,Avaluacio[],COLUMN(Avaluacio[Contingut]),FALSE),"")</f>
        <v>Sí</v>
      </c>
      <c r="G120" s="28" t="str">
        <f t="array" ref="G120">IFERROR(VLOOKUP(A120,Avaluacio[],COLUMN(Avaluacio[Actualització]),FALSE),"")</f>
        <v>Sí</v>
      </c>
      <c r="H120" s="28" t="str">
        <f t="array" ref="H120">IFERROR(VLOOKUP(A120,Avaluacio[#Data],COLUMN(Avaluacio[Grau de compliment]),FALSE),"")</f>
        <v>Compleix totalment</v>
      </c>
    </row>
    <row r="121" spans="1:8" ht="30" customHeight="1" x14ac:dyDescent="0.25">
      <c r="A121" s="28" t="str">
        <f t="array" ref="A121">IFERROR(INDEX(Avaluacio[Codi ítem],(MATCH(0,INDEX(COUNTIF($A$108:A120,Avaluacio[Codi ítem]),0,0)+INDEX(Avaluacio[Avaluable]="No",0,0),0))),"")</f>
        <v>XGO014</v>
      </c>
      <c r="B121" s="64" t="str">
        <f t="array" ref="B121">IFERROR(VLOOKUP(A121,Avaluacio[#Data],COLUMN(Avaluacio[Ítem]),FALSE),"")</f>
        <v>Registre de funcionaris habilitats</v>
      </c>
      <c r="C121" s="64"/>
      <c r="D121" s="64"/>
      <c r="E121" s="64"/>
      <c r="F121" s="28" t="str">
        <f t="array" ref="F121">IFERROR(VLOOKUP(A121,Avaluacio[],COLUMN(Avaluacio[Contingut]),FALSE),"")</f>
        <v>Sí</v>
      </c>
      <c r="G121" s="28" t="str">
        <f t="array" ref="G121">IFERROR(VLOOKUP(A121,Avaluacio[],COLUMN(Avaluacio[Actualització]),FALSE),"")</f>
        <v>Sí</v>
      </c>
      <c r="H121" s="28" t="str">
        <f t="array" ref="H121">IFERROR(VLOOKUP(A121,Avaluacio[#Data],COLUMN(Avaluacio[Grau de compliment]),FALSE),"")</f>
        <v>Compleix totalment</v>
      </c>
    </row>
    <row r="122" spans="1:8" ht="30" customHeight="1" x14ac:dyDescent="0.25">
      <c r="A122" s="28" t="str">
        <f t="array" ref="A122">IFERROR(INDEX(Avaluacio[Codi ítem],(MATCH(0,INDEX(COUNTIF($A$108:A121,Avaluacio[Codi ítem]),0,0)+INDEX(Avaluacio[Avaluable]="No",0,0),0))),"")</f>
        <v>XGO015</v>
      </c>
      <c r="B122" s="64" t="str">
        <f t="array" ref="B122">IFERROR(VLOOKUP(A122,Avaluacio[#Data],COLUMN(Avaluacio[Ítem]),FALSE),"")</f>
        <v>Informació proporcionada per les entitats privades</v>
      </c>
      <c r="C122" s="64"/>
      <c r="D122" s="64"/>
      <c r="E122" s="64"/>
      <c r="F122" s="28" t="str">
        <f t="array" ref="F122">IFERROR(VLOOKUP(A122,Avaluacio[],COLUMN(Avaluacio[Contingut]),FALSE),"")</f>
        <v>No</v>
      </c>
      <c r="G122" s="28" t="str">
        <f t="array" ref="G122">IFERROR(VLOOKUP(A122,Avaluacio[],COLUMN(Avaluacio[Actualització]),FALSE),"")</f>
        <v>No</v>
      </c>
      <c r="H122" s="28" t="str">
        <f t="array" ref="H122">IFERROR(VLOOKUP(A122,Avaluacio[#Data],COLUMN(Avaluacio[Grau de compliment]),FALSE),"")</f>
        <v>No compleix</v>
      </c>
    </row>
    <row r="123" spans="1:8" ht="30" customHeight="1" x14ac:dyDescent="0.25">
      <c r="A123" s="28" t="str">
        <f t="array" ref="A123">IFERROR(INDEX(Avaluacio[Codi ítem],(MATCH(0,INDEX(COUNTIF($A$108:A122,Avaluacio[Codi ítem]),0,0)+INDEX(Avaluacio[Avaluable]="No",0,0),0))),"")</f>
        <v>XGO016</v>
      </c>
      <c r="B123" s="64" t="str">
        <f t="array" ref="B123">IFERROR(VLOOKUP(A123,Avaluacio[#Data],COLUMN(Avaluacio[Ítem]),FALSE),"")</f>
        <v>Cartipàs: organització política</v>
      </c>
      <c r="C123" s="64"/>
      <c r="D123" s="64"/>
      <c r="E123" s="64"/>
      <c r="F123" s="28" t="str">
        <f t="array" ref="F123">IFERROR(VLOOKUP(A123,Avaluacio[],COLUMN(Avaluacio[Contingut]),FALSE),"")</f>
        <v>Sí</v>
      </c>
      <c r="G123" s="28" t="str">
        <f t="array" ref="G123">IFERROR(VLOOKUP(A123,Avaluacio[],COLUMN(Avaluacio[Actualització]),FALSE),"")</f>
        <v>Sí</v>
      </c>
      <c r="H123" s="28" t="str">
        <f t="array" ref="H123">IFERROR(VLOOKUP(A123,Avaluacio[#Data],COLUMN(Avaluacio[Grau de compliment]),FALSE),"")</f>
        <v>Compleix totalment</v>
      </c>
    </row>
    <row r="124" spans="1:8" ht="30" customHeight="1" x14ac:dyDescent="0.25">
      <c r="A124" s="28" t="str">
        <f t="array" ref="A124">IFERROR(INDEX(Avaluacio[Codi ítem],(MATCH(0,INDEX(COUNTIF($A$108:A123,Avaluacio[Codi ítem]),0,0)+INDEX(Avaluacio[Avaluable]="No",0,0),0))),"")</f>
        <v>XGO017</v>
      </c>
      <c r="B124" s="64" t="str">
        <f t="array" ref="B124">IFERROR(VLOOKUP(A124,Avaluacio[#Data],COLUMN(Avaluacio[Ítem]),FALSE),"")</f>
        <v>Càrrecs electes</v>
      </c>
      <c r="C124" s="64"/>
      <c r="D124" s="64"/>
      <c r="E124" s="64"/>
      <c r="F124" s="28" t="str">
        <f t="array" ref="F124">IFERROR(VLOOKUP(A124,Avaluacio[],COLUMN(Avaluacio[Contingut]),FALSE),"")</f>
        <v>Sí</v>
      </c>
      <c r="G124" s="28" t="str">
        <f t="array" ref="G124">IFERROR(VLOOKUP(A124,Avaluacio[],COLUMN(Avaluacio[Actualització]),FALSE),"")</f>
        <v>Sí</v>
      </c>
      <c r="H124" s="28" t="str">
        <f t="array" ref="H124">IFERROR(VLOOKUP(A124,Avaluacio[#Data],COLUMN(Avaluacio[Grau de compliment]),FALSE),"")</f>
        <v>Compleix totalment</v>
      </c>
    </row>
    <row r="125" spans="1:8" ht="30" customHeight="1" x14ac:dyDescent="0.25">
      <c r="A125" s="28" t="str">
        <f t="array" ref="A125">IFERROR(INDEX(Avaluacio[Codi ítem],(MATCH(0,INDEX(COUNTIF($A$108:A124,Avaluacio[Codi ítem]),0,0)+INDEX(Avaluacio[Avaluable]="No",0,0),0))),"")</f>
        <v>XGO018</v>
      </c>
      <c r="B125" s="64" t="str">
        <f t="array" ref="B125">IFERROR(VLOOKUP(A125,Avaluacio[#Data],COLUMN(Avaluacio[Ítem]),FALSE),"")</f>
        <v>Grups polítics/municipals</v>
      </c>
      <c r="C125" s="64"/>
      <c r="D125" s="64"/>
      <c r="E125" s="64"/>
      <c r="F125" s="28" t="str">
        <f t="array" ref="F125">IFERROR(VLOOKUP(A125,Avaluacio[],COLUMN(Avaluacio[Contingut]),FALSE),"")</f>
        <v>Sí</v>
      </c>
      <c r="G125" s="28" t="str">
        <f t="array" ref="G125">IFERROR(VLOOKUP(A125,Avaluacio[],COLUMN(Avaluacio[Actualització]),FALSE),"")</f>
        <v>Sí</v>
      </c>
      <c r="H125" s="28" t="str">
        <f t="array" ref="H125">IFERROR(VLOOKUP(A125,Avaluacio[#Data],COLUMN(Avaluacio[Grau de compliment]),FALSE),"")</f>
        <v>Compleix totalment</v>
      </c>
    </row>
    <row r="126" spans="1:8" ht="30" customHeight="1" x14ac:dyDescent="0.25">
      <c r="A126" s="28" t="str">
        <f t="array" ref="A126">IFERROR(INDEX(Avaluacio[Codi ítem],(MATCH(0,INDEX(COUNTIF($A$108:A125,Avaluacio[Codi ítem]),0,0)+INDEX(Avaluacio[Avaluable]="No",0,0),0))),"")</f>
        <v>XGO019</v>
      </c>
      <c r="B126" s="64" t="str">
        <f t="array" ref="B126">IFERROR(VLOOKUP(A126,Avaluacio[#Data],COLUMN(Avaluacio[Ítem]),FALSE),"")</f>
        <v>Òrgans de govern i funcions</v>
      </c>
      <c r="C126" s="64"/>
      <c r="D126" s="64"/>
      <c r="E126" s="64"/>
      <c r="F126" s="28" t="str">
        <f t="array" ref="F126">IFERROR(VLOOKUP(A126,Avaluacio[],COLUMN(Avaluacio[Contingut]),FALSE),"")</f>
        <v>Sí</v>
      </c>
      <c r="G126" s="28" t="str">
        <f t="array" ref="G126">IFERROR(VLOOKUP(A126,Avaluacio[],COLUMN(Avaluacio[Actualització]),FALSE),"")</f>
        <v>Sí</v>
      </c>
      <c r="H126" s="28" t="str">
        <f t="array" ref="H126">IFERROR(VLOOKUP(A126,Avaluacio[#Data],COLUMN(Avaluacio[Grau de compliment]),FALSE),"")</f>
        <v>Compleix totalment</v>
      </c>
    </row>
    <row r="127" spans="1:8" ht="30" customHeight="1" x14ac:dyDescent="0.25">
      <c r="A127" s="28" t="str">
        <f t="array" ref="A127">IFERROR(INDEX(Avaluacio[Codi ítem],(MATCH(0,INDEX(COUNTIF($A$108:A126,Avaluacio[Codi ítem]),0,0)+INDEX(Avaluacio[Avaluable]="No",0,0),0))),"")</f>
        <v>XGO020</v>
      </c>
      <c r="B127" s="64" t="str">
        <f t="array" ref="B127">IFERROR(VLOOKUP(A127,Avaluacio[#Data],COLUMN(Avaluacio[Ítem]),FALSE),"")</f>
        <v>Alts càrrecs, personal directiu i càrrecs eventuals</v>
      </c>
      <c r="C127" s="64"/>
      <c r="D127" s="64"/>
      <c r="E127" s="64"/>
      <c r="F127" s="28" t="str">
        <f t="array" ref="F127">IFERROR(VLOOKUP(A127,Avaluacio[],COLUMN(Avaluacio[Contingut]),FALSE),"")</f>
        <v>Sí</v>
      </c>
      <c r="G127" s="28" t="str">
        <f t="array" ref="G127">IFERROR(VLOOKUP(A127,Avaluacio[],COLUMN(Avaluacio[Actualització]),FALSE),"")</f>
        <v>Sí</v>
      </c>
      <c r="H127" s="28" t="str">
        <f t="array" ref="H127">IFERROR(VLOOKUP(A127,Avaluacio[#Data],COLUMN(Avaluacio[Grau de compliment]),FALSE),"")</f>
        <v>Compleix totalment</v>
      </c>
    </row>
    <row r="128" spans="1:8" ht="30" customHeight="1" x14ac:dyDescent="0.25">
      <c r="A128" s="28" t="str">
        <f t="array" ref="A128">IFERROR(INDEX(Avaluacio[Codi ítem],(MATCH(0,INDEX(COUNTIF($A$108:A127,Avaluacio[Codi ítem]),0,0)+INDEX(Avaluacio[Avaluable]="No",0,0),0))),"")</f>
        <v>XGO021</v>
      </c>
      <c r="B128" s="64" t="str">
        <f t="array" ref="B128">IFERROR(VLOOKUP(A128,Avaluacio[#Data],COLUMN(Avaluacio[Ítem]),FALSE),"")</f>
        <v>Resolucions relatives a les declaracions d'activitats, patrimonials i d'interessos dels alts càrrecs i del personal directiu</v>
      </c>
      <c r="C128" s="64"/>
      <c r="D128" s="64"/>
      <c r="E128" s="64"/>
      <c r="F128" s="28" t="str">
        <f t="array" ref="F128">IFERROR(VLOOKUP(A128,Avaluacio[],COLUMN(Avaluacio[Contingut]),FALSE),"")</f>
        <v>Sí</v>
      </c>
      <c r="G128" s="28" t="str">
        <f t="array" ref="G128">IFERROR(VLOOKUP(A128,Avaluacio[],COLUMN(Avaluacio[Actualització]),FALSE),"")</f>
        <v>Sí</v>
      </c>
      <c r="H128" s="28" t="str">
        <f t="array" ref="H128">IFERROR(VLOOKUP(A128,Avaluacio[#Data],COLUMN(Avaluacio[Grau de compliment]),FALSE),"")</f>
        <v>Compleix totalment</v>
      </c>
    </row>
    <row r="129" spans="1:8" ht="30" customHeight="1" x14ac:dyDescent="0.25">
      <c r="A129" s="28" t="str">
        <f t="array" ref="A129">IFERROR(INDEX(Avaluacio[Codi ítem],(MATCH(0,INDEX(COUNTIF($A$108:A128,Avaluacio[Codi ítem]),0,0)+INDEX(Avaluacio[Avaluable]="No",0,0),0))),"")</f>
        <v>XGO022</v>
      </c>
      <c r="B129" s="64" t="str">
        <f t="array" ref="B129">IFERROR(VLOOKUP(A129,Avaluacio[#Data],COLUMN(Avaluacio[Ítem]),FALSE),"")</f>
        <v>Resolucions sobre el règim d'incompatibilitats dels alts càrrecs i personal directiu</v>
      </c>
      <c r="C129" s="64"/>
      <c r="D129" s="64"/>
      <c r="E129" s="64"/>
      <c r="F129" s="28" t="str">
        <f t="array" ref="F129">IFERROR(VLOOKUP(A129,Avaluacio[],COLUMN(Avaluacio[Contingut]),FALSE),"")</f>
        <v>Sí</v>
      </c>
      <c r="G129" s="28" t="str">
        <f t="array" ref="G129">IFERROR(VLOOKUP(A129,Avaluacio[],COLUMN(Avaluacio[Actualització]),FALSE),"")</f>
        <v>Sí</v>
      </c>
      <c r="H129" s="28" t="str">
        <f t="array" ref="H129">IFERROR(VLOOKUP(A129,Avaluacio[#Data],COLUMN(Avaluacio[Grau de compliment]),FALSE),"")</f>
        <v>Compleix totalment</v>
      </c>
    </row>
    <row r="130" spans="1:8" ht="30" customHeight="1" x14ac:dyDescent="0.25">
      <c r="A130" s="28" t="str">
        <f t="array" ref="A130">IFERROR(INDEX(Avaluacio[Codi ítem],(MATCH(0,INDEX(COUNTIF($A$108:A129,Avaluacio[Codi ítem]),0,0)+INDEX(Avaluacio[Avaluable]="No",0,0),0))),"")</f>
        <v>XGO023</v>
      </c>
      <c r="B130" s="64" t="str">
        <f t="array" ref="B130">IFERROR(VLOOKUP(A130,Avaluacio[#Data],COLUMN(Avaluacio[Ítem]),FALSE),"")</f>
        <v>Plantilla d'empleats públics</v>
      </c>
      <c r="C130" s="64"/>
      <c r="D130" s="64"/>
      <c r="E130" s="64"/>
      <c r="F130" s="28" t="str">
        <f t="array" ref="F130">IFERROR(VLOOKUP(A130,Avaluacio[],COLUMN(Avaluacio[Contingut]),FALSE),"")</f>
        <v>Sí</v>
      </c>
      <c r="G130" s="28" t="str">
        <f t="array" ref="G130">IFERROR(VLOOKUP(A130,Avaluacio[],COLUMN(Avaluacio[Actualització]),FALSE),"")</f>
        <v>Sí</v>
      </c>
      <c r="H130" s="28" t="str">
        <f t="array" ref="H130">IFERROR(VLOOKUP(A130,Avaluacio[#Data],COLUMN(Avaluacio[Grau de compliment]),FALSE),"")</f>
        <v>Compleix totalment</v>
      </c>
    </row>
    <row r="131" spans="1:8" ht="30" customHeight="1" x14ac:dyDescent="0.25">
      <c r="A131" s="28" t="str">
        <f t="array" ref="A131">IFERROR(INDEX(Avaluacio[Codi ítem],(MATCH(0,INDEX(COUNTIF($A$108:A130,Avaluacio[Codi ítem]),0,0)+INDEX(Avaluacio[Avaluable]="No",0,0),0))),"")</f>
        <v>XGO024</v>
      </c>
      <c r="B131" s="64" t="str">
        <f t="array" ref="B131">IFERROR(VLOOKUP(A131,Avaluacio[#Data],COLUMN(Avaluacio[Ítem]),FALSE),"")</f>
        <v>Relació de llocs de treball (RLT)</v>
      </c>
      <c r="C131" s="64"/>
      <c r="D131" s="64"/>
      <c r="E131" s="64"/>
      <c r="F131" s="28" t="str">
        <f t="array" ref="F131">IFERROR(VLOOKUP(A131,Avaluacio[],COLUMN(Avaluacio[Contingut]),FALSE),"")</f>
        <v>Sí</v>
      </c>
      <c r="G131" s="28" t="str">
        <f t="array" ref="G131">IFERROR(VLOOKUP(A131,Avaluacio[],COLUMN(Avaluacio[Actualització]),FALSE),"")</f>
        <v>Sí</v>
      </c>
      <c r="H131" s="28" t="str">
        <f t="array" ref="H131">IFERROR(VLOOKUP(A131,Avaluacio[#Data],COLUMN(Avaluacio[Grau de compliment]),FALSE),"")</f>
        <v>Compleix totalment</v>
      </c>
    </row>
    <row r="132" spans="1:8" ht="30" customHeight="1" x14ac:dyDescent="0.25">
      <c r="A132" s="28" t="str">
        <f t="array" ref="A132">IFERROR(INDEX(Avaluacio[Codi ítem],(MATCH(0,INDEX(COUNTIF($A$108:A131,Avaluacio[Codi ítem]),0,0)+INDEX(Avaluacio[Avaluable]="No",0,0),0))),"")</f>
        <v>XGO025</v>
      </c>
      <c r="B132" s="64" t="str">
        <f t="array" ref="B132">IFERROR(VLOOKUP(A132,Avaluacio[#Data],COLUMN(Avaluacio[Ítem]),FALSE),"")</f>
        <v>Tècnics de l'ens</v>
      </c>
      <c r="C132" s="64"/>
      <c r="D132" s="64"/>
      <c r="E132" s="64"/>
      <c r="F132" s="28" t="str">
        <f t="array" ref="F132">IFERROR(VLOOKUP(A132,Avaluacio[],COLUMN(Avaluacio[Contingut]),FALSE),"")</f>
        <v>Sí</v>
      </c>
      <c r="G132" s="28" t="str">
        <f t="array" ref="G132">IFERROR(VLOOKUP(A132,Avaluacio[],COLUMN(Avaluacio[Actualització]),FALSE),"")</f>
        <v>Sí</v>
      </c>
      <c r="H132" s="28" t="str">
        <f t="array" ref="H132">IFERROR(VLOOKUP(A132,Avaluacio[#Data],COLUMN(Avaluacio[Grau de compliment]),FALSE),"")</f>
        <v>Compleix totalment</v>
      </c>
    </row>
    <row r="133" spans="1:8" ht="30" customHeight="1" x14ac:dyDescent="0.25">
      <c r="A133" s="28" t="str">
        <f t="array" ref="A133">IFERROR(INDEX(Avaluacio[Codi ítem],(MATCH(0,INDEX(COUNTIF($A$108:A132,Avaluacio[Codi ítem]),0,0)+INDEX(Avaluacio[Avaluable]="No",0,0),0))),"")</f>
        <v>XGO026</v>
      </c>
      <c r="B133" s="64" t="str">
        <f t="array" ref="B133">IFERROR(VLOOKUP(A133,Avaluacio[#Data],COLUMN(Avaluacio[Ítem]),FALSE),"")</f>
        <v>Responsable de comunicació/premsa</v>
      </c>
      <c r="C133" s="64"/>
      <c r="D133" s="64"/>
      <c r="E133" s="64"/>
      <c r="F133" s="28" t="str">
        <f t="array" ref="F133">IFERROR(VLOOKUP(A133,Avaluacio[],COLUMN(Avaluacio[Contingut]),FALSE),"")</f>
        <v>Sí</v>
      </c>
      <c r="G133" s="28" t="str">
        <f t="array" ref="G133">IFERROR(VLOOKUP(A133,Avaluacio[],COLUMN(Avaluacio[Actualització]),FALSE),"")</f>
        <v>Sí</v>
      </c>
      <c r="H133" s="28" t="str">
        <f t="array" ref="H133">IFERROR(VLOOKUP(A133,Avaluacio[#Data],COLUMN(Avaluacio[Grau de compliment]),FALSE),"")</f>
        <v>Compleix totalment</v>
      </c>
    </row>
    <row r="134" spans="1:8" ht="30" customHeight="1" x14ac:dyDescent="0.25">
      <c r="A134" s="28" t="str">
        <f t="array" ref="A134">IFERROR(INDEX(Avaluacio[Codi ítem],(MATCH(0,INDEX(COUNTIF($A$108:A133,Avaluacio[Codi ítem]),0,0)+INDEX(Avaluacio[Avaluable]="No",0,0),0))),"")</f>
        <v>XGO027</v>
      </c>
      <c r="B134" s="64" t="str">
        <f t="array" ref="B134">IFERROR(VLOOKUP(A134,Avaluacio[#Data],COLUMN(Avaluacio[Ítem]),FALSE),"")</f>
        <v>Relació de contractes temporals i d'interinatge</v>
      </c>
      <c r="C134" s="64"/>
      <c r="D134" s="64"/>
      <c r="E134" s="64"/>
      <c r="F134" s="28" t="str">
        <f t="array" ref="F134">IFERROR(VLOOKUP(A134,Avaluacio[],COLUMN(Avaluacio[Contingut]),FALSE),"")</f>
        <v>Sí</v>
      </c>
      <c r="G134" s="28" t="str">
        <f t="array" ref="G134">IFERROR(VLOOKUP(A134,Avaluacio[],COLUMN(Avaluacio[Actualització]),FALSE),"")</f>
        <v>Sí</v>
      </c>
      <c r="H134" s="28" t="str">
        <f t="array" ref="H134">IFERROR(VLOOKUP(A134,Avaluacio[#Data],COLUMN(Avaluacio[Grau de compliment]),FALSE),"")</f>
        <v>Compleix totalment</v>
      </c>
    </row>
    <row r="135" spans="1:8" ht="30" customHeight="1" x14ac:dyDescent="0.25">
      <c r="A135" s="28" t="str">
        <f t="array" ref="A135">IFERROR(INDEX(Avaluacio[Codi ítem],(MATCH(0,INDEX(COUNTIF($A$108:A134,Avaluacio[Codi ítem]),0,0)+INDEX(Avaluacio[Avaluable]="No",0,0),0))),"")</f>
        <v>XGO028</v>
      </c>
      <c r="B135" s="64" t="str">
        <f t="array" ref="B135">IFERROR(VLOOKUP(A135,Avaluacio[#Data],COLUMN(Avaluacio[Ítem]),FALSE),"")</f>
        <v>Retribucions, indemnitzacions i dietes dels empleats públics</v>
      </c>
      <c r="C135" s="64"/>
      <c r="D135" s="64"/>
      <c r="E135" s="64"/>
      <c r="F135" s="28" t="str">
        <f t="array" ref="F135">IFERROR(VLOOKUP(A135,Avaluacio[],COLUMN(Avaluacio[Contingut]),FALSE),"")</f>
        <v>Sí</v>
      </c>
      <c r="G135" s="28" t="str">
        <f t="array" ref="G135">IFERROR(VLOOKUP(A135,Avaluacio[],COLUMN(Avaluacio[Actualització]),FALSE),"")</f>
        <v>Sí</v>
      </c>
      <c r="H135" s="28" t="str">
        <f t="array" ref="H135">IFERROR(VLOOKUP(A135,Avaluacio[#Data],COLUMN(Avaluacio[Grau de compliment]),FALSE),"")</f>
        <v>Compleix totalment</v>
      </c>
    </row>
    <row r="136" spans="1:8" ht="30" customHeight="1" x14ac:dyDescent="0.25">
      <c r="A136" s="28" t="str">
        <f t="array" ref="A136">IFERROR(INDEX(Avaluacio[Codi ítem],(MATCH(0,INDEX(COUNTIF($A$108:A135,Avaluacio[Codi ítem]),0,0)+INDEX(Avaluacio[Avaluable]="No",0,0),0))),"")</f>
        <v>XGO029</v>
      </c>
      <c r="B136" s="64" t="str">
        <f t="array" ref="B136">IFERROR(VLOOKUP(A136,Avaluacio[#Data],COLUMN(Avaluacio[Ítem]),FALSE),"")</f>
        <v>Convocatòries de personal</v>
      </c>
      <c r="C136" s="64"/>
      <c r="D136" s="64"/>
      <c r="E136" s="64"/>
      <c r="F136" s="28" t="str">
        <f t="array" ref="F136">IFERROR(VLOOKUP(A136,Avaluacio[],COLUMN(Avaluacio[Contingut]),FALSE),"")</f>
        <v>Sí</v>
      </c>
      <c r="G136" s="28" t="str">
        <f t="array" ref="G136">IFERROR(VLOOKUP(A136,Avaluacio[],COLUMN(Avaluacio[Actualització]),FALSE),"")</f>
        <v>Sí</v>
      </c>
      <c r="H136" s="28" t="str">
        <f t="array" ref="H136">IFERROR(VLOOKUP(A136,Avaluacio[#Data],COLUMN(Avaluacio[Grau de compliment]),FALSE),"")</f>
        <v>Compleix totalment</v>
      </c>
    </row>
    <row r="137" spans="1:8" ht="30" customHeight="1" x14ac:dyDescent="0.25">
      <c r="A137" s="28" t="str">
        <f t="array" ref="A137">IFERROR(INDEX(Avaluacio[Codi ítem],(MATCH(0,INDEX(COUNTIF($A$108:A136,Avaluacio[Codi ítem]),0,0)+INDEX(Avaluacio[Avaluable]="No",0,0),0))),"")</f>
        <v>XGO030</v>
      </c>
      <c r="B137" s="64" t="str">
        <f t="array" ref="B137">IFERROR(VLOOKUP(A137,Avaluacio[#Data],COLUMN(Avaluacio[Ítem]),FALSE),"")</f>
        <v>Resultats de les convocatòries de personal</v>
      </c>
      <c r="C137" s="64"/>
      <c r="D137" s="64"/>
      <c r="E137" s="64"/>
      <c r="F137" s="28" t="str">
        <f t="array" ref="F137">IFERROR(VLOOKUP(A137,Avaluacio[],COLUMN(Avaluacio[Contingut]),FALSE),"")</f>
        <v>Sí</v>
      </c>
      <c r="G137" s="28" t="str">
        <f t="array" ref="G137">IFERROR(VLOOKUP(A137,Avaluacio[],COLUMN(Avaluacio[Actualització]),FALSE),"")</f>
        <v>Sí</v>
      </c>
      <c r="H137" s="28" t="str">
        <f t="array" ref="H137">IFERROR(VLOOKUP(A137,Avaluacio[#Data],COLUMN(Avaluacio[Grau de compliment]),FALSE),"")</f>
        <v>Compleix totalment</v>
      </c>
    </row>
    <row r="138" spans="1:8" ht="30" customHeight="1" x14ac:dyDescent="0.25">
      <c r="A138" s="28" t="str">
        <f t="array" ref="A138">IFERROR(INDEX(Avaluacio[Codi ítem],(MATCH(0,INDEX(COUNTIF($A$108:A137,Avaluacio[Codi ítem]),0,0)+INDEX(Avaluacio[Avaluable]="No",0,0),0))),"")</f>
        <v>XGO031</v>
      </c>
      <c r="B138" s="64" t="str">
        <f t="array" ref="B138">IFERROR(VLOOKUP(A138,Avaluacio[#Data],COLUMN(Avaluacio[Ítem]),FALSE),"")</f>
        <v>Llistes de personal per cada procés de formació i/o promoció</v>
      </c>
      <c r="C138" s="64"/>
      <c r="D138" s="64"/>
      <c r="E138" s="64"/>
      <c r="F138" s="28" t="str">
        <f t="array" ref="F138">IFERROR(VLOOKUP(A138,Avaluacio[],COLUMN(Avaluacio[Contingut]),FALSE),"")</f>
        <v>Sí</v>
      </c>
      <c r="G138" s="28" t="str">
        <f t="array" ref="G138">IFERROR(VLOOKUP(A138,Avaluacio[],COLUMN(Avaluacio[Actualització]),FALSE),"")</f>
        <v>Sí</v>
      </c>
      <c r="H138" s="28" t="str">
        <f t="array" ref="H138">IFERROR(VLOOKUP(A138,Avaluacio[#Data],COLUMN(Avaluacio[Grau de compliment]),FALSE),"")</f>
        <v>Compleix totalment</v>
      </c>
    </row>
    <row r="139" spans="1:8" ht="30" customHeight="1" x14ac:dyDescent="0.25">
      <c r="A139" s="28" t="str">
        <f t="array" ref="A139">IFERROR(INDEX(Avaluacio[Codi ítem],(MATCH(0,INDEX(COUNTIF($A$108:A138,Avaluacio[Codi ítem]),0,0)+INDEX(Avaluacio[Avaluable]="No",0,0),0))),"")</f>
        <v>XGO032</v>
      </c>
      <c r="B139" s="64" t="str">
        <f t="array" ref="B139">IFERROR(VLOOKUP(A139,Avaluacio[#Data],COLUMN(Avaluacio[Ítem]),FALSE),"")</f>
        <v>Convenis, acords, pactes de caràcter funcionarial, laboral o sindical</v>
      </c>
      <c r="C139" s="64"/>
      <c r="D139" s="64"/>
      <c r="E139" s="64"/>
      <c r="F139" s="28" t="str">
        <f t="array" ref="F139">IFERROR(VLOOKUP(A139,Avaluacio[],COLUMN(Avaluacio[Contingut]),FALSE),"")</f>
        <v>Sí</v>
      </c>
      <c r="G139" s="28" t="str">
        <f t="array" ref="G139">IFERROR(VLOOKUP(A139,Avaluacio[],COLUMN(Avaluacio[Actualització]),FALSE),"")</f>
        <v>Sí</v>
      </c>
      <c r="H139" s="28" t="str">
        <f t="array" ref="H139">IFERROR(VLOOKUP(A139,Avaluacio[#Data],COLUMN(Avaluacio[Grau de compliment]),FALSE),"")</f>
        <v>Compleix totalment</v>
      </c>
    </row>
    <row r="140" spans="1:8" ht="30" customHeight="1" x14ac:dyDescent="0.25">
      <c r="A140" s="28" t="str">
        <f t="array" ref="A140">IFERROR(INDEX(Avaluacio[Codi ítem],(MATCH(0,INDEX(COUNTIF($A$108:A139,Avaluacio[Codi ítem]),0,0)+INDEX(Avaluacio[Avaluable]="No",0,0),0))),"")</f>
        <v>XGO033</v>
      </c>
      <c r="B140" s="64" t="str">
        <f t="array" ref="B140">IFERROR(VLOOKUP(A140,Avaluacio[#Data],COLUMN(Avaluacio[Ítem]),FALSE),"")</f>
        <v>Alliberats sindicals</v>
      </c>
      <c r="C140" s="64"/>
      <c r="D140" s="64"/>
      <c r="E140" s="64"/>
      <c r="F140" s="28" t="str">
        <f t="array" ref="F140">IFERROR(VLOOKUP(A140,Avaluacio[],COLUMN(Avaluacio[Contingut]),FALSE),"")</f>
        <v>Sí</v>
      </c>
      <c r="G140" s="28" t="str">
        <f t="array" ref="G140">IFERROR(VLOOKUP(A140,Avaluacio[],COLUMN(Avaluacio[Actualització]),FALSE),"")</f>
        <v>Sí</v>
      </c>
      <c r="H140" s="28" t="str">
        <f t="array" ref="H140">IFERROR(VLOOKUP(A140,Avaluacio[#Data],COLUMN(Avaluacio[Grau de compliment]),FALSE),"")</f>
        <v>Compleix totalment</v>
      </c>
    </row>
    <row r="141" spans="1:8" ht="30" customHeight="1" x14ac:dyDescent="0.25">
      <c r="A141" s="28" t="str">
        <f t="array" ref="A141">IFERROR(INDEX(Avaluacio[Codi ítem],(MATCH(0,INDEX(COUNTIF($A$108:A140,Avaluacio[Codi ítem]),0,0)+INDEX(Avaluacio[Avaluable]="No",0,0),0))),"")</f>
        <v>XGO034</v>
      </c>
      <c r="B141" s="64" t="str">
        <f t="array" ref="B141">IFERROR(VLOOKUP(A141,Avaluacio[#Data],COLUMN(Avaluacio[Ítem]),FALSE),"")</f>
        <v>Resolucions sobre el règim d'incompatibilitats dels empleats públics</v>
      </c>
      <c r="C141" s="64"/>
      <c r="D141" s="64"/>
      <c r="E141" s="64"/>
      <c r="F141" s="28" t="str">
        <f t="array" ref="F141">IFERROR(VLOOKUP(A141,Avaluacio[],COLUMN(Avaluacio[Contingut]),FALSE),"")</f>
        <v>Sí</v>
      </c>
      <c r="G141" s="28" t="str">
        <f t="array" ref="G141">IFERROR(VLOOKUP(A141,Avaluacio[],COLUMN(Avaluacio[Actualització]),FALSE),"")</f>
        <v>Sí</v>
      </c>
      <c r="H141" s="28" t="str">
        <f t="array" ref="H141">IFERROR(VLOOKUP(A141,Avaluacio[#Data],COLUMN(Avaluacio[Grau de compliment]),FALSE),"")</f>
        <v>Compleix totalment</v>
      </c>
    </row>
    <row r="142" spans="1:8" ht="30" customHeight="1" x14ac:dyDescent="0.25">
      <c r="A142" s="28" t="str">
        <f t="array" ref="A142">IFERROR(INDEX(Avaluacio[Codi ítem],(MATCH(0,INDEX(COUNTIF($A$108:A141,Avaluacio[Codi ítem]),0,0)+INDEX(Avaluacio[Avaluable]="No",0,0),0))),"")</f>
        <v>XGO035</v>
      </c>
      <c r="B142" s="64" t="str">
        <f t="array" ref="B142">IFERROR(VLOOKUP(A142,Avaluacio[#Data],COLUMN(Avaluacio[Ítem]),FALSE),"")</f>
        <v>Delegat/da de Protecció de Dades</v>
      </c>
      <c r="C142" s="64"/>
      <c r="D142" s="64"/>
      <c r="E142" s="64"/>
      <c r="F142" s="28" t="str">
        <f t="array" ref="F142">IFERROR(VLOOKUP(A142,Avaluacio[],COLUMN(Avaluacio[Contingut]),FALSE),"")</f>
        <v>Sí</v>
      </c>
      <c r="G142" s="28" t="str">
        <f t="array" ref="G142">IFERROR(VLOOKUP(A142,Avaluacio[],COLUMN(Avaluacio[Actualització]),FALSE),"")</f>
        <v>Sí</v>
      </c>
      <c r="H142" s="28" t="str">
        <f t="array" ref="H142">IFERROR(VLOOKUP(A142,Avaluacio[#Data],COLUMN(Avaluacio[Grau de compliment]),FALSE),"")</f>
        <v>Compleix totalment</v>
      </c>
    </row>
    <row r="143" spans="1:8" ht="30" customHeight="1" x14ac:dyDescent="0.25">
      <c r="A143" s="28" t="str">
        <f t="array" ref="A143">IFERROR(INDEX(Avaluacio[Codi ítem],(MATCH(0,INDEX(COUNTIF($A$108:A142,Avaluacio[Codi ítem]),0,0)+INDEX(Avaluacio[Avaluable]="No",0,0),0))),"")</f>
        <v>XGO036</v>
      </c>
      <c r="B143" s="64" t="str">
        <f t="array" ref="B143">IFERROR(VLOOKUP(A143,Avaluacio[#Data],COLUMN(Avaluacio[Ítem]),FALSE),"")</f>
        <v>Exercici dels drets relatius a la protecció de dades personals</v>
      </c>
      <c r="C143" s="64"/>
      <c r="D143" s="64"/>
      <c r="E143" s="64"/>
      <c r="F143" s="28" t="str">
        <f t="array" ref="F143">IFERROR(VLOOKUP(A143,Avaluacio[],COLUMN(Avaluacio[Contingut]),FALSE),"")</f>
        <v>Sí</v>
      </c>
      <c r="G143" s="28" t="str">
        <f t="array" ref="G143">IFERROR(VLOOKUP(A143,Avaluacio[],COLUMN(Avaluacio[Actualització]),FALSE),"")</f>
        <v>Sí</v>
      </c>
      <c r="H143" s="28" t="str">
        <f t="array" ref="H143">IFERROR(VLOOKUP(A143,Avaluacio[#Data],COLUMN(Avaluacio[Grau de compliment]),FALSE),"")</f>
        <v>Compleix totalment</v>
      </c>
    </row>
    <row r="144" spans="1:8" ht="30" customHeight="1" x14ac:dyDescent="0.25">
      <c r="A144" s="28" t="str">
        <f t="array" ref="A144">IFERROR(INDEX(Avaluacio[Codi ítem],(MATCH(0,INDEX(COUNTIF($A$108:A143,Avaluacio[Codi ítem]),0,0)+INDEX(Avaluacio[Avaluable]="No",0,0),0))),"")</f>
        <v>XGO037</v>
      </c>
      <c r="B144" s="64" t="str">
        <f t="array" ref="B144">IFERROR(VLOOKUP(A144,Avaluacio[#Data],COLUMN(Avaluacio[Ítem]),FALSE),"")</f>
        <v>Registre de les activitats de tractament de dades personals</v>
      </c>
      <c r="C144" s="64"/>
      <c r="D144" s="64"/>
      <c r="E144" s="64"/>
      <c r="F144" s="28" t="str">
        <f t="array" ref="F144">IFERROR(VLOOKUP(A144,Avaluacio[],COLUMN(Avaluacio[Contingut]),FALSE),"")</f>
        <v>Sí</v>
      </c>
      <c r="G144" s="28" t="str">
        <f t="array" ref="G144">IFERROR(VLOOKUP(A144,Avaluacio[],COLUMN(Avaluacio[Actualització]),FALSE),"")</f>
        <v>Sí</v>
      </c>
      <c r="H144" s="28" t="str">
        <f t="array" ref="H144">IFERROR(VLOOKUP(A144,Avaluacio[#Data],COLUMN(Avaluacio[Grau de compliment]),FALSE),"")</f>
        <v>Compleix totalment</v>
      </c>
    </row>
    <row r="145" spans="1:8" ht="30" customHeight="1" x14ac:dyDescent="0.25">
      <c r="A145" s="28" t="str">
        <f t="array" ref="A145">IFERROR(INDEX(Avaluacio[Codi ítem],(MATCH(0,INDEX(COUNTIF($A$108:A144,Avaluacio[Codi ítem]),0,0)+INDEX(Avaluacio[Avaluable]="No",0,0),0))),"")</f>
        <v>XGO038</v>
      </c>
      <c r="B145" s="64" t="str">
        <f t="array" ref="B145">IFERROR(VLOOKUP(A145,Avaluacio[#Data],COLUMN(Avaluacio[Ítem]),FALSE),"")</f>
        <v>Sistema d'Integritat Institucional</v>
      </c>
      <c r="C145" s="64"/>
      <c r="D145" s="64"/>
      <c r="E145" s="64"/>
      <c r="F145" s="28" t="str">
        <f t="array" ref="F145">IFERROR(VLOOKUP(A145,Avaluacio[],COLUMN(Avaluacio[Contingut]),FALSE),"")</f>
        <v>Sí</v>
      </c>
      <c r="G145" s="28" t="str">
        <f t="array" ref="G145">IFERROR(VLOOKUP(A145,Avaluacio[],COLUMN(Avaluacio[Actualització]),FALSE),"")</f>
        <v>Sí</v>
      </c>
      <c r="H145" s="28" t="str">
        <f t="array" ref="H145">IFERROR(VLOOKUP(A145,Avaluacio[#Data],COLUMN(Avaluacio[Grau de compliment]),FALSE),"")</f>
        <v>Compleix totalment</v>
      </c>
    </row>
    <row r="146" spans="1:8" ht="30" customHeight="1" x14ac:dyDescent="0.25">
      <c r="A146" s="28" t="str">
        <f t="array" ref="A146">IFERROR(INDEX(Avaluacio[Codi ítem],(MATCH(0,INDEX(COUNTIF($A$108:A145,Avaluacio[Codi ítem]),0,0)+INDEX(Avaluacio[Avaluable]="No",0,0),0))),"")</f>
        <v>XGO039</v>
      </c>
      <c r="B146" s="64" t="str">
        <f t="array" ref="B146">IFERROR(VLOOKUP(A146,Avaluacio[#Data],COLUMN(Avaluacio[Ítem]),FALSE),"")</f>
        <v>Pla de mesures antifrau</v>
      </c>
      <c r="C146" s="64"/>
      <c r="D146" s="64"/>
      <c r="E146" s="64"/>
      <c r="F146" s="28" t="str">
        <f t="array" ref="F146">IFERROR(VLOOKUP(A146,Avaluacio[],COLUMN(Avaluacio[Contingut]),FALSE),"")</f>
        <v>Sí</v>
      </c>
      <c r="G146" s="28" t="str">
        <f t="array" ref="G146">IFERROR(VLOOKUP(A146,Avaluacio[],COLUMN(Avaluacio[Actualització]),FALSE),"")</f>
        <v>Sí</v>
      </c>
      <c r="H146" s="28" t="str">
        <f t="array" ref="H146">IFERROR(VLOOKUP(A146,Avaluacio[#Data],COLUMN(Avaluacio[Grau de compliment]),FALSE),"")</f>
        <v>Compleix totalment</v>
      </c>
    </row>
    <row r="147" spans="1:8" ht="30" customHeight="1" x14ac:dyDescent="0.25">
      <c r="A147" s="28" t="str">
        <f t="array" ref="A147">IFERROR(INDEX(Avaluacio[Codi ítem],(MATCH(0,INDEX(COUNTIF($A$108:A146,Avaluacio[Codi ítem]),0,0)+INDEX(Avaluacio[Avaluable]="No",0,0),0))),"")</f>
        <v>XGO040</v>
      </c>
      <c r="B147" s="64" t="str">
        <f t="array" ref="B147">IFERROR(VLOOKUP(A147,Avaluacio[#Data],COLUMN(Avaluacio[Ítem]),FALSE),"")</f>
        <v>Declaració institucional d’impuls de la política d’integritat i de lluita contra el frau</v>
      </c>
      <c r="C147" s="64"/>
      <c r="D147" s="64"/>
      <c r="E147" s="64"/>
      <c r="F147" s="28" t="str">
        <f t="array" ref="F147">IFERROR(VLOOKUP(A147,Avaluacio[],COLUMN(Avaluacio[Contingut]),FALSE),"")</f>
        <v>Sí</v>
      </c>
      <c r="G147" s="28" t="str">
        <f t="array" ref="G147">IFERROR(VLOOKUP(A147,Avaluacio[],COLUMN(Avaluacio[Actualització]),FALSE),"")</f>
        <v>Sí</v>
      </c>
      <c r="H147" s="28" t="str">
        <f t="array" ref="H147">IFERROR(VLOOKUP(A147,Avaluacio[#Data],COLUMN(Avaluacio[Grau de compliment]),FALSE),"")</f>
        <v>Compleix totalment</v>
      </c>
    </row>
    <row r="148" spans="1:8" ht="30" customHeight="1" x14ac:dyDescent="0.25">
      <c r="A148" s="28" t="str">
        <f t="array" ref="A148">IFERROR(INDEX(Avaluacio[Codi ítem],(MATCH(0,INDEX(COUNTIF($A$108:A147,Avaluacio[Codi ítem]),0,0)+INDEX(Avaluacio[Avaluable]="No",0,0),0))),"")</f>
        <v>XGO041</v>
      </c>
      <c r="B148" s="64" t="str">
        <f t="array" ref="B148">IFERROR(VLOOKUP(A148,Avaluacio[#Data],COLUMN(Avaluacio[Ítem]),FALSE),"")</f>
        <v>Canals d’alertes i sistema intern d’alertes (SIA)</v>
      </c>
      <c r="C148" s="64"/>
      <c r="D148" s="64"/>
      <c r="E148" s="64"/>
      <c r="F148" s="28" t="str">
        <f t="array" ref="F148">IFERROR(VLOOKUP(A148,Avaluacio[],COLUMN(Avaluacio[Contingut]),FALSE),"")</f>
        <v>Sí</v>
      </c>
      <c r="G148" s="28" t="str">
        <f t="array" ref="G148">IFERROR(VLOOKUP(A148,Avaluacio[],COLUMN(Avaluacio[Actualització]),FALSE),"")</f>
        <v>Sí</v>
      </c>
      <c r="H148" s="28" t="str">
        <f t="array" ref="H148">IFERROR(VLOOKUP(A148,Avaluacio[#Data],COLUMN(Avaluacio[Grau de compliment]),FALSE),"")</f>
        <v>Compleix totalment</v>
      </c>
    </row>
    <row r="149" spans="1:8" ht="30" customHeight="1" x14ac:dyDescent="0.25">
      <c r="A149" s="28" t="str">
        <f t="array" ref="A149">IFERROR(INDEX(Avaluacio[Codi ítem],(MATCH(0,INDEX(COUNTIF($A$108:A148,Avaluacio[Codi ítem]),0,0)+INDEX(Avaluacio[Avaluable]="No",0,0),0))),"")</f>
        <v>XGO042</v>
      </c>
      <c r="B149" s="64" t="str">
        <f t="array" ref="B149">IFERROR(VLOOKUP(A149,Avaluacio[#Data],COLUMN(Avaluacio[Ítem]),FALSE),"")</f>
        <v>Registre de grups d'interès</v>
      </c>
      <c r="C149" s="64"/>
      <c r="D149" s="64"/>
      <c r="E149" s="64"/>
      <c r="F149" s="28" t="str">
        <f t="array" ref="F149">IFERROR(VLOOKUP(A149,Avaluacio[],COLUMN(Avaluacio[Contingut]),FALSE),"")</f>
        <v>Sí</v>
      </c>
      <c r="G149" s="28" t="str">
        <f t="array" ref="G149">IFERROR(VLOOKUP(A149,Avaluacio[],COLUMN(Avaluacio[Actualització]),FALSE),"")</f>
        <v>Sí</v>
      </c>
      <c r="H149" s="28" t="str">
        <f t="array" ref="H149">IFERROR(VLOOKUP(A149,Avaluacio[#Data],COLUMN(Avaluacio[Grau de compliment]),FALSE),"")</f>
        <v>Compleix totalment</v>
      </c>
    </row>
    <row r="150" spans="1:8" ht="30" customHeight="1" x14ac:dyDescent="0.25">
      <c r="A150" s="28" t="str">
        <f t="array" ref="A150">IFERROR(INDEX(Avaluacio[Codi ítem],(MATCH(0,INDEX(COUNTIF($A$108:A149,Avaluacio[Codi ítem]),0,0)+INDEX(Avaluacio[Avaluable]="No",0,0),0))),"")</f>
        <v>XGO043</v>
      </c>
      <c r="B150" s="64" t="str">
        <f t="array" ref="B150">IFERROR(VLOOKUP(A150,Avaluacio[#Data],COLUMN(Avaluacio[Ítem]),FALSE),"")</f>
        <v>Codi de conducta dels grups d'interès</v>
      </c>
      <c r="C150" s="64"/>
      <c r="D150" s="64"/>
      <c r="E150" s="64"/>
      <c r="F150" s="28" t="str">
        <f t="array" ref="F150">IFERROR(VLOOKUP(A150,Avaluacio[],COLUMN(Avaluacio[Contingut]),FALSE),"")</f>
        <v>Sí</v>
      </c>
      <c r="G150" s="28" t="str">
        <f t="array" ref="G150">IFERROR(VLOOKUP(A150,Avaluacio[],COLUMN(Avaluacio[Actualització]),FALSE),"")</f>
        <v>Sí</v>
      </c>
      <c r="H150" s="28" t="str">
        <f t="array" ref="H150">IFERROR(VLOOKUP(A150,Avaluacio[#Data],COLUMN(Avaluacio[Grau de compliment]),FALSE),"")</f>
        <v>Compleix totalment</v>
      </c>
    </row>
    <row r="151" spans="1:8" ht="30" customHeight="1" x14ac:dyDescent="0.25">
      <c r="A151" s="28" t="str">
        <f t="array" ref="A151">IFERROR(INDEX(Avaluacio[Codi ítem],(MATCH(0,INDEX(COUNTIF($A$108:A150,Avaluacio[Codi ítem]),0,0)+INDEX(Avaluacio[Avaluable]="No",0,0),0))),"")</f>
        <v>XGO044</v>
      </c>
      <c r="B151" s="64" t="str">
        <f t="array" ref="B151">IFERROR(VLOOKUP(A151,Avaluacio[#Data],COLUMN(Avaluacio[Ítem]),FALSE),"")</f>
        <v>Comissió antifrau</v>
      </c>
      <c r="C151" s="64"/>
      <c r="D151" s="64"/>
      <c r="E151" s="64"/>
      <c r="F151" s="28" t="str">
        <f t="array" ref="F151">IFERROR(VLOOKUP(A151,Avaluacio[],COLUMN(Avaluacio[Contingut]),FALSE),"")</f>
        <v>Sí</v>
      </c>
      <c r="G151" s="28" t="str">
        <f t="array" ref="G151">IFERROR(VLOOKUP(A151,Avaluacio[],COLUMN(Avaluacio[Actualització]),FALSE),"")</f>
        <v>Sí</v>
      </c>
      <c r="H151" s="28" t="str">
        <f t="array" ref="H151">IFERROR(VLOOKUP(A151,Avaluacio[#Data],COLUMN(Avaluacio[Grau de compliment]),FALSE),"")</f>
        <v>Compleix totalment</v>
      </c>
    </row>
    <row r="152" spans="1:8" ht="30" customHeight="1" x14ac:dyDescent="0.25">
      <c r="A152" s="28" t="str">
        <f t="array" ref="A152">IFERROR(INDEX(Avaluacio[Codi ítem],(MATCH(0,INDEX(COUNTIF($A$108:A151,Avaluacio[Codi ítem]),0,0)+INDEX(Avaluacio[Avaluable]="No",0,0),0))),"")</f>
        <v>XGO045</v>
      </c>
      <c r="B152" s="64" t="str">
        <f t="array" ref="B152">IFERROR(VLOOKUP(A152,Avaluacio[#Data],COLUMN(Avaluacio[Ítem]),FALSE),"")</f>
        <v>Codi de conducta dels alts càrrecs i de bon govern</v>
      </c>
      <c r="C152" s="64"/>
      <c r="D152" s="64"/>
      <c r="E152" s="64"/>
      <c r="F152" s="28" t="str">
        <f t="array" ref="F152">IFERROR(VLOOKUP(A152,Avaluacio[],COLUMN(Avaluacio[Contingut]),FALSE),"")</f>
        <v>Sí</v>
      </c>
      <c r="G152" s="28" t="str">
        <f t="array" ref="G152">IFERROR(VLOOKUP(A152,Avaluacio[],COLUMN(Avaluacio[Actualització]),FALSE),"")</f>
        <v>Sí</v>
      </c>
      <c r="H152" s="28" t="str">
        <f t="array" ref="H152">IFERROR(VLOOKUP(A152,Avaluacio[#Data],COLUMN(Avaluacio[Grau de compliment]),FALSE),"")</f>
        <v>Compleix totalment</v>
      </c>
    </row>
    <row r="153" spans="1:8" ht="30" customHeight="1" x14ac:dyDescent="0.25">
      <c r="A153" s="28" t="str">
        <f t="array" ref="A153">IFERROR(INDEX(Avaluacio[Codi ítem],(MATCH(0,INDEX(COUNTIF($A$108:A152,Avaluacio[Codi ítem]),0,0)+INDEX(Avaluacio[Avaluable]="No",0,0),0))),"")</f>
        <v>XGO046</v>
      </c>
      <c r="B153" s="64" t="str">
        <f t="array" ref="B153">IFERROR(VLOOKUP(A153,Avaluacio[#Data],COLUMN(Avaluacio[Ítem]),FALSE),"")</f>
        <v>Actes de ple</v>
      </c>
      <c r="C153" s="64"/>
      <c r="D153" s="64"/>
      <c r="E153" s="64"/>
      <c r="F153" s="28" t="str">
        <f t="array" ref="F153">IFERROR(VLOOKUP(A153,Avaluacio[],COLUMN(Avaluacio[Contingut]),FALSE),"")</f>
        <v>Sí</v>
      </c>
      <c r="G153" s="28" t="str">
        <f t="array" ref="G153">IFERROR(VLOOKUP(A153,Avaluacio[],COLUMN(Avaluacio[Actualització]),FALSE),"")</f>
        <v>Sí</v>
      </c>
      <c r="H153" s="28" t="str">
        <f t="array" ref="H153">IFERROR(VLOOKUP(A153,Avaluacio[#Data],COLUMN(Avaluacio[Grau de compliment]),FALSE),"")</f>
        <v>Compleix totalment</v>
      </c>
    </row>
    <row r="154" spans="1:8" ht="30" customHeight="1" x14ac:dyDescent="0.25">
      <c r="A154" s="28" t="str">
        <f t="array" ref="A154">IFERROR(INDEX(Avaluacio[Codi ítem],(MATCH(0,INDEX(COUNTIF($A$108:A153,Avaluacio[Codi ítem]),0,0)+INDEX(Avaluacio[Avaluable]="No",0,0),0))),"")</f>
        <v>XGO047</v>
      </c>
      <c r="B154" s="64" t="str">
        <f t="array" ref="B154">IFERROR(VLOOKUP(A154,Avaluacio[#Data],COLUMN(Avaluacio[Ítem]),FALSE),"")</f>
        <v>Acords de junta de govern</v>
      </c>
      <c r="C154" s="64"/>
      <c r="D154" s="64"/>
      <c r="E154" s="64"/>
      <c r="F154" s="28" t="str">
        <f t="array" ref="F154">IFERROR(VLOOKUP(A154,Avaluacio[],COLUMN(Avaluacio[Contingut]),FALSE),"")</f>
        <v>Sí</v>
      </c>
      <c r="G154" s="28" t="str">
        <f t="array" ref="G154">IFERROR(VLOOKUP(A154,Avaluacio[],COLUMN(Avaluacio[Actualització]),FALSE),"")</f>
        <v>Sí</v>
      </c>
      <c r="H154" s="28" t="str">
        <f t="array" ref="H154">IFERROR(VLOOKUP(A154,Avaluacio[#Data],COLUMN(Avaluacio[Grau de compliment]),FALSE),"")</f>
        <v>Compleix totalment</v>
      </c>
    </row>
    <row r="155" spans="1:8" ht="30" customHeight="1" x14ac:dyDescent="0.25">
      <c r="A155" s="28" t="str">
        <f t="array" ref="A155">IFERROR(INDEX(Avaluacio[Codi ítem],(MATCH(0,INDEX(COUNTIF($A$108:A154,Avaluacio[Codi ítem]),0,0)+INDEX(Avaluacio[Avaluable]="No",0,0),0))),"")</f>
        <v>XGO048</v>
      </c>
      <c r="B155" s="64" t="str">
        <f t="array" ref="B155">IFERROR(VLOOKUP(A155,Avaluacio[#Data],COLUMN(Avaluacio[Ítem]),FALSE),"")</f>
        <v>Acords d'òrgans de govern</v>
      </c>
      <c r="C155" s="64"/>
      <c r="D155" s="64"/>
      <c r="E155" s="64"/>
      <c r="F155" s="28" t="str">
        <f t="array" ref="F155">IFERROR(VLOOKUP(A155,Avaluacio[],COLUMN(Avaluacio[Contingut]),FALSE),"")</f>
        <v>No</v>
      </c>
      <c r="G155" s="28" t="str">
        <f t="array" ref="G155">IFERROR(VLOOKUP(A155,Avaluacio[],COLUMN(Avaluacio[Actualització]),FALSE),"")</f>
        <v>No</v>
      </c>
      <c r="H155" s="28" t="str">
        <f t="array" ref="H155">IFERROR(VLOOKUP(A155,Avaluacio[#Data],COLUMN(Avaluacio[Grau de compliment]),FALSE),"")</f>
        <v>No compleix</v>
      </c>
    </row>
    <row r="156" spans="1:8" ht="30" customHeight="1" x14ac:dyDescent="0.25">
      <c r="A156" s="28" t="str">
        <f t="array" ref="A156">IFERROR(INDEX(Avaluacio[Codi ítem],(MATCH(0,INDEX(COUNTIF($A$108:A155,Avaluacio[Codi ítem]),0,0)+INDEX(Avaluacio[Avaluable]="No",0,0),0))),"")</f>
        <v>XGO049</v>
      </c>
      <c r="B156" s="64" t="str">
        <f t="array" ref="B156">IFERROR(VLOOKUP(A156,Avaluacio[#Data],COLUMN(Avaluacio[Ítem]),FALSE),"")</f>
        <v>Resolucions i decrets</v>
      </c>
      <c r="C156" s="64"/>
      <c r="D156" s="64"/>
      <c r="E156" s="64"/>
      <c r="F156" s="28" t="str">
        <f t="array" ref="F156">IFERROR(VLOOKUP(A156,Avaluacio[],COLUMN(Avaluacio[Contingut]),FALSE),"")</f>
        <v>Sí</v>
      </c>
      <c r="G156" s="28" t="str">
        <f t="array" ref="G156">IFERROR(VLOOKUP(A156,Avaluacio[],COLUMN(Avaluacio[Actualització]),FALSE),"")</f>
        <v>Sí</v>
      </c>
      <c r="H156" s="28" t="str">
        <f t="array" ref="H156">IFERROR(VLOOKUP(A156,Avaluacio[#Data],COLUMN(Avaluacio[Grau de compliment]),FALSE),"")</f>
        <v>Compleix totalment</v>
      </c>
    </row>
    <row r="157" spans="1:8" ht="30" customHeight="1" x14ac:dyDescent="0.25">
      <c r="A157" s="28" t="str">
        <f t="array" ref="A157">IFERROR(INDEX(Avaluacio[Codi ítem],(MATCH(0,INDEX(COUNTIF($A$108:A156,Avaluacio[Codi ítem]),0,0)+INDEX(Avaluacio[Avaluable]="No",0,0),0))),"")</f>
        <v>XGO050</v>
      </c>
      <c r="B157" s="64" t="str">
        <f t="array" ref="B157">IFERROR(VLOOKUP(A157,Avaluacio[#Data],COLUMN(Avaluacio[Ítem]),FALSE),"")</f>
        <v>Tauler d'edictes i anuncis</v>
      </c>
      <c r="C157" s="64"/>
      <c r="D157" s="64"/>
      <c r="E157" s="64"/>
      <c r="F157" s="28" t="str">
        <f t="array" ref="F157">IFERROR(VLOOKUP(A157,Avaluacio[],COLUMN(Avaluacio[Contingut]),FALSE),"")</f>
        <v>Sí</v>
      </c>
      <c r="G157" s="28" t="str">
        <f t="array" ref="G157">IFERROR(VLOOKUP(A157,Avaluacio[],COLUMN(Avaluacio[Actualització]),FALSE),"")</f>
        <v>Sí</v>
      </c>
      <c r="H157" s="28" t="str">
        <f t="array" ref="H157">IFERROR(VLOOKUP(A157,Avaluacio[#Data],COLUMN(Avaluacio[Grau de compliment]),FALSE),"")</f>
        <v>Compleix totalment</v>
      </c>
    </row>
    <row r="158" spans="1:8" ht="30" customHeight="1" x14ac:dyDescent="0.25">
      <c r="A158" s="28" t="str">
        <f t="array" ref="A158">IFERROR(INDEX(Avaluacio[Codi ítem],(MATCH(0,INDEX(COUNTIF($A$108:A157,Avaluacio[Codi ítem]),0,0)+INDEX(Avaluacio[Avaluable]="No",0,0),0))),"")</f>
        <v>XGO051</v>
      </c>
      <c r="B158" s="64" t="str">
        <f t="array" ref="B158">IFERROR(VLOOKUP(A158,Avaluacio[#Data],COLUMN(Avaluacio[Ítem]),FALSE),"")</f>
        <v>Convocatòries de sessions del ple</v>
      </c>
      <c r="C158" s="64"/>
      <c r="D158" s="64"/>
      <c r="E158" s="64"/>
      <c r="F158" s="28" t="str">
        <f t="array" ref="F158">IFERROR(VLOOKUP(A158,Avaluacio[],COLUMN(Avaluacio[Contingut]),FALSE),"")</f>
        <v>Sí</v>
      </c>
      <c r="G158" s="28" t="str">
        <f t="array" ref="G158">IFERROR(VLOOKUP(A158,Avaluacio[],COLUMN(Avaluacio[Actualització]),FALSE),"")</f>
        <v>Sí</v>
      </c>
      <c r="H158" s="28" t="str">
        <f t="array" ref="H158">IFERROR(VLOOKUP(A158,Avaluacio[#Data],COLUMN(Avaluacio[Grau de compliment]),FALSE),"")</f>
        <v>Compleix totalment</v>
      </c>
    </row>
    <row r="159" spans="1:8" ht="30" customHeight="1" x14ac:dyDescent="0.25">
      <c r="A159" s="28" t="str">
        <f t="array" ref="A159">IFERROR(INDEX(Avaluacio[Codi ítem],(MATCH(0,INDEX(COUNTIF($A$108:A158,Avaluacio[Codi ítem]),0,0)+INDEX(Avaluacio[Avaluable]="No",0,0),0))),"")</f>
        <v>XGO052</v>
      </c>
      <c r="B159" s="64" t="str">
        <f t="array" ref="B159">IFERROR(VLOOKUP(A159,Avaluacio[#Data],COLUMN(Avaluacio[Ítem]),FALSE),"")</f>
        <v>Actes administratius amb incidència al domini públic i als serveis públics</v>
      </c>
      <c r="C159" s="64"/>
      <c r="D159" s="64"/>
      <c r="E159" s="64"/>
      <c r="F159" s="28" t="str">
        <f t="array" ref="F159">IFERROR(VLOOKUP(A159,Avaluacio[],COLUMN(Avaluacio[Contingut]),FALSE),"")</f>
        <v>Sí</v>
      </c>
      <c r="G159" s="28" t="str">
        <f t="array" ref="G159">IFERROR(VLOOKUP(A159,Avaluacio[],COLUMN(Avaluacio[Actualització]),FALSE),"")</f>
        <v>Sí</v>
      </c>
      <c r="H159" s="28" t="str">
        <f t="array" ref="H159">IFERROR(VLOOKUP(A159,Avaluacio[#Data],COLUMN(Avaluacio[Grau de compliment]),FALSE),"")</f>
        <v>Compleix totalment</v>
      </c>
    </row>
    <row r="160" spans="1:8" ht="30" customHeight="1" x14ac:dyDescent="0.25">
      <c r="A160" s="28" t="str">
        <f t="array" ref="A160">IFERROR(INDEX(Avaluacio[Codi ítem],(MATCH(0,INDEX(COUNTIF($A$108:A159,Avaluacio[Codi ítem]),0,0)+INDEX(Avaluacio[Avaluable]="No",0,0),0))),"")</f>
        <v>XGO053</v>
      </c>
      <c r="B160" s="64" t="str">
        <f t="array" ref="B160">IFERROR(VLOOKUP(A160,Avaluacio[#Data],COLUMN(Avaluacio[Ítem]),FALSE),"")</f>
        <v>Actes objecte de revisió en via administrativa</v>
      </c>
      <c r="C160" s="64"/>
      <c r="D160" s="64"/>
      <c r="E160" s="64"/>
      <c r="F160" s="28" t="str">
        <f t="array" ref="F160">IFERROR(VLOOKUP(A160,Avaluacio[],COLUMN(Avaluacio[Contingut]),FALSE),"")</f>
        <v>No</v>
      </c>
      <c r="G160" s="28" t="str">
        <f t="array" ref="G160">IFERROR(VLOOKUP(A160,Avaluacio[],COLUMN(Avaluacio[Actualització]),FALSE),"")</f>
        <v>No</v>
      </c>
      <c r="H160" s="28" t="str">
        <f t="array" ref="H160">IFERROR(VLOOKUP(A160,Avaluacio[#Data],COLUMN(Avaluacio[Grau de compliment]),FALSE),"")</f>
        <v>No compleix</v>
      </c>
    </row>
    <row r="161" spans="1:8" ht="30" customHeight="1" x14ac:dyDescent="0.25">
      <c r="A161" s="28" t="str">
        <f t="array" ref="A161">IFERROR(INDEX(Avaluacio[Codi ítem],(MATCH(0,INDEX(COUNTIF($A$108:A160,Avaluacio[Codi ítem]),0,0)+INDEX(Avaluacio[Avaluable]="No",0,0),0))),"")</f>
        <v>XGO054</v>
      </c>
      <c r="B161" s="64" t="str">
        <f t="array" ref="B161">IFERROR(VLOOKUP(A161,Avaluacio[#Data],COLUMN(Avaluacio[Ítem]),FALSE),"")</f>
        <v>Resolucions administratives i judicials rellevants</v>
      </c>
      <c r="C161" s="64"/>
      <c r="D161" s="64"/>
      <c r="E161" s="64"/>
      <c r="F161" s="28" t="str">
        <f t="array" ref="F161">IFERROR(VLOOKUP(A161,Avaluacio[],COLUMN(Avaluacio[Contingut]),FALSE),"")</f>
        <v>Sí</v>
      </c>
      <c r="G161" s="28" t="str">
        <f t="array" ref="G161">IFERROR(VLOOKUP(A161,Avaluacio[],COLUMN(Avaluacio[Actualització]),FALSE),"")</f>
        <v>Sí</v>
      </c>
      <c r="H161" s="28" t="str">
        <f t="array" ref="H161">IFERROR(VLOOKUP(A161,Avaluacio[#Data],COLUMN(Avaluacio[Grau de compliment]),FALSE),"")</f>
        <v>Compleix totalment</v>
      </c>
    </row>
    <row r="162" spans="1:8" ht="30" customHeight="1" x14ac:dyDescent="0.25">
      <c r="A162" s="28" t="str">
        <f t="array" ref="A162">IFERROR(INDEX(Avaluacio[Codi ítem],(MATCH(0,INDEX(COUNTIF($A$108:A161,Avaluacio[Codi ítem]),0,0)+INDEX(Avaluacio[Avaluable]="No",0,0),0))),"")</f>
        <v>XGO055</v>
      </c>
      <c r="B162" s="64" t="str">
        <f t="array" ref="B162">IFERROR(VLOOKUP(A162,Avaluacio[#Data],COLUMN(Avaluacio[Ítem]),FALSE),"")</f>
        <v>Dictàmens de la Comissió Jurídica Assessora i altres òrgans consultius</v>
      </c>
      <c r="C162" s="64"/>
      <c r="D162" s="64"/>
      <c r="E162" s="64"/>
      <c r="F162" s="28" t="str">
        <f t="array" ref="F162">IFERROR(VLOOKUP(A162,Avaluacio[],COLUMN(Avaluacio[Contingut]),FALSE),"")</f>
        <v>Sí</v>
      </c>
      <c r="G162" s="28" t="str">
        <f t="array" ref="G162">IFERROR(VLOOKUP(A162,Avaluacio[],COLUMN(Avaluacio[Actualització]),FALSE),"")</f>
        <v>Sí</v>
      </c>
      <c r="H162" s="28" t="str">
        <f t="array" ref="H162">IFERROR(VLOOKUP(A162,Avaluacio[#Data],COLUMN(Avaluacio[Grau de compliment]),FALSE),"")</f>
        <v>Compleix totalment</v>
      </c>
    </row>
    <row r="163" spans="1:8" ht="30" customHeight="1" x14ac:dyDescent="0.25">
      <c r="A163" s="28" t="str">
        <f t="array" ref="A163">IFERROR(INDEX(Avaluacio[Codi ítem],(MATCH(0,INDEX(COUNTIF($A$108:A162,Avaluacio[Codi ítem]),0,0)+INDEX(Avaluacio[Avaluable]="No",0,0),0))),"")</f>
        <v>XGO056</v>
      </c>
      <c r="B163" s="64" t="str">
        <f t="array" ref="B163">IFERROR(VLOOKUP(A163,Avaluacio[#Data],COLUMN(Avaluacio[Ítem]),FALSE),"")</f>
        <v>Notícies i opinions sobre les actuacions de govern i de l'oposició</v>
      </c>
      <c r="C163" s="64"/>
      <c r="D163" s="64"/>
      <c r="E163" s="64"/>
      <c r="F163" s="28" t="str">
        <f t="array" ref="F163">IFERROR(VLOOKUP(A163,Avaluacio[],COLUMN(Avaluacio[Contingut]),FALSE),"")</f>
        <v>Sí</v>
      </c>
      <c r="G163" s="28" t="str">
        <f t="array" ref="G163">IFERROR(VLOOKUP(A163,Avaluacio[],COLUMN(Avaluacio[Actualització]),FALSE),"")</f>
        <v>Sí</v>
      </c>
      <c r="H163" s="28" t="str">
        <f t="array" ref="H163">IFERROR(VLOOKUP(A163,Avaluacio[#Data],COLUMN(Avaluacio[Grau de compliment]),FALSE),"")</f>
        <v>Compleix totalment</v>
      </c>
    </row>
    <row r="164" spans="1:8" ht="30" customHeight="1" x14ac:dyDescent="0.25">
      <c r="A164" s="28" t="str">
        <f t="array" ref="A164">IFERROR(INDEX(Avaluacio[Codi ítem],(MATCH(0,INDEX(COUNTIF($A$108:A163,Avaluacio[Codi ítem]),0,0)+INDEX(Avaluacio[Avaluable]="No",0,0),0))),"")</f>
        <v>XGO057</v>
      </c>
      <c r="B164" s="64" t="str">
        <f t="array" ref="B164">IFERROR(VLOOKUP(A164,Avaluacio[#Data],COLUMN(Avaluacio[Ítem]),FALSE),"")</f>
        <v>Opinions i propostes dels grups municipals</v>
      </c>
      <c r="C164" s="64"/>
      <c r="D164" s="64"/>
      <c r="E164" s="64"/>
      <c r="F164" s="28" t="str">
        <f t="array" ref="F164">IFERROR(VLOOKUP(A164,Avaluacio[],COLUMN(Avaluacio[Contingut]),FALSE),"")</f>
        <v>Sí</v>
      </c>
      <c r="G164" s="28" t="str">
        <f t="array" ref="G164">IFERROR(VLOOKUP(A164,Avaluacio[],COLUMN(Avaluacio[Actualització]),FALSE),"")</f>
        <v>Sí</v>
      </c>
      <c r="H164" s="28" t="str">
        <f t="array" ref="H164">IFERROR(VLOOKUP(A164,Avaluacio[#Data],COLUMN(Avaluacio[Grau de compliment]),FALSE),"")</f>
        <v>Compleix totalment</v>
      </c>
    </row>
    <row r="165" spans="1:8" ht="30" customHeight="1" x14ac:dyDescent="0.25">
      <c r="A165" s="28" t="str">
        <f t="array" ref="A165">IFERROR(INDEX(Avaluacio[Codi ítem],(MATCH(0,INDEX(COUNTIF($A$108:A164,Avaluacio[Codi ítem]),0,0)+INDEX(Avaluacio[Avaluable]="No",0,0),0))),"")</f>
        <v>XGO058</v>
      </c>
      <c r="B165" s="64" t="str">
        <f t="array" ref="B165">IFERROR(VLOOKUP(A165,Avaluacio[#Data],COLUMN(Avaluacio[Ítem]),FALSE),"")</f>
        <v>Resolucions de les sol·licituds d’accés a la informació pública</v>
      </c>
      <c r="C165" s="64"/>
      <c r="D165" s="64"/>
      <c r="E165" s="64"/>
      <c r="F165" s="28" t="str">
        <f t="array" ref="F165">IFERROR(VLOOKUP(A165,Avaluacio[],COLUMN(Avaluacio[Contingut]),FALSE),"")</f>
        <v>Sí</v>
      </c>
      <c r="G165" s="28" t="str">
        <f t="array" ref="G165">IFERROR(VLOOKUP(A165,Avaluacio[],COLUMN(Avaluacio[Actualització]),FALSE),"")</f>
        <v>Sí</v>
      </c>
      <c r="H165" s="28" t="str">
        <f t="array" ref="H165">IFERROR(VLOOKUP(A165,Avaluacio[#Data],COLUMN(Avaluacio[Grau de compliment]),FALSE),"")</f>
        <v>Compleix totalment</v>
      </c>
    </row>
    <row r="166" spans="1:8" ht="30" customHeight="1" x14ac:dyDescent="0.25">
      <c r="A166" s="28" t="str">
        <f t="array" ref="A166">IFERROR(INDEX(Avaluacio[Codi ítem],(MATCH(0,INDEX(COUNTIF($A$108:A165,Avaluacio[Codi ítem]),0,0)+INDEX(Avaluacio[Avaluable]="No",0,0),0))),"")</f>
        <v>XGO059</v>
      </c>
      <c r="B166" s="64" t="str">
        <f t="array" ref="B166">IFERROR(VLOOKUP(A166,Avaluacio[#Data],COLUMN(Avaluacio[Ítem]),FALSE),"")</f>
        <v>Estatuts</v>
      </c>
      <c r="C166" s="64"/>
      <c r="D166" s="64"/>
      <c r="E166" s="64"/>
      <c r="F166" s="28" t="str">
        <f t="array" ref="F166">IFERROR(VLOOKUP(A166,Avaluacio[],COLUMN(Avaluacio[Contingut]),FALSE),"")</f>
        <v>Sí</v>
      </c>
      <c r="G166" s="28" t="str">
        <f t="array" ref="G166">IFERROR(VLOOKUP(A166,Avaluacio[],COLUMN(Avaluacio[Actualització]),FALSE),"")</f>
        <v>Sí</v>
      </c>
      <c r="H166" s="28" t="str">
        <f t="array" ref="H166">IFERROR(VLOOKUP(A166,Avaluacio[#Data],COLUMN(Avaluacio[Grau de compliment]),FALSE),"")</f>
        <v>Compleix totalment</v>
      </c>
    </row>
    <row r="167" spans="1:8" ht="30" customHeight="1" x14ac:dyDescent="0.25">
      <c r="A167" s="28" t="str">
        <f t="array" ref="A167">IFERROR(INDEX(Avaluacio[Codi ítem],(MATCH(0,INDEX(COUNTIF($A$108:A166,Avaluacio[Codi ítem]),0,0)+INDEX(Avaluacio[Avaluable]="No",0,0),0))),"")</f>
        <v>XGO060</v>
      </c>
      <c r="B167" s="64" t="str">
        <f t="array" ref="B167">IFERROR(VLOOKUP(A167,Avaluacio[#Data],COLUMN(Avaluacio[Ítem]),FALSE),"")</f>
        <v>Ordenances reguladores i reglaments</v>
      </c>
      <c r="C167" s="64"/>
      <c r="D167" s="64"/>
      <c r="E167" s="64"/>
      <c r="F167" s="28" t="str">
        <f t="array" ref="F167">IFERROR(VLOOKUP(A167,Avaluacio[],COLUMN(Avaluacio[Contingut]),FALSE),"")</f>
        <v>Sí</v>
      </c>
      <c r="G167" s="28" t="str">
        <f t="array" ref="G167">IFERROR(VLOOKUP(A167,Avaluacio[],COLUMN(Avaluacio[Actualització]),FALSE),"")</f>
        <v>Sí</v>
      </c>
      <c r="H167" s="28" t="str">
        <f t="array" ref="H167">IFERROR(VLOOKUP(A167,Avaluacio[#Data],COLUMN(Avaluacio[Grau de compliment]),FALSE),"")</f>
        <v>Compleix totalment</v>
      </c>
    </row>
    <row r="168" spans="1:8" ht="30" customHeight="1" x14ac:dyDescent="0.25">
      <c r="A168" s="28" t="str">
        <f t="array" ref="A168">IFERROR(INDEX(Avaluacio[Codi ítem],(MATCH(0,INDEX(COUNTIF($A$108:A167,Avaluacio[Codi ítem]),0,0)+INDEX(Avaluacio[Avaluable]="No",0,0),0))),"")</f>
        <v>XGO061</v>
      </c>
      <c r="B168" s="64" t="str">
        <f t="array" ref="B168">IFERROR(VLOOKUP(A168,Avaluacio[#Data],COLUMN(Avaluacio[Ítem]),FALSE),"")</f>
        <v>Ordenances fiscals</v>
      </c>
      <c r="C168" s="64"/>
      <c r="D168" s="64"/>
      <c r="E168" s="64"/>
      <c r="F168" s="28" t="str">
        <f t="array" ref="F168">IFERROR(VLOOKUP(A168,Avaluacio[],COLUMN(Avaluacio[Contingut]),FALSE),"")</f>
        <v>Sí</v>
      </c>
      <c r="G168" s="28" t="str">
        <f t="array" ref="G168">IFERROR(VLOOKUP(A168,Avaluacio[],COLUMN(Avaluacio[Actualització]),FALSE),"")</f>
        <v>Sí</v>
      </c>
      <c r="H168" s="28" t="str">
        <f t="array" ref="H168">IFERROR(VLOOKUP(A168,Avaluacio[#Data],COLUMN(Avaluacio[Grau de compliment]),FALSE),"")</f>
        <v>Compleix totalment</v>
      </c>
    </row>
    <row r="169" spans="1:8" ht="30" customHeight="1" x14ac:dyDescent="0.25">
      <c r="A169" s="28" t="str">
        <f t="array" ref="A169">IFERROR(INDEX(Avaluacio[Codi ítem],(MATCH(0,INDEX(COUNTIF($A$108:A168,Avaluacio[Codi ítem]),0,0)+INDEX(Avaluacio[Avaluable]="No",0,0),0))),"")</f>
        <v>XGO062</v>
      </c>
      <c r="B169" s="64" t="str">
        <f t="array" ref="B169">IFERROR(VLOOKUP(A169,Avaluacio[#Data],COLUMN(Avaluacio[Ítem]),FALSE),"")</f>
        <v>Plecs de clàusules generals</v>
      </c>
      <c r="C169" s="64"/>
      <c r="D169" s="64"/>
      <c r="E169" s="64"/>
      <c r="F169" s="28" t="str">
        <f t="array" ref="F169">IFERROR(VLOOKUP(A169,Avaluacio[],COLUMN(Avaluacio[Contingut]),FALSE),"")</f>
        <v>No</v>
      </c>
      <c r="G169" s="28" t="str">
        <f t="array" ref="G169">IFERROR(VLOOKUP(A169,Avaluacio[],COLUMN(Avaluacio[Actualització]),FALSE),"")</f>
        <v>No</v>
      </c>
      <c r="H169" s="28" t="str">
        <f t="array" ref="H169">IFERROR(VLOOKUP(A169,Avaluacio[#Data],COLUMN(Avaluacio[Grau de compliment]),FALSE),"")</f>
        <v>No compleix</v>
      </c>
    </row>
    <row r="170" spans="1:8" ht="30" customHeight="1" x14ac:dyDescent="0.25">
      <c r="A170" s="28" t="str">
        <f t="array" ref="A170">IFERROR(INDEX(Avaluacio[Codi ítem],(MATCH(0,INDEX(COUNTIF($A$108:A169,Avaluacio[Codi ítem]),0,0)+INDEX(Avaluacio[Avaluable]="No",0,0),0))),"")</f>
        <v>XGO063</v>
      </c>
      <c r="B170" s="64" t="str">
        <f t="array" ref="B170">IFERROR(VLOOKUP(A170,Avaluacio[#Data],COLUMN(Avaluacio[Ítem]),FALSE),"")</f>
        <v>Directives, instruccions, circulars i respostes a consultes sobre les normes</v>
      </c>
      <c r="C170" s="64"/>
      <c r="D170" s="64"/>
      <c r="E170" s="64"/>
      <c r="F170" s="28" t="str">
        <f t="array" ref="F170">IFERROR(VLOOKUP(A170,Avaluacio[],COLUMN(Avaluacio[Contingut]),FALSE),"")</f>
        <v>Sí</v>
      </c>
      <c r="G170" s="28" t="str">
        <f t="array" ref="G170">IFERROR(VLOOKUP(A170,Avaluacio[],COLUMN(Avaluacio[Actualització]),FALSE),"")</f>
        <v>Sí</v>
      </c>
      <c r="H170" s="28" t="str">
        <f t="array" ref="H170">IFERROR(VLOOKUP(A170,Avaluacio[#Data],COLUMN(Avaluacio[Grau de compliment]),FALSE),"")</f>
        <v>Compleix totalment</v>
      </c>
    </row>
    <row r="171" spans="1:8" ht="30" customHeight="1" x14ac:dyDescent="0.25">
      <c r="A171" s="28" t="str">
        <f t="array" ref="A171">IFERROR(INDEX(Avaluacio[Codi ítem],(MATCH(0,INDEX(COUNTIF($A$108:A170,Avaluacio[Codi ítem]),0,0)+INDEX(Avaluacio[Avaluable]="No",0,0),0))),"")</f>
        <v>XGO064</v>
      </c>
      <c r="B171" s="64" t="str">
        <f t="array" ref="B171">IFERROR(VLOOKUP(A171,Avaluacio[#Data],COLUMN(Avaluacio[Ítem]),FALSE),"")</f>
        <v>Memòries i documents dels projectes normatius en curs</v>
      </c>
      <c r="C171" s="64"/>
      <c r="D171" s="64"/>
      <c r="E171" s="64"/>
      <c r="F171" s="28" t="str">
        <f t="array" ref="F171">IFERROR(VLOOKUP(A171,Avaluacio[],COLUMN(Avaluacio[Contingut]),FALSE),"")</f>
        <v>Sí</v>
      </c>
      <c r="G171" s="28" t="str">
        <f t="array" ref="G171">IFERROR(VLOOKUP(A171,Avaluacio[],COLUMN(Avaluacio[Actualització]),FALSE),"")</f>
        <v>Sí</v>
      </c>
      <c r="H171" s="28" t="str">
        <f t="array" ref="H171">IFERROR(VLOOKUP(A171,Avaluacio[#Data],COLUMN(Avaluacio[Grau de compliment]),FALSE),"")</f>
        <v>Compleix totalment</v>
      </c>
    </row>
    <row r="172" spans="1:8" ht="30" customHeight="1" x14ac:dyDescent="0.25">
      <c r="A172" s="28" t="str">
        <f t="array" ref="A172">IFERROR(INDEX(Avaluacio[Codi ítem],(MATCH(0,INDEX(COUNTIF($A$108:A171,Avaluacio[Codi ítem]),0,0)+INDEX(Avaluacio[Avaluable]="No",0,0),0))),"")</f>
        <v>XGO065</v>
      </c>
      <c r="B172" s="64" t="str">
        <f t="array" ref="B172">IFERROR(VLOOKUP(A172,Avaluacio[#Data],COLUMN(Avaluacio[Ítem]),FALSE),"")</f>
        <v>Avaluació de l'aplicació de les normes</v>
      </c>
      <c r="C172" s="64"/>
      <c r="D172" s="64"/>
      <c r="E172" s="64"/>
      <c r="F172" s="28" t="str">
        <f t="array" ref="F172">IFERROR(VLOOKUP(A172,Avaluacio[],COLUMN(Avaluacio[Contingut]),FALSE),"")</f>
        <v>No</v>
      </c>
      <c r="G172" s="28" t="str">
        <f t="array" ref="G172">IFERROR(VLOOKUP(A172,Avaluacio[],COLUMN(Avaluacio[Actualització]),FALSE),"")</f>
        <v>No</v>
      </c>
      <c r="H172" s="28" t="str">
        <f t="array" ref="H172">IFERROR(VLOOKUP(A172,Avaluacio[#Data],COLUMN(Avaluacio[Grau de compliment]),FALSE),"")</f>
        <v>No compleix</v>
      </c>
    </row>
    <row r="173" spans="1:8" ht="30" customHeight="1" x14ac:dyDescent="0.25">
      <c r="A173" s="28" t="str">
        <f t="array" ref="A173">IFERROR(INDEX(Avaluacio[Codi ítem],(MATCH(0,INDEX(COUNTIF($A$108:A172,Avaluacio[Codi ítem]),0,0)+INDEX(Avaluacio[Avaluable]="No",0,0),0))),"")</f>
        <v>XGO066</v>
      </c>
      <c r="B173" s="64" t="str">
        <f t="array" ref="B173">IFERROR(VLOOKUP(A173,Avaluacio[#Data],COLUMN(Avaluacio[Ítem]),FALSE),"")</f>
        <v>Plans i programes destacats sobre les polítiques públiques</v>
      </c>
      <c r="C173" s="64"/>
      <c r="D173" s="64"/>
      <c r="E173" s="64"/>
      <c r="F173" s="28" t="str">
        <f t="array" ref="F173">IFERROR(VLOOKUP(A173,Avaluacio[],COLUMN(Avaluacio[Contingut]),FALSE),"")</f>
        <v>Sí</v>
      </c>
      <c r="G173" s="28" t="str">
        <f t="array" ref="G173">IFERROR(VLOOKUP(A173,Avaluacio[],COLUMN(Avaluacio[Actualització]),FALSE),"")</f>
        <v>Sí</v>
      </c>
      <c r="H173" s="28" t="str">
        <f t="array" ref="H173">IFERROR(VLOOKUP(A173,Avaluacio[#Data],COLUMN(Avaluacio[Grau de compliment]),FALSE),"")</f>
        <v>Compleix totalment</v>
      </c>
    </row>
    <row r="174" spans="1:8" ht="30" customHeight="1" x14ac:dyDescent="0.25">
      <c r="A174" s="28" t="str">
        <f t="array" ref="A174">IFERROR(INDEX(Avaluacio[Codi ítem],(MATCH(0,INDEX(COUNTIF($A$108:A173,Avaluacio[Codi ítem]),0,0)+INDEX(Avaluacio[Avaluable]="No",0,0),0))),"")</f>
        <v>XGO067</v>
      </c>
      <c r="B174" s="64" t="str">
        <f t="array" ref="B174">IFERROR(VLOOKUP(A174,Avaluacio[#Data],COLUMN(Avaluacio[Ítem]),FALSE),"")</f>
        <v>Pla anual normatiu</v>
      </c>
      <c r="C174" s="64"/>
      <c r="D174" s="64"/>
      <c r="E174" s="64"/>
      <c r="F174" s="28" t="str">
        <f t="array" ref="F174">IFERROR(VLOOKUP(A174,Avaluacio[],COLUMN(Avaluacio[Contingut]),FALSE),"")</f>
        <v>No</v>
      </c>
      <c r="G174" s="28" t="str">
        <f t="array" ref="G174">IFERROR(VLOOKUP(A174,Avaluacio[],COLUMN(Avaluacio[Actualització]),FALSE),"")</f>
        <v>No</v>
      </c>
      <c r="H174" s="28" t="str">
        <f t="array" ref="H174">IFERROR(VLOOKUP(A174,Avaluacio[#Data],COLUMN(Avaluacio[Grau de compliment]),FALSE),"")</f>
        <v>No compleix</v>
      </c>
    </row>
    <row r="175" spans="1:8" ht="30" customHeight="1" x14ac:dyDescent="0.25">
      <c r="A175" s="28" t="str">
        <f t="array" ref="A175">IFERROR(INDEX(Avaluacio[Codi ítem],(MATCH(0,INDEX(COUNTIF($A$108:A174,Avaluacio[Codi ítem]),0,0)+INDEX(Avaluacio[Avaluable]="No",0,0),0))),"")</f>
        <v>XGO068</v>
      </c>
      <c r="B175" s="64" t="str">
        <f t="array" ref="B175">IFERROR(VLOOKUP(A175,Avaluacio[#Data],COLUMN(Avaluacio[Ítem]),FALSE),"")</f>
        <v>Calendari i padrons fiscals</v>
      </c>
      <c r="C175" s="64"/>
      <c r="D175" s="64"/>
      <c r="E175" s="64"/>
      <c r="F175" s="28" t="str">
        <f t="array" ref="F175">IFERROR(VLOOKUP(A175,Avaluacio[],COLUMN(Avaluacio[Contingut]),FALSE),"")</f>
        <v>Sí</v>
      </c>
      <c r="G175" s="28" t="str">
        <f t="array" ref="G175">IFERROR(VLOOKUP(A175,Avaluacio[],COLUMN(Avaluacio[Actualització]),FALSE),"")</f>
        <v>Sí</v>
      </c>
      <c r="H175" s="28" t="str">
        <f t="array" ref="H175">IFERROR(VLOOKUP(A175,Avaluacio[#Data],COLUMN(Avaluacio[Grau de compliment]),FALSE),"")</f>
        <v>Compleix totalment</v>
      </c>
    </row>
    <row r="176" spans="1:8" ht="30" customHeight="1" x14ac:dyDescent="0.25">
      <c r="A176" s="28" t="str">
        <f t="array" ref="A176">IFERROR(INDEX(Avaluacio[Codi ítem],(MATCH(0,INDEX(COUNTIF($A$108:A175,Avaluacio[Codi ítem]),0,0)+INDEX(Avaluacio[Avaluable]="No",0,0),0))),"")</f>
        <v>XGO069</v>
      </c>
      <c r="B176" s="64" t="str">
        <f t="array" ref="B176">IFERROR(VLOOKUP(A176,Avaluacio[#Data],COLUMN(Avaluacio[Ítem]),FALSE),"")</f>
        <v>Tipus impositius</v>
      </c>
      <c r="C176" s="64"/>
      <c r="D176" s="64"/>
      <c r="E176" s="64"/>
      <c r="F176" s="28" t="str">
        <f t="array" ref="F176">IFERROR(VLOOKUP(A176,Avaluacio[],COLUMN(Avaluacio[Contingut]),FALSE),"")</f>
        <v>Sí</v>
      </c>
      <c r="G176" s="28" t="str">
        <f t="array" ref="G176">IFERROR(VLOOKUP(A176,Avaluacio[],COLUMN(Avaluacio[Actualització]),FALSE),"")</f>
        <v>Sí</v>
      </c>
      <c r="H176" s="28" t="str">
        <f t="array" ref="H176">IFERROR(VLOOKUP(A176,Avaluacio[#Data],COLUMN(Avaluacio[Grau de compliment]),FALSE),"")</f>
        <v>Compleix totalment</v>
      </c>
    </row>
    <row r="177" spans="1:8" ht="30" customHeight="1" x14ac:dyDescent="0.25">
      <c r="A177" s="28" t="str">
        <f t="array" ref="A177">IFERROR(INDEX(Avaluacio[Codi ítem],(MATCH(0,INDEX(COUNTIF($A$108:A176,Avaluacio[Codi ítem]),0,0)+INDEX(Avaluacio[Avaluable]="No",0,0),0))),"")</f>
        <v>XGO070</v>
      </c>
      <c r="B177" s="64" t="str">
        <f t="array" ref="B177">IFERROR(VLOOKUP(A177,Avaluacio[#Data],COLUMN(Avaluacio[Ítem]),FALSE),"")</f>
        <v>Normativa d'urbanisme</v>
      </c>
      <c r="C177" s="64"/>
      <c r="D177" s="64"/>
      <c r="E177" s="64"/>
      <c r="F177" s="28" t="str">
        <f t="array" ref="F177">IFERROR(VLOOKUP(A177,Avaluacio[],COLUMN(Avaluacio[Contingut]),FALSE),"")</f>
        <v>Sí</v>
      </c>
      <c r="G177" s="28" t="str">
        <f t="array" ref="G177">IFERROR(VLOOKUP(A177,Avaluacio[],COLUMN(Avaluacio[Actualització]),FALSE),"")</f>
        <v>Sí</v>
      </c>
      <c r="H177" s="28" t="str">
        <f t="array" ref="H177">IFERROR(VLOOKUP(A177,Avaluacio[#Data],COLUMN(Avaluacio[Grau de compliment]),FALSE),"")</f>
        <v>Compleix totalment</v>
      </c>
    </row>
    <row r="178" spans="1:8" ht="30" customHeight="1" x14ac:dyDescent="0.25">
      <c r="A178" s="28" t="str">
        <f t="array" ref="A178">IFERROR(INDEX(Avaluacio[Codi ítem],(MATCH(0,INDEX(COUNTIF($A$108:A177,Avaluacio[Codi ítem]),0,0)+INDEX(Avaluacio[Avaluable]="No",0,0),0))),"")</f>
        <v>XGO071</v>
      </c>
      <c r="B178" s="64" t="str">
        <f t="array" ref="B178">IFERROR(VLOOKUP(A178,Avaluacio[#Data],COLUMN(Avaluacio[Ítem]),FALSE),"")</f>
        <v>Planejament urbanístic</v>
      </c>
      <c r="C178" s="64"/>
      <c r="D178" s="64"/>
      <c r="E178" s="64"/>
      <c r="F178" s="28" t="str">
        <f t="array" ref="F178">IFERROR(VLOOKUP(A178,Avaluacio[],COLUMN(Avaluacio[Contingut]),FALSE),"")</f>
        <v>Sí</v>
      </c>
      <c r="G178" s="28" t="str">
        <f t="array" ref="G178">IFERROR(VLOOKUP(A178,Avaluacio[],COLUMN(Avaluacio[Actualització]),FALSE),"")</f>
        <v>Sí</v>
      </c>
      <c r="H178" s="28" t="str">
        <f t="array" ref="H178">IFERROR(VLOOKUP(A178,Avaluacio[#Data],COLUMN(Avaluacio[Grau de compliment]),FALSE),"")</f>
        <v>Compleix totalment</v>
      </c>
    </row>
    <row r="179" spans="1:8" ht="30" customHeight="1" x14ac:dyDescent="0.25">
      <c r="A179" s="28" t="str">
        <f t="array" ref="A179">IFERROR(INDEX(Avaluacio[Codi ítem],(MATCH(0,INDEX(COUNTIF($A$108:A178,Avaluacio[Codi ítem]),0,0)+INDEX(Avaluacio[Avaluable]="No",0,0),0))),"")</f>
        <v>XGO072</v>
      </c>
      <c r="B179" s="64" t="str">
        <f t="array" ref="B179">IFERROR(VLOOKUP(A179,Avaluacio[#Data],COLUMN(Avaluacio[Ítem]),FALSE),"")</f>
        <v>Informació geogràfica d'urbanisme</v>
      </c>
      <c r="C179" s="64"/>
      <c r="D179" s="64"/>
      <c r="E179" s="64"/>
      <c r="F179" s="28" t="str">
        <f t="array" ref="F179">IFERROR(VLOOKUP(A179,Avaluacio[],COLUMN(Avaluacio[Contingut]),FALSE),"")</f>
        <v>Sí</v>
      </c>
      <c r="G179" s="28" t="str">
        <f t="array" ref="G179">IFERROR(VLOOKUP(A179,Avaluacio[],COLUMN(Avaluacio[Actualització]),FALSE),"")</f>
        <v>Sí</v>
      </c>
      <c r="H179" s="28" t="str">
        <f t="array" ref="H179">IFERROR(VLOOKUP(A179,Avaluacio[#Data],COLUMN(Avaluacio[Grau de compliment]),FALSE),"")</f>
        <v>Compleix totalment</v>
      </c>
    </row>
    <row r="180" spans="1:8" ht="30" customHeight="1" x14ac:dyDescent="0.25">
      <c r="A180" s="28" t="str">
        <f t="array" ref="A180">IFERROR(INDEX(Avaluacio[Codi ítem],(MATCH(0,INDEX(COUNTIF($A$108:A179,Avaluacio[Codi ítem]),0,0)+INDEX(Avaluacio[Avaluable]="No",0,0),0))),"")</f>
        <v>XGO073</v>
      </c>
      <c r="B180" s="64" t="str">
        <f t="array" ref="B180">IFERROR(VLOOKUP(A180,Avaluacio[#Data],COLUMN(Avaluacio[Ítem]),FALSE),"")</f>
        <v>Plans territorials d'urbanisme</v>
      </c>
      <c r="C180" s="64"/>
      <c r="D180" s="64"/>
      <c r="E180" s="64"/>
      <c r="F180" s="28" t="str">
        <f t="array" ref="F180">IFERROR(VLOOKUP(A180,Avaluacio[],COLUMN(Avaluacio[Contingut]),FALSE),"")</f>
        <v>Sí</v>
      </c>
      <c r="G180" s="28" t="str">
        <f t="array" ref="G180">IFERROR(VLOOKUP(A180,Avaluacio[],COLUMN(Avaluacio[Actualització]),FALSE),"")</f>
        <v>Sí</v>
      </c>
      <c r="H180" s="28" t="str">
        <f t="array" ref="H180">IFERROR(VLOOKUP(A180,Avaluacio[#Data],COLUMN(Avaluacio[Grau de compliment]),FALSE),"")</f>
        <v>Compleix totalment</v>
      </c>
    </row>
    <row r="181" spans="1:8" ht="30" customHeight="1" x14ac:dyDescent="0.25">
      <c r="A181" s="28" t="str">
        <f t="array" ref="A181">IFERROR(INDEX(Avaluacio[Codi ítem],(MATCH(0,INDEX(COUNTIF($A$108:A180,Avaluacio[Codi ítem]),0,0)+INDEX(Avaluacio[Avaluable]="No",0,0),0))),"")</f>
        <v>XGO074</v>
      </c>
      <c r="B181" s="64" t="str">
        <f t="array" ref="B181">IFERROR(VLOOKUP(A181,Avaluacio[#Data],COLUMN(Avaluacio[Ítem]),FALSE),"")</f>
        <v>Estudis d'impacte ambiental i paisatgístic</v>
      </c>
      <c r="C181" s="64"/>
      <c r="D181" s="64"/>
      <c r="E181" s="64"/>
      <c r="F181" s="28" t="str">
        <f t="array" ref="F181">IFERROR(VLOOKUP(A181,Avaluacio[],COLUMN(Avaluacio[Contingut]),FALSE),"")</f>
        <v>Sí</v>
      </c>
      <c r="G181" s="28" t="str">
        <f t="array" ref="G181">IFERROR(VLOOKUP(A181,Avaluacio[],COLUMN(Avaluacio[Actualització]),FALSE),"")</f>
        <v>No</v>
      </c>
      <c r="H181" s="28" t="str">
        <f t="array" ref="H181">IFERROR(VLOOKUP(A181,Avaluacio[#Data],COLUMN(Avaluacio[Grau de compliment]),FALSE),"")</f>
        <v>Compleix parcialment</v>
      </c>
    </row>
    <row r="182" spans="1:8" ht="30" customHeight="1" x14ac:dyDescent="0.25">
      <c r="A182" s="28" t="str">
        <f t="array" ref="A182">IFERROR(INDEX(Avaluacio[Codi ítem],(MATCH(0,INDEX(COUNTIF($A$108:A181,Avaluacio[Codi ítem]),0,0)+INDEX(Avaluacio[Avaluable]="No",0,0),0))),"")</f>
        <v>XGO075</v>
      </c>
      <c r="B182" s="64" t="str">
        <f t="array" ref="B182">IFERROR(VLOOKUP(A182,Avaluacio[#Data],COLUMN(Avaluacio[Ítem]),FALSE),"")</f>
        <v>Calendari de conservació i règim d'accés documental</v>
      </c>
      <c r="C182" s="64"/>
      <c r="D182" s="64"/>
      <c r="E182" s="64"/>
      <c r="F182" s="28" t="str">
        <f t="array" ref="F182">IFERROR(VLOOKUP(A182,Avaluacio[],COLUMN(Avaluacio[Contingut]),FALSE),"")</f>
        <v>Sí</v>
      </c>
      <c r="G182" s="28" t="str">
        <f t="array" ref="G182">IFERROR(VLOOKUP(A182,Avaluacio[],COLUMN(Avaluacio[Actualització]),FALSE),"")</f>
        <v>Sí</v>
      </c>
      <c r="H182" s="28" t="str">
        <f t="array" ref="H182">IFERROR(VLOOKUP(A182,Avaluacio[#Data],COLUMN(Avaluacio[Grau de compliment]),FALSE),"")</f>
        <v>Compleix totalment</v>
      </c>
    </row>
    <row r="183" spans="1:8" ht="30" customHeight="1" x14ac:dyDescent="0.25">
      <c r="A183" s="28" t="str">
        <f t="array" ref="A183">IFERROR(INDEX(Avaluacio[Codi ítem],(MATCH(0,INDEX(COUNTIF($A$108:A182,Avaluacio[Codi ítem]),0,0)+INDEX(Avaluacio[Avaluable]="No",0,0),0))),"")</f>
        <v>XGO076</v>
      </c>
      <c r="B183" s="64" t="str">
        <f t="array" ref="B183">IFERROR(VLOOKUP(A183,Avaluacio[#Data],COLUMN(Avaluacio[Ítem]),FALSE),"")</f>
        <v>Quadre de classificació documental</v>
      </c>
      <c r="C183" s="64"/>
      <c r="D183" s="64"/>
      <c r="E183" s="64"/>
      <c r="F183" s="28" t="str">
        <f t="array" ref="F183">IFERROR(VLOOKUP(A183,Avaluacio[],COLUMN(Avaluacio[Contingut]),FALSE),"")</f>
        <v>Sí</v>
      </c>
      <c r="G183" s="28" t="str">
        <f t="array" ref="G183">IFERROR(VLOOKUP(A183,Avaluacio[],COLUMN(Avaluacio[Actualització]),FALSE),"")</f>
        <v>Sí</v>
      </c>
      <c r="H183" s="28" t="str">
        <f t="array" ref="H183">IFERROR(VLOOKUP(A183,Avaluacio[#Data],COLUMN(Avaluacio[Grau de compliment]),FALSE),"")</f>
        <v>Compleix totalment</v>
      </c>
    </row>
    <row r="184" spans="1:8" ht="30" customHeight="1" x14ac:dyDescent="0.25">
      <c r="A184" s="28" t="str">
        <f t="array" ref="A184">IFERROR(INDEX(Avaluacio[Codi ítem],(MATCH(0,INDEX(COUNTIF($A$108:A183,Avaluacio[Codi ítem]),0,0)+INDEX(Avaluacio[Avaluable]="No",0,0),0))),"")</f>
        <v>XGO077</v>
      </c>
      <c r="B184" s="64" t="str">
        <f t="array" ref="B184">IFERROR(VLOOKUP(A184,Avaluacio[#Data],COLUMN(Avaluacio[Ítem]),FALSE),"")</f>
        <v>Instruments de descripció documental</v>
      </c>
      <c r="C184" s="64"/>
      <c r="D184" s="64"/>
      <c r="E184" s="64"/>
      <c r="F184" s="28" t="str">
        <f t="array" ref="F184">IFERROR(VLOOKUP(A184,Avaluacio[],COLUMN(Avaluacio[Contingut]),FALSE),"")</f>
        <v>Sí</v>
      </c>
      <c r="G184" s="28" t="str">
        <f t="array" ref="G184">IFERROR(VLOOKUP(A184,Avaluacio[],COLUMN(Avaluacio[Actualització]),FALSE),"")</f>
        <v>Sí</v>
      </c>
      <c r="H184" s="28" t="str">
        <f t="array" ref="H184">IFERROR(VLOOKUP(A184,Avaluacio[#Data],COLUMN(Avaluacio[Grau de compliment]),FALSE),"")</f>
        <v>Compleix totalment</v>
      </c>
    </row>
    <row r="185" spans="1:8" ht="30" customHeight="1" x14ac:dyDescent="0.25">
      <c r="A185" s="28" t="str">
        <f t="array" ref="A185">IFERROR(INDEX(Avaluacio[Codi ítem],(MATCH(0,INDEX(COUNTIF($A$108:A184,Avaluacio[Codi ítem]),0,0)+INDEX(Avaluacio[Avaluable]="No",0,0),0))),"")</f>
        <v>XGO078</v>
      </c>
      <c r="B185" s="64" t="str">
        <f t="array" ref="B185">IFERROR(VLOOKUP(A185,Avaluacio[#Data],COLUMN(Avaluacio[Ítem]),FALSE),"")</f>
        <v>Registre d'eliminació de documents</v>
      </c>
      <c r="C185" s="64"/>
      <c r="D185" s="64"/>
      <c r="E185" s="64"/>
      <c r="F185" s="28" t="str">
        <f t="array" ref="F185">IFERROR(VLOOKUP(A185,Avaluacio[],COLUMN(Avaluacio[Contingut]),FALSE),"")</f>
        <v>Sí</v>
      </c>
      <c r="G185" s="28" t="str">
        <f t="array" ref="G185">IFERROR(VLOOKUP(A185,Avaluacio[],COLUMN(Avaluacio[Actualització]),FALSE),"")</f>
        <v>Sí</v>
      </c>
      <c r="H185" s="28" t="str">
        <f t="array" ref="H185">IFERROR(VLOOKUP(A185,Avaluacio[#Data],COLUMN(Avaluacio[Grau de compliment]),FALSE),"")</f>
        <v>Compleix totalment</v>
      </c>
    </row>
    <row r="186" spans="1:8" ht="30" customHeight="1" x14ac:dyDescent="0.25">
      <c r="A186" s="28" t="str">
        <f t="array" ref="A186">IFERROR(INDEX(Avaluacio[Codi ítem],(MATCH(0,INDEX(COUNTIF($A$108:A185,Avaluacio[Codi ítem]),0,0)+INDEX(Avaluacio[Avaluable]="No",0,0),0))),"")</f>
        <v>XGO079</v>
      </c>
      <c r="B186" s="64" t="str">
        <f t="array" ref="B186">IFERROR(VLOOKUP(A186,Avaluacio[#Data],COLUMN(Avaluacio[Ítem]),FALSE),"")</f>
        <v>Licitacions en tràmit (perfil de contractant)</v>
      </c>
      <c r="C186" s="64"/>
      <c r="D186" s="64"/>
      <c r="E186" s="64"/>
      <c r="F186" s="28" t="str">
        <f t="array" ref="F186">IFERROR(VLOOKUP(A186,Avaluacio[],COLUMN(Avaluacio[Contingut]),FALSE),"")</f>
        <v>Sí</v>
      </c>
      <c r="G186" s="28" t="str">
        <f t="array" ref="G186">IFERROR(VLOOKUP(A186,Avaluacio[],COLUMN(Avaluacio[Actualització]),FALSE),"")</f>
        <v>Sí</v>
      </c>
      <c r="H186" s="28" t="str">
        <f t="array" ref="H186">IFERROR(VLOOKUP(A186,Avaluacio[#Data],COLUMN(Avaluacio[Grau de compliment]),FALSE),"")</f>
        <v>Compleix totalment</v>
      </c>
    </row>
    <row r="187" spans="1:8" ht="30" customHeight="1" x14ac:dyDescent="0.25">
      <c r="A187" s="28" t="str">
        <f t="array" ref="A187">IFERROR(INDEX(Avaluacio[Codi ítem],(MATCH(0,INDEX(COUNTIF($A$108:A186,Avaluacio[Codi ítem]),0,0)+INDEX(Avaluacio[Avaluable]="No",0,0),0))),"")</f>
        <v>XGO080</v>
      </c>
      <c r="B187" s="64" t="str">
        <f t="array" ref="B187">IFERROR(VLOOKUP(A187,Avaluacio[#Data],COLUMN(Avaluacio[Ítem]),FALSE),"")</f>
        <v>Contractes programats</v>
      </c>
      <c r="C187" s="64"/>
      <c r="D187" s="64"/>
      <c r="E187" s="64"/>
      <c r="F187" s="28" t="str">
        <f t="array" ref="F187">IFERROR(VLOOKUP(A187,Avaluacio[],COLUMN(Avaluacio[Contingut]),FALSE),"")</f>
        <v>Sí</v>
      </c>
      <c r="G187" s="28" t="str">
        <f t="array" ref="G187">IFERROR(VLOOKUP(A187,Avaluacio[],COLUMN(Avaluacio[Actualització]),FALSE),"")</f>
        <v>Sí</v>
      </c>
      <c r="H187" s="28" t="str">
        <f t="array" ref="H187">IFERROR(VLOOKUP(A187,Avaluacio[#Data],COLUMN(Avaluacio[Grau de compliment]),FALSE),"")</f>
        <v>Compleix totalment</v>
      </c>
    </row>
    <row r="188" spans="1:8" ht="30" customHeight="1" x14ac:dyDescent="0.25">
      <c r="A188" s="28" t="str">
        <f t="array" ref="A188">IFERROR(INDEX(Avaluacio[Codi ítem],(MATCH(0,INDEX(COUNTIF($A$108:A187,Avaluacio[Codi ítem]),0,0)+INDEX(Avaluacio[Avaluable]="No",0,0),0))),"")</f>
        <v>XGO081</v>
      </c>
      <c r="B188" s="64" t="str">
        <f t="array" ref="B188">IFERROR(VLOOKUP(A188,Avaluacio[#Data],COLUMN(Avaluacio[Ítem]),FALSE),"")</f>
        <v>Relació de contractes adjudicats (històric)</v>
      </c>
      <c r="C188" s="64"/>
      <c r="D188" s="64"/>
      <c r="E188" s="64"/>
      <c r="F188" s="28" t="str">
        <f t="array" ref="F188">IFERROR(VLOOKUP(A188,Avaluacio[],COLUMN(Avaluacio[Contingut]),FALSE),"")</f>
        <v>Sí</v>
      </c>
      <c r="G188" s="28" t="str">
        <f t="array" ref="G188">IFERROR(VLOOKUP(A188,Avaluacio[],COLUMN(Avaluacio[Actualització]),FALSE),"")</f>
        <v>Sí</v>
      </c>
      <c r="H188" s="28" t="str">
        <f t="array" ref="H188">IFERROR(VLOOKUP(A188,Avaluacio[#Data],COLUMN(Avaluacio[Grau de compliment]),FALSE),"")</f>
        <v>Compleix totalment</v>
      </c>
    </row>
    <row r="189" spans="1:8" ht="30" customHeight="1" x14ac:dyDescent="0.25">
      <c r="A189" s="28" t="str">
        <f t="array" ref="A189">IFERROR(INDEX(Avaluacio[Codi ítem],(MATCH(0,INDEX(COUNTIF($A$108:A188,Avaluacio[Codi ítem]),0,0)+INDEX(Avaluacio[Avaluable]="No",0,0),0))),"")</f>
        <v>XGO082</v>
      </c>
      <c r="B189" s="64" t="str">
        <f t="array" ref="B189">IFERROR(VLOOKUP(A189,Avaluacio[#Data],COLUMN(Avaluacio[Ítem]),FALSE),"")</f>
        <v>Relació de contractes menors (històric)</v>
      </c>
      <c r="C189" s="64"/>
      <c r="D189" s="64"/>
      <c r="E189" s="64"/>
      <c r="F189" s="28" t="str">
        <f t="array" ref="F189">IFERROR(VLOOKUP(A189,Avaluacio[],COLUMN(Avaluacio[Contingut]),FALSE),"")</f>
        <v>Sí</v>
      </c>
      <c r="G189" s="28" t="str">
        <f t="array" ref="G189">IFERROR(VLOOKUP(A189,Avaluacio[],COLUMN(Avaluacio[Actualització]),FALSE),"")</f>
        <v>Sí</v>
      </c>
      <c r="H189" s="28" t="str">
        <f t="array" ref="H189">IFERROR(VLOOKUP(A189,Avaluacio[#Data],COLUMN(Avaluacio[Grau de compliment]),FALSE),"")</f>
        <v>Compleix totalment</v>
      </c>
    </row>
    <row r="190" spans="1:8" ht="30" customHeight="1" x14ac:dyDescent="0.25">
      <c r="A190" s="28" t="str">
        <f t="array" ref="A190">IFERROR(INDEX(Avaluacio[Codi ítem],(MATCH(0,INDEX(COUNTIF($A$108:A189,Avaluacio[Codi ítem]),0,0)+INDEX(Avaluacio[Avaluable]="No",0,0),0))),"")</f>
        <v>XGO083</v>
      </c>
      <c r="B190" s="64" t="str">
        <f t="array" ref="B190">IFERROR(VLOOKUP(A190,Avaluacio[#Data],COLUMN(Avaluacio[Ítem]),FALSE),"")</f>
        <v>Modificacions de contractes</v>
      </c>
      <c r="C190" s="64"/>
      <c r="D190" s="64"/>
      <c r="E190" s="64"/>
      <c r="F190" s="28" t="str">
        <f t="array" ref="F190">IFERROR(VLOOKUP(A190,Avaluacio[],COLUMN(Avaluacio[Contingut]),FALSE),"")</f>
        <v>Sí</v>
      </c>
      <c r="G190" s="28" t="str">
        <f t="array" ref="G190">IFERROR(VLOOKUP(A190,Avaluacio[],COLUMN(Avaluacio[Actualització]),FALSE),"")</f>
        <v>Sí</v>
      </c>
      <c r="H190" s="28" t="str">
        <f t="array" ref="H190">IFERROR(VLOOKUP(A190,Avaluacio[#Data],COLUMN(Avaluacio[Grau de compliment]),FALSE),"")</f>
        <v>Compleix totalment</v>
      </c>
    </row>
    <row r="191" spans="1:8" ht="30" customHeight="1" x14ac:dyDescent="0.25">
      <c r="A191" s="28" t="str">
        <f t="array" ref="A191">IFERROR(INDEX(Avaluacio[Codi ítem],(MATCH(0,INDEX(COUNTIF($A$108:A190,Avaluacio[Codi ítem]),0,0)+INDEX(Avaluacio[Avaluable]="No",0,0),0))),"")</f>
        <v>XGO084</v>
      </c>
      <c r="B191" s="64" t="str">
        <f t="array" ref="B191">IFERROR(VLOOKUP(A191,Avaluacio[#Data],COLUMN(Avaluacio[Ítem]),FALSE),"")</f>
        <v>Registre de factures</v>
      </c>
      <c r="C191" s="64"/>
      <c r="D191" s="64"/>
      <c r="E191" s="64"/>
      <c r="F191" s="28" t="str">
        <f t="array" ref="F191">IFERROR(VLOOKUP(A191,Avaluacio[],COLUMN(Avaluacio[Contingut]),FALSE),"")</f>
        <v>Sí</v>
      </c>
      <c r="G191" s="28" t="str">
        <f t="array" ref="G191">IFERROR(VLOOKUP(A191,Avaluacio[],COLUMN(Avaluacio[Actualització]),FALSE),"")</f>
        <v>Sí</v>
      </c>
      <c r="H191" s="28" t="str">
        <f t="array" ref="H191">IFERROR(VLOOKUP(A191,Avaluacio[#Data],COLUMN(Avaluacio[Grau de compliment]),FALSE),"")</f>
        <v>Compleix totalment</v>
      </c>
    </row>
    <row r="192" spans="1:8" ht="30" customHeight="1" x14ac:dyDescent="0.25">
      <c r="A192" s="28" t="str">
        <f t="array" ref="A192">IFERROR(INDEX(Avaluacio[Codi ítem],(MATCH(0,INDEX(COUNTIF($A$108:A191,Avaluacio[Codi ítem]),0,0)+INDEX(Avaluacio[Avaluable]="No",0,0),0))),"")</f>
        <v>XGO085</v>
      </c>
      <c r="B192" s="64" t="str">
        <f t="array" ref="B192">IFERROR(VLOOKUP(A192,Avaluacio[#Data],COLUMN(Avaluacio[Ítem]),FALSE),"")</f>
        <v>Relació de proveïdors, adjudicataris i/o contractistes</v>
      </c>
      <c r="C192" s="64"/>
      <c r="D192" s="64"/>
      <c r="E192" s="64"/>
      <c r="F192" s="28" t="str">
        <f t="array" ref="F192">IFERROR(VLOOKUP(A192,Avaluacio[],COLUMN(Avaluacio[Contingut]),FALSE),"")</f>
        <v>Sí</v>
      </c>
      <c r="G192" s="28" t="str">
        <f t="array" ref="G192">IFERROR(VLOOKUP(A192,Avaluacio[],COLUMN(Avaluacio[Actualització]),FALSE),"")</f>
        <v>Sí</v>
      </c>
      <c r="H192" s="28" t="str">
        <f t="array" ref="H192">IFERROR(VLOOKUP(A192,Avaluacio[#Data],COLUMN(Avaluacio[Grau de compliment]),FALSE),"")</f>
        <v>Compleix totalment</v>
      </c>
    </row>
    <row r="193" spans="1:8" ht="30" customHeight="1" x14ac:dyDescent="0.25">
      <c r="A193" s="28" t="str">
        <f t="array" ref="A193">IFERROR(INDEX(Avaluacio[Codi ítem],(MATCH(0,INDEX(COUNTIF($A$108:A192,Avaluacio[Codi ítem]),0,0)+INDEX(Avaluacio[Avaluable]="No",0,0),0))),"")</f>
        <v>XGO086</v>
      </c>
      <c r="B193" s="64" t="str">
        <f t="array" ref="B193">IFERROR(VLOOKUP(A193,Avaluacio[#Data],COLUMN(Avaluacio[Ítem]),FALSE),"")</f>
        <v>Òrgans de contractació</v>
      </c>
      <c r="C193" s="64"/>
      <c r="D193" s="64"/>
      <c r="E193" s="64"/>
      <c r="F193" s="28" t="str">
        <f t="array" ref="F193">IFERROR(VLOOKUP(A193,Avaluacio[],COLUMN(Avaluacio[Contingut]),FALSE),"")</f>
        <v>Sí</v>
      </c>
      <c r="G193" s="28" t="str">
        <f t="array" ref="G193">IFERROR(VLOOKUP(A193,Avaluacio[],COLUMN(Avaluacio[Actualització]),FALSE),"")</f>
        <v>Sí</v>
      </c>
      <c r="H193" s="28" t="str">
        <f t="array" ref="H193">IFERROR(VLOOKUP(A193,Avaluacio[#Data],COLUMN(Avaluacio[Grau de compliment]),FALSE),"")</f>
        <v>Compleix totalment</v>
      </c>
    </row>
    <row r="194" spans="1:8" ht="30" customHeight="1" x14ac:dyDescent="0.25">
      <c r="A194" s="28" t="str">
        <f t="array" ref="A194">IFERROR(INDEX(Avaluacio[Codi ítem],(MATCH(0,INDEX(COUNTIF($A$108:A193,Avaluacio[Codi ítem]),0,0)+INDEX(Avaluacio[Avaluable]="No",0,0),0))),"")</f>
        <v>XGO087</v>
      </c>
      <c r="B194" s="64" t="str">
        <f t="array" ref="B194">IFERROR(VLOOKUP(A194,Avaluacio[#Data],COLUMN(Avaluacio[Ítem]),FALSE),"")</f>
        <v>Registre de licitadors</v>
      </c>
      <c r="C194" s="64"/>
      <c r="D194" s="64"/>
      <c r="E194" s="64"/>
      <c r="F194" s="28" t="str">
        <f t="array" ref="F194">IFERROR(VLOOKUP(A194,Avaluacio[],COLUMN(Avaluacio[Contingut]),FALSE),"")</f>
        <v>Sí</v>
      </c>
      <c r="G194" s="28" t="str">
        <f t="array" ref="G194">IFERROR(VLOOKUP(A194,Avaluacio[],COLUMN(Avaluacio[Actualització]),FALSE),"")</f>
        <v>Sí</v>
      </c>
      <c r="H194" s="28" t="str">
        <f t="array" ref="H194">IFERROR(VLOOKUP(A194,Avaluacio[#Data],COLUMN(Avaluacio[Grau de compliment]),FALSE),"")</f>
        <v>Compleix totalment</v>
      </c>
    </row>
    <row r="195" spans="1:8" ht="30" customHeight="1" x14ac:dyDescent="0.25">
      <c r="A195" s="28" t="str">
        <f t="array" ref="A195">IFERROR(INDEX(Avaluacio[Codi ítem],(MATCH(0,INDEX(COUNTIF($A$108:A194,Avaluacio[Codi ítem]),0,0)+INDEX(Avaluacio[Avaluable]="No",0,0),0))),"")</f>
        <v>XGO088</v>
      </c>
      <c r="B195" s="64" t="str">
        <f t="array" ref="B195">IFERROR(VLOOKUP(A195,Avaluacio[#Data],COLUMN(Avaluacio[Ítem]),FALSE),"")</f>
        <v>Registre d'empreses classificades</v>
      </c>
      <c r="C195" s="64"/>
      <c r="D195" s="64"/>
      <c r="E195" s="64"/>
      <c r="F195" s="28" t="str">
        <f t="array" ref="F195">IFERROR(VLOOKUP(A195,Avaluacio[],COLUMN(Avaluacio[Contingut]),FALSE),"")</f>
        <v>Sí</v>
      </c>
      <c r="G195" s="28" t="str">
        <f t="array" ref="G195">IFERROR(VLOOKUP(A195,Avaluacio[],COLUMN(Avaluacio[Actualització]),FALSE),"")</f>
        <v>Sí</v>
      </c>
      <c r="H195" s="28" t="str">
        <f t="array" ref="H195">IFERROR(VLOOKUP(A195,Avaluacio[#Data],COLUMN(Avaluacio[Grau de compliment]),FALSE),"")</f>
        <v>Compleix totalment</v>
      </c>
    </row>
    <row r="196" spans="1:8" ht="30" customHeight="1" x14ac:dyDescent="0.25">
      <c r="A196" s="28" t="str">
        <f t="array" ref="A196">IFERROR(INDEX(Avaluacio[Codi ítem],(MATCH(0,INDEX(COUNTIF($A$108:A195,Avaluacio[Codi ítem]),0,0)+INDEX(Avaluacio[Avaluable]="No",0,0),0))),"")</f>
        <v>XGO089</v>
      </c>
      <c r="B196" s="64" t="str">
        <f t="array" ref="B196">IFERROR(VLOOKUP(A196,Avaluacio[#Data],COLUMN(Avaluacio[Ítem]),FALSE),"")</f>
        <v>Criteris interpretatius de contractació</v>
      </c>
      <c r="C196" s="64"/>
      <c r="D196" s="64"/>
      <c r="E196" s="64"/>
      <c r="F196" s="28" t="str">
        <f t="array" ref="F196">IFERROR(VLOOKUP(A196,Avaluacio[],COLUMN(Avaluacio[Contingut]),FALSE),"")</f>
        <v>Sí</v>
      </c>
      <c r="G196" s="28" t="str">
        <f t="array" ref="G196">IFERROR(VLOOKUP(A196,Avaluacio[],COLUMN(Avaluacio[Actualització]),FALSE),"")</f>
        <v>Sí</v>
      </c>
      <c r="H196" s="28" t="str">
        <f t="array" ref="H196">IFERROR(VLOOKUP(A196,Avaluacio[#Data],COLUMN(Avaluacio[Grau de compliment]),FALSE),"")</f>
        <v>Compleix totalment</v>
      </c>
    </row>
    <row r="197" spans="1:8" ht="30" customHeight="1" x14ac:dyDescent="0.25">
      <c r="A197" s="28" t="str">
        <f t="array" ref="A197">IFERROR(INDEX(Avaluacio[Codi ítem],(MATCH(0,INDEX(COUNTIF($A$108:A196,Avaluacio[Codi ítem]),0,0)+INDEX(Avaluacio[Avaluable]="No",0,0),0))),"")</f>
        <v>XGO090</v>
      </c>
      <c r="B197" s="64" t="str">
        <f t="array" ref="B197">IFERROR(VLOOKUP(A197,Avaluacio[#Data],COLUMN(Avaluacio[Ítem]),FALSE),"")</f>
        <v>Consultes més freqüents sobre contractació</v>
      </c>
      <c r="C197" s="64"/>
      <c r="D197" s="64"/>
      <c r="E197" s="64"/>
      <c r="F197" s="28" t="str">
        <f t="array" ref="F197">IFERROR(VLOOKUP(A197,Avaluacio[],COLUMN(Avaluacio[Contingut]),FALSE),"")</f>
        <v>Sí</v>
      </c>
      <c r="G197" s="28" t="str">
        <f t="array" ref="G197">IFERROR(VLOOKUP(A197,Avaluacio[],COLUMN(Avaluacio[Actualització]),FALSE),"")</f>
        <v>Sí</v>
      </c>
      <c r="H197" s="28" t="str">
        <f t="array" ref="H197">IFERROR(VLOOKUP(A197,Avaluacio[#Data],COLUMN(Avaluacio[Grau de compliment]),FALSE),"")</f>
        <v>Compleix totalment</v>
      </c>
    </row>
    <row r="198" spans="1:8" ht="30" customHeight="1" x14ac:dyDescent="0.25">
      <c r="A198" s="28" t="str">
        <f t="array" ref="A198">IFERROR(INDEX(Avaluacio[Codi ítem],(MATCH(0,INDEX(COUNTIF($A$108:A197,Avaluacio[Codi ítem]),0,0)+INDEX(Avaluacio[Avaluable]="No",0,0),0))),"")</f>
        <v>XGO091</v>
      </c>
      <c r="B198" s="64" t="str">
        <f t="array" ref="B198">IFERROR(VLOOKUP(A198,Avaluacio[#Data],COLUMN(Avaluacio[Ítem]),FALSE),"")</f>
        <v>Resolucions de recursos, actes de desistiment, renúncia i resolució de contractes</v>
      </c>
      <c r="C198" s="64"/>
      <c r="D198" s="64"/>
      <c r="E198" s="64"/>
      <c r="F198" s="28" t="str">
        <f t="array" ref="F198">IFERROR(VLOOKUP(A198,Avaluacio[],COLUMN(Avaluacio[Contingut]),FALSE),"")</f>
        <v>Sí</v>
      </c>
      <c r="G198" s="28" t="str">
        <f t="array" ref="G198">IFERROR(VLOOKUP(A198,Avaluacio[],COLUMN(Avaluacio[Actualització]),FALSE),"")</f>
        <v>Sí</v>
      </c>
      <c r="H198" s="28" t="str">
        <f t="array" ref="H198">IFERROR(VLOOKUP(A198,Avaluacio[#Data],COLUMN(Avaluacio[Grau de compliment]),FALSE),"")</f>
        <v>Compleix totalment</v>
      </c>
    </row>
    <row r="199" spans="1:8" ht="30" customHeight="1" x14ac:dyDescent="0.25">
      <c r="A199" s="28" t="str">
        <f t="array" ref="A199">IFERROR(INDEX(Avaluacio[Codi ítem],(MATCH(0,INDEX(COUNTIF($A$108:A198,Avaluacio[Codi ítem]),0,0)+INDEX(Avaluacio[Avaluable]="No",0,0),0))),"")</f>
        <v>XGO092</v>
      </c>
      <c r="B199" s="64" t="str">
        <f t="array" ref="B199">IFERROR(VLOOKUP(A199,Avaluacio[#Data],COLUMN(Avaluacio[Ítem]),FALSE),"")</f>
        <v>Informe de contractes adjudicats segons el procediment</v>
      </c>
      <c r="C199" s="64"/>
      <c r="D199" s="64"/>
      <c r="E199" s="64"/>
      <c r="F199" s="28" t="str">
        <f t="array" ref="F199">IFERROR(VLOOKUP(A199,Avaluacio[],COLUMN(Avaluacio[Contingut]),FALSE),"")</f>
        <v>Sí</v>
      </c>
      <c r="G199" s="28" t="str">
        <f t="array" ref="G199">IFERROR(VLOOKUP(A199,Avaluacio[],COLUMN(Avaluacio[Actualització]),FALSE),"")</f>
        <v>Sí</v>
      </c>
      <c r="H199" s="28" t="str">
        <f t="array" ref="H199">IFERROR(VLOOKUP(A199,Avaluacio[#Data],COLUMN(Avaluacio[Grau de compliment]),FALSE),"")</f>
        <v>Compleix totalment</v>
      </c>
    </row>
    <row r="200" spans="1:8" ht="30" customHeight="1" x14ac:dyDescent="0.25">
      <c r="A200" s="28" t="str">
        <f t="array" ref="A200">IFERROR(INDEX(Avaluacio[Codi ítem],(MATCH(0,INDEX(COUNTIF($A$108:A199,Avaluacio[Codi ítem]),0,0)+INDEX(Avaluacio[Avaluable]="No",0,0),0))),"")</f>
        <v>XGO093</v>
      </c>
      <c r="B200" s="64" t="str">
        <f t="array" ref="B200">IFERROR(VLOOKUP(A200,Avaluacio[#Data],COLUMN(Avaluacio[Ítem]),FALSE),"")</f>
        <v>Personal adscrit pels concessionaris i retribucions</v>
      </c>
      <c r="C200" s="64"/>
      <c r="D200" s="64"/>
      <c r="E200" s="64"/>
      <c r="F200" s="28" t="str">
        <f t="array" ref="F200">IFERROR(VLOOKUP(A200,Avaluacio[],COLUMN(Avaluacio[Contingut]),FALSE),"")</f>
        <v>Sí</v>
      </c>
      <c r="G200" s="28" t="str">
        <f t="array" ref="G200">IFERROR(VLOOKUP(A200,Avaluacio[],COLUMN(Avaluacio[Actualització]),FALSE),"")</f>
        <v>Sí</v>
      </c>
      <c r="H200" s="28" t="str">
        <f t="array" ref="H200">IFERROR(VLOOKUP(A200,Avaluacio[#Data],COLUMN(Avaluacio[Grau de compliment]),FALSE),"")</f>
        <v>Compleix totalment</v>
      </c>
    </row>
    <row r="201" spans="1:8" ht="30" customHeight="1" x14ac:dyDescent="0.25">
      <c r="A201" s="28" t="str">
        <f t="array" ref="A201">IFERROR(INDEX(Avaluacio[Codi ítem],(MATCH(0,INDEX(COUNTIF($A$108:A200,Avaluacio[Codi ítem]),0,0)+INDEX(Avaluacio[Avaluable]="No",0,0),0))),"")</f>
        <v>XGO094</v>
      </c>
      <c r="B201" s="64" t="str">
        <f t="array" ref="B201">IFERROR(VLOOKUP(A201,Avaluacio[#Data],COLUMN(Avaluacio[Ítem]),FALSE),"")</f>
        <v>Convenis de col·laboració</v>
      </c>
      <c r="C201" s="64"/>
      <c r="D201" s="64"/>
      <c r="E201" s="64"/>
      <c r="F201" s="28" t="str">
        <f t="array" ref="F201">IFERROR(VLOOKUP(A201,Avaluacio[],COLUMN(Avaluacio[Contingut]),FALSE),"")</f>
        <v>Sí</v>
      </c>
      <c r="G201" s="28" t="str">
        <f t="array" ref="G201">IFERROR(VLOOKUP(A201,Avaluacio[],COLUMN(Avaluacio[Actualització]),FALSE),"")</f>
        <v>Sí</v>
      </c>
      <c r="H201" s="28" t="str">
        <f t="array" ref="H201">IFERROR(VLOOKUP(A201,Avaluacio[#Data],COLUMN(Avaluacio[Grau de compliment]),FALSE),"")</f>
        <v>Compleix totalment</v>
      </c>
    </row>
    <row r="202" spans="1:8" ht="30" customHeight="1" x14ac:dyDescent="0.25">
      <c r="A202" s="28" t="str">
        <f t="array" ref="A202">IFERROR(INDEX(Avaluacio[Codi ítem],(MATCH(0,INDEX(COUNTIF($A$108:A201,Avaluacio[Codi ítem]),0,0)+INDEX(Avaluacio[Avaluable]="No",0,0),0))),"")</f>
        <v>XGO095</v>
      </c>
      <c r="B202" s="64" t="str">
        <f t="array" ref="B202">IFERROR(VLOOKUP(A202,Avaluacio[#Data],COLUMN(Avaluacio[Ítem]),FALSE),"")</f>
        <v>Convenis urbanístics</v>
      </c>
      <c r="C202" s="64"/>
      <c r="D202" s="64"/>
      <c r="E202" s="64"/>
      <c r="F202" s="28" t="str">
        <f t="array" ref="F202">IFERROR(VLOOKUP(A202,Avaluacio[],COLUMN(Avaluacio[Contingut]),FALSE),"")</f>
        <v>Sí</v>
      </c>
      <c r="G202" s="28" t="str">
        <f t="array" ref="G202">IFERROR(VLOOKUP(A202,Avaluacio[],COLUMN(Avaluacio[Actualització]),FALSE),"")</f>
        <v>Sí</v>
      </c>
      <c r="H202" s="28" t="str">
        <f t="array" ref="H202">IFERROR(VLOOKUP(A202,Avaluacio[#Data],COLUMN(Avaluacio[Grau de compliment]),FALSE),"")</f>
        <v>Compleix totalment</v>
      </c>
    </row>
    <row r="203" spans="1:8" ht="30" customHeight="1" x14ac:dyDescent="0.25">
      <c r="A203" s="28" t="str">
        <f t="array" ref="A203">IFERROR(INDEX(Avaluacio[Codi ítem],(MATCH(0,INDEX(COUNTIF($A$108:A202,Avaluacio[Codi ítem]),0,0)+INDEX(Avaluacio[Avaluable]="No",0,0),0))),"")</f>
        <v>XGO096</v>
      </c>
      <c r="B203" s="64" t="str">
        <f t="array" ref="B203">IFERROR(VLOOKUP(A203,Avaluacio[#Data],COLUMN(Avaluacio[Ítem]),FALSE),"")</f>
        <v>Informació de l'execució dels convenis</v>
      </c>
      <c r="C203" s="64"/>
      <c r="D203" s="64"/>
      <c r="E203" s="64"/>
      <c r="F203" s="28" t="str">
        <f t="array" ref="F203">IFERROR(VLOOKUP(A203,Avaluacio[],COLUMN(Avaluacio[Contingut]),FALSE),"")</f>
        <v>Sí</v>
      </c>
      <c r="G203" s="28" t="str">
        <f t="array" ref="G203">IFERROR(VLOOKUP(A203,Avaluacio[],COLUMN(Avaluacio[Actualització]),FALSE),"")</f>
        <v>Sí</v>
      </c>
      <c r="H203" s="28" t="str">
        <f t="array" ref="H203">IFERROR(VLOOKUP(A203,Avaluacio[#Data],COLUMN(Avaluacio[Grau de compliment]),FALSE),"")</f>
        <v>Compleix totalment</v>
      </c>
    </row>
    <row r="204" spans="1:8" ht="30" customHeight="1" x14ac:dyDescent="0.25">
      <c r="A204" s="28" t="str">
        <f t="array" ref="A204">IFERROR(INDEX(Avaluacio[Codi ítem],(MATCH(0,INDEX(COUNTIF($A$108:A203,Avaluacio[Codi ítem]),0,0)+INDEX(Avaluacio[Avaluable]="No",0,0),0))),"")</f>
        <v>XGO097</v>
      </c>
      <c r="B204" s="64" t="str">
        <f t="array" ref="B204">IFERROR(VLOOKUP(A204,Avaluacio[#Data],COLUMN(Avaluacio[Ítem]),FALSE),"")</f>
        <v>Convocatòries de subvencions i ajuts</v>
      </c>
      <c r="C204" s="64"/>
      <c r="D204" s="64"/>
      <c r="E204" s="64"/>
      <c r="F204" s="28" t="str">
        <f t="array" ref="F204">IFERROR(VLOOKUP(A204,Avaluacio[],COLUMN(Avaluacio[Contingut]),FALSE),"")</f>
        <v>Sí</v>
      </c>
      <c r="G204" s="28" t="str">
        <f t="array" ref="G204">IFERROR(VLOOKUP(A204,Avaluacio[],COLUMN(Avaluacio[Actualització]),FALSE),"")</f>
        <v>Sí</v>
      </c>
      <c r="H204" s="28" t="str">
        <f t="array" ref="H204">IFERROR(VLOOKUP(A204,Avaluacio[#Data],COLUMN(Avaluacio[Grau de compliment]),FALSE),"")</f>
        <v>Compleix totalment</v>
      </c>
    </row>
    <row r="205" spans="1:8" ht="30" customHeight="1" x14ac:dyDescent="0.25">
      <c r="A205" s="28" t="str">
        <f t="array" ref="A205">IFERROR(INDEX(Avaluacio[Codi ítem],(MATCH(0,INDEX(COUNTIF($A$108:A204,Avaluacio[Codi ítem]),0,0)+INDEX(Avaluacio[Avaluable]="No",0,0),0))),"")</f>
        <v>XGO098</v>
      </c>
      <c r="B205" s="64" t="str">
        <f t="array" ref="B205">IFERROR(VLOOKUP(A205,Avaluacio[#Data],COLUMN(Avaluacio[Ítem]),FALSE),"")</f>
        <v>Subvencions atorgades</v>
      </c>
      <c r="C205" s="64"/>
      <c r="D205" s="64"/>
      <c r="E205" s="64"/>
      <c r="F205" s="28" t="str">
        <f t="array" ref="F205">IFERROR(VLOOKUP(A205,Avaluacio[],COLUMN(Avaluacio[Contingut]),FALSE),"")</f>
        <v>Sí</v>
      </c>
      <c r="G205" s="28" t="str">
        <f t="array" ref="G205">IFERROR(VLOOKUP(A205,Avaluacio[],COLUMN(Avaluacio[Actualització]),FALSE),"")</f>
        <v>Sí</v>
      </c>
      <c r="H205" s="28" t="str">
        <f t="array" ref="H205">IFERROR(VLOOKUP(A205,Avaluacio[#Data],COLUMN(Avaluacio[Grau de compliment]),FALSE),"")</f>
        <v>Compleix totalment</v>
      </c>
    </row>
    <row r="206" spans="1:8" ht="30" customHeight="1" x14ac:dyDescent="0.25">
      <c r="A206" s="28" t="str">
        <f t="array" ref="A206">IFERROR(INDEX(Avaluacio[Codi ítem],(MATCH(0,INDEX(COUNTIF($A$108:A205,Avaluacio[Codi ítem]),0,0)+INDEX(Avaluacio[Avaluable]="No",0,0),0))),"")</f>
        <v>XGO099</v>
      </c>
      <c r="B206" s="64" t="str">
        <f t="array" ref="B206">IFERROR(VLOOKUP(A206,Avaluacio[#Data],COLUMN(Avaluacio[Ítem]),FALSE),"")</f>
        <v>Ajuts atorgats</v>
      </c>
      <c r="C206" s="64"/>
      <c r="D206" s="64"/>
      <c r="E206" s="64"/>
      <c r="F206" s="28" t="str">
        <f t="array" ref="F206">IFERROR(VLOOKUP(A206,Avaluacio[],COLUMN(Avaluacio[Contingut]),FALSE),"")</f>
        <v>Sí</v>
      </c>
      <c r="G206" s="28" t="str">
        <f t="array" ref="G206">IFERROR(VLOOKUP(A206,Avaluacio[],COLUMN(Avaluacio[Actualització]),FALSE),"")</f>
        <v>Sí</v>
      </c>
      <c r="H206" s="28" t="str">
        <f t="array" ref="H206">IFERROR(VLOOKUP(A206,Avaluacio[#Data],COLUMN(Avaluacio[Grau de compliment]),FALSE),"")</f>
        <v>Compleix totalment</v>
      </c>
    </row>
    <row r="207" spans="1:8" ht="30" customHeight="1" x14ac:dyDescent="0.25">
      <c r="A207" s="28" t="str">
        <f t="array" ref="A207">IFERROR(INDEX(Avaluacio[Codi ítem],(MATCH(0,INDEX(COUNTIF($A$108:A206,Avaluacio[Codi ítem]),0,0)+INDEX(Avaluacio[Avaluable]="No",0,0),0))),"")</f>
        <v>XGO100</v>
      </c>
      <c r="B207" s="64" t="str">
        <f t="array" ref="B207">IFERROR(VLOOKUP(A207,Avaluacio[#Data],COLUMN(Avaluacio[Ítem]),FALSE),"")</f>
        <v>Retribució dels directius beneficiaris de subvencions</v>
      </c>
      <c r="C207" s="64"/>
      <c r="D207" s="64"/>
      <c r="E207" s="64"/>
      <c r="F207" s="28" t="str">
        <f t="array" ref="F207">IFERROR(VLOOKUP(A207,Avaluacio[],COLUMN(Avaluacio[Contingut]),FALSE),"")</f>
        <v>No</v>
      </c>
      <c r="G207" s="28" t="str">
        <f t="array" ref="G207">IFERROR(VLOOKUP(A207,Avaluacio[],COLUMN(Avaluacio[Actualització]),FALSE),"")</f>
        <v>No</v>
      </c>
      <c r="H207" s="28" t="str">
        <f t="array" ref="H207">IFERROR(VLOOKUP(A207,Avaluacio[#Data],COLUMN(Avaluacio[Grau de compliment]),FALSE),"")</f>
        <v>No compleix</v>
      </c>
    </row>
    <row r="208" spans="1:8" ht="30" customHeight="1" x14ac:dyDescent="0.25">
      <c r="A208" s="28" t="str">
        <f t="array" ref="A208">IFERROR(INDEX(Avaluacio[Codi ítem],(MATCH(0,INDEX(COUNTIF($A$108:A207,Avaluacio[Codi ítem]),0,0)+INDEX(Avaluacio[Avaluable]="No",0,0),0))),"")</f>
        <v>XGO101</v>
      </c>
      <c r="B208" s="64" t="str">
        <f t="array" ref="B208">IFERROR(VLOOKUP(A208,Avaluacio[#Data],COLUMN(Avaluacio[Ítem]),FALSE),"")</f>
        <v>Pressupost</v>
      </c>
      <c r="C208" s="64"/>
      <c r="D208" s="64"/>
      <c r="E208" s="64"/>
      <c r="F208" s="28" t="str">
        <f t="array" ref="F208">IFERROR(VLOOKUP(A208,Avaluacio[],COLUMN(Avaluacio[Contingut]),FALSE),"")</f>
        <v>Sí</v>
      </c>
      <c r="G208" s="28" t="str">
        <f t="array" ref="G208">IFERROR(VLOOKUP(A208,Avaluacio[],COLUMN(Avaluacio[Actualització]),FALSE),"")</f>
        <v>Sí</v>
      </c>
      <c r="H208" s="28" t="str">
        <f t="array" ref="H208">IFERROR(VLOOKUP(A208,Avaluacio[#Data],COLUMN(Avaluacio[Grau de compliment]),FALSE),"")</f>
        <v>Compleix totalment</v>
      </c>
    </row>
    <row r="209" spans="1:8" ht="30" customHeight="1" x14ac:dyDescent="0.25">
      <c r="A209" s="28" t="str">
        <f t="array" ref="A209">IFERROR(INDEX(Avaluacio[Codi ítem],(MATCH(0,INDEX(COUNTIF($A$108:A208,Avaluacio[Codi ítem]),0,0)+INDEX(Avaluacio[Avaluable]="No",0,0),0))),"")</f>
        <v>XGO102</v>
      </c>
      <c r="B209" s="64" t="str">
        <f t="array" ref="B209">IFERROR(VLOOKUP(A209,Avaluacio[#Data],COLUMN(Avaluacio[Ítem]),FALSE),"")</f>
        <v>Execució pressupostària trimestral</v>
      </c>
      <c r="C209" s="64"/>
      <c r="D209" s="64"/>
      <c r="E209" s="64"/>
      <c r="F209" s="28" t="str">
        <f t="array" ref="F209">IFERROR(VLOOKUP(A209,Avaluacio[],COLUMN(Avaluacio[Contingut]),FALSE),"")</f>
        <v>Sí</v>
      </c>
      <c r="G209" s="28" t="str">
        <f t="array" ref="G209">IFERROR(VLOOKUP(A209,Avaluacio[],COLUMN(Avaluacio[Actualització]),FALSE),"")</f>
        <v>Sí</v>
      </c>
      <c r="H209" s="28" t="str">
        <f t="array" ref="H209">IFERROR(VLOOKUP(A209,Avaluacio[#Data],COLUMN(Avaluacio[Grau de compliment]),FALSE),"")</f>
        <v>Compleix totalment</v>
      </c>
    </row>
    <row r="210" spans="1:8" ht="30" customHeight="1" x14ac:dyDescent="0.25">
      <c r="A210" s="28" t="str">
        <f t="array" ref="A210">IFERROR(INDEX(Avaluacio[Codi ítem],(MATCH(0,INDEX(COUNTIF($A$108:A209,Avaluacio[Codi ítem]),0,0)+INDEX(Avaluacio[Avaluable]="No",0,0),0))),"")</f>
        <v>XGO103</v>
      </c>
      <c r="B210" s="64" t="str">
        <f t="array" ref="B210">IFERROR(VLOOKUP(A210,Avaluacio[#Data],COLUMN(Avaluacio[Ítem]),FALSE),"")</f>
        <v>Liquidació del pressupost</v>
      </c>
      <c r="C210" s="64"/>
      <c r="D210" s="64"/>
      <c r="E210" s="64"/>
      <c r="F210" s="28" t="str">
        <f t="array" ref="F210">IFERROR(VLOOKUP(A210,Avaluacio[],COLUMN(Avaluacio[Contingut]),FALSE),"")</f>
        <v>Sí</v>
      </c>
      <c r="G210" s="28" t="str">
        <f t="array" ref="G210">IFERROR(VLOOKUP(A210,Avaluacio[],COLUMN(Avaluacio[Actualització]),FALSE),"")</f>
        <v>Sí</v>
      </c>
      <c r="H210" s="28" t="str">
        <f t="array" ref="H210">IFERROR(VLOOKUP(A210,Avaluacio[#Data],COLUMN(Avaluacio[Grau de compliment]),FALSE),"")</f>
        <v>Compleix totalment</v>
      </c>
    </row>
    <row r="211" spans="1:8" ht="30" customHeight="1" x14ac:dyDescent="0.25">
      <c r="A211" s="28" t="str">
        <f t="array" ref="A211">IFERROR(INDEX(Avaluacio[Codi ítem],(MATCH(0,INDEX(COUNTIF($A$108:A210,Avaluacio[Codi ítem]),0,0)+INDEX(Avaluacio[Avaluable]="No",0,0),0))),"")</f>
        <v>XGO104</v>
      </c>
      <c r="B211" s="64" t="str">
        <f t="array" ref="B211">IFERROR(VLOOKUP(A211,Avaluacio[#Data],COLUMN(Avaluacio[Ítem]),FALSE),"")</f>
        <v>Compte general</v>
      </c>
      <c r="C211" s="64"/>
      <c r="D211" s="64"/>
      <c r="E211" s="64"/>
      <c r="F211" s="28" t="str">
        <f t="array" ref="F211">IFERROR(VLOOKUP(A211,Avaluacio[],COLUMN(Avaluacio[Contingut]),FALSE),"")</f>
        <v>Sí</v>
      </c>
      <c r="G211" s="28" t="str">
        <f t="array" ref="G211">IFERROR(VLOOKUP(A211,Avaluacio[],COLUMN(Avaluacio[Actualització]),FALSE),"")</f>
        <v>Sí</v>
      </c>
      <c r="H211" s="28" t="str">
        <f t="array" ref="H211">IFERROR(VLOOKUP(A211,Avaluacio[#Data],COLUMN(Avaluacio[Grau de compliment]),FALSE),"")</f>
        <v>Compleix totalment</v>
      </c>
    </row>
    <row r="212" spans="1:8" ht="30" customHeight="1" x14ac:dyDescent="0.25">
      <c r="A212" s="28" t="str">
        <f t="array" ref="A212">IFERROR(INDEX(Avaluacio[Codi ítem],(MATCH(0,INDEX(COUNTIF($A$108:A211,Avaluacio[Codi ítem]),0,0)+INDEX(Avaluacio[Avaluable]="No",0,0),0))),"")</f>
        <v>XGO105</v>
      </c>
      <c r="B212" s="64" t="str">
        <f t="array" ref="B212">IFERROR(VLOOKUP(A212,Avaluacio[#Data],COLUMN(Avaluacio[Ítem]),FALSE),"")</f>
        <v>Modificació de pressupostos</v>
      </c>
      <c r="C212" s="64"/>
      <c r="D212" s="64"/>
      <c r="E212" s="64"/>
      <c r="F212" s="28" t="str">
        <f t="array" ref="F212">IFERROR(VLOOKUP(A212,Avaluacio[],COLUMN(Avaluacio[Contingut]),FALSE),"")</f>
        <v>Sí</v>
      </c>
      <c r="G212" s="28" t="str">
        <f t="array" ref="G212">IFERROR(VLOOKUP(A212,Avaluacio[],COLUMN(Avaluacio[Actualització]),FALSE),"")</f>
        <v>Sí</v>
      </c>
      <c r="H212" s="28" t="str">
        <f t="array" ref="H212">IFERROR(VLOOKUP(A212,Avaluacio[#Data],COLUMN(Avaluacio[Grau de compliment]),FALSE),"")</f>
        <v>Compleix totalment</v>
      </c>
    </row>
    <row r="213" spans="1:8" ht="30" customHeight="1" x14ac:dyDescent="0.25">
      <c r="A213" s="28" t="str">
        <f t="array" ref="A213">IFERROR(INDEX(Avaluacio[Codi ítem],(MATCH(0,INDEX(COUNTIF($A$108:A212,Avaluacio[Codi ítem]),0,0)+INDEX(Avaluacio[Avaluable]="No",0,0),0))),"")</f>
        <v>XGO106</v>
      </c>
      <c r="B213" s="64" t="str">
        <f t="array" ref="B213">IFERROR(VLOOKUP(A213,Avaluacio[#Data],COLUMN(Avaluacio[Ítem]),FALSE),"")</f>
        <v>Compliment dels objectius d’estabilitat pressupostària</v>
      </c>
      <c r="C213" s="64"/>
      <c r="D213" s="64"/>
      <c r="E213" s="64"/>
      <c r="F213" s="28" t="str">
        <f t="array" ref="F213">IFERROR(VLOOKUP(A213,Avaluacio[],COLUMN(Avaluacio[Contingut]),FALSE),"")</f>
        <v>Sí</v>
      </c>
      <c r="G213" s="28" t="str">
        <f t="array" ref="G213">IFERROR(VLOOKUP(A213,Avaluacio[],COLUMN(Avaluacio[Actualització]),FALSE),"")</f>
        <v>Sí</v>
      </c>
      <c r="H213" s="28" t="str">
        <f t="array" ref="H213">IFERROR(VLOOKUP(A213,Avaluacio[#Data],COLUMN(Avaluacio[Grau de compliment]),FALSE),"")</f>
        <v>Compleix totalment</v>
      </c>
    </row>
    <row r="214" spans="1:8" ht="30" customHeight="1" x14ac:dyDescent="0.25">
      <c r="A214" s="28" t="str">
        <f t="array" ref="A214">IFERROR(INDEX(Avaluacio[Codi ítem],(MATCH(0,INDEX(COUNTIF($A$108:A213,Avaluacio[Codi ítem]),0,0)+INDEX(Avaluacio[Avaluable]="No",0,0),0))),"")</f>
        <v>XGO107</v>
      </c>
      <c r="B214" s="64" t="str">
        <f t="array" ref="B214">IFERROR(VLOOKUP(A214,Avaluacio[#Data],COLUMN(Avaluacio[Ítem]),FALSE),"")</f>
        <v>Informació de les campanyes institucionals</v>
      </c>
      <c r="C214" s="64"/>
      <c r="D214" s="64"/>
      <c r="E214" s="64"/>
      <c r="F214" s="28" t="str">
        <f t="array" ref="F214">IFERROR(VLOOKUP(A214,Avaluacio[],COLUMN(Avaluacio[Contingut]),FALSE),"")</f>
        <v>Sí</v>
      </c>
      <c r="G214" s="28" t="str">
        <f t="array" ref="G214">IFERROR(VLOOKUP(A214,Avaluacio[],COLUMN(Avaluacio[Actualització]),FALSE),"")</f>
        <v>Sí</v>
      </c>
      <c r="H214" s="28" t="str">
        <f t="array" ref="H214">IFERROR(VLOOKUP(A214,Avaluacio[#Data],COLUMN(Avaluacio[Grau de compliment]),FALSE),"")</f>
        <v>Compleix totalment</v>
      </c>
    </row>
    <row r="215" spans="1:8" ht="30" customHeight="1" x14ac:dyDescent="0.25">
      <c r="A215" s="28" t="str">
        <f t="array" ref="A215">IFERROR(INDEX(Avaluacio[Codi ítem],(MATCH(0,INDEX(COUNTIF($A$108:A214,Avaluacio[Codi ítem]),0,0)+INDEX(Avaluacio[Avaluable]="No",0,0),0))),"")</f>
        <v>XGO108</v>
      </c>
      <c r="B215" s="64" t="str">
        <f t="array" ref="B215">IFERROR(VLOOKUP(A215,Avaluacio[#Data],COLUMN(Avaluacio[Ítem]),FALSE),"")</f>
        <v>Endeutament</v>
      </c>
      <c r="C215" s="64"/>
      <c r="D215" s="64"/>
      <c r="E215" s="64"/>
      <c r="F215" s="28" t="str">
        <f t="array" ref="F215">IFERROR(VLOOKUP(A215,Avaluacio[],COLUMN(Avaluacio[Contingut]),FALSE),"")</f>
        <v>Sí</v>
      </c>
      <c r="G215" s="28" t="str">
        <f t="array" ref="G215">IFERROR(VLOOKUP(A215,Avaluacio[],COLUMN(Avaluacio[Actualització]),FALSE),"")</f>
        <v>Sí</v>
      </c>
      <c r="H215" s="28" t="str">
        <f t="array" ref="H215">IFERROR(VLOOKUP(A215,Avaluacio[#Data],COLUMN(Avaluacio[Grau de compliment]),FALSE),"")</f>
        <v>Compleix totalment</v>
      </c>
    </row>
    <row r="216" spans="1:8" ht="30" customHeight="1" x14ac:dyDescent="0.25">
      <c r="A216" s="28" t="str">
        <f t="array" ref="A216">IFERROR(INDEX(Avaluacio[Codi ítem],(MATCH(0,INDEX(COUNTIF($A$108:A215,Avaluacio[Codi ítem]),0,0)+INDEX(Avaluacio[Avaluable]="No",0,0),0))),"")</f>
        <v>XGO109</v>
      </c>
      <c r="B216" s="64" t="str">
        <f t="array" ref="B216">IFERROR(VLOOKUP(A216,Avaluacio[#Data],COLUMN(Avaluacio[Ítem]),FALSE),"")</f>
        <v>Període mitjà de Pagament a Proveïdors (PMP)</v>
      </c>
      <c r="C216" s="64"/>
      <c r="D216" s="64"/>
      <c r="E216" s="64"/>
      <c r="F216" s="28" t="str">
        <f t="array" ref="F216">IFERROR(VLOOKUP(A216,Avaluacio[],COLUMN(Avaluacio[Contingut]),FALSE),"")</f>
        <v>Sí</v>
      </c>
      <c r="G216" s="28" t="str">
        <f t="array" ref="G216">IFERROR(VLOOKUP(A216,Avaluacio[],COLUMN(Avaluacio[Actualització]),FALSE),"")</f>
        <v>Sí</v>
      </c>
      <c r="H216" s="28" t="str">
        <f t="array" ref="H216">IFERROR(VLOOKUP(A216,Avaluacio[#Data],COLUMN(Avaluacio[Grau de compliment]),FALSE),"")</f>
        <v>Compleix totalment</v>
      </c>
    </row>
    <row r="217" spans="1:8" ht="30" customHeight="1" x14ac:dyDescent="0.25">
      <c r="A217" s="28" t="str">
        <f t="array" ref="A217">IFERROR(INDEX(Avaluacio[Codi ítem],(MATCH(0,INDEX(COUNTIF($A$108:A216,Avaluacio[Codi ítem]),0,0)+INDEX(Avaluacio[Avaluable]="No",0,0),0))),"")</f>
        <v>XGO110</v>
      </c>
      <c r="B217" s="64" t="str">
        <f t="array" ref="B217">IFERROR(VLOOKUP(A217,Avaluacio[#Data],COLUMN(Avaluacio[Ítem]),FALSE),"")</f>
        <v>Auditories de comptes</v>
      </c>
      <c r="C217" s="64"/>
      <c r="D217" s="64"/>
      <c r="E217" s="64"/>
      <c r="F217" s="28" t="str">
        <f t="array" ref="F217">IFERROR(VLOOKUP(A217,Avaluacio[],COLUMN(Avaluacio[Contingut]),FALSE),"")</f>
        <v>Sí</v>
      </c>
      <c r="G217" s="28" t="str">
        <f t="array" ref="G217">IFERROR(VLOOKUP(A217,Avaluacio[],COLUMN(Avaluacio[Actualització]),FALSE),"")</f>
        <v>Sí</v>
      </c>
      <c r="H217" s="28" t="str">
        <f t="array" ref="H217">IFERROR(VLOOKUP(A217,Avaluacio[#Data],COLUMN(Avaluacio[Grau de compliment]),FALSE),"")</f>
        <v>Compleix totalment</v>
      </c>
    </row>
    <row r="218" spans="1:8" ht="30" customHeight="1" x14ac:dyDescent="0.25">
      <c r="A218" s="28" t="str">
        <f t="array" ref="A218">IFERROR(INDEX(Avaluacio[Codi ítem],(MATCH(0,INDEX(COUNTIF($A$108:A217,Avaluacio[Codi ítem]),0,0)+INDEX(Avaluacio[Avaluable]="No",0,0),0))),"")</f>
        <v>XGO111</v>
      </c>
      <c r="B218" s="64" t="str">
        <f t="array" ref="B218">IFERROR(VLOOKUP(A218,Avaluacio[#Data],COLUMN(Avaluacio[Ítem]),FALSE),"")</f>
        <v>Indicadors de gestió econòmica</v>
      </c>
      <c r="C218" s="64"/>
      <c r="D218" s="64"/>
      <c r="E218" s="64"/>
      <c r="F218" s="28" t="str">
        <f t="array" ref="F218">IFERROR(VLOOKUP(A218,Avaluacio[],COLUMN(Avaluacio[Contingut]),FALSE),"")</f>
        <v>Sí</v>
      </c>
      <c r="G218" s="28" t="str">
        <f t="array" ref="G218">IFERROR(VLOOKUP(A218,Avaluacio[],COLUMN(Avaluacio[Actualització]),FALSE),"")</f>
        <v>Sí</v>
      </c>
      <c r="H218" s="28" t="str">
        <f t="array" ref="H218">IFERROR(VLOOKUP(A218,Avaluacio[#Data],COLUMN(Avaluacio[Grau de compliment]),FALSE),"")</f>
        <v>Compleix totalment</v>
      </c>
    </row>
    <row r="219" spans="1:8" ht="30" customHeight="1" x14ac:dyDescent="0.25">
      <c r="A219" s="28" t="str">
        <f t="array" ref="A219">IFERROR(INDEX(Avaluacio[Codi ítem],(MATCH(0,INDEX(COUNTIF($A$108:A218,Avaluacio[Codi ítem]),0,0)+INDEX(Avaluacio[Avaluable]="No",0,0),0))),"")</f>
        <v>XGO112</v>
      </c>
      <c r="B219" s="64" t="str">
        <f t="array" ref="B219">IFERROR(VLOOKUP(A219,Avaluacio[#Data],COLUMN(Avaluacio[Ítem]),FALSE),"")</f>
        <v>Cost efectiu dels serveis</v>
      </c>
      <c r="C219" s="64"/>
      <c r="D219" s="64"/>
      <c r="E219" s="64"/>
      <c r="F219" s="28" t="str">
        <f t="array" ref="F219">IFERROR(VLOOKUP(A219,Avaluacio[],COLUMN(Avaluacio[Contingut]),FALSE),"")</f>
        <v>Sí</v>
      </c>
      <c r="G219" s="28" t="str">
        <f t="array" ref="G219">IFERROR(VLOOKUP(A219,Avaluacio[],COLUMN(Avaluacio[Actualització]),FALSE),"")</f>
        <v>Sí</v>
      </c>
      <c r="H219" s="28" t="str">
        <f t="array" ref="H219">IFERROR(VLOOKUP(A219,Avaluacio[#Data],COLUMN(Avaluacio[Grau de compliment]),FALSE),"")</f>
        <v>Compleix totalment</v>
      </c>
    </row>
    <row r="220" spans="1:8" ht="30" customHeight="1" x14ac:dyDescent="0.25">
      <c r="A220" s="28" t="str">
        <f t="array" ref="A220">IFERROR(INDEX(Avaluacio[Codi ítem],(MATCH(0,INDEX(COUNTIF($A$108:A219,Avaluacio[Codi ítem]),0,0)+INDEX(Avaluacio[Avaluable]="No",0,0),0))),"")</f>
        <v>XGO113</v>
      </c>
      <c r="B220" s="64" t="str">
        <f t="array" ref="B220">IFERROR(VLOOKUP(A220,Avaluacio[#Data],COLUMN(Avaluacio[Ítem]),FALSE),"")</f>
        <v>Pla anual de control financer</v>
      </c>
      <c r="C220" s="64"/>
      <c r="D220" s="64"/>
      <c r="E220" s="64"/>
      <c r="F220" s="28" t="str">
        <f t="array" ref="F220">IFERROR(VLOOKUP(A220,Avaluacio[],COLUMN(Avaluacio[Contingut]),FALSE),"")</f>
        <v>Sí</v>
      </c>
      <c r="G220" s="28" t="str">
        <f t="array" ref="G220">IFERROR(VLOOKUP(A220,Avaluacio[],COLUMN(Avaluacio[Actualització]),FALSE),"")</f>
        <v>Sí</v>
      </c>
      <c r="H220" s="28" t="str">
        <f t="array" ref="H220">IFERROR(VLOOKUP(A220,Avaluacio[#Data],COLUMN(Avaluacio[Grau de compliment]),FALSE),"")</f>
        <v>Compleix totalment</v>
      </c>
    </row>
    <row r="221" spans="1:8" ht="30" customHeight="1" x14ac:dyDescent="0.25">
      <c r="A221" s="28" t="str">
        <f t="array" ref="A221">IFERROR(INDEX(Avaluacio[Codi ítem],(MATCH(0,INDEX(COUNTIF($A$108:A220,Avaluacio[Codi ítem]),0,0)+INDEX(Avaluacio[Avaluable]="No",0,0),0))),"")</f>
        <v>XGO114</v>
      </c>
      <c r="B221" s="64" t="str">
        <f t="array" ref="B221">IFERROR(VLOOKUP(A221,Avaluacio[#Data],COLUMN(Avaluacio[Ítem]),FALSE),"")</f>
        <v>Inventari general del patrimoni</v>
      </c>
      <c r="C221" s="64"/>
      <c r="D221" s="64"/>
      <c r="E221" s="64"/>
      <c r="F221" s="28" t="str">
        <f t="array" ref="F221">IFERROR(VLOOKUP(A221,Avaluacio[],COLUMN(Avaluacio[Contingut]),FALSE),"")</f>
        <v>Sí</v>
      </c>
      <c r="G221" s="28" t="str">
        <f t="array" ref="G221">IFERROR(VLOOKUP(A221,Avaluacio[],COLUMN(Avaluacio[Actualització]),FALSE),"")</f>
        <v>Sí</v>
      </c>
      <c r="H221" s="28" t="str">
        <f t="array" ref="H221">IFERROR(VLOOKUP(A221,Avaluacio[#Data],COLUMN(Avaluacio[Grau de compliment]),FALSE),"")</f>
        <v>Compleix totalment</v>
      </c>
    </row>
    <row r="222" spans="1:8" ht="30" customHeight="1" x14ac:dyDescent="0.25">
      <c r="A222" s="28" t="str">
        <f t="array" ref="A222">IFERROR(INDEX(Avaluacio[Codi ítem],(MATCH(0,INDEX(COUNTIF($A$108:A221,Avaluacio[Codi ítem]),0,0)+INDEX(Avaluacio[Avaluable]="No",0,0),0))),"")</f>
        <v>XGO115</v>
      </c>
      <c r="B222" s="64" t="str">
        <f t="array" ref="B222">IFERROR(VLOOKUP(A222,Avaluacio[#Data],COLUMN(Avaluacio[Ítem]),FALSE),"")</f>
        <v>Inventari de béns mobles de valor històric i artístic</v>
      </c>
      <c r="C222" s="64"/>
      <c r="D222" s="64"/>
      <c r="E222" s="64"/>
      <c r="F222" s="28" t="str">
        <f t="array" ref="F222">IFERROR(VLOOKUP(A222,Avaluacio[],COLUMN(Avaluacio[Contingut]),FALSE),"")</f>
        <v>Sí</v>
      </c>
      <c r="G222" s="28" t="str">
        <f t="array" ref="G222">IFERROR(VLOOKUP(A222,Avaluacio[],COLUMN(Avaluacio[Actualització]),FALSE),"")</f>
        <v>Sí</v>
      </c>
      <c r="H222" s="28" t="str">
        <f t="array" ref="H222">IFERROR(VLOOKUP(A222,Avaluacio[#Data],COLUMN(Avaluacio[Grau de compliment]),FALSE),"")</f>
        <v>Compleix totalment</v>
      </c>
    </row>
    <row r="223" spans="1:8" ht="30" customHeight="1" x14ac:dyDescent="0.25">
      <c r="A223" s="28" t="str">
        <f t="array" ref="A223">IFERROR(INDEX(Avaluacio[Codi ítem],(MATCH(0,INDEX(COUNTIF($A$108:A222,Avaluacio[Codi ítem]),0,0)+INDEX(Avaluacio[Avaluable]="No",0,0),0))),"")</f>
        <v>XGO116</v>
      </c>
      <c r="B223" s="64" t="str">
        <f t="array" ref="B223">IFERROR(VLOOKUP(A223,Avaluacio[#Data],COLUMN(Avaluacio[Ítem]),FALSE),"")</f>
        <v>Inventari de vehicles oficials</v>
      </c>
      <c r="C223" s="64"/>
      <c r="D223" s="64"/>
      <c r="E223" s="64"/>
      <c r="F223" s="28" t="str">
        <f t="array" ref="F223">IFERROR(VLOOKUP(A223,Avaluacio[],COLUMN(Avaluacio[Contingut]),FALSE),"")</f>
        <v>Sí</v>
      </c>
      <c r="G223" s="28" t="str">
        <f t="array" ref="G223">IFERROR(VLOOKUP(A223,Avaluacio[],COLUMN(Avaluacio[Actualització]),FALSE),"")</f>
        <v>No</v>
      </c>
      <c r="H223" s="28" t="str">
        <f t="array" ref="H223">IFERROR(VLOOKUP(A223,Avaluacio[#Data],COLUMN(Avaluacio[Grau de compliment]),FALSE),"")</f>
        <v>Compleix parcialment</v>
      </c>
    </row>
    <row r="224" spans="1:8" ht="30" customHeight="1" x14ac:dyDescent="0.25">
      <c r="A224" s="28" t="str">
        <f t="array" ref="A224">IFERROR(INDEX(Avaluacio[Codi ítem],(MATCH(0,INDEX(COUNTIF($A$108:A223,Avaluacio[Codi ítem]),0,0)+INDEX(Avaluacio[Avaluable]="No",0,0),0))),"")</f>
        <v>XGO117</v>
      </c>
      <c r="B224" s="64" t="str">
        <f t="array" ref="B224">IFERROR(VLOOKUP(A224,Avaluacio[#Data],COLUMN(Avaluacio[Ítem]),FALSE),"")</f>
        <v>Informació relativa a la gestió del patrimoni</v>
      </c>
      <c r="C224" s="64"/>
      <c r="D224" s="64"/>
      <c r="E224" s="64"/>
      <c r="F224" s="28" t="str">
        <f t="array" ref="F224">IFERROR(VLOOKUP(A224,Avaluacio[],COLUMN(Avaluacio[Contingut]),FALSE),"")</f>
        <v>Sí</v>
      </c>
      <c r="G224" s="28" t="str">
        <f t="array" ref="G224">IFERROR(VLOOKUP(A224,Avaluacio[],COLUMN(Avaluacio[Actualització]),FALSE),"")</f>
        <v>Sí</v>
      </c>
      <c r="H224" s="28" t="str">
        <f t="array" ref="H224">IFERROR(VLOOKUP(A224,Avaluacio[#Data],COLUMN(Avaluacio[Grau de compliment]),FALSE),"")</f>
        <v>Compleix totalment</v>
      </c>
    </row>
    <row r="225" spans="1:8" ht="30" customHeight="1" x14ac:dyDescent="0.25">
      <c r="A225" s="28" t="str">
        <f t="array" ref="A225">IFERROR(INDEX(Avaluacio[Codi ítem],(MATCH(0,INDEX(COUNTIF($A$108:A224,Avaluacio[Codi ítem]),0,0)+INDEX(Avaluacio[Avaluable]="No",0,0),0))),"")</f>
        <v>XGO118</v>
      </c>
      <c r="B225" s="64" t="str">
        <f t="array" ref="B225">IFERROR(VLOOKUP(A225,Avaluacio[#Data],COLUMN(Avaluacio[Ítem]),FALSE),"")</f>
        <v>Incidències de serveis</v>
      </c>
      <c r="C225" s="64"/>
      <c r="D225" s="64"/>
      <c r="E225" s="64"/>
      <c r="F225" s="28" t="str">
        <f t="array" ref="F225">IFERROR(VLOOKUP(A225,Avaluacio[],COLUMN(Avaluacio[Contingut]),FALSE),"")</f>
        <v>Sí</v>
      </c>
      <c r="G225" s="28" t="str">
        <f t="array" ref="G225">IFERROR(VLOOKUP(A225,Avaluacio[],COLUMN(Avaluacio[Actualització]),FALSE),"")</f>
        <v>Sí</v>
      </c>
      <c r="H225" s="28" t="str">
        <f t="array" ref="H225">IFERROR(VLOOKUP(A225,Avaluacio[#Data],COLUMN(Avaluacio[Grau de compliment]),FALSE),"")</f>
        <v>Compleix totalment</v>
      </c>
    </row>
    <row r="226" spans="1:8" ht="30" customHeight="1" x14ac:dyDescent="0.25">
      <c r="A226" s="28" t="str">
        <f t="array" ref="A226">IFERROR(INDEX(Avaluacio[Codi ítem],(MATCH(0,INDEX(COUNTIF($A$108:A225,Avaluacio[Codi ítem]),0,0)+INDEX(Avaluacio[Avaluable]="No",0,0),0))),"")</f>
        <v>XGO119</v>
      </c>
      <c r="B226" s="64" t="str">
        <f t="array" ref="B226">IFERROR(VLOOKUP(A226,Avaluacio[#Data],COLUMN(Avaluacio[Ítem]),FALSE),"")</f>
        <v>Incidències de trànsit</v>
      </c>
      <c r="C226" s="64"/>
      <c r="D226" s="64"/>
      <c r="E226" s="64"/>
      <c r="F226" s="28" t="str">
        <f t="array" ref="F226">IFERROR(VLOOKUP(A226,Avaluacio[],COLUMN(Avaluacio[Contingut]),FALSE),"")</f>
        <v>Sí</v>
      </c>
      <c r="G226" s="28" t="str">
        <f t="array" ref="G226">IFERROR(VLOOKUP(A226,Avaluacio[],COLUMN(Avaluacio[Actualització]),FALSE),"")</f>
        <v>Sí</v>
      </c>
      <c r="H226" s="28" t="str">
        <f t="array" ref="H226">IFERROR(VLOOKUP(A226,Avaluacio[#Data],COLUMN(Avaluacio[Grau de compliment]),FALSE),"")</f>
        <v>Compleix totalment</v>
      </c>
    </row>
    <row r="227" spans="1:8" ht="30" customHeight="1" x14ac:dyDescent="0.25">
      <c r="A227" s="28" t="str">
        <f t="array" ref="A227">IFERROR(INDEX(Avaluacio[Codi ítem],(MATCH(0,INDEX(COUNTIF($A$108:A226,Avaluacio[Codi ítem]),0,0)+INDEX(Avaluacio[Avaluable]="No",0,0),0))),"")</f>
        <v>XGO120</v>
      </c>
      <c r="B227" s="64" t="str">
        <f t="array" ref="B227">IFERROR(VLOOKUP(A227,Avaluacio[#Data],COLUMN(Avaluacio[Ítem]),FALSE),"")</f>
        <v>Informació de la contaminació de l'aire</v>
      </c>
      <c r="C227" s="64"/>
      <c r="D227" s="64"/>
      <c r="E227" s="64"/>
      <c r="F227" s="28" t="str">
        <f t="array" ref="F227">IFERROR(VLOOKUP(A227,Avaluacio[],COLUMN(Avaluacio[Contingut]),FALSE),"")</f>
        <v>Sí</v>
      </c>
      <c r="G227" s="28" t="str">
        <f t="array" ref="G227">IFERROR(VLOOKUP(A227,Avaluacio[],COLUMN(Avaluacio[Actualització]),FALSE),"")</f>
        <v>Sí</v>
      </c>
      <c r="H227" s="28" t="str">
        <f t="array" ref="H227">IFERROR(VLOOKUP(A227,Avaluacio[#Data],COLUMN(Avaluacio[Grau de compliment]),FALSE),"")</f>
        <v>Compleix totalment</v>
      </c>
    </row>
    <row r="228" spans="1:8" ht="30" customHeight="1" x14ac:dyDescent="0.25">
      <c r="A228" s="28" t="str">
        <f t="array" ref="A228">IFERROR(INDEX(Avaluacio[Codi ítem],(MATCH(0,INDEX(COUNTIF($A$108:A227,Avaluacio[Codi ítem]),0,0)+INDEX(Avaluacio[Avaluable]="No",0,0),0))),"")</f>
        <v>XGO121</v>
      </c>
      <c r="B228" s="64" t="str">
        <f t="array" ref="B228">IFERROR(VLOOKUP(A228,Avaluacio[#Data],COLUMN(Avaluacio[Ítem]),FALSE),"")</f>
        <v>Informació de la contaminació acústica</v>
      </c>
      <c r="C228" s="64"/>
      <c r="D228" s="64"/>
      <c r="E228" s="64"/>
      <c r="F228" s="28" t="str">
        <f t="array" ref="F228">IFERROR(VLOOKUP(A228,Avaluacio[],COLUMN(Avaluacio[Contingut]),FALSE),"")</f>
        <v>Sí</v>
      </c>
      <c r="G228" s="28" t="str">
        <f t="array" ref="G228">IFERROR(VLOOKUP(A228,Avaluacio[],COLUMN(Avaluacio[Actualització]),FALSE),"")</f>
        <v>Sí</v>
      </c>
      <c r="H228" s="28" t="str">
        <f t="array" ref="H228">IFERROR(VLOOKUP(A228,Avaluacio[#Data],COLUMN(Avaluacio[Grau de compliment]),FALSE),"")</f>
        <v>Compleix totalment</v>
      </c>
    </row>
    <row r="229" spans="1:8" ht="30" customHeight="1" x14ac:dyDescent="0.25">
      <c r="A229" s="28" t="str">
        <f t="array" ref="A229">IFERROR(INDEX(Avaluacio[Codi ítem],(MATCH(0,INDEX(COUNTIF($A$108:A228,Avaluacio[Codi ítem]),0,0)+INDEX(Avaluacio[Avaluable]="No",0,0),0))),"")</f>
        <v>XGO122</v>
      </c>
      <c r="B229" s="64" t="str">
        <f t="array" ref="B229">IFERROR(VLOOKUP(A229,Avaluacio[#Data],COLUMN(Avaluacio[Ítem]),FALSE),"")</f>
        <v>Avaluacions de les polítiques públiques</v>
      </c>
      <c r="C229" s="64"/>
      <c r="D229" s="64"/>
      <c r="E229" s="64"/>
      <c r="F229" s="28" t="str">
        <f t="array" ref="F229">IFERROR(VLOOKUP(A229,Avaluacio[],COLUMN(Avaluacio[Contingut]),FALSE),"")</f>
        <v>No</v>
      </c>
      <c r="G229" s="28" t="str">
        <f t="array" ref="G229">IFERROR(VLOOKUP(A229,Avaluacio[],COLUMN(Avaluacio[Actualització]),FALSE),"")</f>
        <v>No</v>
      </c>
      <c r="H229" s="28" t="str">
        <f t="array" ref="H229">IFERROR(VLOOKUP(A229,Avaluacio[#Data],COLUMN(Avaluacio[Grau de compliment]),FALSE),"")</f>
        <v>No compleix</v>
      </c>
    </row>
    <row r="230" spans="1:8" ht="30" customHeight="1" x14ac:dyDescent="0.25">
      <c r="A230" s="28" t="str">
        <f t="array" ref="A230">IFERROR(INDEX(Avaluacio[Codi ítem],(MATCH(0,INDEX(COUNTIF($A$108:A229,Avaluacio[Codi ítem]),0,0)+INDEX(Avaluacio[Avaluable]="No",0,0),0))),"")</f>
        <v>XGO123</v>
      </c>
      <c r="B230" s="64" t="str">
        <f t="array" ref="B230">IFERROR(VLOOKUP(A230,Avaluacio[#Data],COLUMN(Avaluacio[Ítem]),FALSE),"")</f>
        <v>Avaluacions de qualitat dels serveis públics</v>
      </c>
      <c r="C230" s="64"/>
      <c r="D230" s="64"/>
      <c r="E230" s="64"/>
      <c r="F230" s="28" t="str">
        <f t="array" ref="F230">IFERROR(VLOOKUP(A230,Avaluacio[],COLUMN(Avaluacio[Contingut]),FALSE),"")</f>
        <v>Sí</v>
      </c>
      <c r="G230" s="28" t="str">
        <f t="array" ref="G230">IFERROR(VLOOKUP(A230,Avaluacio[],COLUMN(Avaluacio[Actualització]),FALSE),"")</f>
        <v>No</v>
      </c>
      <c r="H230" s="28" t="str">
        <f t="array" ref="H230">IFERROR(VLOOKUP(A230,Avaluacio[#Data],COLUMN(Avaluacio[Grau de compliment]),FALSE),"")</f>
        <v>Compleix parcialment</v>
      </c>
    </row>
    <row r="231" spans="1:8" ht="30" customHeight="1" x14ac:dyDescent="0.25">
      <c r="A231" s="28" t="str">
        <f t="array" ref="A231">IFERROR(INDEX(Avaluacio[Codi ítem],(MATCH(0,INDEX(COUNTIF($A$108:A230,Avaluacio[Codi ítem]),0,0)+INDEX(Avaluacio[Avaluable]="No",0,0),0))),"")</f>
        <v>XGO124</v>
      </c>
      <c r="B231" s="64" t="str">
        <f t="array" ref="B231">IFERROR(VLOOKUP(A231,Avaluacio[#Data],COLUMN(Avaluacio[Ítem]),FALSE),"")</f>
        <v>Indicadors de transparència</v>
      </c>
      <c r="C231" s="64"/>
      <c r="D231" s="64"/>
      <c r="E231" s="64"/>
      <c r="F231" s="28" t="str">
        <f t="array" ref="F231">IFERROR(VLOOKUP(A231,Avaluacio[],COLUMN(Avaluacio[Contingut]),FALSE),"")</f>
        <v>Sí</v>
      </c>
      <c r="G231" s="28" t="str">
        <f t="array" ref="G231">IFERROR(VLOOKUP(A231,Avaluacio[],COLUMN(Avaluacio[Actualització]),FALSE),"")</f>
        <v>Sí</v>
      </c>
      <c r="H231" s="28" t="str">
        <f t="array" ref="H231">IFERROR(VLOOKUP(A231,Avaluacio[#Data],COLUMN(Avaluacio[Grau de compliment]),FALSE),"")</f>
        <v>Compleix totalment</v>
      </c>
    </row>
    <row r="232" spans="1:8" ht="30" customHeight="1" x14ac:dyDescent="0.25">
      <c r="A232" s="28" t="str">
        <f t="array" ref="A232">IFERROR(INDEX(Avaluacio[Codi ítem],(MATCH(0,INDEX(COUNTIF($A$108:A231,Avaluacio[Codi ítem]),0,0)+INDEX(Avaluacio[Avaluable]="No",0,0),0))),"")</f>
        <v>XGO125</v>
      </c>
      <c r="B232" s="64" t="str">
        <f t="array" ref="B232">IFERROR(VLOOKUP(A232,Avaluacio[#Data],COLUMN(Avaluacio[Ítem]),FALSE),"")</f>
        <v>Atenció ciutadana</v>
      </c>
      <c r="C232" s="64"/>
      <c r="D232" s="64"/>
      <c r="E232" s="64"/>
      <c r="F232" s="28" t="str">
        <f t="array" ref="F232">IFERROR(VLOOKUP(A232,Avaluacio[],COLUMN(Avaluacio[Contingut]),FALSE),"")</f>
        <v>Sí</v>
      </c>
      <c r="G232" s="28" t="str">
        <f t="array" ref="G232">IFERROR(VLOOKUP(A232,Avaluacio[],COLUMN(Avaluacio[Actualització]),FALSE),"")</f>
        <v>Sí</v>
      </c>
      <c r="H232" s="28" t="str">
        <f t="array" ref="H232">IFERROR(VLOOKUP(A232,Avaluacio[#Data],COLUMN(Avaluacio[Grau de compliment]),FALSE),"")</f>
        <v>Compleix totalment</v>
      </c>
    </row>
    <row r="233" spans="1:8" ht="30" customHeight="1" x14ac:dyDescent="0.25">
      <c r="A233" s="28" t="str">
        <f t="array" ref="A233">IFERROR(INDEX(Avaluacio[Codi ítem],(MATCH(0,INDEX(COUNTIF($A$108:A232,Avaluacio[Codi ítem]),0,0)+INDEX(Avaluacio[Avaluable]="No",0,0),0))),"")</f>
        <v>XGO126</v>
      </c>
      <c r="B233" s="64" t="str">
        <f t="array" ref="B233">IFERROR(VLOOKUP(A233,Avaluacio[#Data],COLUMN(Avaluacio[Ítem]),FALSE),"")</f>
        <v>Calendari dies inhàbils</v>
      </c>
      <c r="C233" s="64"/>
      <c r="D233" s="64"/>
      <c r="E233" s="64"/>
      <c r="F233" s="28" t="str">
        <f t="array" ref="F233">IFERROR(VLOOKUP(A233,Avaluacio[],COLUMN(Avaluacio[Contingut]),FALSE),"")</f>
        <v>Sí</v>
      </c>
      <c r="G233" s="28" t="str">
        <f t="array" ref="G233">IFERROR(VLOOKUP(A233,Avaluacio[],COLUMN(Avaluacio[Actualització]),FALSE),"")</f>
        <v>Sí</v>
      </c>
      <c r="H233" s="28" t="str">
        <f t="array" ref="H233">IFERROR(VLOOKUP(A233,Avaluacio[#Data],COLUMN(Avaluacio[Grau de compliment]),FALSE),"")</f>
        <v>Compleix totalment</v>
      </c>
    </row>
    <row r="234" spans="1:8" ht="30" customHeight="1" x14ac:dyDescent="0.25">
      <c r="A234" s="28" t="str">
        <f t="array" ref="A234">IFERROR(INDEX(Avaluacio[Codi ítem],(MATCH(0,INDEX(COUNTIF($A$108:A233,Avaluacio[Codi ítem]),0,0)+INDEX(Avaluacio[Avaluable]="No",0,0),0))),"")</f>
        <v>XGO127</v>
      </c>
      <c r="B234" s="64" t="str">
        <f t="array" ref="B234">IFERROR(VLOOKUP(A234,Avaluacio[#Data],COLUMN(Avaluacio[Ítem]),FALSE),"")</f>
        <v>Catàleg i cartes de serveis</v>
      </c>
      <c r="C234" s="64"/>
      <c r="D234" s="64"/>
      <c r="E234" s="64"/>
      <c r="F234" s="28" t="str">
        <f t="array" ref="F234">IFERROR(VLOOKUP(A234,Avaluacio[],COLUMN(Avaluacio[Contingut]),FALSE),"")</f>
        <v>Sí</v>
      </c>
      <c r="G234" s="28" t="str">
        <f t="array" ref="G234">IFERROR(VLOOKUP(A234,Avaluacio[],COLUMN(Avaluacio[Actualització]),FALSE),"")</f>
        <v>Sí</v>
      </c>
      <c r="H234" s="28" t="str">
        <f t="array" ref="H234">IFERROR(VLOOKUP(A234,Avaluacio[#Data],COLUMN(Avaluacio[Grau de compliment]),FALSE),"")</f>
        <v>Compleix totalment</v>
      </c>
    </row>
    <row r="235" spans="1:8" ht="30" customHeight="1" x14ac:dyDescent="0.25">
      <c r="A235" s="28" t="str">
        <f t="array" ref="A235">IFERROR(INDEX(Avaluacio[Codi ítem],(MATCH(0,INDEX(COUNTIF($A$108:A234,Avaluacio[Codi ítem]),0,0)+INDEX(Avaluacio[Avaluable]="No",0,0),0))),"")</f>
        <v>XGO128</v>
      </c>
      <c r="B235" s="64" t="str">
        <f t="array" ref="B235">IFERROR(VLOOKUP(A235,Avaluacio[#Data],COLUMN(Avaluacio[Ítem]),FALSE),"")</f>
        <v>Equipaments municipals</v>
      </c>
      <c r="C235" s="64"/>
      <c r="D235" s="64"/>
      <c r="E235" s="64"/>
      <c r="F235" s="28" t="str">
        <f t="array" ref="F235">IFERROR(VLOOKUP(A235,Avaluacio[],COLUMN(Avaluacio[Contingut]),FALSE),"")</f>
        <v>No</v>
      </c>
      <c r="G235" s="28" t="str">
        <f t="array" ref="G235">IFERROR(VLOOKUP(A235,Avaluacio[],COLUMN(Avaluacio[Actualització]),FALSE),"")</f>
        <v>No</v>
      </c>
      <c r="H235" s="28" t="str">
        <f t="array" ref="H235">IFERROR(VLOOKUP(A235,Avaluacio[#Data],COLUMN(Avaluacio[Grau de compliment]),FALSE),"")</f>
        <v>No compleix</v>
      </c>
    </row>
    <row r="236" spans="1:8" ht="30" customHeight="1" x14ac:dyDescent="0.25">
      <c r="A236" s="28" t="str">
        <f t="array" ref="A236">IFERROR(INDEX(Avaluacio[Codi ítem],(MATCH(0,INDEX(COUNTIF($A$108:A235,Avaluacio[Codi ítem]),0,0)+INDEX(Avaluacio[Avaluable]="No",0,0),0))),"")</f>
        <v>XGO129</v>
      </c>
      <c r="B236" s="64" t="str">
        <f t="array" ref="B236">IFERROR(VLOOKUP(A236,Avaluacio[#Data],COLUMN(Avaluacio[Ítem]),FALSE),"")</f>
        <v>Instància genèrica</v>
      </c>
      <c r="C236" s="64"/>
      <c r="D236" s="64"/>
      <c r="E236" s="64"/>
      <c r="F236" s="28" t="str">
        <f t="array" ref="F236">IFERROR(VLOOKUP(A236,Avaluacio[],COLUMN(Avaluacio[Contingut]),FALSE),"")</f>
        <v>Sí</v>
      </c>
      <c r="G236" s="28" t="str">
        <f t="array" ref="G236">IFERROR(VLOOKUP(A236,Avaluacio[],COLUMN(Avaluacio[Actualització]),FALSE),"")</f>
        <v>Sí</v>
      </c>
      <c r="H236" s="28" t="str">
        <f t="array" ref="H236">IFERROR(VLOOKUP(A236,Avaluacio[#Data],COLUMN(Avaluacio[Grau de compliment]),FALSE),"")</f>
        <v>Compleix totalment</v>
      </c>
    </row>
    <row r="237" spans="1:8" ht="30" customHeight="1" x14ac:dyDescent="0.25">
      <c r="A237" s="28" t="str">
        <f t="array" ref="A237">IFERROR(INDEX(Avaluacio[Codi ítem],(MATCH(0,INDEX(COUNTIF($A$108:A236,Avaluacio[Codi ítem]),0,0)+INDEX(Avaluacio[Avaluable]="No",0,0),0))),"")</f>
        <v>XGO130</v>
      </c>
      <c r="B237" s="64" t="str">
        <f t="array" ref="B237">IFERROR(VLOOKUP(A237,Avaluacio[#Data],COLUMN(Avaluacio[Ítem]),FALSE),"")</f>
        <v>Gestió tributària</v>
      </c>
      <c r="C237" s="64"/>
      <c r="D237" s="64"/>
      <c r="E237" s="64"/>
      <c r="F237" s="28" t="str">
        <f t="array" ref="F237">IFERROR(VLOOKUP(A237,Avaluacio[],COLUMN(Avaluacio[Contingut]),FALSE),"")</f>
        <v>Sí</v>
      </c>
      <c r="G237" s="28" t="str">
        <f t="array" ref="G237">IFERROR(VLOOKUP(A237,Avaluacio[],COLUMN(Avaluacio[Actualització]),FALSE),"")</f>
        <v>Sí</v>
      </c>
      <c r="H237" s="28" t="str">
        <f t="array" ref="H237">IFERROR(VLOOKUP(A237,Avaluacio[#Data],COLUMN(Avaluacio[Grau de compliment]),FALSE),"")</f>
        <v>Compleix totalment</v>
      </c>
    </row>
    <row r="238" spans="1:8" ht="30" customHeight="1" x14ac:dyDescent="0.25">
      <c r="A238" s="28" t="str">
        <f t="array" ref="A238">IFERROR(INDEX(Avaluacio[Codi ítem],(MATCH(0,INDEX(COUNTIF($A$108:A237,Avaluacio[Codi ítem]),0,0)+INDEX(Avaluacio[Avaluable]="No",0,0),0))),"")</f>
        <v>XGO131</v>
      </c>
      <c r="B238" s="64" t="str">
        <f t="array" ref="B238">IFERROR(VLOOKUP(A238,Avaluacio[#Data],COLUMN(Avaluacio[Ítem]),FALSE),"")</f>
        <v>Notificacions electròniques</v>
      </c>
      <c r="C238" s="64"/>
      <c r="D238" s="64"/>
      <c r="E238" s="64"/>
      <c r="F238" s="28" t="str">
        <f t="array" ref="F238">IFERROR(VLOOKUP(A238,Avaluacio[],COLUMN(Avaluacio[Contingut]),FALSE),"")</f>
        <v>Sí</v>
      </c>
      <c r="G238" s="28" t="str">
        <f t="array" ref="G238">IFERROR(VLOOKUP(A238,Avaluacio[],COLUMN(Avaluacio[Actualització]),FALSE),"")</f>
        <v>Sí</v>
      </c>
      <c r="H238" s="28" t="str">
        <f t="array" ref="H238">IFERROR(VLOOKUP(A238,Avaluacio[#Data],COLUMN(Avaluacio[Grau de compliment]),FALSE),"")</f>
        <v>Compleix totalment</v>
      </c>
    </row>
    <row r="239" spans="1:8" ht="30" customHeight="1" x14ac:dyDescent="0.25">
      <c r="A239" s="28" t="str">
        <f t="array" ref="A239">IFERROR(INDEX(Avaluacio[Codi ítem],(MATCH(0,INDEX(COUNTIF($A$108:A238,Avaluacio[Codi ítem]),0,0)+INDEX(Avaluacio[Avaluable]="No",0,0),0))),"")</f>
        <v>XGO132</v>
      </c>
      <c r="B239" s="64" t="str">
        <f t="array" ref="B239">IFERROR(VLOOKUP(A239,Avaluacio[#Data],COLUMN(Avaluacio[Ítem]),FALSE),"")</f>
        <v>Factures electròniques</v>
      </c>
      <c r="C239" s="64"/>
      <c r="D239" s="64"/>
      <c r="E239" s="64"/>
      <c r="F239" s="28" t="str">
        <f t="array" ref="F239">IFERROR(VLOOKUP(A239,Avaluacio[],COLUMN(Avaluacio[Contingut]),FALSE),"")</f>
        <v>Sí</v>
      </c>
      <c r="G239" s="28" t="str">
        <f t="array" ref="G239">IFERROR(VLOOKUP(A239,Avaluacio[],COLUMN(Avaluacio[Actualització]),FALSE),"")</f>
        <v>Sí</v>
      </c>
      <c r="H239" s="28" t="str">
        <f t="array" ref="H239">IFERROR(VLOOKUP(A239,Avaluacio[#Data],COLUMN(Avaluacio[Grau de compliment]),FALSE),"")</f>
        <v>Compleix totalment</v>
      </c>
    </row>
    <row r="240" spans="1:8" ht="30" customHeight="1" x14ac:dyDescent="0.25">
      <c r="A240" s="28" t="str">
        <f t="array" ref="A240">IFERROR(INDEX(Avaluacio[Codi ítem],(MATCH(0,INDEX(COUNTIF($A$108:A239,Avaluacio[Codi ítem]),0,0)+INDEX(Avaluacio[Avaluable]="No",0,0),0))),"")</f>
        <v>XGO133</v>
      </c>
      <c r="B240" s="64" t="str">
        <f t="array" ref="B240">IFERROR(VLOOKUP(A240,Avaluacio[#Data],COLUMN(Avaluacio[Ítem]),FALSE),"")</f>
        <v>Sol·licitud d'accés a la informació pública</v>
      </c>
      <c r="C240" s="64"/>
      <c r="D240" s="64"/>
      <c r="E240" s="64"/>
      <c r="F240" s="28" t="str">
        <f t="array" ref="F240">IFERROR(VLOOKUP(A240,Avaluacio[],COLUMN(Avaluacio[Contingut]),FALSE),"")</f>
        <v>Sí</v>
      </c>
      <c r="G240" s="28" t="str">
        <f t="array" ref="G240">IFERROR(VLOOKUP(A240,Avaluacio[],COLUMN(Avaluacio[Actualització]),FALSE),"")</f>
        <v>Sí</v>
      </c>
      <c r="H240" s="28" t="str">
        <f t="array" ref="H240">IFERROR(VLOOKUP(A240,Avaluacio[#Data],COLUMN(Avaluacio[Grau de compliment]),FALSE),"")</f>
        <v>Compleix totalment</v>
      </c>
    </row>
    <row r="241" spans="1:8" ht="30" customHeight="1" x14ac:dyDescent="0.25">
      <c r="A241" s="28" t="str">
        <f t="array" ref="A241">IFERROR(INDEX(Avaluacio[Codi ítem],(MATCH(0,INDEX(COUNTIF($A$108:A240,Avaluacio[Codi ítem]),0,0)+INDEX(Avaluacio[Avaluable]="No",0,0),0))),"")</f>
        <v>XGO134</v>
      </c>
      <c r="B241" s="64" t="str">
        <f t="array" ref="B241">IFERROR(VLOOKUP(A241,Avaluacio[#Data],COLUMN(Avaluacio[Ítem]),FALSE),"")</f>
        <v>Suggeriments, queixes i propostes</v>
      </c>
      <c r="C241" s="64"/>
      <c r="D241" s="64"/>
      <c r="E241" s="64"/>
      <c r="F241" s="28" t="str">
        <f t="array" ref="F241">IFERROR(VLOOKUP(A241,Avaluacio[],COLUMN(Avaluacio[Contingut]),FALSE),"")</f>
        <v>Sí</v>
      </c>
      <c r="G241" s="28" t="str">
        <f t="array" ref="G241">IFERROR(VLOOKUP(A241,Avaluacio[],COLUMN(Avaluacio[Actualització]),FALSE),"")</f>
        <v>Sí</v>
      </c>
      <c r="H241" s="28" t="str">
        <f t="array" ref="H241">IFERROR(VLOOKUP(A241,Avaluacio[#Data],COLUMN(Avaluacio[Grau de compliment]),FALSE),"")</f>
        <v>Compleix totalment</v>
      </c>
    </row>
    <row r="242" spans="1:8" ht="30" customHeight="1" x14ac:dyDescent="0.25">
      <c r="A242" s="28" t="str">
        <f t="array" ref="A242">IFERROR(INDEX(Avaluacio[Codi ítem],(MATCH(0,INDEX(COUNTIF($A$108:A241,Avaluacio[Codi ítem]),0,0)+INDEX(Avaluacio[Avaluable]="No",0,0),0))),"")</f>
        <v>XGO135</v>
      </c>
      <c r="B242" s="64" t="str">
        <f t="array" ref="B242">IFERROR(VLOOKUP(A242,Avaluacio[#Data],COLUMN(Avaluacio[Ítem]),FALSE),"")</f>
        <v xml:space="preserve">El meu espai personal </v>
      </c>
      <c r="C242" s="64"/>
      <c r="D242" s="64"/>
      <c r="E242" s="64"/>
      <c r="F242" s="28" t="str">
        <f t="array" ref="F242">IFERROR(VLOOKUP(A242,Avaluacio[],COLUMN(Avaluacio[Contingut]),FALSE),"")</f>
        <v>Sí</v>
      </c>
      <c r="G242" s="28" t="str">
        <f t="array" ref="G242">IFERROR(VLOOKUP(A242,Avaluacio[],COLUMN(Avaluacio[Actualització]),FALSE),"")</f>
        <v>Sí</v>
      </c>
      <c r="H242" s="28" t="str">
        <f t="array" ref="H242">IFERROR(VLOOKUP(A242,Avaluacio[#Data],COLUMN(Avaluacio[Grau de compliment]),FALSE),"")</f>
        <v>Compleix totalment</v>
      </c>
    </row>
    <row r="243" spans="1:8" ht="30" customHeight="1" x14ac:dyDescent="0.25">
      <c r="A243" s="28" t="str">
        <f t="array" ref="A243">IFERROR(INDEX(Avaluacio[Codi ítem],(MATCH(0,INDEX(COUNTIF($A$108:A242,Avaluacio[Codi ítem]),0,0)+INDEX(Avaluacio[Avaluable]="No",0,0),0))),"")</f>
        <v>XGO136</v>
      </c>
      <c r="B243" s="64" t="str">
        <f t="array" ref="B243">IFERROR(VLOOKUP(A243,Avaluacio[#Data],COLUMN(Avaluacio[Ítem]),FALSE),"")</f>
        <v>Catàleg de tràmits i procediments</v>
      </c>
      <c r="C243" s="64"/>
      <c r="D243" s="64"/>
      <c r="E243" s="64"/>
      <c r="F243" s="28" t="str">
        <f t="array" ref="F243">IFERROR(VLOOKUP(A243,Avaluacio[],COLUMN(Avaluacio[Contingut]),FALSE),"")</f>
        <v>Sí</v>
      </c>
      <c r="G243" s="28" t="str">
        <f t="array" ref="G243">IFERROR(VLOOKUP(A243,Avaluacio[],COLUMN(Avaluacio[Actualització]),FALSE),"")</f>
        <v>Sí</v>
      </c>
      <c r="H243" s="28" t="str">
        <f t="array" ref="H243">IFERROR(VLOOKUP(A243,Avaluacio[#Data],COLUMN(Avaluacio[Grau de compliment]),FALSE),"")</f>
        <v>Compleix totalment</v>
      </c>
    </row>
    <row r="244" spans="1:8" ht="30" customHeight="1" x14ac:dyDescent="0.25">
      <c r="A244" s="28" t="str">
        <f t="array" ref="A244">IFERROR(INDEX(Avaluacio[Codi ítem],(MATCH(0,INDEX(COUNTIF($A$108:A243,Avaluacio[Codi ítem]),0,0)+INDEX(Avaluacio[Avaluable]="No",0,0),0))),"")</f>
        <v>XGO137</v>
      </c>
      <c r="B244" s="64" t="str">
        <f t="array" ref="B244">IFERROR(VLOOKUP(A244,Avaluacio[#Data],COLUMN(Avaluacio[Ítem]),FALSE),"")</f>
        <v>Catàleg de dades i documents interoperables</v>
      </c>
      <c r="C244" s="64"/>
      <c r="D244" s="64"/>
      <c r="E244" s="64"/>
      <c r="F244" s="28" t="str">
        <f t="array" ref="F244">IFERROR(VLOOKUP(A244,Avaluacio[],COLUMN(Avaluacio[Contingut]),FALSE),"")</f>
        <v>Sí</v>
      </c>
      <c r="G244" s="28" t="str">
        <f t="array" ref="G244">IFERROR(VLOOKUP(A244,Avaluacio[],COLUMN(Avaluacio[Actualització]),FALSE),"")</f>
        <v>Sí</v>
      </c>
      <c r="H244" s="28" t="str">
        <f t="array" ref="H244">IFERROR(VLOOKUP(A244,Avaluacio[#Data],COLUMN(Avaluacio[Grau de compliment]),FALSE),"")</f>
        <v>Compleix totalment</v>
      </c>
    </row>
    <row r="245" spans="1:8" ht="30" customHeight="1" x14ac:dyDescent="0.25">
      <c r="A245" s="28" t="str">
        <f t="array" ref="A245">IFERROR(INDEX(Avaluacio[Codi ítem],(MATCH(0,INDEX(COUNTIF($A$108:A244,Avaluacio[Codi ítem]),0,0)+INDEX(Avaluacio[Avaluable]="No",0,0),0))),"")</f>
        <v>XGO138</v>
      </c>
      <c r="B245" s="64" t="str">
        <f t="array" ref="B245">IFERROR(VLOOKUP(A245,Avaluacio[#Data],COLUMN(Avaluacio[Ítem]),FALSE),"")</f>
        <v>Gestor de representacions</v>
      </c>
      <c r="C245" s="64"/>
      <c r="D245" s="64"/>
      <c r="E245" s="64"/>
      <c r="F245" s="28" t="str">
        <f t="array" ref="F245">IFERROR(VLOOKUP(A245,Avaluacio[],COLUMN(Avaluacio[Contingut]),FALSE),"")</f>
        <v>Sí</v>
      </c>
      <c r="G245" s="28" t="str">
        <f t="array" ref="G245">IFERROR(VLOOKUP(A245,Avaluacio[],COLUMN(Avaluacio[Actualització]),FALSE),"")</f>
        <v>Sí</v>
      </c>
      <c r="H245" s="28" t="str">
        <f t="array" ref="H245">IFERROR(VLOOKUP(A245,Avaluacio[#Data],COLUMN(Avaluacio[Grau de compliment]),FALSE),"")</f>
        <v>Compleix totalment</v>
      </c>
    </row>
    <row r="246" spans="1:8" ht="30" customHeight="1" x14ac:dyDescent="0.25">
      <c r="A246" s="28" t="str">
        <f t="array" ref="A246">IFERROR(INDEX(Avaluacio[Codi ítem],(MATCH(0,INDEX(COUNTIF($A$108:A245,Avaluacio[Codi ítem]),0,0)+INDEX(Avaluacio[Avaluable]="No",0,0),0))),"")</f>
        <v>XGO139</v>
      </c>
      <c r="B246" s="64" t="str">
        <f t="array" ref="B246">IFERROR(VLOOKUP(A246,Avaluacio[#Data],COLUMN(Avaluacio[Ítem]),FALSE),"")</f>
        <v>Finestra única empresarial (FUE)</v>
      </c>
      <c r="C246" s="64"/>
      <c r="D246" s="64"/>
      <c r="E246" s="64"/>
      <c r="F246" s="28" t="str">
        <f t="array" ref="F246">IFERROR(VLOOKUP(A246,Avaluacio[],COLUMN(Avaluacio[Contingut]),FALSE),"")</f>
        <v>Sí</v>
      </c>
      <c r="G246" s="28" t="str">
        <f t="array" ref="G246">IFERROR(VLOOKUP(A246,Avaluacio[],COLUMN(Avaluacio[Actualització]),FALSE),"")</f>
        <v>Sí</v>
      </c>
      <c r="H246" s="28" t="str">
        <f t="array" ref="H246">IFERROR(VLOOKUP(A246,Avaluacio[#Data],COLUMN(Avaluacio[Grau de compliment]),FALSE),"")</f>
        <v>Compleix totalment</v>
      </c>
    </row>
    <row r="247" spans="1:8" ht="30" customHeight="1" x14ac:dyDescent="0.25">
      <c r="A247" s="28" t="str">
        <f t="array" ref="A247">IFERROR(INDEX(Avaluacio[Codi ítem],(MATCH(0,INDEX(COUNTIF($A$108:A246,Avaluacio[Codi ítem]),0,0)+INDEX(Avaluacio[Avaluable]="No",0,0),0))),"")</f>
        <v>XGO140</v>
      </c>
      <c r="B247" s="64" t="str">
        <f t="array" ref="B247">IFERROR(VLOOKUP(A247,Avaluacio[#Data],COLUMN(Avaluacio[Ítem]),FALSE),"")</f>
        <v>Verificació de documents mitjançant Codi Segur de Verificació (CSV)</v>
      </c>
      <c r="C247" s="64"/>
      <c r="D247" s="64"/>
      <c r="E247" s="64"/>
      <c r="F247" s="28" t="str">
        <f t="array" ref="F247">IFERROR(VLOOKUP(A247,Avaluacio[],COLUMN(Avaluacio[Contingut]),FALSE),"")</f>
        <v>Sí</v>
      </c>
      <c r="G247" s="28" t="str">
        <f t="array" ref="G247">IFERROR(VLOOKUP(A247,Avaluacio[],COLUMN(Avaluacio[Actualització]),FALSE),"")</f>
        <v>Sí</v>
      </c>
      <c r="H247" s="28" t="str">
        <f t="array" ref="H247">IFERROR(VLOOKUP(A247,Avaluacio[#Data],COLUMN(Avaluacio[Grau de compliment]),FALSE),"")</f>
        <v>Compleix totalment</v>
      </c>
    </row>
    <row r="248" spans="1:8" ht="30" customHeight="1" x14ac:dyDescent="0.25">
      <c r="A248" s="28" t="str">
        <f t="array" ref="A248">IFERROR(INDEX(Avaluacio[Codi ítem],(MATCH(0,INDEX(COUNTIF($A$108:A247,Avaluacio[Codi ítem]),0,0)+INDEX(Avaluacio[Avaluable]="No",0,0),0))),"")</f>
        <v>XGO141</v>
      </c>
      <c r="B248" s="64" t="str">
        <f t="array" ref="B248">IFERROR(VLOOKUP(A248,Avaluacio[#Data],COLUMN(Avaluacio[Ítem]),FALSE),"")</f>
        <v>Espais de participació ciutadana</v>
      </c>
      <c r="C248" s="64"/>
      <c r="D248" s="64"/>
      <c r="E248" s="64"/>
      <c r="F248" s="28" t="str">
        <f t="array" ref="F248">IFERROR(VLOOKUP(A248,Avaluacio[],COLUMN(Avaluacio[Contingut]),FALSE),"")</f>
        <v>Sí</v>
      </c>
      <c r="G248" s="28" t="str">
        <f t="array" ref="G248">IFERROR(VLOOKUP(A248,Avaluacio[],COLUMN(Avaluacio[Actualització]),FALSE),"")</f>
        <v>Sí</v>
      </c>
      <c r="H248" s="28" t="str">
        <f t="array" ref="H248">IFERROR(VLOOKUP(A248,Avaluacio[#Data],COLUMN(Avaluacio[Grau de compliment]),FALSE),"")</f>
        <v>Compleix totalment</v>
      </c>
    </row>
    <row r="249" spans="1:8" ht="30" customHeight="1" x14ac:dyDescent="0.25">
      <c r="A249" s="28" t="str">
        <f t="array" ref="A249">IFERROR(INDEX(Avaluacio[Codi ítem],(MATCH(0,INDEX(COUNTIF($A$108:A248,Avaluacio[Codi ítem]),0,0)+INDEX(Avaluacio[Avaluable]="No",0,0),0))),"")</f>
        <v>XGO142</v>
      </c>
      <c r="B249" s="64" t="str">
        <f t="array" ref="B249">IFERROR(VLOOKUP(A249,Avaluacio[#Data],COLUMN(Avaluacio[Ítem]),FALSE),"")</f>
        <v>Xarxes socials</v>
      </c>
      <c r="C249" s="64"/>
      <c r="D249" s="64"/>
      <c r="E249" s="64"/>
      <c r="F249" s="28" t="str">
        <f t="array" ref="F249">IFERROR(VLOOKUP(A249,Avaluacio[],COLUMN(Avaluacio[Contingut]),FALSE),"")</f>
        <v>Sí</v>
      </c>
      <c r="G249" s="28" t="str">
        <f t="array" ref="G249">IFERROR(VLOOKUP(A249,Avaluacio[],COLUMN(Avaluacio[Actualització]),FALSE),"")</f>
        <v>Sí</v>
      </c>
      <c r="H249" s="28" t="str">
        <f t="array" ref="H249">IFERROR(VLOOKUP(A249,Avaluacio[#Data],COLUMN(Avaluacio[Grau de compliment]),FALSE),"")</f>
        <v>Compleix totalment</v>
      </c>
    </row>
    <row r="250" spans="1:8" ht="30" customHeight="1" x14ac:dyDescent="0.25">
      <c r="A250" s="28" t="str">
        <f t="array" ref="A250">IFERROR(INDEX(Avaluacio[Codi ítem],(MATCH(0,INDEX(COUNTIF($A$108:A249,Avaluacio[Codi ítem]),0,0)+INDEX(Avaluacio[Avaluable]="No",0,0),0))),"")</f>
        <v>XGO143</v>
      </c>
      <c r="B250" s="64" t="str">
        <f t="array" ref="B250">IFERROR(VLOOKUP(A250,Avaluacio[#Data],COLUMN(Avaluacio[Ítem]),FALSE),"")</f>
        <v>Processos participatius en tràmit</v>
      </c>
      <c r="C250" s="64"/>
      <c r="D250" s="64"/>
      <c r="E250" s="64"/>
      <c r="F250" s="28" t="str">
        <f t="array" ref="F250">IFERROR(VLOOKUP(A250,Avaluacio[],COLUMN(Avaluacio[Contingut]),FALSE),"")</f>
        <v>Sí</v>
      </c>
      <c r="G250" s="28" t="str">
        <f t="array" ref="G250">IFERROR(VLOOKUP(A250,Avaluacio[],COLUMN(Avaluacio[Actualització]),FALSE),"")</f>
        <v>Sí</v>
      </c>
      <c r="H250" s="28" t="str">
        <f t="array" ref="H250">IFERROR(VLOOKUP(A250,Avaluacio[#Data],COLUMN(Avaluacio[Grau de compliment]),FALSE),"")</f>
        <v>Compleix totalment</v>
      </c>
    </row>
    <row r="251" spans="1:8" ht="30" customHeight="1" x14ac:dyDescent="0.25">
      <c r="A251" s="28" t="str">
        <f t="array" ref="A251">IFERROR(INDEX(Avaluacio[Codi ítem],(MATCH(0,INDEX(COUNTIF($A$108:A250,Avaluacio[Codi ítem]),0,0)+INDEX(Avaluacio[Avaluable]="No",0,0),0))),"")</f>
        <v>XGO144</v>
      </c>
      <c r="B251" s="64" t="str">
        <f t="array" ref="B251">IFERROR(VLOOKUP(A251,Avaluacio[#Data],COLUMN(Avaluacio[Ítem]),FALSE),"")</f>
        <v>Consultes més freqüents rebudes pels ciutadans o organitzacions</v>
      </c>
      <c r="C251" s="64"/>
      <c r="D251" s="64"/>
      <c r="E251" s="64"/>
      <c r="F251" s="28" t="str">
        <f t="array" ref="F251">IFERROR(VLOOKUP(A251,Avaluacio[],COLUMN(Avaluacio[Contingut]),FALSE),"")</f>
        <v>Sí</v>
      </c>
      <c r="G251" s="28" t="str">
        <f t="array" ref="G251">IFERROR(VLOOKUP(A251,Avaluacio[],COLUMN(Avaluacio[Actualització]),FALSE),"")</f>
        <v>Sí</v>
      </c>
      <c r="H251" s="28" t="str">
        <f t="array" ref="H251">IFERROR(VLOOKUP(A251,Avaluacio[#Data],COLUMN(Avaluacio[Grau de compliment]),FALSE),"")</f>
        <v>Compleix totalment</v>
      </c>
    </row>
    <row r="252" spans="1:8" ht="30" customHeight="1" x14ac:dyDescent="0.25">
      <c r="A252" s="28" t="str">
        <f t="array" ref="A252">IFERROR(INDEX(Avaluacio[Codi ítem],(MATCH(0,INDEX(COUNTIF($A$108:A251,Avaluacio[Codi ítem]),0,0)+INDEX(Avaluacio[Avaluable]="No",0,0),0))),"")</f>
        <v>XGO145</v>
      </c>
      <c r="B252" s="64" t="str">
        <f t="array" ref="B252">IFERROR(VLOOKUP(A252,Avaluacio[#Data],COLUMN(Avaluacio[Ítem]),FALSE),"")</f>
        <v>Directori d'associacions i entitats</v>
      </c>
      <c r="C252" s="64"/>
      <c r="D252" s="64"/>
      <c r="E252" s="64"/>
      <c r="F252" s="28" t="str">
        <f t="array" ref="F252">IFERROR(VLOOKUP(A252,Avaluacio[],COLUMN(Avaluacio[Contingut]),FALSE),"")</f>
        <v>Sí</v>
      </c>
      <c r="G252" s="28" t="str">
        <f t="array" ref="G252">IFERROR(VLOOKUP(A252,Avaluacio[],COLUMN(Avaluacio[Actualització]),FALSE),"")</f>
        <v>Sí</v>
      </c>
      <c r="H252" s="28" t="str">
        <f t="array" ref="H252">IFERROR(VLOOKUP(A252,Avaluacio[#Data],COLUMN(Avaluacio[Grau de compliment]),FALSE),"")</f>
        <v>Compleix totalment</v>
      </c>
    </row>
    <row r="253" spans="1:8" ht="30" customHeight="1" x14ac:dyDescent="0.25">
      <c r="A253" s="28" t="str">
        <f t="array" ref="A253">IFERROR(INDEX(Avaluacio[Codi ítem],(MATCH(0,INDEX(COUNTIF($A$108:A252,Avaluacio[Codi ítem]),0,0)+INDEX(Avaluacio[Avaluable]="No",0,0),0))),"")</f>
        <v>XGO146</v>
      </c>
      <c r="B253" s="64" t="str">
        <f t="array" ref="B253">IFERROR(VLOOKUP(A253,Avaluacio[#Data],COLUMN(Avaluacio[Ítem]),FALSE),"")</f>
        <v>Normativa, reglaments i directrius de participació ciutadana</v>
      </c>
      <c r="C253" s="64"/>
      <c r="D253" s="64"/>
      <c r="E253" s="64"/>
      <c r="F253" s="28" t="str">
        <f t="array" ref="F253">IFERROR(VLOOKUP(A253,Avaluacio[],COLUMN(Avaluacio[Contingut]),FALSE),"")</f>
        <v>Sí</v>
      </c>
      <c r="G253" s="28" t="str">
        <f t="array" ref="G253">IFERROR(VLOOKUP(A253,Avaluacio[],COLUMN(Avaluacio[Actualització]),FALSE),"")</f>
        <v>Sí</v>
      </c>
      <c r="H253" s="28" t="str">
        <f t="array" ref="H253">IFERROR(VLOOKUP(A253,Avaluacio[#Data],COLUMN(Avaluacio[Grau de compliment]),FALSE),"")</f>
        <v>Compleix totalment</v>
      </c>
    </row>
    <row r="254" spans="1:8" ht="30" customHeight="1" x14ac:dyDescent="0.25">
      <c r="A254" s="28" t="str">
        <f t="array" ref="A254">IFERROR(INDEX(Avaluacio[Codi ítem],(MATCH(0,INDEX(COUNTIF($A$108:A253,Avaluacio[Codi ítem]),0,0)+INDEX(Avaluacio[Avaluable]="No",0,0),0))),"")</f>
        <v>XGO147</v>
      </c>
      <c r="B254" s="64" t="str">
        <f t="array" ref="B254">IFERROR(VLOOKUP(A254,Avaluacio[#Data],COLUMN(Avaluacio[Ítem]),FALSE),"")</f>
        <v>Agenda i activitats de les associacions</v>
      </c>
      <c r="C254" s="64"/>
      <c r="D254" s="64"/>
      <c r="E254" s="64"/>
      <c r="F254" s="28" t="str">
        <f t="array" ref="F254">IFERROR(VLOOKUP(A254,Avaluacio[],COLUMN(Avaluacio[Contingut]),FALSE),"")</f>
        <v>Sí</v>
      </c>
      <c r="G254" s="28" t="str">
        <f t="array" ref="G254">IFERROR(VLOOKUP(A254,Avaluacio[],COLUMN(Avaluacio[Actualització]),FALSE),"")</f>
        <v>Sí</v>
      </c>
      <c r="H254" s="28" t="str">
        <f t="array" ref="H254">IFERROR(VLOOKUP(A254,Avaluacio[#Data],COLUMN(Avaluacio[Grau de compliment]),FALSE),"")</f>
        <v>Compleix totalment</v>
      </c>
    </row>
    <row r="255" spans="1:8" ht="30" customHeight="1" x14ac:dyDescent="0.25">
      <c r="A255" s="28" t="str">
        <f t="array" ref="A255">IFERROR(INDEX(Avaluacio[Codi ítem],(MATCH(0,INDEX(COUNTIF($A$108:A254,Avaluacio[Codi ítem]),0,0)+INDEX(Avaluacio[Avaluable]="No",0,0),0))),"")</f>
        <v/>
      </c>
      <c r="B255" s="64" t="str">
        <f t="array" ref="B255">IFERROR(VLOOKUP(A255,Avaluacio[#Data],COLUMN(Avaluacio[Ítem]),FALSE),"")</f>
        <v/>
      </c>
      <c r="C255" s="64"/>
      <c r="D255" s="64"/>
      <c r="E255" s="64"/>
      <c r="F255" s="28" t="str">
        <f t="array" ref="F255">IFERROR(VLOOKUP(A255,Avaluacio[],COLUMN(Avaluacio[Contingut]),FALSE),"")</f>
        <v/>
      </c>
      <c r="G255" s="28" t="str">
        <f t="array" ref="G255">IFERROR(VLOOKUP(A255,Avaluacio[],COLUMN(Avaluacio[Actualització]),FALSE),"")</f>
        <v/>
      </c>
      <c r="H255" s="28" t="str">
        <f t="array" ref="H255">IFERROR(VLOOKUP(A255,Avaluacio[#Data],COLUMN(Avaluacio[Grau de compliment]),FALSE),"")</f>
        <v/>
      </c>
    </row>
  </sheetData>
  <sheetProtection algorithmName="SHA-512" hashValue="VsVNvmG+eU5fC1NhIaewsAJzLd0bzhXzLDL+ayIpXtSWR7tPwwrmVH9XNtqS4RfHGOyR6Jkjk3j8Hp13sOPqDA==" saltValue="N19kDxJxGUCslyQwKT5d5Q==" spinCount="100000" sheet="1" objects="1" scenarios="1"/>
  <mergeCells count="165">
    <mergeCell ref="B202:E202"/>
    <mergeCell ref="B203:E203"/>
    <mergeCell ref="B204:E204"/>
    <mergeCell ref="B205:E205"/>
    <mergeCell ref="B206:E206"/>
    <mergeCell ref="B244:E244"/>
    <mergeCell ref="A4:H7"/>
    <mergeCell ref="A9:H11"/>
    <mergeCell ref="A15:H15"/>
    <mergeCell ref="A27:H27"/>
    <mergeCell ref="A53:H53"/>
    <mergeCell ref="A106:H106"/>
    <mergeCell ref="A72:D72"/>
    <mergeCell ref="A73:D75"/>
    <mergeCell ref="A76:D78"/>
    <mergeCell ref="A79:D81"/>
    <mergeCell ref="A82:D84"/>
    <mergeCell ref="A85:D87"/>
    <mergeCell ref="A89:D89"/>
    <mergeCell ref="A90:D92"/>
    <mergeCell ref="B193:E193"/>
    <mergeCell ref="B194:E194"/>
    <mergeCell ref="B195:E195"/>
    <mergeCell ref="B196:E196"/>
    <mergeCell ref="B197:E197"/>
    <mergeCell ref="B198:E198"/>
    <mergeCell ref="B199:E199"/>
    <mergeCell ref="B200:E200"/>
    <mergeCell ref="B201:E201"/>
    <mergeCell ref="B184:E184"/>
    <mergeCell ref="B185:E185"/>
    <mergeCell ref="B186:E186"/>
    <mergeCell ref="B187:E187"/>
    <mergeCell ref="B188:E188"/>
    <mergeCell ref="B189:E189"/>
    <mergeCell ref="B190:E190"/>
    <mergeCell ref="B191:E191"/>
    <mergeCell ref="B192:E192"/>
    <mergeCell ref="B178:E178"/>
    <mergeCell ref="B179:E179"/>
    <mergeCell ref="B180:E180"/>
    <mergeCell ref="B181:E181"/>
    <mergeCell ref="B182:E182"/>
    <mergeCell ref="B183:E183"/>
    <mergeCell ref="B174:E174"/>
    <mergeCell ref="B175:E175"/>
    <mergeCell ref="B176:E176"/>
    <mergeCell ref="B177:E177"/>
    <mergeCell ref="B163:E163"/>
    <mergeCell ref="B168:E168"/>
    <mergeCell ref="B169:E169"/>
    <mergeCell ref="B170:E170"/>
    <mergeCell ref="B171:E171"/>
    <mergeCell ref="B172:E172"/>
    <mergeCell ref="B173:E173"/>
    <mergeCell ref="B164:E164"/>
    <mergeCell ref="B165:E165"/>
    <mergeCell ref="B166:E166"/>
    <mergeCell ref="B167:E167"/>
    <mergeCell ref="B154:E154"/>
    <mergeCell ref="B155:E155"/>
    <mergeCell ref="B156:E156"/>
    <mergeCell ref="B157:E157"/>
    <mergeCell ref="B158:E158"/>
    <mergeCell ref="B159:E159"/>
    <mergeCell ref="B160:E160"/>
    <mergeCell ref="B161:E161"/>
    <mergeCell ref="B162:E162"/>
    <mergeCell ref="B136:E136"/>
    <mergeCell ref="B135:E135"/>
    <mergeCell ref="B134:E134"/>
    <mergeCell ref="B143:E143"/>
    <mergeCell ref="B142:E142"/>
    <mergeCell ref="B153:E153"/>
    <mergeCell ref="B152:E152"/>
    <mergeCell ref="B151:E151"/>
    <mergeCell ref="B150:E150"/>
    <mergeCell ref="B149:E149"/>
    <mergeCell ref="B148:E148"/>
    <mergeCell ref="B147:E147"/>
    <mergeCell ref="B146:E146"/>
    <mergeCell ref="B145:E145"/>
    <mergeCell ref="B144:E144"/>
    <mergeCell ref="B115:E115"/>
    <mergeCell ref="A93:D95"/>
    <mergeCell ref="A96:D98"/>
    <mergeCell ref="A99:D101"/>
    <mergeCell ref="A102:D104"/>
    <mergeCell ref="B109:E109"/>
    <mergeCell ref="B110:E110"/>
    <mergeCell ref="B113:E113"/>
    <mergeCell ref="B112:E112"/>
    <mergeCell ref="B111:E111"/>
    <mergeCell ref="B243:E243"/>
    <mergeCell ref="B123:E123"/>
    <mergeCell ref="B122:E122"/>
    <mergeCell ref="B121:E121"/>
    <mergeCell ref="B120:E120"/>
    <mergeCell ref="B119:E119"/>
    <mergeCell ref="B118:E118"/>
    <mergeCell ref="B117:E117"/>
    <mergeCell ref="B116:E116"/>
    <mergeCell ref="B126:E126"/>
    <mergeCell ref="B125:E125"/>
    <mergeCell ref="B124:E124"/>
    <mergeCell ref="B133:E133"/>
    <mergeCell ref="B132:E132"/>
    <mergeCell ref="B127:E127"/>
    <mergeCell ref="B128:E128"/>
    <mergeCell ref="B129:E129"/>
    <mergeCell ref="B130:E130"/>
    <mergeCell ref="B131:E131"/>
    <mergeCell ref="B141:E141"/>
    <mergeCell ref="B140:E140"/>
    <mergeCell ref="B139:E139"/>
    <mergeCell ref="B138:E138"/>
    <mergeCell ref="B137:E137"/>
    <mergeCell ref="B229:E229"/>
    <mergeCell ref="B114:E114"/>
    <mergeCell ref="B253:E253"/>
    <mergeCell ref="B245:E245"/>
    <mergeCell ref="B246:E246"/>
    <mergeCell ref="B247:E247"/>
    <mergeCell ref="B248:E248"/>
    <mergeCell ref="B249:E249"/>
    <mergeCell ref="B250:E250"/>
    <mergeCell ref="B251:E251"/>
    <mergeCell ref="B252:E252"/>
    <mergeCell ref="B230:E230"/>
    <mergeCell ref="B231:E231"/>
    <mergeCell ref="B232:E232"/>
    <mergeCell ref="B233:E233"/>
    <mergeCell ref="B234:E234"/>
    <mergeCell ref="B235:E235"/>
    <mergeCell ref="B236:E236"/>
    <mergeCell ref="B237:E237"/>
    <mergeCell ref="B238:E238"/>
    <mergeCell ref="B239:E239"/>
    <mergeCell ref="B240:E240"/>
    <mergeCell ref="B241:E241"/>
    <mergeCell ref="B242:E242"/>
    <mergeCell ref="B254:E254"/>
    <mergeCell ref="B255:E255"/>
    <mergeCell ref="B207:E207"/>
    <mergeCell ref="B208:E208"/>
    <mergeCell ref="B209:E209"/>
    <mergeCell ref="B210:E210"/>
    <mergeCell ref="B211:E211"/>
    <mergeCell ref="B212:E212"/>
    <mergeCell ref="B213:E213"/>
    <mergeCell ref="B214:E214"/>
    <mergeCell ref="B215:E215"/>
    <mergeCell ref="B216:E216"/>
    <mergeCell ref="B217:E217"/>
    <mergeCell ref="B218:E218"/>
    <mergeCell ref="B219:E219"/>
    <mergeCell ref="B220:E220"/>
    <mergeCell ref="B221:E221"/>
    <mergeCell ref="B222:E222"/>
    <mergeCell ref="B223:E223"/>
    <mergeCell ref="B224:E224"/>
    <mergeCell ref="B225:E225"/>
    <mergeCell ref="B226:E226"/>
    <mergeCell ref="B227:E227"/>
    <mergeCell ref="B228:E228"/>
  </mergeCells>
  <conditionalFormatting sqref="A109:A255">
    <cfRule type="notContainsBlanks" dxfId="240" priority="2">
      <formula>LEN(TRIM(A109))&gt;0</formula>
    </cfRule>
  </conditionalFormatting>
  <conditionalFormatting sqref="A109:G255">
    <cfRule type="expression" dxfId="239" priority="4">
      <formula>LEFT($A109,3)="XGO"</formula>
    </cfRule>
  </conditionalFormatting>
  <conditionalFormatting sqref="A108:H108">
    <cfRule type="notContainsBlanks" dxfId="238" priority="5">
      <formula>LEN(TRIM(A108))&gt;0</formula>
    </cfRule>
  </conditionalFormatting>
  <conditionalFormatting sqref="B109">
    <cfRule type="expression" dxfId="237" priority="1">
      <formula>LEFT($A109,3)="XGO"</formula>
    </cfRule>
  </conditionalFormatting>
  <conditionalFormatting sqref="F109:G255">
    <cfRule type="cellIs" dxfId="236" priority="8" operator="equal">
      <formula>"N/A"</formula>
    </cfRule>
    <cfRule type="cellIs" dxfId="235" priority="9" operator="equal">
      <formula>"No"</formula>
    </cfRule>
    <cfRule type="cellIs" dxfId="234" priority="10" operator="equal">
      <formula>"Sí"</formula>
    </cfRule>
  </conditionalFormatting>
  <conditionalFormatting sqref="H109:H255">
    <cfRule type="cellIs" dxfId="233" priority="11" operator="equal">
      <formula>"Pendent d'avaluar"</formula>
    </cfRule>
    <cfRule type="cellIs" dxfId="232" priority="12" operator="equal">
      <formula>"No aplicable"</formula>
    </cfRule>
    <cfRule type="cellIs" dxfId="231" priority="13" operator="equal">
      <formula>"No compleix"</formula>
    </cfRule>
    <cfRule type="cellIs" dxfId="230" priority="14" operator="equal">
      <formula>"Compleix parcialment"</formula>
    </cfRule>
    <cfRule type="cellIs" dxfId="229" priority="17" operator="equal">
      <formula>"Compleix totalment"</formula>
    </cfRule>
  </conditionalFormatting>
  <printOptions horizontalCentered="1"/>
  <pageMargins left="0.78740157480314965" right="0.78740157480314965" top="0.98425196850393704" bottom="0.98425196850393704" header="0.31496062992125984" footer="0.31496062992125984"/>
  <pageSetup paperSize="9" scale="95" fitToWidth="0" fitToHeight="0" orientation="portrait" r:id="rId1"/>
  <rowBreaks count="2" manualBreakCount="2">
    <brk id="52" max="16383" man="1"/>
    <brk id="10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heetViews>
  <sheetFormatPr baseColWidth="10" defaultColWidth="9" defaultRowHeight="13.8" x14ac:dyDescent="0.25"/>
  <cols>
    <col min="1" max="1" width="17.5" customWidth="1"/>
    <col min="2" max="2" width="13.19921875" style="6" customWidth="1"/>
    <col min="3" max="3" width="15.3984375" style="6" customWidth="1"/>
    <col min="4" max="4" width="12.09765625" style="6" customWidth="1"/>
    <col min="5" max="12" width="12.09765625" style="9" customWidth="1"/>
    <col min="13" max="13" width="9" style="9"/>
    <col min="14" max="14" width="12.19921875" style="9" customWidth="1"/>
    <col min="15" max="16384" width="9" style="9"/>
  </cols>
  <sheetData>
    <row r="1" spans="1:12" s="11" customFormat="1" ht="27.6" x14ac:dyDescent="0.25">
      <c r="A1" s="10" t="s">
        <v>652</v>
      </c>
      <c r="B1" s="8" t="s">
        <v>919</v>
      </c>
      <c r="C1" s="8" t="s">
        <v>920</v>
      </c>
      <c r="D1" s="8" t="s">
        <v>934</v>
      </c>
      <c r="E1" s="8" t="s">
        <v>935</v>
      </c>
      <c r="F1" s="8" t="s">
        <v>640</v>
      </c>
      <c r="G1" s="8" t="s">
        <v>641</v>
      </c>
      <c r="H1" s="8" t="s">
        <v>921</v>
      </c>
      <c r="I1" s="11" t="s">
        <v>643</v>
      </c>
      <c r="J1" s="11" t="s">
        <v>630</v>
      </c>
      <c r="K1" s="11" t="s">
        <v>922</v>
      </c>
      <c r="L1" s="8" t="s">
        <v>655</v>
      </c>
    </row>
    <row r="2" spans="1:12" ht="27.6" x14ac:dyDescent="0.25">
      <c r="A2" t="str">
        <f t="array" ref="A2">IFERROR(INDEX(Avaluacio[Subfamília],(MATCH(0,INDEX(COUNTIF($A$1:A1,Avaluacio[Subfamília]),0,0)+INDEX(Avaluacio[Avaluable]="No",0,0),0))),"Informació institucional")</f>
        <v>Informació institucional</v>
      </c>
      <c r="B2" s="6">
        <f>COUNTIF(Avaluacio[Subfamília],ResultatsSubfamilia[[#This Row],[Subfamília]])</f>
        <v>0</v>
      </c>
      <c r="C2" s="6">
        <f>COUNTIFS(Avaluacio[Avaluable],"Sí",Avaluacio[Subfamília],ResultatsSubfamilia[[#This Row],[Subfamília]])</f>
        <v>0</v>
      </c>
      <c r="D2" s="6">
        <f>COUNTIFS(Avaluacio[Avaluable],"Sí",Avaluacio[Subfamília],ResultatsSubfamilia[[#This Row],[Subfamília]],Avaluacio[Contingut],"Sí")</f>
        <v>0</v>
      </c>
      <c r="E2" s="6">
        <f>COUNTIFS(Avaluacio[Avaluable],"Sí",Avaluacio[Subfamília],ResultatsSubfamilia[[#This Row],[Subfamília]],Avaluacio[Actualització],"Sí")</f>
        <v>0</v>
      </c>
      <c r="F2"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2"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2"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2"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2"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2"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2" s="8" t="e">
        <f>IFERROR(AVERAGEIFS(Avaluacio[% compliment],Avaluacio[Avaluable],"Sí",Avaluacio[Subfamília],ResultatsSubfamilia[[#This Row],[Subfamília]]),NA())</f>
        <v>#N/A</v>
      </c>
    </row>
    <row r="3" spans="1:12" x14ac:dyDescent="0.25">
      <c r="A3" t="e">
        <f t="array" ref="A3">INDEX(Avaluacio[Subfamília],(MATCH(0,INDEX(COUNTIF($A$1:A2,Avaluacio[Subfamília]),0,0)+INDEX(Avaluacio[Avaluable]="No",0,0),0)))</f>
        <v>#REF!</v>
      </c>
      <c r="B3" s="6">
        <f>COUNTIF(Avaluacio[Subfamília],ResultatsSubfamilia[[#This Row],[Subfamília]])</f>
        <v>147</v>
      </c>
      <c r="C3" s="6">
        <f>COUNTIFS(Avaluacio[Avaluable],"Sí",Avaluacio[Subfamília],ResultatsSubfamilia[[#This Row],[Subfamília]])</f>
        <v>146</v>
      </c>
      <c r="D3" s="6">
        <f>COUNTIFS(Avaluacio[Avaluable],"Sí",Avaluacio[Subfamília],ResultatsSubfamilia[[#This Row],[Subfamília]],Avaluacio[Contingut],"Sí")</f>
        <v>137</v>
      </c>
      <c r="E3" s="6">
        <f>COUNTIFS(Avaluacio[Avaluable],"Sí",Avaluacio[Subfamília],ResultatsSubfamilia[[#This Row],[Subfamília]],Avaluacio[Actualització],"Sí")</f>
        <v>134</v>
      </c>
      <c r="F3" s="8">
        <f>IFERROR(ResultatsSubfamilia[[#This Row],[Contingut (ítems)]]/(COUNTIFS(Avaluacio[Avaluable],"Sí",Avaluacio[Subfamília],ResultatsSubfamilia[[#This Row],[Subfamília]],Avaluacio[Contingut],"Sí")+COUNTIFS(Avaluacio[Avaluable],"Sí",Avaluacio[Subfamília],ResultatsSubfamilia[[#This Row],[Subfamília]],Avaluacio[Contingut],"No")),NA())</f>
        <v>0.93835616438356162</v>
      </c>
      <c r="G3"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0.9178082191780822</v>
      </c>
      <c r="H3"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134</v>
      </c>
      <c r="I3" s="6">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3</v>
      </c>
      <c r="J3"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9</v>
      </c>
      <c r="K3"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3" s="8">
        <f>IFERROR(AVERAGEIFS(Avaluacio[% compliment],Avaluacio[Avaluable],"Sí",Avaluacio[Subfamília],ResultatsSubfamilia[[#This Row],[Subfamília]]),NA())</f>
        <v>0.92808219178082196</v>
      </c>
    </row>
    <row r="4" spans="1:12" x14ac:dyDescent="0.25">
      <c r="A4" t="e">
        <f t="array" ref="A4">INDEX(Avaluacio[Subfamília],(MATCH(0,INDEX(COUNTIF($A$1:A3,Avaluacio[Subfamília]),0,0)+INDEX(Avaluacio[Avaluable]="No",0,0),0)))</f>
        <v>#N/A</v>
      </c>
      <c r="B4" s="6">
        <f>COUNTIF(Avaluacio[Subfamília],ResultatsSubfamilia[[#This Row],[Subfamília]])</f>
        <v>0</v>
      </c>
      <c r="C4" s="6">
        <f>COUNTIFS(Avaluacio[Avaluable],"Sí",Avaluacio[Subfamília],ResultatsSubfamilia[[#This Row],[Subfamília]])</f>
        <v>0</v>
      </c>
      <c r="D4" s="6">
        <f>COUNTIFS(Avaluacio[Avaluable],"Sí",Avaluacio[Subfamília],ResultatsSubfamilia[[#This Row],[Subfamília]],Avaluacio[Contingut],"Sí")</f>
        <v>0</v>
      </c>
      <c r="E4" s="6">
        <f>COUNTIFS(Avaluacio[Avaluable],"Sí",Avaluacio[Subfamília],ResultatsSubfamilia[[#This Row],[Subfamília]],Avaluacio[Actualització],"Sí")</f>
        <v>0</v>
      </c>
      <c r="F4"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4"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4"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4"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4"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4"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4" s="8" t="e">
        <f>IFERROR(AVERAGEIFS(Avaluacio[% compliment],Avaluacio[Avaluable],"Sí",Avaluacio[Subfamília],ResultatsSubfamilia[[#This Row],[Subfamília]]),NA())</f>
        <v>#N/A</v>
      </c>
    </row>
    <row r="5" spans="1:12" x14ac:dyDescent="0.25">
      <c r="A5" t="e">
        <f t="array" ref="A5">INDEX(Avaluacio[Subfamília],(MATCH(0,INDEX(COUNTIF($A$1:A4,Avaluacio[Subfamília]),0,0)+INDEX(Avaluacio[Avaluable]="No",0,0),0)))</f>
        <v>#N/A</v>
      </c>
      <c r="B5" s="6">
        <f>COUNTIF(Avaluacio[Subfamília],ResultatsSubfamilia[[#This Row],[Subfamília]])</f>
        <v>0</v>
      </c>
      <c r="C5" s="6">
        <f>COUNTIFS(Avaluacio[Avaluable],"Sí",Avaluacio[Subfamília],ResultatsSubfamilia[[#This Row],[Subfamília]])</f>
        <v>0</v>
      </c>
      <c r="D5" s="6">
        <f>COUNTIFS(Avaluacio[Avaluable],"Sí",Avaluacio[Subfamília],ResultatsSubfamilia[[#This Row],[Subfamília]],Avaluacio[Contingut],"Sí")</f>
        <v>0</v>
      </c>
      <c r="E5" s="6">
        <f>COUNTIFS(Avaluacio[Avaluable],"Sí",Avaluacio[Subfamília],ResultatsSubfamilia[[#This Row],[Subfamília]],Avaluacio[Actualització],"Sí")</f>
        <v>0</v>
      </c>
      <c r="F5"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5"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5"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5"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5"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5"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5" s="8" t="e">
        <f>IFERROR(AVERAGEIFS(Avaluacio[% compliment],Avaluacio[Avaluable],"Sí",Avaluacio[Subfamília],ResultatsSubfamilia[[#This Row],[Subfamília]]),NA())</f>
        <v>#N/A</v>
      </c>
    </row>
    <row r="6" spans="1:12" x14ac:dyDescent="0.25">
      <c r="A6" t="e">
        <f t="array" ref="A6">INDEX(Avaluacio[Subfamília],(MATCH(0,INDEX(COUNTIF($A$1:A5,Avaluacio[Subfamília]),0,0)+INDEX(Avaluacio[Avaluable]="No",0,0),0)))</f>
        <v>#N/A</v>
      </c>
      <c r="B6" s="6">
        <f>COUNTIF(Avaluacio[Subfamília],ResultatsSubfamilia[[#This Row],[Subfamília]])</f>
        <v>0</v>
      </c>
      <c r="C6" s="6">
        <f>COUNTIFS(Avaluacio[Avaluable],"Sí",Avaluacio[Subfamília],ResultatsSubfamilia[[#This Row],[Subfamília]])</f>
        <v>0</v>
      </c>
      <c r="D6" s="6">
        <f>COUNTIFS(Avaluacio[Avaluable],"Sí",Avaluacio[Subfamília],ResultatsSubfamilia[[#This Row],[Subfamília]],Avaluacio[Contingut],"Sí")</f>
        <v>0</v>
      </c>
      <c r="E6" s="6">
        <f>COUNTIFS(Avaluacio[Avaluable],"Sí",Avaluacio[Subfamília],ResultatsSubfamilia[[#This Row],[Subfamília]],Avaluacio[Actualització],"Sí")</f>
        <v>0</v>
      </c>
      <c r="F6"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6"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6"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6"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6"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6"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6" s="8" t="e">
        <f>IFERROR(AVERAGEIFS(Avaluacio[% compliment],Avaluacio[Avaluable],"Sí",Avaluacio[Subfamília],ResultatsSubfamilia[[#This Row],[Subfamília]]),NA())</f>
        <v>#N/A</v>
      </c>
    </row>
    <row r="7" spans="1:12" x14ac:dyDescent="0.25">
      <c r="A7" t="e">
        <f t="array" ref="A7">INDEX(Avaluacio[Subfamília],(MATCH(0,INDEX(COUNTIF($A$1:A6,Avaluacio[Subfamília]),0,0)+INDEX(Avaluacio[Avaluable]="No",0,0),0)))</f>
        <v>#N/A</v>
      </c>
      <c r="B7" s="6">
        <f>COUNTIF(Avaluacio[Subfamília],ResultatsSubfamilia[[#This Row],[Subfamília]])</f>
        <v>0</v>
      </c>
      <c r="C7" s="6">
        <f>COUNTIFS(Avaluacio[Avaluable],"Sí",Avaluacio[Subfamília],ResultatsSubfamilia[[#This Row],[Subfamília]])</f>
        <v>0</v>
      </c>
      <c r="D7" s="6">
        <f>COUNTIFS(Avaluacio[Avaluable],"Sí",Avaluacio[Subfamília],ResultatsSubfamilia[[#This Row],[Subfamília]],Avaluacio[Contingut],"Sí")</f>
        <v>0</v>
      </c>
      <c r="E7" s="6">
        <f>COUNTIFS(Avaluacio[Avaluable],"Sí",Avaluacio[Subfamília],ResultatsSubfamilia[[#This Row],[Subfamília]],Avaluacio[Actualització],"Sí")</f>
        <v>0</v>
      </c>
      <c r="F7"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7"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7"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7"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7"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7"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7" s="8" t="e">
        <f>IFERROR(AVERAGEIFS(Avaluacio[% compliment],Avaluacio[Avaluable],"Sí",Avaluacio[Subfamília],ResultatsSubfamilia[[#This Row],[Subfamília]]),NA())</f>
        <v>#N/A</v>
      </c>
    </row>
    <row r="8" spans="1:12" x14ac:dyDescent="0.25">
      <c r="A8" t="e">
        <f t="array" ref="A8">INDEX(Avaluacio[Subfamília],(MATCH(0,INDEX(COUNTIF($A$1:A7,Avaluacio[Subfamília]),0,0)+INDEX(Avaluacio[Avaluable]="No",0,0),0)))</f>
        <v>#N/A</v>
      </c>
      <c r="B8" s="6">
        <f>COUNTIF(Avaluacio[Subfamília],ResultatsSubfamilia[[#This Row],[Subfamília]])</f>
        <v>0</v>
      </c>
      <c r="C8" s="6">
        <f>COUNTIFS(Avaluacio[Avaluable],"Sí",Avaluacio[Subfamília],ResultatsSubfamilia[[#This Row],[Subfamília]])</f>
        <v>0</v>
      </c>
      <c r="D8" s="6">
        <f>COUNTIFS(Avaluacio[Avaluable],"Sí",Avaluacio[Subfamília],ResultatsSubfamilia[[#This Row],[Subfamília]],Avaluacio[Contingut],"Sí")</f>
        <v>0</v>
      </c>
      <c r="E8" s="6">
        <f>COUNTIFS(Avaluacio[Avaluable],"Sí",Avaluacio[Subfamília],ResultatsSubfamilia[[#This Row],[Subfamília]],Avaluacio[Actualització],"Sí")</f>
        <v>0</v>
      </c>
      <c r="F8"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8"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8"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8"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8"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8"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8" s="8" t="e">
        <f>IFERROR(AVERAGEIFS(Avaluacio[% compliment],Avaluacio[Avaluable],"Sí",Avaluacio[Subfamília],ResultatsSubfamilia[[#This Row],[Subfamília]]),NA())</f>
        <v>#N/A</v>
      </c>
    </row>
    <row r="9" spans="1:12" x14ac:dyDescent="0.25">
      <c r="A9" t="e">
        <f t="array" ref="A9">INDEX(Avaluacio[Subfamília],(MATCH(0,INDEX(COUNTIF($A$1:A8,Avaluacio[Subfamília]),0,0)+INDEX(Avaluacio[Avaluable]="No",0,0),0)))</f>
        <v>#N/A</v>
      </c>
      <c r="B9" s="6">
        <f>COUNTIF(Avaluacio[Subfamília],ResultatsSubfamilia[[#This Row],[Subfamília]])</f>
        <v>0</v>
      </c>
      <c r="C9" s="6">
        <f>COUNTIFS(Avaluacio[Avaluable],"Sí",Avaluacio[Subfamília],ResultatsSubfamilia[[#This Row],[Subfamília]])</f>
        <v>0</v>
      </c>
      <c r="D9" s="6">
        <f>COUNTIFS(Avaluacio[Avaluable],"Sí",Avaluacio[Subfamília],ResultatsSubfamilia[[#This Row],[Subfamília]],Avaluacio[Contingut],"Sí")</f>
        <v>0</v>
      </c>
      <c r="E9" s="6">
        <f>COUNTIFS(Avaluacio[Avaluable],"Sí",Avaluacio[Subfamília],ResultatsSubfamilia[[#This Row],[Subfamília]],Avaluacio[Actualització],"Sí")</f>
        <v>0</v>
      </c>
      <c r="F9"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9"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9"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9"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9"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9"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9" s="8" t="e">
        <f>IFERROR(AVERAGEIFS(Avaluacio[% compliment],Avaluacio[Avaluable],"Sí",Avaluacio[Subfamília],ResultatsSubfamilia[[#This Row],[Subfamília]]),NA())</f>
        <v>#N/A</v>
      </c>
    </row>
    <row r="10" spans="1:12" x14ac:dyDescent="0.25">
      <c r="A10" t="e">
        <f t="array" ref="A10">INDEX(Avaluacio[Subfamília],(MATCH(0,INDEX(COUNTIF($A$1:A9,Avaluacio[Subfamília]),0,0)+INDEX(Avaluacio[Avaluable]="No",0,0),0)))</f>
        <v>#N/A</v>
      </c>
      <c r="B10" s="6">
        <f>COUNTIF(Avaluacio[Subfamília],ResultatsSubfamilia[[#This Row],[Subfamília]])</f>
        <v>0</v>
      </c>
      <c r="C10" s="6">
        <f>COUNTIFS(Avaluacio[Avaluable],"Sí",Avaluacio[Subfamília],ResultatsSubfamilia[[#This Row],[Subfamília]])</f>
        <v>0</v>
      </c>
      <c r="D10" s="6">
        <f>COUNTIFS(Avaluacio[Avaluable],"Sí",Avaluacio[Subfamília],ResultatsSubfamilia[[#This Row],[Subfamília]],Avaluacio[Contingut],"Sí")</f>
        <v>0</v>
      </c>
      <c r="E10" s="6">
        <f>COUNTIFS(Avaluacio[Avaluable],"Sí",Avaluacio[Subfamília],ResultatsSubfamilia[[#This Row],[Subfamília]],Avaluacio[Actualització],"Sí")</f>
        <v>0</v>
      </c>
      <c r="F10"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0"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0"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0"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0"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0"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0" s="8" t="e">
        <f>IFERROR(AVERAGEIFS(Avaluacio[% compliment],Avaluacio[Avaluable],"Sí",Avaluacio[Subfamília],ResultatsSubfamilia[[#This Row],[Subfamília]]),NA())</f>
        <v>#N/A</v>
      </c>
    </row>
    <row r="11" spans="1:12" x14ac:dyDescent="0.25">
      <c r="A11" t="e">
        <f t="array" ref="A11">INDEX(Avaluacio[Subfamília],(MATCH(0,INDEX(COUNTIF($A$1:A10,Avaluacio[Subfamília]),0,0)+INDEX(Avaluacio[Avaluable]="No",0,0),0)))</f>
        <v>#N/A</v>
      </c>
      <c r="B11" s="6">
        <f>COUNTIF(Avaluacio[Subfamília],ResultatsSubfamilia[[#This Row],[Subfamília]])</f>
        <v>0</v>
      </c>
      <c r="C11" s="6">
        <f>COUNTIFS(Avaluacio[Avaluable],"Sí",Avaluacio[Subfamília],ResultatsSubfamilia[[#This Row],[Subfamília]])</f>
        <v>0</v>
      </c>
      <c r="D11" s="6">
        <f>COUNTIFS(Avaluacio[Avaluable],"Sí",Avaluacio[Subfamília],ResultatsSubfamilia[[#This Row],[Subfamília]],Avaluacio[Contingut],"Sí")</f>
        <v>0</v>
      </c>
      <c r="E11" s="6">
        <f>COUNTIFS(Avaluacio[Avaluable],"Sí",Avaluacio[Subfamília],ResultatsSubfamilia[[#This Row],[Subfamília]],Avaluacio[Actualització],"Sí")</f>
        <v>0</v>
      </c>
      <c r="F11"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1"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1"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1"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1"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1"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1" s="8" t="e">
        <f>IFERROR(AVERAGEIFS(Avaluacio[% compliment],Avaluacio[Avaluable],"Sí",Avaluacio[Subfamília],ResultatsSubfamilia[[#This Row],[Subfamília]]),NA())</f>
        <v>#N/A</v>
      </c>
    </row>
    <row r="12" spans="1:12" x14ac:dyDescent="0.25">
      <c r="A12" t="e">
        <f t="array" ref="A12">INDEX(Avaluacio[Subfamília],(MATCH(0,INDEX(COUNTIF($A$1:A11,Avaluacio[Subfamília]),0,0)+INDEX(Avaluacio[Avaluable]="No",0,0),0)))</f>
        <v>#N/A</v>
      </c>
      <c r="B12" s="6">
        <f>COUNTIF(Avaluacio[Subfamília],ResultatsSubfamilia[[#This Row],[Subfamília]])</f>
        <v>0</v>
      </c>
      <c r="C12" s="6">
        <f>COUNTIFS(Avaluacio[Avaluable],"Sí",Avaluacio[Subfamília],ResultatsSubfamilia[[#This Row],[Subfamília]])</f>
        <v>0</v>
      </c>
      <c r="D12" s="6">
        <f>COUNTIFS(Avaluacio[Avaluable],"Sí",Avaluacio[Subfamília],ResultatsSubfamilia[[#This Row],[Subfamília]],Avaluacio[Contingut],"Sí")</f>
        <v>0</v>
      </c>
      <c r="E12" s="6">
        <f>COUNTIFS(Avaluacio[Avaluable],"Sí",Avaluacio[Subfamília],ResultatsSubfamilia[[#This Row],[Subfamília]],Avaluacio[Actualització],"Sí")</f>
        <v>0</v>
      </c>
      <c r="F12"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2"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2"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2"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2"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2"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2" s="8" t="e">
        <f>IFERROR(AVERAGEIFS(Avaluacio[% compliment],Avaluacio[Avaluable],"Sí",Avaluacio[Subfamília],ResultatsSubfamilia[[#This Row],[Subfamília]]),NA())</f>
        <v>#N/A</v>
      </c>
    </row>
    <row r="13" spans="1:12" x14ac:dyDescent="0.25">
      <c r="A13" t="e">
        <f t="array" ref="A13">INDEX(Avaluacio[Subfamília],(MATCH(0,INDEX(COUNTIF($A$1:A12,Avaluacio[Subfamília]),0,0)+INDEX(Avaluacio[Avaluable]="No",0,0),0)))</f>
        <v>#N/A</v>
      </c>
      <c r="B13" s="6">
        <f>COUNTIF(Avaluacio[Subfamília],ResultatsSubfamilia[[#This Row],[Subfamília]])</f>
        <v>0</v>
      </c>
      <c r="C13" s="6">
        <f>COUNTIFS(Avaluacio[Avaluable],"Sí",Avaluacio[Subfamília],ResultatsSubfamilia[[#This Row],[Subfamília]])</f>
        <v>0</v>
      </c>
      <c r="D13" s="6">
        <f>COUNTIFS(Avaluacio[Avaluable],"Sí",Avaluacio[Subfamília],ResultatsSubfamilia[[#This Row],[Subfamília]],Avaluacio[Contingut],"Sí")</f>
        <v>0</v>
      </c>
      <c r="E13" s="6">
        <f>COUNTIFS(Avaluacio[Avaluable],"Sí",Avaluacio[Subfamília],ResultatsSubfamilia[[#This Row],[Subfamília]],Avaluacio[Actualització],"Sí")</f>
        <v>0</v>
      </c>
      <c r="F13"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3"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3"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3"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3"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3"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3" s="8" t="e">
        <f>IFERROR(AVERAGEIFS(Avaluacio[% compliment],Avaluacio[Avaluable],"Sí",Avaluacio[Subfamília],ResultatsSubfamilia[[#This Row],[Subfamília]]),NA())</f>
        <v>#N/A</v>
      </c>
    </row>
    <row r="14" spans="1:12" x14ac:dyDescent="0.25">
      <c r="A14" t="e">
        <f t="array" ref="A14">INDEX(Avaluacio[Subfamília],(MATCH(0,INDEX(COUNTIF($A$1:A13,Avaluacio[Subfamília]),0,0)+INDEX(Avaluacio[Avaluable]="No",0,0),0)))</f>
        <v>#N/A</v>
      </c>
      <c r="B14" s="6">
        <f>COUNTIF(Avaluacio[Subfamília],ResultatsSubfamilia[[#This Row],[Subfamília]])</f>
        <v>0</v>
      </c>
      <c r="C14" s="6">
        <f>COUNTIFS(Avaluacio[Avaluable],"Sí",Avaluacio[Subfamília],ResultatsSubfamilia[[#This Row],[Subfamília]])</f>
        <v>0</v>
      </c>
      <c r="D14" s="6">
        <f>COUNTIFS(Avaluacio[Avaluable],"Sí",Avaluacio[Subfamília],ResultatsSubfamilia[[#This Row],[Subfamília]],Avaluacio[Contingut],"Sí")</f>
        <v>0</v>
      </c>
      <c r="E14" s="6">
        <f>COUNTIFS(Avaluacio[Avaluable],"Sí",Avaluacio[Subfamília],ResultatsSubfamilia[[#This Row],[Subfamília]],Avaluacio[Actualització],"Sí")</f>
        <v>0</v>
      </c>
      <c r="F14"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4"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4"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4"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4"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4"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4" s="8" t="e">
        <f>IFERROR(AVERAGEIFS(Avaluacio[% compliment],Avaluacio[Avaluable],"Sí",Avaluacio[Subfamília],ResultatsSubfamilia[[#This Row],[Subfamília]]),NA())</f>
        <v>#N/A</v>
      </c>
    </row>
    <row r="15" spans="1:12" x14ac:dyDescent="0.25">
      <c r="A15" t="e">
        <f t="array" ref="A15">INDEX(Avaluacio[Subfamília],(MATCH(0,INDEX(COUNTIF($A$1:A14,Avaluacio[Subfamília]),0,0)+INDEX(Avaluacio[Avaluable]="No",0,0),0)))</f>
        <v>#N/A</v>
      </c>
      <c r="B15" s="6">
        <f>COUNTIF(Avaluacio[Subfamília],ResultatsSubfamilia[[#This Row],[Subfamília]])</f>
        <v>0</v>
      </c>
      <c r="C15" s="6">
        <f>COUNTIFS(Avaluacio[Avaluable],"Sí",Avaluacio[Subfamília],ResultatsSubfamilia[[#This Row],[Subfamília]])</f>
        <v>0</v>
      </c>
      <c r="D15" s="6">
        <f>COUNTIFS(Avaluacio[Avaluable],"Sí",Avaluacio[Subfamília],ResultatsSubfamilia[[#This Row],[Subfamília]],Avaluacio[Contingut],"Sí")</f>
        <v>0</v>
      </c>
      <c r="E15" s="6">
        <f>COUNTIFS(Avaluacio[Avaluable],"Sí",Avaluacio[Subfamília],ResultatsSubfamilia[[#This Row],[Subfamília]],Avaluacio[Actualització],"Sí")</f>
        <v>0</v>
      </c>
      <c r="F15"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5"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5"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5"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5"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5"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5" s="8" t="e">
        <f>IFERROR(AVERAGEIFS(Avaluacio[% compliment],Avaluacio[Avaluable],"Sí",Avaluacio[Subfamília],ResultatsSubfamilia[[#This Row],[Subfamília]]),NA())</f>
        <v>#N/A</v>
      </c>
    </row>
    <row r="16" spans="1:12" x14ac:dyDescent="0.25">
      <c r="A16" t="e">
        <f t="array" ref="A16">INDEX(Avaluacio[Subfamília],(MATCH(0,INDEX(COUNTIF($A$1:A15,Avaluacio[Subfamília]),0,0)+INDEX(Avaluacio[Avaluable]="No",0,0),0)))</f>
        <v>#N/A</v>
      </c>
      <c r="B16" s="6">
        <f>COUNTIF(Avaluacio[Subfamília],ResultatsSubfamilia[[#This Row],[Subfamília]])</f>
        <v>0</v>
      </c>
      <c r="C16" s="6">
        <f>COUNTIFS(Avaluacio[Avaluable],"Sí",Avaluacio[Subfamília],ResultatsSubfamilia[[#This Row],[Subfamília]])</f>
        <v>0</v>
      </c>
      <c r="D16" s="6">
        <f>COUNTIFS(Avaluacio[Avaluable],"Sí",Avaluacio[Subfamília],ResultatsSubfamilia[[#This Row],[Subfamília]],Avaluacio[Contingut],"Sí")</f>
        <v>0</v>
      </c>
      <c r="E16" s="6">
        <f>COUNTIFS(Avaluacio[Avaluable],"Sí",Avaluacio[Subfamília],ResultatsSubfamilia[[#This Row],[Subfamília]],Avaluacio[Actualització],"Sí")</f>
        <v>0</v>
      </c>
      <c r="F16"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6"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6"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6"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6"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6"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6" s="8" t="e">
        <f>IFERROR(AVERAGEIFS(Avaluacio[% compliment],Avaluacio[Avaluable],"Sí",Avaluacio[Subfamília],ResultatsSubfamilia[[#This Row],[Subfamília]]),NA())</f>
        <v>#N/A</v>
      </c>
    </row>
    <row r="17" spans="1:12" x14ac:dyDescent="0.25">
      <c r="A17" t="e">
        <f t="array" ref="A17">INDEX(Avaluacio[Subfamília],(MATCH(0,INDEX(COUNTIF($A$1:A16,Avaluacio[Subfamília]),0,0)+INDEX(Avaluacio[Avaluable]="No",0,0),0)))</f>
        <v>#N/A</v>
      </c>
      <c r="B17" s="6">
        <f>COUNTIF(Avaluacio[Subfamília],ResultatsSubfamilia[[#This Row],[Subfamília]])</f>
        <v>0</v>
      </c>
      <c r="C17" s="6">
        <f>COUNTIFS(Avaluacio[Avaluable],"Sí",Avaluacio[Subfamília],ResultatsSubfamilia[[#This Row],[Subfamília]])</f>
        <v>0</v>
      </c>
      <c r="D17" s="6">
        <f>COUNTIFS(Avaluacio[Avaluable],"Sí",Avaluacio[Subfamília],ResultatsSubfamilia[[#This Row],[Subfamília]],Avaluacio[Contingut],"Sí")</f>
        <v>0</v>
      </c>
      <c r="E17" s="6">
        <f>COUNTIFS(Avaluacio[Avaluable],"Sí",Avaluacio[Subfamília],ResultatsSubfamilia[[#This Row],[Subfamília]],Avaluacio[Actualització],"Sí")</f>
        <v>0</v>
      </c>
      <c r="F17"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7"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7"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7"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7"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7"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7" s="8" t="e">
        <f>IFERROR(AVERAGEIFS(Avaluacio[% compliment],Avaluacio[Avaluable],"Sí",Avaluacio[Subfamília],ResultatsSubfamilia[[#This Row],[Subfamília]]),NA())</f>
        <v>#N/A</v>
      </c>
    </row>
    <row r="18" spans="1:12" x14ac:dyDescent="0.25">
      <c r="A18" t="e">
        <f t="array" ref="A18">INDEX(Avaluacio[Subfamília],(MATCH(0,INDEX(COUNTIF($A$1:A17,Avaluacio[Subfamília]),0,0)+INDEX(Avaluacio[Avaluable]="No",0,0),0)))</f>
        <v>#N/A</v>
      </c>
      <c r="B18" s="6">
        <f>COUNTIF(Avaluacio[Subfamília],ResultatsSubfamilia[[#This Row],[Subfamília]])</f>
        <v>0</v>
      </c>
      <c r="C18" s="6">
        <f>COUNTIFS(Avaluacio[Avaluable],"Sí",Avaluacio[Subfamília],ResultatsSubfamilia[[#This Row],[Subfamília]])</f>
        <v>0</v>
      </c>
      <c r="D18" s="6">
        <f>COUNTIFS(Avaluacio[Avaluable],"Sí",Avaluacio[Subfamília],ResultatsSubfamilia[[#This Row],[Subfamília]],Avaluacio[Contingut],"Sí")</f>
        <v>0</v>
      </c>
      <c r="E18" s="6">
        <f>COUNTIFS(Avaluacio[Avaluable],"Sí",Avaluacio[Subfamília],ResultatsSubfamilia[[#This Row],[Subfamília]],Avaluacio[Actualització],"Sí")</f>
        <v>0</v>
      </c>
      <c r="F18"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8"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8"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8"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8"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8"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8" s="8" t="e">
        <f>IFERROR(AVERAGEIFS(Avaluacio[% compliment],Avaluacio[Avaluable],"Sí",Avaluacio[Subfamília],ResultatsSubfamilia[[#This Row],[Subfamília]]),NA())</f>
        <v>#N/A</v>
      </c>
    </row>
    <row r="19" spans="1:12" x14ac:dyDescent="0.25">
      <c r="A19" t="e">
        <f t="array" ref="A19">INDEX(Avaluacio[Subfamília],(MATCH(0,INDEX(COUNTIF($A$1:A18,Avaluacio[Subfamília]),0,0)+INDEX(Avaluacio[Avaluable]="No",0,0),0)))</f>
        <v>#N/A</v>
      </c>
      <c r="B19" s="6">
        <f>COUNTIF(Avaluacio[Subfamília],ResultatsSubfamilia[[#This Row],[Subfamília]])</f>
        <v>0</v>
      </c>
      <c r="C19" s="6">
        <f>COUNTIFS(Avaluacio[Avaluable],"Sí",Avaluacio[Subfamília],ResultatsSubfamilia[[#This Row],[Subfamília]])</f>
        <v>0</v>
      </c>
      <c r="D19" s="6">
        <f>COUNTIFS(Avaluacio[Avaluable],"Sí",Avaluacio[Subfamília],ResultatsSubfamilia[[#This Row],[Subfamília]],Avaluacio[Contingut],"Sí")</f>
        <v>0</v>
      </c>
      <c r="E19" s="6">
        <f>COUNTIFS(Avaluacio[Avaluable],"Sí",Avaluacio[Subfamília],ResultatsSubfamilia[[#This Row],[Subfamília]],Avaluacio[Actualització],"Sí")</f>
        <v>0</v>
      </c>
      <c r="F19"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19"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19"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19"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9"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9"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9" s="8" t="e">
        <f>IFERROR(AVERAGEIFS(Avaluacio[% compliment],Avaluacio[Avaluable],"Sí",Avaluacio[Subfamília],ResultatsSubfamilia[[#This Row],[Subfamília]]),NA())</f>
        <v>#N/A</v>
      </c>
    </row>
    <row r="20" spans="1:12" x14ac:dyDescent="0.25">
      <c r="A20" t="e" cm="1">
        <f t="array" ref="A20">INDEX(Avaluacio[Subfamília],(MATCH(0,INDEX(COUNTIF($A$1:A19,Avaluacio[Subfamília]),0,0)+INDEX(Avaluacio[Avaluable]="No",0,0),0)))</f>
        <v>#N/A</v>
      </c>
      <c r="B20" s="6">
        <f>COUNTIF(Avaluacio[Subfamília],ResultatsSubfamilia[[#This Row],[Subfamília]])</f>
        <v>0</v>
      </c>
      <c r="C20" s="6">
        <f>COUNTIFS(Avaluacio[Avaluable],"Sí",Avaluacio[Subfamília],ResultatsSubfamilia[[#This Row],[Subfamília]],Avaluacio[Grau de compliment],"&lt;&gt;No aplicable")</f>
        <v>0</v>
      </c>
      <c r="D20" s="6">
        <f>COUNTIFS(Avaluacio[Avaluable],"Sí",Avaluacio[Subfamília],ResultatsSubfamilia[[#This Row],[Subfamília]],Avaluacio[Contingut],"Sí")</f>
        <v>0</v>
      </c>
      <c r="E20" s="6">
        <f>COUNTIFS(Avaluacio[Avaluable],"Sí",Avaluacio[Subfamília],ResultatsSubfamilia[[#This Row],[Subfamília]],Avaluacio[Actualització],"Sí")</f>
        <v>0</v>
      </c>
      <c r="F20" s="8" t="e">
        <f>IFERROR(ResultatsSubfamilia[[#This Row],[Contingut (ítems)]]/(COUNTIFS(Avaluacio[Avaluable],"Sí",Avaluacio[Subfamília],ResultatsSubfamilia[[#This Row],[Subfamília]],Avaluacio[Contingut],"Sí")+COUNTIFS(Avaluacio[Avaluable],"Sí",Avaluacio[Subfamília],ResultatsSubfamilia[[#This Row],[Subfamília]],Avaluacio[Contingut],"No")),NA())</f>
        <v>#N/A</v>
      </c>
      <c r="G20" s="8" t="e">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#N/A</v>
      </c>
      <c r="H20" s="6" t="e">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#N/A</v>
      </c>
      <c r="I20"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20"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20"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20" s="8" t="e">
        <f>IFERROR(AVERAGEIFS(Avaluacio[% compliment],Avaluacio[Avaluable],"Sí",Avaluacio[Subfamília],ResultatsSubfamilia[[#This Row],[Subfamília]]),NA())</f>
        <v>#N/A</v>
      </c>
    </row>
    <row r="21" spans="1:12" x14ac:dyDescent="0.25">
      <c r="B21" s="6">
        <f>SUBTOTAL(109,ResultatsSubfamilia[Total ítems])</f>
        <v>147</v>
      </c>
      <c r="C21" s="6">
        <f>SUBTOTAL(109,ResultatsSubfamilia[Ítems avaluats])</f>
        <v>146</v>
      </c>
      <c r="D21" s="6">
        <f>SUBTOTAL(109,ResultatsSubfamilia[Contingut (ítems)])</f>
        <v>137</v>
      </c>
      <c r="E21" s="6">
        <f>SUBTOTAL(109,ResultatsSubfamilia[Actualització (ítems)])</f>
        <v>134</v>
      </c>
      <c r="F21" s="19">
        <f>IFERROR(ResultatsSubfamilia[[#Totals],[Contingut (ítems)]]/(COUNTIFS(Avaluacio[Avaluable],"Sí",Avaluacio[Contingut],"Sí")+COUNTIFS(Avaluacio[Avaluable],"Sí",Avaluacio[Contingut],"No")),NA())</f>
        <v>0.93835616438356162</v>
      </c>
      <c r="G21" s="19">
        <f>IFERROR(ResultatsSubfamilia[[#Totals],[Actualització (ítems)]]/(COUNTIFS(Avaluacio[Avaluable],"Sí",Avaluacio[Actualització],"Sí")+COUNTIFS(Avaluacio[Avaluable],"Sí",Avaluacio[Actualització],"No")),NA())</f>
        <v>0.9178082191780822</v>
      </c>
      <c r="H21" s="6" t="e">
        <f>IFERROR(SUBTOTAL(109,ResultatsSubfamilia[Compleix totalment]),NA())</f>
        <v>#N/A</v>
      </c>
      <c r="I21" s="6" t="e">
        <f>IFERROR(SUBTOTAL(109,ResultatsSubfamilia[Compleix parcialment]),NA())</f>
        <v>#N/A</v>
      </c>
      <c r="J21" s="6" t="e">
        <f>IFERROR(SUBTOTAL(109,ResultatsSubfamilia[No compleix]),NA())</f>
        <v>#N/A</v>
      </c>
      <c r="K21" s="6" t="e">
        <f>IFERROR(SUBTOTAL(109,ResultatsSubfamilia[No aplicable]),NA())</f>
        <v>#N/A</v>
      </c>
      <c r="L21" s="19">
        <f>IFERROR(AVERAGEIFS(Avaluacio[% compliment],Avaluacio[Avaluable],"Sí"),NA())</f>
        <v>0.92808219178082196</v>
      </c>
    </row>
    <row r="23" spans="1:12" s="11" customFormat="1" ht="27.6" x14ac:dyDescent="0.25">
      <c r="A23" s="10" t="s">
        <v>651</v>
      </c>
      <c r="B23" s="8" t="s">
        <v>919</v>
      </c>
      <c r="C23" s="8" t="s">
        <v>920</v>
      </c>
      <c r="D23" s="8" t="s">
        <v>934</v>
      </c>
      <c r="E23" s="8" t="s">
        <v>935</v>
      </c>
      <c r="F23" s="8" t="s">
        <v>640</v>
      </c>
      <c r="G23" s="8" t="s">
        <v>641</v>
      </c>
      <c r="H23" s="8" t="s">
        <v>921</v>
      </c>
      <c r="I23" s="8" t="s">
        <v>643</v>
      </c>
      <c r="J23" s="8" t="s">
        <v>630</v>
      </c>
      <c r="K23" s="8" t="s">
        <v>922</v>
      </c>
      <c r="L23" s="8" t="s">
        <v>655</v>
      </c>
    </row>
    <row r="24" spans="1:12" ht="41.4" x14ac:dyDescent="0.25">
      <c r="A24" t="str">
        <f t="array" ref="A24">IFERROR(INDEX(Avaluacio[Família],(MATCH(0,INDEX(COUNTIF($A$23:A23,Avaluacio[Família]),0,0)+INDEX(Avaluacio[Avaluable]="No",0,0),0))),"Informació institucional i organitzativa")</f>
        <v>Informació institucional i organitzativa</v>
      </c>
      <c r="B24" s="6">
        <f>COUNTIF(Avaluacio[Família],ResultatsFamilia[[#This Row],[Família]])</f>
        <v>45</v>
      </c>
      <c r="C24" s="6">
        <f>COUNTIFS(Avaluacio[Avaluable],"Sí",Avaluacio[Família],ResultatsFamilia[[#This Row],[Família]])</f>
        <v>44</v>
      </c>
      <c r="D24" s="6">
        <f>COUNTIFS(Avaluacio[Avaluable],"Sí",Avaluacio[Família],ResultatsFamilia[[#This Row],[Família]],Avaluacio[Contingut],"Sí")</f>
        <v>43</v>
      </c>
      <c r="E24" s="6">
        <f>COUNTIFS(Avaluacio[Avaluable],"Sí",Avaluacio[Família],ResultatsFamilia[[#This Row],[Família]],Avaluacio[Actualització],"Sí")</f>
        <v>43</v>
      </c>
      <c r="F24" s="8">
        <f>IFERROR(ResultatsFamilia[[#This Row],[Contingut (ítems)]]/(COUNTIFS(Avaluacio[Avaluable],"Sí",Avaluacio[Família],ResultatsFamilia[[#This Row],[Família]],Avaluacio[Contingut],"Sí")+COUNTIFS(Avaluacio[Avaluable],"Sí",Avaluacio[Família],ResultatsFamilia[[#This Row],[Família]],Avaluacio[Contingut],"No")),NA())</f>
        <v>0.97727272727272729</v>
      </c>
      <c r="G24" s="8">
        <f>IFERROR(ResultatsFamilia[[#This Row],[Actualització (ítems)]]/(COUNTIFS(Avaluacio[Avaluable],"Sí",Avaluacio[Família],ResultatsFamilia[[#This Row],[Família]],Avaluacio[Actualització],"Sí")+COUNTIFS(Avaluacio[Avaluable],"Sí",Avaluacio[Família],ResultatsFamilia[[#This Row],[Família]],Avaluacio[Actualització],"No")),NA())</f>
        <v>0.97727272727272729</v>
      </c>
      <c r="H24"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43</v>
      </c>
      <c r="I24" s="6" t="e">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#N/A</v>
      </c>
      <c r="J24"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1</v>
      </c>
      <c r="K24"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4" s="8">
        <f>IFERROR(AVERAGEIFS(Avaluacio[% compliment],Avaluacio[Avaluable],"Sí",Avaluacio[Família],ResultatsFamilia[[#This Row],[Família]]),NA())</f>
        <v>0.97727272727272729</v>
      </c>
    </row>
    <row r="25" spans="1:12" ht="27.6" x14ac:dyDescent="0.25">
      <c r="A25" t="str">
        <f t="array" ref="A25">INDEX(Avaluacio[Família],(MATCH(0,INDEX(COUNTIF($A$23:A24,Avaluacio[Família]),0,0)+INDEX(Avaluacio[Avaluable]="No",0,0),0)))</f>
        <v>Acció de govern i normativa</v>
      </c>
      <c r="B25" s="6">
        <f>COUNTIF(Avaluacio[Família],ResultatsFamilia[[#This Row],[Família]])</f>
        <v>33</v>
      </c>
      <c r="C25" s="6">
        <f>COUNTIFS(Avaluacio[Avaluable],"Sí",Avaluacio[Família],ResultatsFamilia[[#This Row],[Família]])</f>
        <v>33</v>
      </c>
      <c r="D25" s="6">
        <f>COUNTIFS(Avaluacio[Avaluable],"Sí",Avaluacio[Família],ResultatsFamilia[[#This Row],[Família]],Avaluacio[Contingut],"Sí")</f>
        <v>28</v>
      </c>
      <c r="E25" s="6">
        <f>COUNTIFS(Avaluacio[Avaluable],"Sí",Avaluacio[Família],ResultatsFamilia[[#This Row],[Família]],Avaluacio[Actualització],"Sí")</f>
        <v>27</v>
      </c>
      <c r="F25" s="8">
        <f>IFERROR(ResultatsFamilia[[#This Row],[Contingut (ítems)]]/(COUNTIFS(Avaluacio[Avaluable],"Sí",Avaluacio[Família],ResultatsFamilia[[#This Row],[Família]],Avaluacio[Contingut],"Sí")+COUNTIFS(Avaluacio[Avaluable],"Sí",Avaluacio[Família],ResultatsFamilia[[#This Row],[Família]],Avaluacio[Contingut],"No")),NA())</f>
        <v>0.84848484848484851</v>
      </c>
      <c r="G25" s="8">
        <f>IFERROR(ResultatsFamilia[[#This Row],[Actualització (ítems)]]/(COUNTIFS(Avaluacio[Avaluable],"Sí",Avaluacio[Família],ResultatsFamilia[[#This Row],[Família]],Avaluacio[Actualització],"Sí")+COUNTIFS(Avaluacio[Avaluable],"Sí",Avaluacio[Família],ResultatsFamilia[[#This Row],[Família]],Avaluacio[Actualització],"No")),NA())</f>
        <v>0.81818181818181823</v>
      </c>
      <c r="H25"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27</v>
      </c>
      <c r="I25" s="6">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1</v>
      </c>
      <c r="J25"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5</v>
      </c>
      <c r="K25"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5" s="8">
        <f>IFERROR(AVERAGEIFS(Avaluacio[% compliment],Avaluacio[Avaluable],"Sí",Avaluacio[Família],ResultatsFamilia[[#This Row],[Família]]),NA())</f>
        <v>0.83333333333333337</v>
      </c>
    </row>
    <row r="26" spans="1:12" ht="41.4" x14ac:dyDescent="0.25">
      <c r="A26" t="str">
        <f t="array" ref="A26">INDEX(Avaluacio[Família],(MATCH(0,INDEX(COUNTIF($A$23:A25,Avaluacio[Família]),0,0)+INDEX(Avaluacio[Avaluable]="No",0,0),0)))</f>
        <v>Contractes, convenis i subvencions</v>
      </c>
      <c r="B26" s="6">
        <f>COUNTIF(Avaluacio[Família],ResultatsFamilia[[#This Row],[Família]])</f>
        <v>22</v>
      </c>
      <c r="C26" s="6">
        <f>COUNTIFS(Avaluacio[Avaluable],"Sí",Avaluacio[Família],ResultatsFamilia[[#This Row],[Família]])</f>
        <v>22</v>
      </c>
      <c r="D26" s="6">
        <f>COUNTIFS(Avaluacio[Avaluable],"Sí",Avaluacio[Família],ResultatsFamilia[[#This Row],[Família]],Avaluacio[Contingut],"Sí")</f>
        <v>21</v>
      </c>
      <c r="E26" s="6">
        <f>COUNTIFS(Avaluacio[Avaluable],"Sí",Avaluacio[Família],ResultatsFamilia[[#This Row],[Família]],Avaluacio[Actualització],"Sí")</f>
        <v>21</v>
      </c>
      <c r="F26" s="8">
        <f>IFERROR(ResultatsFamilia[[#This Row],[Contingut (ítems)]]/(COUNTIFS(Avaluacio[Avaluable],"Sí",Avaluacio[Família],ResultatsFamilia[[#This Row],[Família]],Avaluacio[Contingut],"Sí")+COUNTIFS(Avaluacio[Avaluable],"Sí",Avaluacio[Família],ResultatsFamilia[[#This Row],[Família]],Avaluacio[Contingut],"No")),NA())</f>
        <v>0.95454545454545459</v>
      </c>
      <c r="G26" s="8">
        <f>IFERROR(ResultatsFamilia[[#This Row],[Actualització (ítems)]]/(COUNTIFS(Avaluacio[Avaluable],"Sí",Avaluacio[Família],ResultatsFamilia[[#This Row],[Família]],Avaluacio[Actualització],"Sí")+COUNTIFS(Avaluacio[Avaluable],"Sí",Avaluacio[Família],ResultatsFamilia[[#This Row],[Família]],Avaluacio[Actualització],"No")),NA())</f>
        <v>0.95454545454545459</v>
      </c>
      <c r="H26"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21</v>
      </c>
      <c r="I26" s="6" t="e">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#N/A</v>
      </c>
      <c r="J26"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1</v>
      </c>
      <c r="K26"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6" s="8">
        <f>IFERROR(AVERAGEIFS(Avaluacio[% compliment],Avaluacio[Avaluable],"Sí",Avaluacio[Família],ResultatsFamilia[[#This Row],[Família]]),NA())</f>
        <v>0.95454545454545459</v>
      </c>
    </row>
    <row r="27" spans="1:12" x14ac:dyDescent="0.25">
      <c r="A27" t="str">
        <f t="array" ref="A27">INDEX(Avaluacio[Família],(MATCH(0,INDEX(COUNTIF($A$23:A26,Avaluacio[Família]),0,0)+INDEX(Avaluacio[Avaluable]="No",0,0),0)))</f>
        <v>Gestió econòmica</v>
      </c>
      <c r="B27" s="6">
        <f>COUNTIF(Avaluacio[Família],ResultatsFamilia[[#This Row],[Família]])</f>
        <v>17</v>
      </c>
      <c r="C27" s="6">
        <f>COUNTIFS(Avaluacio[Avaluable],"Sí",Avaluacio[Família],ResultatsFamilia[[#This Row],[Família]])</f>
        <v>17</v>
      </c>
      <c r="D27" s="6">
        <f>COUNTIFS(Avaluacio[Avaluable],"Sí",Avaluacio[Família],ResultatsFamilia[[#This Row],[Família]],Avaluacio[Contingut],"Sí")</f>
        <v>17</v>
      </c>
      <c r="E27" s="6">
        <f>COUNTIFS(Avaluacio[Avaluable],"Sí",Avaluacio[Família],ResultatsFamilia[[#This Row],[Família]],Avaluacio[Actualització],"Sí")</f>
        <v>16</v>
      </c>
      <c r="F27" s="8">
        <f>IFERROR(ResultatsFamilia[[#This Row],[Contingut (ítems)]]/(COUNTIFS(Avaluacio[Avaluable],"Sí",Avaluacio[Família],ResultatsFamilia[[#This Row],[Família]],Avaluacio[Contingut],"Sí")+COUNTIFS(Avaluacio[Avaluable],"Sí",Avaluacio[Família],ResultatsFamilia[[#This Row],[Família]],Avaluacio[Contingut],"No")),NA())</f>
        <v>1</v>
      </c>
      <c r="G27" s="8">
        <f>IFERROR(ResultatsFamilia[[#This Row],[Actualització (ítems)]]/(COUNTIFS(Avaluacio[Avaluable],"Sí",Avaluacio[Família],ResultatsFamilia[[#This Row],[Família]],Avaluacio[Actualització],"Sí")+COUNTIFS(Avaluacio[Avaluable],"Sí",Avaluacio[Família],ResultatsFamilia[[#This Row],[Família]],Avaluacio[Actualització],"No")),NA())</f>
        <v>0.94117647058823528</v>
      </c>
      <c r="H27"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16</v>
      </c>
      <c r="I27" s="6">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1</v>
      </c>
      <c r="J27" s="6" t="e">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#N/A</v>
      </c>
      <c r="K27"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7" s="8">
        <f>IFERROR(AVERAGEIFS(Avaluacio[% compliment],Avaluacio[Avaluable],"Sí",Avaluacio[Família],ResultatsFamilia[[#This Row],[Família]]),NA())</f>
        <v>0.97058823529411764</v>
      </c>
    </row>
    <row r="28" spans="1:12" x14ac:dyDescent="0.25">
      <c r="A28" t="str">
        <f t="array" ref="A28">INDEX(Avaluacio[Família],(MATCH(0,INDEX(COUNTIF($A$23:A27,Avaluacio[Família]),0,0)+INDEX(Avaluacio[Avaluable]="No",0,0),0)))</f>
        <v>Serveis i tràmits</v>
      </c>
      <c r="B28" s="6">
        <f>COUNTIF(Avaluacio[Família],ResultatsFamilia[[#This Row],[Família]])</f>
        <v>23</v>
      </c>
      <c r="C28" s="6">
        <f>COUNTIFS(Avaluacio[Avaluable],"Sí",Avaluacio[Família],ResultatsFamilia[[#This Row],[Família]])</f>
        <v>23</v>
      </c>
      <c r="D28" s="6">
        <f>COUNTIFS(Avaluacio[Avaluable],"Sí",Avaluacio[Família],ResultatsFamilia[[#This Row],[Família]],Avaluacio[Contingut],"Sí")</f>
        <v>21</v>
      </c>
      <c r="E28" s="6">
        <f>COUNTIFS(Avaluacio[Avaluable],"Sí",Avaluacio[Família],ResultatsFamilia[[#This Row],[Família]],Avaluacio[Actualització],"Sí")</f>
        <v>20</v>
      </c>
      <c r="F28" s="8">
        <f>IFERROR(ResultatsFamilia[[#This Row],[Contingut (ítems)]]/(COUNTIFS(Avaluacio[Avaluable],"Sí",Avaluacio[Família],ResultatsFamilia[[#This Row],[Família]],Avaluacio[Contingut],"Sí")+COUNTIFS(Avaluacio[Avaluable],"Sí",Avaluacio[Família],ResultatsFamilia[[#This Row],[Família]],Avaluacio[Contingut],"No")),NA())</f>
        <v>0.91304347826086951</v>
      </c>
      <c r="G28" s="8">
        <f>IFERROR(ResultatsFamilia[[#This Row],[Actualització (ítems)]]/(COUNTIFS(Avaluacio[Avaluable],"Sí",Avaluacio[Família],ResultatsFamilia[[#This Row],[Família]],Avaluacio[Actualització],"Sí")+COUNTIFS(Avaluacio[Avaluable],"Sí",Avaluacio[Família],ResultatsFamilia[[#This Row],[Família]],Avaluacio[Actualització],"No")),NA())</f>
        <v>0.86956521739130432</v>
      </c>
      <c r="H28"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20</v>
      </c>
      <c r="I28" s="6">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1</v>
      </c>
      <c r="J28"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2</v>
      </c>
      <c r="K28"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8" s="8">
        <f>IFERROR(AVERAGEIFS(Avaluacio[% compliment],Avaluacio[Avaluable],"Sí",Avaluacio[Família],ResultatsFamilia[[#This Row],[Família]]),NA())</f>
        <v>0.89130434782608692</v>
      </c>
    </row>
    <row r="29" spans="1:12" x14ac:dyDescent="0.25">
      <c r="A29" t="str">
        <f t="array" ref="A29">INDEX(Avaluacio[Família],(MATCH(0,INDEX(COUNTIF($A$23:A28,Avaluacio[Família]),0,0)+INDEX(Avaluacio[Avaluable]="No",0,0),0)))</f>
        <v>Participació</v>
      </c>
      <c r="B29" s="6">
        <f>COUNTIF(Avaluacio[Família],ResultatsFamilia[[#This Row],[Família]])</f>
        <v>7</v>
      </c>
      <c r="C29" s="6">
        <f>COUNTIFS(Avaluacio[Avaluable],"Sí",Avaluacio[Família],ResultatsFamilia[[#This Row],[Família]])</f>
        <v>7</v>
      </c>
      <c r="D29" s="6">
        <f>COUNTIFS(Avaluacio[Avaluable],"Sí",Avaluacio[Família],ResultatsFamilia[[#This Row],[Família]],Avaluacio[Contingut],"Sí")</f>
        <v>7</v>
      </c>
      <c r="E29" s="6">
        <f>COUNTIFS(Avaluacio[Avaluable],"Sí",Avaluacio[Família],ResultatsFamilia[[#This Row],[Família]],Avaluacio[Actualització],"Sí")</f>
        <v>7</v>
      </c>
      <c r="F29" s="19">
        <f>IFERROR(ResultatsFamilia[[#This Row],[Contingut (ítems)]]/(COUNTIFS(Avaluacio[Avaluable],"Sí",Avaluacio[Família],ResultatsFamilia[[#This Row],[Família]],Avaluacio[Contingut],"Sí")+COUNTIFS(Avaluacio[Avaluable],"Sí",Avaluacio[Família],ResultatsFamilia[[#This Row],[Família]],Avaluacio[Contingut],"No")),NA())</f>
        <v>1</v>
      </c>
      <c r="G29" s="19">
        <f>IFERROR(ResultatsFamilia[[#This Row],[Actualització (ítems)]]/(COUNTIFS(Avaluacio[Avaluable],"Sí",Avaluacio[Família],ResultatsFamilia[[#This Row],[Família]],Avaluacio[Actualització],"Sí")+COUNTIFS(Avaluacio[Avaluable],"Sí",Avaluacio[Família],ResultatsFamilia[[#This Row],[Família]],Avaluacio[Actualització],"No")),NA())</f>
        <v>1</v>
      </c>
      <c r="H29"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7</v>
      </c>
      <c r="I29" s="6" t="e">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#N/A</v>
      </c>
      <c r="J29" s="6" t="e">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#N/A</v>
      </c>
      <c r="K29"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9" s="8">
        <f>IFERROR(AVERAGEIFS(Avaluacio[% compliment],Avaluacio[Avaluable],"Sí",Avaluacio[Família],ResultatsFamilia[[#This Row],[Família]]),NA())</f>
        <v>1</v>
      </c>
    </row>
    <row r="30" spans="1:12" x14ac:dyDescent="0.25">
      <c r="A30" t="s">
        <v>914</v>
      </c>
      <c r="B30" s="6">
        <f>SUBTOTAL(109,ResultatsFamilia[Total ítems])</f>
        <v>147</v>
      </c>
      <c r="C30" s="6">
        <f>SUBTOTAL(109,ResultatsFamilia[Ítems avaluats])</f>
        <v>146</v>
      </c>
      <c r="D30" s="6">
        <f>SUBTOTAL(109,ResultatsFamilia[Contingut (ítems)])</f>
        <v>137</v>
      </c>
      <c r="E30" s="6">
        <f>SUBTOTAL(109,ResultatsFamilia[Actualització (ítems)])</f>
        <v>134</v>
      </c>
      <c r="F30" s="19">
        <f>IFERROR(ResultatsFamilia[[#Totals],[Contingut (ítems)]]/(COUNTIFS(Avaluacio[Avaluable],"Sí",Avaluacio[Contingut],"Sí")+COUNTIFS(Avaluacio[Avaluable],"Sí",Avaluacio[Contingut],"No")),NA())</f>
        <v>0.93835616438356162</v>
      </c>
      <c r="G30" s="19">
        <f>IFERROR(ResultatsFamilia[[#Totals],[Actualització (ítems)]]/(COUNTIFS(Avaluacio[Avaluable],"Sí",Avaluacio[Actualització],"Sí")+COUNTIFS(Avaluacio[Avaluable],"Sí",Avaluacio[Actualització],"No")),NA())</f>
        <v>0.9178082191780822</v>
      </c>
      <c r="H30" s="6">
        <f>IFERROR(SUBTOTAL(109,ResultatsFamilia[Compleix totalment]),NA())</f>
        <v>134</v>
      </c>
      <c r="I30" s="6">
        <f>IFERROR(SUBTOTAL(109,ResultatsFamilia[Compleix totalment]),NA())</f>
        <v>134</v>
      </c>
      <c r="J30" s="6" t="e">
        <f>IFERROR(SUBTOTAL(109,ResultatsFamilia[No compleix]),NA())</f>
        <v>#N/A</v>
      </c>
      <c r="K30" s="6" t="e">
        <f>IFERROR(SUBTOTAL(109,ResultatsFamilia[No aplicable]),NA())</f>
        <v>#N/A</v>
      </c>
      <c r="L30" s="19">
        <f>IFERROR(AVERAGEIFS(Avaluacio[% compliment],Avaluacio[Avaluable],"Sí"),NA())</f>
        <v>0.92808219178082196</v>
      </c>
    </row>
    <row r="31" spans="1:12" x14ac:dyDescent="0.25">
      <c r="E31" s="6"/>
      <c r="F31" s="6"/>
      <c r="G31" s="6"/>
      <c r="H31" s="6"/>
      <c r="I31" s="6"/>
      <c r="J31" s="6"/>
      <c r="K31" s="8"/>
    </row>
    <row r="32" spans="1:12" ht="27.6" x14ac:dyDescent="0.25">
      <c r="A32" t="s">
        <v>884</v>
      </c>
      <c r="B32" s="6" t="s">
        <v>919</v>
      </c>
      <c r="C32" s="6" t="s">
        <v>920</v>
      </c>
      <c r="D32" s="6" t="s">
        <v>934</v>
      </c>
      <c r="E32" s="6" t="s">
        <v>935</v>
      </c>
      <c r="F32" s="6" t="s">
        <v>640</v>
      </c>
      <c r="G32" s="6" t="s">
        <v>641</v>
      </c>
      <c r="H32" s="6" t="s">
        <v>921</v>
      </c>
      <c r="I32" s="6" t="s">
        <v>643</v>
      </c>
      <c r="J32" s="6" t="s">
        <v>630</v>
      </c>
      <c r="K32" s="6" t="s">
        <v>922</v>
      </c>
      <c r="L32" s="8" t="s">
        <v>655</v>
      </c>
    </row>
    <row r="33" spans="1:12" x14ac:dyDescent="0.25">
      <c r="A33" t="str">
        <f>IF(RIGHT('1_Plantejament'!$B$7,1)&gt;="1","Fase 1","Fase 1")</f>
        <v>Fase 1</v>
      </c>
      <c r="B33" s="6">
        <f>COUNTIF(Avaluacio[Fase],"Fase 1")</f>
        <v>56</v>
      </c>
      <c r="C33" s="6">
        <f>COUNTIFS(Avaluacio[Avaluable],"Sí",Avaluacio[Fase],ResultatsFase[[#This Row],[Fase d''avaluació]])</f>
        <v>55</v>
      </c>
      <c r="D33" s="6">
        <f>COUNTIFS(Avaluacio[Avaluable],"Sí",Avaluacio[Fase],ResultatsFase[[#This Row],[Fase d''avaluació]],Avaluacio[Contingut],"Sí")</f>
        <v>54</v>
      </c>
      <c r="E33" s="6">
        <f>COUNTIFS(Avaluacio[Avaluable],"Sí",Avaluacio[Fase],ResultatsFase[[#This Row],[Fase d''avaluació]],Avaluacio[Actualització],"Sí")</f>
        <v>54</v>
      </c>
      <c r="F33" s="8">
        <f>IFERROR(ResultatsFase[[#This Row],[Contingut (ítems)]]/(COUNTIFS(Avaluacio[Avaluable],"Sí",Avaluacio[Fase],ResultatsFase[[#This Row],[Fase d''avaluació]],Avaluacio[Contingut],"Sí")+COUNTIFS(Avaluacio[Avaluable],"Sí",Avaluacio[Fase],ResultatsFase[[#This Row],[Fase d''avaluació]],Avaluacio[Contingut],"No")),NA())</f>
        <v>0.98181818181818181</v>
      </c>
      <c r="G33" s="8">
        <f>IFERROR(ResultatsFase[[#This Row],[Actualització (ítems)]]/(COUNTIFS(Avaluacio[Avaluable],"Sí",Avaluacio[Fase],ResultatsFase[[#This Row],[Fase d''avaluació]],Avaluacio[Actualització],"Sí")+COUNTIFS(Avaluacio[Avaluable],"Sí",Avaluacio[Fase],ResultatsFase[[#This Row],[Fase d''avaluació]],Avaluacio[Actualització],"No")),NA())</f>
        <v>0.98181818181818181</v>
      </c>
      <c r="H33"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54</v>
      </c>
      <c r="I33" s="6" t="e">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#N/A</v>
      </c>
      <c r="J33" s="6">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1</v>
      </c>
      <c r="K33"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3" s="8">
        <f>IFERROR(AVERAGEIFS(Avaluacio[% compliment],Avaluacio[Avaluable],"Sí",Avaluacio[Fase],ResultatsFase[[#This Row],[Fase d''avaluació]]),NA())</f>
        <v>0.98181818181818181</v>
      </c>
    </row>
    <row r="34" spans="1:12" x14ac:dyDescent="0.25">
      <c r="A34" t="str">
        <f>IF(RIGHT('1_Plantejament'!$B$7,1)&gt;="2","Fase 2",NA())</f>
        <v>Fase 2</v>
      </c>
      <c r="B34" s="6">
        <f>COUNTIF(Avaluacio[Fase],"Fase 2")</f>
        <v>17</v>
      </c>
      <c r="C34" s="6">
        <f>COUNTIFS(Avaluacio[Avaluable],"Sí",Avaluacio[Fase],ResultatsFase[[#This Row],[Fase d''avaluació]])</f>
        <v>17</v>
      </c>
      <c r="D34" s="6">
        <f>COUNTIFS(Avaluacio[Avaluable],"Sí",Avaluacio[Fase],ResultatsFase[[#This Row],[Fase d''avaluació]],Avaluacio[Contingut],"Sí")</f>
        <v>16</v>
      </c>
      <c r="E34" s="6">
        <f>COUNTIFS(Avaluacio[Avaluable],"Sí",Avaluacio[Fase],ResultatsFase[[#This Row],[Fase d''avaluació]],Avaluacio[Actualització],"Sí")</f>
        <v>14</v>
      </c>
      <c r="F34" s="19">
        <f>IFERROR(ResultatsFase[[#This Row],[Contingut (ítems)]]/(COUNTIFS(Avaluacio[Avaluable],"Sí",Avaluacio[Fase],ResultatsFase[[#This Row],[Fase d''avaluació]],Avaluacio[Contingut],"Sí")+COUNTIFS(Avaluacio[Avaluable],"Sí",Avaluacio[Fase],ResultatsFase[[#This Row],[Fase d''avaluació]],Avaluacio[Contingut],"No")),NA())</f>
        <v>0.94117647058823528</v>
      </c>
      <c r="G34" s="19">
        <f>IFERROR(ResultatsFase[[#This Row],[Actualització (ítems)]]/(COUNTIFS(Avaluacio[Avaluable],"Sí",Avaluacio[Fase],ResultatsFase[[#This Row],[Fase d''avaluació]],Avaluacio[Actualització],"Sí")+COUNTIFS(Avaluacio[Avaluable],"Sí",Avaluacio[Fase],ResultatsFase[[#This Row],[Fase d''avaluació]],Avaluacio[Actualització],"No")),NA())</f>
        <v>0.82352941176470584</v>
      </c>
      <c r="H34"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14</v>
      </c>
      <c r="I34" s="6">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2</v>
      </c>
      <c r="J34" s="6">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1</v>
      </c>
      <c r="K34"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4" s="8">
        <f>IFERROR(AVERAGEIFS(Avaluacio[% compliment],Avaluacio[Avaluable],"Sí",Avaluacio[Fase],ResultatsFase[[#This Row],[Fase d''avaluació]]),NA())</f>
        <v>0.88235294117647056</v>
      </c>
    </row>
    <row r="35" spans="1:12" x14ac:dyDescent="0.25">
      <c r="A35" t="str">
        <f>IF(RIGHT('1_Plantejament'!$B$7,1)&gt;="3","Fase 3",NA())</f>
        <v>Fase 3</v>
      </c>
      <c r="B35" s="6">
        <f>COUNTIF(Avaluacio[Fase],"Fase 3")</f>
        <v>13</v>
      </c>
      <c r="C35" s="6">
        <f>COUNTIFS(Avaluacio[Avaluable],"Sí",Avaluacio[Fase],ResultatsFase[[#This Row],[Fase d''avaluació]])</f>
        <v>13</v>
      </c>
      <c r="D35" s="6">
        <f>COUNTIFS(Avaluacio[Avaluable],"Sí",Avaluacio[Fase],ResultatsFase[[#This Row],[Fase d''avaluació]],Avaluacio[Contingut],"Sí")</f>
        <v>11</v>
      </c>
      <c r="E35" s="6">
        <f>COUNTIFS(Avaluacio[Avaluable],"Sí",Avaluacio[Fase],ResultatsFase[[#This Row],[Fase d''avaluació]],Avaluacio[Actualització],"Sí")</f>
        <v>11</v>
      </c>
      <c r="F35" s="19">
        <f>IFERROR(ResultatsFase[[#This Row],[Contingut (ítems)]]/(COUNTIFS(Avaluacio[Avaluable],"Sí",Avaluacio[Fase],ResultatsFase[[#This Row],[Fase d''avaluació]],Avaluacio[Contingut],"Sí")+COUNTIFS(Avaluacio[Avaluable],"Sí",Avaluacio[Fase],ResultatsFase[[#This Row],[Fase d''avaluació]],Avaluacio[Contingut],"No")),NA())</f>
        <v>0.84615384615384615</v>
      </c>
      <c r="G35" s="19">
        <f>IFERROR(ResultatsFase[[#This Row],[Actualització (ítems)]]/(COUNTIFS(Avaluacio[Avaluable],"Sí",Avaluacio[Fase],ResultatsFase[[#This Row],[Fase d''avaluació]],Avaluacio[Actualització],"Sí")+COUNTIFS(Avaluacio[Avaluable],"Sí",Avaluacio[Fase],ResultatsFase[[#This Row],[Fase d''avaluació]],Avaluacio[Actualització],"No")),NA())</f>
        <v>0.84615384615384615</v>
      </c>
      <c r="H35"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11</v>
      </c>
      <c r="I35" s="6" t="e">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#N/A</v>
      </c>
      <c r="J35" s="6">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2</v>
      </c>
      <c r="K35"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5" s="8">
        <f>IFERROR(AVERAGEIFS(Avaluacio[% compliment],Avaluacio[Avaluable],"Sí",Avaluacio[Fase],ResultatsFase[[#This Row],[Fase d''avaluació]]),NA())</f>
        <v>0.84615384615384615</v>
      </c>
    </row>
    <row r="36" spans="1:12" x14ac:dyDescent="0.25">
      <c r="A36" t="str">
        <f>IF(RIGHT('1_Plantejament'!$B$7,1)&gt;="4","Fase 4",NA())</f>
        <v>Fase 4</v>
      </c>
      <c r="B36" s="6">
        <f>COUNTIF(Avaluacio[Fase],"Fase 4")</f>
        <v>23</v>
      </c>
      <c r="C36" s="6">
        <f>COUNTIFS(Avaluacio[Avaluable],"Sí",Avaluacio[Fase],ResultatsFase[[#This Row],[Fase d''avaluació]])</f>
        <v>23</v>
      </c>
      <c r="D36" s="6">
        <f>COUNTIFS(Avaluacio[Avaluable],"Sí",Avaluacio[Fase],ResultatsFase[[#This Row],[Fase d''avaluació]],Avaluacio[Contingut],"Sí")</f>
        <v>20</v>
      </c>
      <c r="E36" s="6">
        <f>COUNTIFS(Avaluacio[Avaluable],"Sí",Avaluacio[Fase],ResultatsFase[[#This Row],[Fase d''avaluació]],Avaluacio[Actualització],"Sí")</f>
        <v>19</v>
      </c>
      <c r="F36" s="19">
        <f>IFERROR(ResultatsFase[[#This Row],[Contingut (ítems)]]/(COUNTIFS(Avaluacio[Avaluable],"Sí",Avaluacio[Fase],ResultatsFase[[#This Row],[Fase d''avaluació]],Avaluacio[Contingut],"Sí")+COUNTIFS(Avaluacio[Avaluable],"Sí",Avaluacio[Fase],ResultatsFase[[#This Row],[Fase d''avaluació]],Avaluacio[Contingut],"No")),NA())</f>
        <v>0.86956521739130432</v>
      </c>
      <c r="G36" s="19">
        <f>IFERROR(ResultatsFase[[#This Row],[Actualització (ítems)]]/(COUNTIFS(Avaluacio[Avaluable],"Sí",Avaluacio[Fase],ResultatsFase[[#This Row],[Fase d''avaluació]],Avaluacio[Actualització],"Sí")+COUNTIFS(Avaluacio[Avaluable],"Sí",Avaluacio[Fase],ResultatsFase[[#This Row],[Fase d''avaluació]],Avaluacio[Actualització],"No")),NA())</f>
        <v>0.82608695652173914</v>
      </c>
      <c r="H36"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19</v>
      </c>
      <c r="I36" s="6">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1</v>
      </c>
      <c r="J36" s="6">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3</v>
      </c>
      <c r="K36"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6" s="8">
        <f>IFERROR(AVERAGEIFS(Avaluacio[% compliment],Avaluacio[Avaluable],"Sí",Avaluacio[Fase],ResultatsFase[[#This Row],[Fase d''avaluació]]),NA())</f>
        <v>0.84782608695652173</v>
      </c>
    </row>
    <row r="37" spans="1:12" x14ac:dyDescent="0.25">
      <c r="A37" t="str">
        <f>IF(RIGHT('1_Plantejament'!$B$7,1)&gt;="5","Fase 5",NA())</f>
        <v>Fase 5</v>
      </c>
      <c r="B37" s="6">
        <f>COUNTIF(Avaluacio[Fase],"Fase 5")</f>
        <v>38</v>
      </c>
      <c r="C37" s="6">
        <f>COUNTIFS(Avaluacio[Avaluable],"Sí",Avaluacio[Fase],ResultatsFase[[#This Row],[Fase d''avaluació]])</f>
        <v>38</v>
      </c>
      <c r="D37" s="6">
        <f>COUNTIFS(Avaluacio[Avaluable],"Sí",Avaluacio[Fase],ResultatsFase[[#This Row],[Fase d''avaluació]],Avaluacio[Contingut],"Sí")</f>
        <v>36</v>
      </c>
      <c r="E37" s="6">
        <f>COUNTIFS(Avaluacio[Avaluable],"Sí",Avaluacio[Fase],ResultatsFase[[#This Row],[Fase d''avaluació]],Avaluacio[Actualització],"Sí")</f>
        <v>36</v>
      </c>
      <c r="F37" s="19">
        <f>IFERROR(ResultatsFase[[#This Row],[Contingut (ítems)]]/(COUNTIFS(Avaluacio[Avaluable],"Sí",Avaluacio[Fase],ResultatsFase[[#This Row],[Fase d''avaluació]],Avaluacio[Contingut],"Sí")+COUNTIFS(Avaluacio[Avaluable],"Sí",Avaluacio[Fase],ResultatsFase[[#This Row],[Fase d''avaluació]],Avaluacio[Contingut],"No")),NA())</f>
        <v>0.94736842105263153</v>
      </c>
      <c r="G37" s="19">
        <f>IFERROR(ResultatsFase[[#This Row],[Actualització (ítems)]]/(COUNTIFS(Avaluacio[Avaluable],"Sí",Avaluacio[Fase],ResultatsFase[[#This Row],[Fase d''avaluació]],Avaluacio[Actualització],"Sí")+COUNTIFS(Avaluacio[Avaluable],"Sí",Avaluacio[Fase],ResultatsFase[[#This Row],[Fase d''avaluació]],Avaluacio[Actualització],"No")),NA())</f>
        <v>0.94736842105263153</v>
      </c>
      <c r="H37"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36</v>
      </c>
      <c r="I37" s="6" t="e">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#N/A</v>
      </c>
      <c r="J37" s="6">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2</v>
      </c>
      <c r="K37"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7" s="8">
        <f>IFERROR(AVERAGEIFS(Avaluacio[% compliment],Avaluacio[Avaluable],"Sí",Avaluacio[Fase],ResultatsFase[[#This Row],[Fase d''avaluació]]),NA())</f>
        <v>0.94736842105263153</v>
      </c>
    </row>
    <row r="38" spans="1:12" x14ac:dyDescent="0.25">
      <c r="A38" t="s">
        <v>914</v>
      </c>
      <c r="B38" s="6">
        <f>SUBTOTAL(109,ResultatsFase[Total ítems])</f>
        <v>147</v>
      </c>
      <c r="C38" s="6">
        <f>SUBTOTAL(109,ResultatsFase[Ítems avaluats])</f>
        <v>146</v>
      </c>
      <c r="D38" s="6">
        <f>SUBTOTAL(109,ResultatsFase[Contingut (ítems)])</f>
        <v>137</v>
      </c>
      <c r="E38" s="6">
        <f>SUBTOTAL(109,ResultatsFase[Actualització (ítems)])</f>
        <v>134</v>
      </c>
      <c r="F38" s="8">
        <f>IFERROR(ResultatsFase[[#Totals],[Contingut (ítems)]]/(COUNTIFS(Avaluacio[Avaluable],"Sí",Avaluacio[Contingut],"Sí")+COUNTIFS(Avaluacio[Avaluable],"Sí",Avaluacio[Contingut],"No")),NA())</f>
        <v>0.93835616438356162</v>
      </c>
      <c r="G38" s="8">
        <f>IFERROR(ResultatsFase[[#Totals],[Actualització (ítems)]]/(COUNTIFS(Avaluacio[Avaluable],"Sí",Avaluacio[Actualització],"Sí")+COUNTIFS(Avaluacio[Avaluable],"Sí",Avaluacio[Actualització],"No")),NA())</f>
        <v>0.9178082191780822</v>
      </c>
      <c r="H38" s="6">
        <f>IFERROR(SUBTOTAL(109,ResultatsFase[Compleix totalment]),NA())</f>
        <v>134</v>
      </c>
      <c r="I38" s="6" t="e">
        <f>IFERROR(SUBTOTAL(109,ResultatsFase[Compleix parcialment]),NA())</f>
        <v>#N/A</v>
      </c>
      <c r="J38" s="6">
        <f>IFERROR(SUBTOTAL(109,ResultatsFase[No compleix]),NA())</f>
        <v>9</v>
      </c>
      <c r="K38" s="6" t="e">
        <f>IFERROR(SUBTOTAL(109,ResultatsFase[No aplicable]),NA())</f>
        <v>#N/A</v>
      </c>
      <c r="L38" s="20">
        <f>IFERROR(AVERAGEIFS(Avaluacio[% compliment],Avaluacio[Avaluable],"Sí"),NA())</f>
        <v>0.92808219178082196</v>
      </c>
    </row>
    <row r="39" spans="1:12" s="11" customFormat="1" x14ac:dyDescent="0.25">
      <c r="A39"/>
      <c r="B39" s="6"/>
      <c r="C39" s="6"/>
      <c r="D39" s="6"/>
      <c r="E39" s="9"/>
      <c r="F39" s="9"/>
      <c r="G39" s="9"/>
      <c r="H39" s="9"/>
      <c r="I39" s="9"/>
      <c r="J39" s="9"/>
      <c r="K39" s="9"/>
    </row>
    <row r="40" spans="1:12" ht="27.6" x14ac:dyDescent="0.25">
      <c r="A40" s="10" t="s">
        <v>925</v>
      </c>
      <c r="B40" s="8" t="s">
        <v>919</v>
      </c>
      <c r="C40" s="8" t="s">
        <v>920</v>
      </c>
      <c r="D40" s="8" t="s">
        <v>934</v>
      </c>
      <c r="E40" s="8" t="s">
        <v>935</v>
      </c>
      <c r="F40" s="8" t="s">
        <v>640</v>
      </c>
      <c r="G40" s="8" t="s">
        <v>641</v>
      </c>
      <c r="H40" s="8" t="s">
        <v>921</v>
      </c>
      <c r="I40" s="8" t="s">
        <v>643</v>
      </c>
      <c r="J40" s="8" t="s">
        <v>630</v>
      </c>
      <c r="K40" s="8" t="s">
        <v>922</v>
      </c>
      <c r="L40" s="8" t="s">
        <v>655</v>
      </c>
    </row>
    <row r="41" spans="1:12" x14ac:dyDescent="0.25">
      <c r="A41" t="s">
        <v>923</v>
      </c>
      <c r="B41" s="6">
        <f>COUNTA(Avaluacio[Ítem])</f>
        <v>147</v>
      </c>
      <c r="C41" s="6">
        <f>COUNTIFS(Avaluacio[Avaluable],"Sí")</f>
        <v>146</v>
      </c>
      <c r="D41" s="6">
        <f>COUNTIFS(Avaluacio[Avaluable],"Sí",Avaluacio[Contingut],"Sí")</f>
        <v>137</v>
      </c>
      <c r="E41" s="6">
        <f>COUNTIFS(Avaluacio[Avaluable],"Sí",Avaluacio[Actualització],"Sí")</f>
        <v>134</v>
      </c>
      <c r="F41" s="8">
        <f>IFERROR(ResultatsTotals[[#This Row],[Contingut (ítems)]]/(COUNTIFS(Avaluacio[Avaluable],"Sí",Avaluacio[Contingut],"Sí")+COUNTIFS(Avaluacio[Avaluable],"Sí",Avaluacio[Contingut],"No")),NA())</f>
        <v>0.93835616438356162</v>
      </c>
      <c r="G41" s="8">
        <f>IFERROR(ResultatsTotals[[#This Row],[Actualització (ítems)]]/(COUNTIFS(Avaluacio[Avaluable],"Sí",Avaluacio[Actualització],"Sí")+COUNTIFS(Avaluacio[Avaluable],"Sí",Avaluacio[Actualització],"No")),NA())</f>
        <v>0.9178082191780822</v>
      </c>
      <c r="H41" s="6">
        <f>COUNTIFS(Avaluacio[Avaluable],"Sí",Avaluacio[Grau de compliment],"Compleix totalment")</f>
        <v>134</v>
      </c>
      <c r="I41" s="6">
        <f>COUNTIFS(Avaluacio[Avaluable],"Sí",Avaluacio[Grau de compliment],"Compleix parcialment")</f>
        <v>3</v>
      </c>
      <c r="J41" s="6">
        <f>COUNTIFS(Avaluacio[Avaluable],"Sí",Avaluacio[Grau de compliment],"No compleix")</f>
        <v>9</v>
      </c>
      <c r="K41" s="6">
        <f>COUNTIFS(Avaluacio[Avaluable],"Sí",Avaluacio[Grau de compliment],"No aplicable")</f>
        <v>0</v>
      </c>
      <c r="L41" s="8">
        <f>IFERROR(AVERAGEIFS(Avaluacio[% compliment],Avaluacio[Avaluable],"Sí"),NA())</f>
        <v>0.92808219178082196</v>
      </c>
    </row>
    <row r="42" spans="1:12" x14ac:dyDescent="0.25">
      <c r="A42" t="s">
        <v>924</v>
      </c>
      <c r="B42" s="6">
        <f>COUNTBLANK(Avaluacio[Ítem])</f>
        <v>0</v>
      </c>
      <c r="C42" s="6">
        <f>COUNTIFS(Avaluacio[Avaluable],"No")</f>
        <v>1</v>
      </c>
      <c r="D42" s="6">
        <f>COUNTIFS(Avaluacio[Avaluable],"Sí",Avaluacio[Contingut],"No")+COUNTIFS(Avaluacio[Avaluable],"Sí",Avaluacio[Contingut],"N/A")</f>
        <v>9</v>
      </c>
      <c r="E42" s="6">
        <f>COUNTIFS(Avaluacio[Avaluable],"Sí",Avaluacio[Actualització],"No")+COUNTIFS(Avaluacio[Avaluable],"Sí",Avaluacio[Actualització],"N/A")</f>
        <v>12</v>
      </c>
      <c r="F42" s="8">
        <f>IFERROR((ResultatsTotals[[#This Row],[Contingut (ítems)]]-COUNTIFS(Avaluacio[Avaluable],"Sí",Avaluacio[Contingut],"N/A"))/(COUNTIFS(Avaluacio[Avaluable],"Sí",Avaluacio[Contingut],"Sí")+COUNTIFS(Avaluacio[Avaluable],"Sí",Avaluacio[Contingut],"No")),NA())</f>
        <v>6.1643835616438353E-2</v>
      </c>
      <c r="G42" s="8">
        <f>IFERROR((ResultatsTotals[[#This Row],[Actualització (ítems)]]-COUNTIFS(Avaluacio[Avaluable],"Sí",Avaluacio[Actualització],"N/A"))/(COUNTIFS(Avaluacio[Avaluable],"Sí",Avaluacio[Actualització],"Sí")+COUNTIFS(Avaluacio[Avaluable],"Sí",Avaluacio[Actualització],"No")),NA())</f>
        <v>8.2191780821917804E-2</v>
      </c>
      <c r="H42" s="6">
        <f>COUNTIFS(Avaluacio[Avaluable],"Sí",Avaluacio[Grau de compliment],"&lt;&gt;Compleix totalment")</f>
        <v>12</v>
      </c>
      <c r="I42" s="6">
        <f>COUNTIFS(Avaluacio[Avaluable],"Sí",Avaluacio[Grau de compliment],"&lt;&gt;Compleix parcialment")</f>
        <v>143</v>
      </c>
      <c r="J42" s="6">
        <f>COUNTIFS(Avaluacio[Avaluable],"Sí",Avaluacio[Grau de compliment],"&lt;&gt;No compleix")</f>
        <v>137</v>
      </c>
      <c r="K42" s="6">
        <f>COUNTIFS(Avaluacio[Avaluable],"Sí",Avaluacio[Grau de compliment],"&lt;&gt;No aplicable")</f>
        <v>146</v>
      </c>
      <c r="L42" s="8">
        <f>1-IFERROR(AVERAGEIFS(Avaluacio[% compliment],Avaluacio[Avaluable],"Sí"),NA())</f>
        <v>7.1917808219178037E-2</v>
      </c>
    </row>
    <row r="43" spans="1:12" x14ac:dyDescent="0.25">
      <c r="A43" t="s">
        <v>914</v>
      </c>
      <c r="B43" s="18">
        <f>B41/SUM(ResultatsTotals[Total ítems])</f>
        <v>1</v>
      </c>
      <c r="C43" s="18">
        <f>IFERROR(C41/SUM(ResultatsTotals[Ítems avaluats]),NA())</f>
        <v>0.99319727891156462</v>
      </c>
      <c r="D43" s="17">
        <f>SUBTOTAL(109,ResultatsTotals[Contingut (ítems)])</f>
        <v>146</v>
      </c>
      <c r="E43" s="17">
        <f>SUBTOTAL(109,ResultatsTotals[Actualització (ítems)])</f>
        <v>146</v>
      </c>
      <c r="F43" s="20">
        <f>IFERROR(SUBTOTAL(109,ResultatsTotals[Contingut]),NA())</f>
        <v>1</v>
      </c>
      <c r="G43" s="20">
        <f>IFERROR(SUBTOTAL(109,ResultatsTotals[Actualització]),NA())</f>
        <v>1</v>
      </c>
      <c r="H43" s="21">
        <f>SUBTOTAL(109,ResultatsTotals[Compleix totalment])</f>
        <v>146</v>
      </c>
      <c r="I43" s="21">
        <f>SUBTOTAL(109,ResultatsTotals[Compleix parcialment])</f>
        <v>146</v>
      </c>
      <c r="J43" s="21">
        <f>SUBTOTAL(109,ResultatsTotals[No compleix])</f>
        <v>146</v>
      </c>
      <c r="K43" s="21">
        <f>SUBTOTAL(109,ResultatsTotals[No aplicable])</f>
        <v>146</v>
      </c>
      <c r="L43" s="18">
        <f>IFERROR(SUBTOTAL(109,ResultatsTotals[% compliment]),NA())</f>
        <v>1</v>
      </c>
    </row>
  </sheetData>
  <sheetProtection algorithmName="SHA-512" hashValue="vRBmQWGMxgslzb570IXtD9ooXOxTr9V3sRy5u2P6M7QSAPKoL728fIDdfkkSOt7x36nNja+vAkEiXLiLzWrmPw==" saltValue="reics2QFA1kMTD64KzGutA==" spinCount="100000" sheet="1" objects="1" scenarios="1"/>
  <conditionalFormatting sqref="A1:XFD43">
    <cfRule type="containsErrors" dxfId="228" priority="1">
      <formula>ISERROR(A1)</formula>
    </cfRule>
  </conditionalFormatting>
  <pageMargins left="0.7" right="0.7" top="0.75" bottom="0.75" header="0.3" footer="0.3"/>
  <pageSetup paperSize="9"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8"/>
  <sheetViews>
    <sheetView workbookViewId="0"/>
  </sheetViews>
  <sheetFormatPr baseColWidth="10" defaultColWidth="9" defaultRowHeight="13.8" x14ac:dyDescent="0.25"/>
  <cols>
    <col min="1" max="1" width="24.59765625" customWidth="1"/>
    <col min="2" max="2" width="11.69921875" customWidth="1"/>
    <col min="3" max="3" width="12.19921875" customWidth="1"/>
    <col min="4" max="4" width="11.3984375" style="6" customWidth="1"/>
    <col min="5" max="5" width="9.8984375" style="6" customWidth="1"/>
    <col min="6" max="6" width="26.5" style="45" customWidth="1"/>
    <col min="7" max="8" width="23.19921875" customWidth="1"/>
    <col min="9" max="9" width="11.59765625" style="6" bestFit="1" customWidth="1"/>
    <col min="10" max="10" width="14" style="6" bestFit="1" customWidth="1"/>
    <col min="11" max="11" width="13.8984375" style="6" bestFit="1" customWidth="1"/>
    <col min="12" max="12" width="13.5" customWidth="1"/>
    <col min="13" max="13" width="15.09765625" style="6" bestFit="1" customWidth="1"/>
  </cols>
  <sheetData>
    <row r="1" spans="1:13" ht="27.6" x14ac:dyDescent="0.25">
      <c r="A1" s="42" t="s">
        <v>1219</v>
      </c>
      <c r="B1" s="42" t="s">
        <v>1220</v>
      </c>
      <c r="C1" s="42" t="s">
        <v>1221</v>
      </c>
      <c r="D1" s="43" t="s">
        <v>884</v>
      </c>
      <c r="E1" s="43" t="s">
        <v>649</v>
      </c>
      <c r="F1" s="44" t="s">
        <v>887</v>
      </c>
      <c r="G1" s="42" t="s">
        <v>651</v>
      </c>
      <c r="H1" s="42" t="s">
        <v>652</v>
      </c>
      <c r="I1" s="43" t="s">
        <v>640</v>
      </c>
      <c r="J1" s="43" t="s">
        <v>641</v>
      </c>
      <c r="K1" s="43" t="s">
        <v>642</v>
      </c>
      <c r="L1" s="42" t="s">
        <v>654</v>
      </c>
      <c r="M1" s="43" t="s">
        <v>655</v>
      </c>
    </row>
    <row r="2" spans="1:13" ht="27.6" x14ac:dyDescent="0.25">
      <c r="A2" t="str">
        <f t="array" ref="A2">IFERROR(IF(VLOOKUP($E2,Avaluacio[],COLUMN(Avaluacio[Codi ítem]),FALSE)=$E2,'1_Plantejament'!$B$5,""),"")</f>
        <v>Ajuntament de Blanes</v>
      </c>
      <c r="B2">
        <f t="array" ref="B2">IFERROR(IF(VLOOKUP($E2,Avaluacio[],COLUMN(Avaluacio[Codi ítem]),FALSE)=$E2,'1_Plantejament'!$B$9,""),"")</f>
        <v>2026</v>
      </c>
      <c r="C2">
        <f t="array" ref="C2">IFERROR(IF(VLOOKUP($E2,Avaluacio[],COLUMN(Avaluacio[Codi ítem]),FALSE)=$E2,'1_Plantejament'!$B$10,""),"")</f>
        <v>46206</v>
      </c>
      <c r="D2" s="6" t="str">
        <f t="array" ref="D2">IFERROR(IF(VLOOKUP($E2,Avaluacio[],COLUMN(Avaluacio[Codi ítem]),FALSE)=$E2,'1_Plantejament'!$B$7,""),"")</f>
        <v>Fase 5</v>
      </c>
      <c r="E2" s="6" t="str">
        <f t="array" ref="E2">IFERROR(INDEX(Avaluacio[Codi ítem],(MATCH(0,INDEX(COUNTIF(E$1:E1,Avaluacio[Codi ítem]),0,0)+INDEX(Avaluacio[Avaluable]="No",0,0),0))),"")</f>
        <v>XGO001</v>
      </c>
      <c r="F2" s="45" t="str">
        <f t="array" ref="F2">IFERROR(VLOOKUP(E2,Avaluacio[],COLUMN(Avaluacio[Ítem]),FALSE),"")</f>
        <v>Competències i funcions</v>
      </c>
      <c r="G2" t="str">
        <f t="array" ref="G2">IFERROR(VLOOKUP(E2,Avaluacio[],COLUMN(Avaluacio[Família]),FALSE),"")</f>
        <v>Informació institucional i organitzativa</v>
      </c>
      <c r="H2" t="str">
        <f t="array" ref="H2">IFERROR(VLOOKUP(E2,Avaluacio[],COLUMN(Avaluacio[Subfamília]),FALSE),"")</f>
        <v/>
      </c>
      <c r="I2" s="6" t="str">
        <f t="array" ref="I2">IFERROR(VLOOKUP(E2,Avaluacio[],COLUMN(Avaluacio[Contingut]),FALSE),"")</f>
        <v>Sí</v>
      </c>
      <c r="J2" s="6" t="str">
        <f t="array" ref="J2">IFERROR(VLOOKUP(E2,Avaluacio[],COLUMN(Avaluacio[Actualització]),FALSE),"")</f>
        <v>Sí</v>
      </c>
      <c r="K2" s="6" t="str">
        <f t="array" ref="K2">IFERROR(VLOOKUP(E2,Avaluacio[],COLUMN(#REF!),FALSE),"")</f>
        <v/>
      </c>
      <c r="L2" t="str">
        <f t="array" ref="L2">IFERROR(VLOOKUP(E2,Avaluacio[],COLUMN(Avaluacio[Grau de compliment]),FALSE),"")</f>
        <v>Compleix totalment</v>
      </c>
      <c r="M2" s="8">
        <f t="array" ref="M2">IFERROR(VLOOKUP(E2,Avaluacio[],COLUMN(Avaluacio[% compliment]),FALSE),"")</f>
        <v>1</v>
      </c>
    </row>
    <row r="3" spans="1:13" ht="27.6" x14ac:dyDescent="0.25">
      <c r="A3" t="str">
        <f t="array" ref="A3">IFERROR(IF(VLOOKUP($E3,Avaluacio[],COLUMN(Avaluacio[Codi ítem]),FALSE)=$E3,'1_Plantejament'!$B$5,""),"")</f>
        <v>Ajuntament de Blanes</v>
      </c>
      <c r="B3">
        <f t="array" ref="B3">IFERROR(IF(VLOOKUP($E3,Avaluacio[],COLUMN(Avaluacio[Codi ítem]),FALSE)=$E3,'1_Plantejament'!$B$9,""),"")</f>
        <v>2026</v>
      </c>
      <c r="C3">
        <f t="array" ref="C3">IFERROR(IF(VLOOKUP($E3,Avaluacio[],COLUMN(Avaluacio[Codi ítem]),FALSE)=$E3,'1_Plantejament'!$B$10,""),"")</f>
        <v>46206</v>
      </c>
      <c r="D3" s="6" t="str">
        <f t="array" ref="D3">IFERROR(IF(VLOOKUP($E3,Avaluacio[],COLUMN(Avaluacio[Codi ítem]),FALSE)=$E3,'1_Plantejament'!$B$7,""),"")</f>
        <v>Fase 5</v>
      </c>
      <c r="E3" s="6" t="str">
        <f t="array" ref="E3">IFERROR(INDEX(Avaluacio[Codi ítem],(MATCH(0,INDEX(COUNTIF(E$1:E2,Avaluacio[Codi ítem]),0,0)+INDEX(Avaluacio[Avaluable]="No",0,0),0))),"")</f>
        <v>XGO002</v>
      </c>
      <c r="F3" s="45" t="str">
        <f t="array" ref="F3">IFERROR(VLOOKUP(E3,Avaluacio[],COLUMN(Avaluacio[Ítem]),FALSE),"")</f>
        <v>Organigrama de l'ens</v>
      </c>
      <c r="G3" t="str">
        <f t="array" ref="G3">IFERROR(VLOOKUP(E3,Avaluacio[],COLUMN(Avaluacio[Família]),FALSE),"")</f>
        <v>Informació institucional i organitzativa</v>
      </c>
      <c r="H3" t="str">
        <f t="array" ref="H3">IFERROR(VLOOKUP(E3,Avaluacio[],COLUMN(Avaluacio[Subfamília]),FALSE),"")</f>
        <v/>
      </c>
      <c r="I3" s="6" t="str">
        <f t="array" ref="I3">IFERROR(VLOOKUP(E3,Avaluacio[],COLUMN(Avaluacio[Contingut]),FALSE),"")</f>
        <v>Sí</v>
      </c>
      <c r="J3" s="6" t="str">
        <f t="array" ref="J3">IFERROR(VLOOKUP(E3,Avaluacio[],COLUMN(Avaluacio[Actualització]),FALSE),"")</f>
        <v>Sí</v>
      </c>
      <c r="K3" s="6" t="str">
        <f t="array" ref="K3">IFERROR(VLOOKUP(E3,Avaluacio[],COLUMN(#REF!),FALSE),"")</f>
        <v/>
      </c>
      <c r="L3" t="str">
        <f t="array" ref="L3">IFERROR(VLOOKUP(E3,Avaluacio[],COLUMN(Avaluacio[Grau de compliment]),FALSE),"")</f>
        <v>Compleix totalment</v>
      </c>
      <c r="M3" s="8">
        <f t="array" ref="M3">IFERROR(VLOOKUP(E3,Avaluacio[],COLUMN(Avaluacio[% compliment]),FALSE),"")</f>
        <v>1</v>
      </c>
    </row>
    <row r="4" spans="1:13" ht="27.6" x14ac:dyDescent="0.25">
      <c r="A4" t="str">
        <f t="array" ref="A4">IFERROR(IF(VLOOKUP($E4,Avaluacio[],COLUMN(Avaluacio[Codi ítem]),FALSE)=$E4,'1_Plantejament'!$B$5,""),"")</f>
        <v>Ajuntament de Blanes</v>
      </c>
      <c r="B4">
        <f t="array" ref="B4">IFERROR(IF(VLOOKUP($E4,Avaluacio[],COLUMN(Avaluacio[Codi ítem]),FALSE)=$E4,'1_Plantejament'!$B$9,""),"")</f>
        <v>2026</v>
      </c>
      <c r="C4">
        <f t="array" ref="C4">IFERROR(IF(VLOOKUP($E4,Avaluacio[],COLUMN(Avaluacio[Codi ítem]),FALSE)=$E4,'1_Plantejament'!$B$10,""),"")</f>
        <v>46206</v>
      </c>
      <c r="D4" s="6" t="str">
        <f t="array" ref="D4">IFERROR(IF(VLOOKUP($E4,Avaluacio[],COLUMN(Avaluacio[Codi ítem]),FALSE)=$E4,'1_Plantejament'!$B$7,""),"")</f>
        <v>Fase 5</v>
      </c>
      <c r="E4" s="6" t="str">
        <f t="array" ref="E4">IFERROR(INDEX(Avaluacio[Codi ítem],(MATCH(0,INDEX(COUNTIF(E$1:E3,Avaluacio[Codi ítem]),0,0)+INDEX(Avaluacio[Avaluable]="No",0,0),0))),"")</f>
        <v>XGO003</v>
      </c>
      <c r="F4" s="45" t="str">
        <f t="array" ref="F4">IFERROR(VLOOKUP(E4,Avaluacio[],COLUMN(Avaluacio[Ítem]),FALSE),"")</f>
        <v>Organismes dependents o vinculats</v>
      </c>
      <c r="G4" t="str">
        <f t="array" ref="G4">IFERROR(VLOOKUP(E4,Avaluacio[],COLUMN(Avaluacio[Família]),FALSE),"")</f>
        <v>Informació institucional i organitzativa</v>
      </c>
      <c r="H4" t="str">
        <f t="array" ref="H4">IFERROR(VLOOKUP(E4,Avaluacio[],COLUMN(Avaluacio[Subfamília]),FALSE),"")</f>
        <v/>
      </c>
      <c r="I4" s="6" t="str">
        <f t="array" ref="I4">IFERROR(VLOOKUP(E4,Avaluacio[],COLUMN(Avaluacio[Contingut]),FALSE),"")</f>
        <v>Sí</v>
      </c>
      <c r="J4" s="6" t="str">
        <f t="array" ref="J4">IFERROR(VLOOKUP(E4,Avaluacio[],COLUMN(Avaluacio[Actualització]),FALSE),"")</f>
        <v>Sí</v>
      </c>
      <c r="K4" s="6" t="str">
        <f t="array" ref="K4">IFERROR(VLOOKUP(E4,Avaluacio[],COLUMN(#REF!),FALSE),"")</f>
        <v/>
      </c>
      <c r="L4" t="str">
        <f t="array" ref="L4">IFERROR(VLOOKUP(E4,Avaluacio[],COLUMN(Avaluacio[Grau de compliment]),FALSE),"")</f>
        <v>Compleix totalment</v>
      </c>
      <c r="M4" s="8">
        <f t="array" ref="M4">IFERROR(VLOOKUP(E4,Avaluacio[],COLUMN(Avaluacio[% compliment]),FALSE),"")</f>
        <v>1</v>
      </c>
    </row>
    <row r="5" spans="1:13" ht="27.6" x14ac:dyDescent="0.25">
      <c r="A5" t="str">
        <f t="array" ref="A5">IFERROR(IF(VLOOKUP($E5,Avaluacio[],COLUMN(Avaluacio[Codi ítem]),FALSE)=$E5,'1_Plantejament'!$B$5,""),"")</f>
        <v>Ajuntament de Blanes</v>
      </c>
      <c r="B5">
        <f t="array" ref="B5">IFERROR(IF(VLOOKUP($E5,Avaluacio[],COLUMN(Avaluacio[Codi ítem]),FALSE)=$E5,'1_Plantejament'!$B$9,""),"")</f>
        <v>2026</v>
      </c>
      <c r="C5">
        <f t="array" ref="C5">IFERROR(IF(VLOOKUP($E5,Avaluacio[],COLUMN(Avaluacio[Codi ítem]),FALSE)=$E5,'1_Plantejament'!$B$10,""),"")</f>
        <v>46206</v>
      </c>
      <c r="D5" s="6" t="str">
        <f t="array" ref="D5">IFERROR(IF(VLOOKUP($E5,Avaluacio[],COLUMN(Avaluacio[Codi ítem]),FALSE)=$E5,'1_Plantejament'!$B$7,""),"")</f>
        <v>Fase 5</v>
      </c>
      <c r="E5" s="6" t="str">
        <f t="array" ref="E5">IFERROR(INDEX(Avaluacio[Codi ítem],(MATCH(0,INDEX(COUNTIF(E$1:E4,Avaluacio[Codi ítem]),0,0)+INDEX(Avaluacio[Avaluable]="No",0,0),0))),"")</f>
        <v>XGO004</v>
      </c>
      <c r="F5" s="45" t="str">
        <f t="array" ref="F5">IFERROR(VLOOKUP(E5,Avaluacio[],COLUMN(Avaluacio[Ítem]),FALSE),"")</f>
        <v>Organismes dels que forma part</v>
      </c>
      <c r="G5" t="str">
        <f t="array" ref="G5">IFERROR(VLOOKUP(E5,Avaluacio[],COLUMN(Avaluacio[Família]),FALSE),"")</f>
        <v>Informació institucional i organitzativa</v>
      </c>
      <c r="H5" t="str">
        <f t="array" ref="H5">IFERROR(VLOOKUP(E5,Avaluacio[],COLUMN(Avaluacio[Subfamília]),FALSE),"")</f>
        <v/>
      </c>
      <c r="I5" s="6" t="str">
        <f t="array" ref="I5">IFERROR(VLOOKUP(E5,Avaluacio[],COLUMN(Avaluacio[Contingut]),FALSE),"")</f>
        <v>Sí</v>
      </c>
      <c r="J5" s="6" t="str">
        <f t="array" ref="J5">IFERROR(VLOOKUP(E5,Avaluacio[],COLUMN(Avaluacio[Actualització]),FALSE),"")</f>
        <v>Sí</v>
      </c>
      <c r="K5" s="6" t="str">
        <f t="array" ref="K5">IFERROR(VLOOKUP(E5,Avaluacio[],COLUMN(#REF!),FALSE),"")</f>
        <v/>
      </c>
      <c r="L5" t="str">
        <f t="array" ref="L5">IFERROR(VLOOKUP(E5,Avaluacio[],COLUMN(Avaluacio[Grau de compliment]),FALSE),"")</f>
        <v>Compleix totalment</v>
      </c>
      <c r="M5" s="8">
        <f t="array" ref="M5">IFERROR(VLOOKUP(E5,Avaluacio[],COLUMN(Avaluacio[% compliment]),FALSE),"")</f>
        <v>1</v>
      </c>
    </row>
    <row r="6" spans="1:13" ht="41.4" x14ac:dyDescent="0.25">
      <c r="A6" t="str">
        <f t="array" ref="A6">IFERROR(IF(VLOOKUP($E6,Avaluacio[],COLUMN(Avaluacio[Codi ítem]),FALSE)=$E6,'1_Plantejament'!$B$5,""),"")</f>
        <v>Ajuntament de Blanes</v>
      </c>
      <c r="B6">
        <f t="array" ref="B6">IFERROR(IF(VLOOKUP($E6,Avaluacio[],COLUMN(Avaluacio[Codi ítem]),FALSE)=$E6,'1_Plantejament'!$B$9,""),"")</f>
        <v>2026</v>
      </c>
      <c r="C6">
        <f t="array" ref="C6">IFERROR(IF(VLOOKUP($E6,Avaluacio[],COLUMN(Avaluacio[Codi ítem]),FALSE)=$E6,'1_Plantejament'!$B$10,""),"")</f>
        <v>46206</v>
      </c>
      <c r="D6" s="6" t="str">
        <f t="array" ref="D6">IFERROR(IF(VLOOKUP($E6,Avaluacio[],COLUMN(Avaluacio[Codi ítem]),FALSE)=$E6,'1_Plantejament'!$B$7,""),"")</f>
        <v>Fase 5</v>
      </c>
      <c r="E6" s="6" t="str">
        <f t="array" ref="E6">IFERROR(INDEX(Avaluacio[Codi ítem],(MATCH(0,INDEX(COUNTIF(E$1:E5,Avaluacio[Codi ítem]),0,0)+INDEX(Avaluacio[Avaluable]="No",0,0),0))),"")</f>
        <v>XGO006</v>
      </c>
      <c r="F6" s="45" t="str">
        <f t="array" ref="F6">IFERROR(VLOOKUP(E6,Avaluacio[],COLUMN(Avaluacio[Ítem]),FALSE),"")</f>
        <v>Agenda institucional dels alts càrrecs i personal directiu</v>
      </c>
      <c r="G6" t="str">
        <f t="array" ref="G6">IFERROR(VLOOKUP(E6,Avaluacio[],COLUMN(Avaluacio[Família]),FALSE),"")</f>
        <v>Informació institucional i organitzativa</v>
      </c>
      <c r="H6" t="str">
        <f t="array" ref="H6">IFERROR(VLOOKUP(E6,Avaluacio[],COLUMN(Avaluacio[Subfamília]),FALSE),"")</f>
        <v/>
      </c>
      <c r="I6" s="6" t="str">
        <f t="array" ref="I6">IFERROR(VLOOKUP(E6,Avaluacio[],COLUMN(Avaluacio[Contingut]),FALSE),"")</f>
        <v>Sí</v>
      </c>
      <c r="J6" s="6" t="str">
        <f t="array" ref="J6">IFERROR(VLOOKUP(E6,Avaluacio[],COLUMN(Avaluacio[Actualització]),FALSE),"")</f>
        <v>Sí</v>
      </c>
      <c r="K6" s="6" t="str">
        <f t="array" ref="K6">IFERROR(VLOOKUP(E6,Avaluacio[],COLUMN(#REF!),FALSE),"")</f>
        <v/>
      </c>
      <c r="L6" t="str">
        <f t="array" ref="L6">IFERROR(VLOOKUP(E6,Avaluacio[],COLUMN(Avaluacio[Grau de compliment]),FALSE),"")</f>
        <v>Compleix totalment</v>
      </c>
      <c r="M6" s="8">
        <f t="array" ref="M6">IFERROR(VLOOKUP(E6,Avaluacio[],COLUMN(Avaluacio[% compliment]),FALSE),"")</f>
        <v>1</v>
      </c>
    </row>
    <row r="7" spans="1:13" ht="27.6" x14ac:dyDescent="0.25">
      <c r="A7" t="str">
        <f t="array" ref="A7">IFERROR(IF(VLOOKUP($E7,Avaluacio[],COLUMN(Avaluacio[Codi ítem]),FALSE)=$E7,'1_Plantejament'!$B$5,""),"")</f>
        <v>Ajuntament de Blanes</v>
      </c>
      <c r="B7">
        <f t="array" ref="B7">IFERROR(IF(VLOOKUP($E7,Avaluacio[],COLUMN(Avaluacio[Codi ítem]),FALSE)=$E7,'1_Plantejament'!$B$9,""),"")</f>
        <v>2026</v>
      </c>
      <c r="C7">
        <f t="array" ref="C7">IFERROR(IF(VLOOKUP($E7,Avaluacio[],COLUMN(Avaluacio[Codi ítem]),FALSE)=$E7,'1_Plantejament'!$B$10,""),"")</f>
        <v>46206</v>
      </c>
      <c r="D7" s="6" t="str">
        <f t="array" ref="D7">IFERROR(IF(VLOOKUP($E7,Avaluacio[],COLUMN(Avaluacio[Codi ítem]),FALSE)=$E7,'1_Plantejament'!$B$7,""),"")</f>
        <v>Fase 5</v>
      </c>
      <c r="E7" s="6" t="str">
        <f t="array" ref="E7">IFERROR(INDEX(Avaluacio[Codi ítem],(MATCH(0,INDEX(COUNTIF(E$1:E6,Avaluacio[Codi ítem]),0,0)+INDEX(Avaluacio[Avaluable]="No",0,0),0))),"")</f>
        <v>XGO007</v>
      </c>
      <c r="F7" s="45" t="str">
        <f t="array" ref="F7">IFERROR(VLOOKUP(E7,Avaluacio[],COLUMN(Avaluacio[Ítem]),FALSE),"")</f>
        <v>Relació d'obsequis als alts càrrecs i personal directiu</v>
      </c>
      <c r="G7" t="str">
        <f t="array" ref="G7">IFERROR(VLOOKUP(E7,Avaluacio[],COLUMN(Avaluacio[Família]),FALSE),"")</f>
        <v>Informació institucional i organitzativa</v>
      </c>
      <c r="H7" t="str">
        <f t="array" ref="H7">IFERROR(VLOOKUP(E7,Avaluacio[],COLUMN(Avaluacio[Subfamília]),FALSE),"")</f>
        <v/>
      </c>
      <c r="I7" s="6" t="str">
        <f t="array" ref="I7">IFERROR(VLOOKUP(E7,Avaluacio[],COLUMN(Avaluacio[Contingut]),FALSE),"")</f>
        <v>Sí</v>
      </c>
      <c r="J7" s="6" t="str">
        <f t="array" ref="J7">IFERROR(VLOOKUP(E7,Avaluacio[],COLUMN(Avaluacio[Actualització]),FALSE),"")</f>
        <v>Sí</v>
      </c>
      <c r="K7" s="6" t="str">
        <f t="array" ref="K7">IFERROR(VLOOKUP(E7,Avaluacio[],COLUMN(#REF!),FALSE),"")</f>
        <v/>
      </c>
      <c r="L7" t="str">
        <f t="array" ref="L7">IFERROR(VLOOKUP(E7,Avaluacio[],COLUMN(Avaluacio[Grau de compliment]),FALSE),"")</f>
        <v>Compleix totalment</v>
      </c>
      <c r="M7" s="8">
        <f t="array" ref="M7">IFERROR(VLOOKUP(E7,Avaluacio[],COLUMN(Avaluacio[% compliment]),FALSE),"")</f>
        <v>1</v>
      </c>
    </row>
    <row r="8" spans="1:13" ht="27.6" x14ac:dyDescent="0.25">
      <c r="A8" t="str">
        <f t="array" ref="A8">IFERROR(IF(VLOOKUP($E8,Avaluacio[],COLUMN(Avaluacio[Codi ítem]),FALSE)=$E8,'1_Plantejament'!$B$5,""),"")</f>
        <v>Ajuntament de Blanes</v>
      </c>
      <c r="B8">
        <f t="array" ref="B8">IFERROR(IF(VLOOKUP($E8,Avaluacio[],COLUMN(Avaluacio[Codi ítem]),FALSE)=$E8,'1_Plantejament'!$B$9,""),"")</f>
        <v>2026</v>
      </c>
      <c r="C8">
        <f t="array" ref="C8">IFERROR(IF(VLOOKUP($E8,Avaluacio[],COLUMN(Avaluacio[Codi ítem]),FALSE)=$E8,'1_Plantejament'!$B$10,""),"")</f>
        <v>46206</v>
      </c>
      <c r="D8" s="6" t="str">
        <f t="array" ref="D8">IFERROR(IF(VLOOKUP($E8,Avaluacio[],COLUMN(Avaluacio[Codi ítem]),FALSE)=$E8,'1_Plantejament'!$B$7,""),"")</f>
        <v>Fase 5</v>
      </c>
      <c r="E8" s="6" t="str">
        <f t="array" ref="E8">IFERROR(INDEX(Avaluacio[Codi ítem],(MATCH(0,INDEX(COUNTIF(E$1:E7,Avaluacio[Codi ítem]),0,0)+INDEX(Avaluacio[Avaluable]="No",0,0),0))),"")</f>
        <v>XGO008</v>
      </c>
      <c r="F8" s="45" t="str">
        <f t="array" ref="F8">IFERROR(VLOOKUP(E8,Avaluacio[],COLUMN(Avaluacio[Ítem]),FALSE),"")</f>
        <v>Relació d'invitacions als alts càrrecs i personal directiu</v>
      </c>
      <c r="G8" t="str">
        <f t="array" ref="G8">IFERROR(VLOOKUP(E8,Avaluacio[],COLUMN(Avaluacio[Família]),FALSE),"")</f>
        <v>Informació institucional i organitzativa</v>
      </c>
      <c r="H8" t="str">
        <f t="array" ref="H8">IFERROR(VLOOKUP(E8,Avaluacio[],COLUMN(Avaluacio[Subfamília]),FALSE),"")</f>
        <v/>
      </c>
      <c r="I8" s="6" t="str">
        <f t="array" ref="I8">IFERROR(VLOOKUP(E8,Avaluacio[],COLUMN(Avaluacio[Contingut]),FALSE),"")</f>
        <v>Sí</v>
      </c>
      <c r="J8" s="6" t="str">
        <f t="array" ref="J8">IFERROR(VLOOKUP(E8,Avaluacio[],COLUMN(Avaluacio[Actualització]),FALSE),"")</f>
        <v>Sí</v>
      </c>
      <c r="K8" s="6" t="str">
        <f t="array" ref="K8">IFERROR(VLOOKUP(E8,Avaluacio[],COLUMN(#REF!),FALSE),"")</f>
        <v/>
      </c>
      <c r="L8" t="str">
        <f t="array" ref="L8">IFERROR(VLOOKUP(E8,Avaluacio[],COLUMN(Avaluacio[Grau de compliment]),FALSE),"")</f>
        <v>Compleix totalment</v>
      </c>
      <c r="M8" s="8">
        <f t="array" ref="M8">IFERROR(VLOOKUP(E8,Avaluacio[],COLUMN(Avaluacio[% compliment]),FALSE),"")</f>
        <v>1</v>
      </c>
    </row>
    <row r="9" spans="1:13" ht="27.6" x14ac:dyDescent="0.25">
      <c r="A9" t="str">
        <f t="array" ref="A9">IFERROR(IF(VLOOKUP($E9,Avaluacio[],COLUMN(Avaluacio[Codi ítem]),FALSE)=$E9,'1_Plantejament'!$B$5,""),"")</f>
        <v>Ajuntament de Blanes</v>
      </c>
      <c r="B9">
        <f t="array" ref="B9">IFERROR(IF(VLOOKUP($E9,Avaluacio[],COLUMN(Avaluacio[Codi ítem]),FALSE)=$E9,'1_Plantejament'!$B$9,""),"")</f>
        <v>2026</v>
      </c>
      <c r="C9">
        <f t="array" ref="C9">IFERROR(IF(VLOOKUP($E9,Avaluacio[],COLUMN(Avaluacio[Codi ítem]),FALSE)=$E9,'1_Plantejament'!$B$10,""),"")</f>
        <v>46206</v>
      </c>
      <c r="D9" s="6" t="str">
        <f t="array" ref="D9">IFERROR(IF(VLOOKUP($E9,Avaluacio[],COLUMN(Avaluacio[Codi ítem]),FALSE)=$E9,'1_Plantejament'!$B$7,""),"")</f>
        <v>Fase 5</v>
      </c>
      <c r="E9" s="6" t="str">
        <f t="array" ref="E9">IFERROR(INDEX(Avaluacio[Codi ítem],(MATCH(0,INDEX(COUNTIF(E$1:E8,Avaluacio[Codi ítem]),0,0)+INDEX(Avaluacio[Avaluable]="No",0,0),0))),"")</f>
        <v>XGO009</v>
      </c>
      <c r="F9" s="45" t="str">
        <f t="array" ref="F9">IFERROR(VLOOKUP(E9,Avaluacio[],COLUMN(Avaluacio[Ítem]),FALSE),"")</f>
        <v>Agenda d'activitats</v>
      </c>
      <c r="G9" t="str">
        <f t="array" ref="G9">IFERROR(VLOOKUP(E9,Avaluacio[],COLUMN(Avaluacio[Família]),FALSE),"")</f>
        <v>Informació institucional i organitzativa</v>
      </c>
      <c r="H9" t="str">
        <f t="array" ref="H9">IFERROR(VLOOKUP(E9,Avaluacio[],COLUMN(Avaluacio[Subfamília]),FALSE),"")</f>
        <v/>
      </c>
      <c r="I9" s="6" t="str">
        <f t="array" ref="I9">IFERROR(VLOOKUP(E9,Avaluacio[],COLUMN(Avaluacio[Contingut]),FALSE),"")</f>
        <v>Sí</v>
      </c>
      <c r="J9" s="6" t="str">
        <f t="array" ref="J9">IFERROR(VLOOKUP(E9,Avaluacio[],COLUMN(Avaluacio[Actualització]),FALSE),"")</f>
        <v>Sí</v>
      </c>
      <c r="K9" s="6" t="str">
        <f t="array" ref="K9">IFERROR(VLOOKUP(E9,Avaluacio[],COLUMN(#REF!),FALSE),"")</f>
        <v/>
      </c>
      <c r="L9" t="str">
        <f t="array" ref="L9">IFERROR(VLOOKUP(E9,Avaluacio[],COLUMN(Avaluacio[Grau de compliment]),FALSE),"")</f>
        <v>Compleix totalment</v>
      </c>
      <c r="M9" s="8">
        <f t="array" ref="M9">IFERROR(VLOOKUP(E9,Avaluacio[],COLUMN(Avaluacio[% compliment]),FALSE),"")</f>
        <v>1</v>
      </c>
    </row>
    <row r="10" spans="1:13" ht="27.6" x14ac:dyDescent="0.25">
      <c r="A10" t="str">
        <f t="array" ref="A10">IFERROR(IF(VLOOKUP($E10,Avaluacio[],COLUMN(Avaluacio[Codi ítem]),FALSE)=$E10,'1_Plantejament'!$B$5,""),"")</f>
        <v>Ajuntament de Blanes</v>
      </c>
      <c r="B10">
        <f t="array" ref="B10">IFERROR(IF(VLOOKUP($E10,Avaluacio[],COLUMN(Avaluacio[Codi ítem]),FALSE)=$E10,'1_Plantejament'!$B$9,""),"")</f>
        <v>2026</v>
      </c>
      <c r="C10">
        <f t="array" ref="C10">IFERROR(IF(VLOOKUP($E10,Avaluacio[],COLUMN(Avaluacio[Codi ítem]),FALSE)=$E10,'1_Plantejament'!$B$10,""),"")</f>
        <v>46206</v>
      </c>
      <c r="D10" s="6" t="str">
        <f t="array" ref="D10">IFERROR(IF(VLOOKUP($E10,Avaluacio[],COLUMN(Avaluacio[Codi ítem]),FALSE)=$E10,'1_Plantejament'!$B$7,""),"")</f>
        <v>Fase 5</v>
      </c>
      <c r="E10" s="6" t="str">
        <f t="array" ref="E10">IFERROR(INDEX(Avaluacio[Codi ítem],(MATCH(0,INDEX(COUNTIF(E$1:E9,Avaluacio[Codi ítem]),0,0)+INDEX(Avaluacio[Avaluable]="No",0,0),0))),"")</f>
        <v>XGO010</v>
      </c>
      <c r="F10" s="45" t="str">
        <f t="array" ref="F10">IFERROR(VLOOKUP(E10,Avaluacio[],COLUMN(Avaluacio[Ítem]),FALSE),"")</f>
        <v>Dades generals de l'ens</v>
      </c>
      <c r="G10" t="str">
        <f t="array" ref="G10">IFERROR(VLOOKUP(E10,Avaluacio[],COLUMN(Avaluacio[Família]),FALSE),"")</f>
        <v>Informació institucional i organitzativa</v>
      </c>
      <c r="H10" t="str">
        <f t="array" ref="H10">IFERROR(VLOOKUP(E10,Avaluacio[],COLUMN(Avaluacio[Subfamília]),FALSE),"")</f>
        <v/>
      </c>
      <c r="I10" s="6" t="str">
        <f t="array" ref="I10">IFERROR(VLOOKUP(E10,Avaluacio[],COLUMN(Avaluacio[Contingut]),FALSE),"")</f>
        <v>Sí</v>
      </c>
      <c r="J10" s="6" t="str">
        <f t="array" ref="J10">IFERROR(VLOOKUP(E10,Avaluacio[],COLUMN(Avaluacio[Actualització]),FALSE),"")</f>
        <v>Sí</v>
      </c>
      <c r="K10" s="6" t="str">
        <f t="array" ref="K10">IFERROR(VLOOKUP(E10,Avaluacio[],COLUMN(#REF!),FALSE),"")</f>
        <v/>
      </c>
      <c r="L10" t="str">
        <f t="array" ref="L10">IFERROR(VLOOKUP(E10,Avaluacio[],COLUMN(Avaluacio[Grau de compliment]),FALSE),"")</f>
        <v>Compleix totalment</v>
      </c>
      <c r="M10" s="8">
        <f t="array" ref="M10">IFERROR(VLOOKUP(E10,Avaluacio[],COLUMN(Avaluacio[% compliment]),FALSE),"")</f>
        <v>1</v>
      </c>
    </row>
    <row r="11" spans="1:13" ht="27.6" x14ac:dyDescent="0.25">
      <c r="A11" t="str">
        <f t="array" ref="A11">IFERROR(IF(VLOOKUP($E11,Avaluacio[],COLUMN(Avaluacio[Codi ítem]),FALSE)=$E11,'1_Plantejament'!$B$5,""),"")</f>
        <v>Ajuntament de Blanes</v>
      </c>
      <c r="B11">
        <f t="array" ref="B11">IFERROR(IF(VLOOKUP($E11,Avaluacio[],COLUMN(Avaluacio[Codi ítem]),FALSE)=$E11,'1_Plantejament'!$B$9,""),"")</f>
        <v>2026</v>
      </c>
      <c r="C11">
        <f t="array" ref="C11">IFERROR(IF(VLOOKUP($E11,Avaluacio[],COLUMN(Avaluacio[Codi ítem]),FALSE)=$E11,'1_Plantejament'!$B$10,""),"")</f>
        <v>46206</v>
      </c>
      <c r="D11" s="6" t="str">
        <f t="array" ref="D11">IFERROR(IF(VLOOKUP($E11,Avaluacio[],COLUMN(Avaluacio[Codi ítem]),FALSE)=$E11,'1_Plantejament'!$B$7,""),"")</f>
        <v>Fase 5</v>
      </c>
      <c r="E11" s="6" t="str">
        <f t="array" ref="E11">IFERROR(INDEX(Avaluacio[Codi ítem],(MATCH(0,INDEX(COUNTIF(E$1:E10,Avaluacio[Codi ítem]),0,0)+INDEX(Avaluacio[Avaluable]="No",0,0),0))),"")</f>
        <v>XGO011</v>
      </c>
      <c r="F11" s="45" t="str">
        <f t="array" ref="F11">IFERROR(VLOOKUP(E11,Avaluacio[],COLUMN(Avaluacio[Ítem]),FALSE),"")</f>
        <v>Informació històrica sobre el municipi</v>
      </c>
      <c r="G11" t="str">
        <f t="array" ref="G11">IFERROR(VLOOKUP(E11,Avaluacio[],COLUMN(Avaluacio[Família]),FALSE),"")</f>
        <v>Informació institucional i organitzativa</v>
      </c>
      <c r="H11" t="str">
        <f t="array" ref="H11">IFERROR(VLOOKUP(E11,Avaluacio[],COLUMN(Avaluacio[Subfamília]),FALSE),"")</f>
        <v/>
      </c>
      <c r="I11" s="6" t="str">
        <f t="array" ref="I11">IFERROR(VLOOKUP(E11,Avaluacio[],COLUMN(Avaluacio[Contingut]),FALSE),"")</f>
        <v>Sí</v>
      </c>
      <c r="J11" s="6" t="str">
        <f t="array" ref="J11">IFERROR(VLOOKUP(E11,Avaluacio[],COLUMN(Avaluacio[Actualització]),FALSE),"")</f>
        <v>Sí</v>
      </c>
      <c r="K11" s="6" t="str">
        <f t="array" ref="K11">IFERROR(VLOOKUP(E11,Avaluacio[],COLUMN(#REF!),FALSE),"")</f>
        <v/>
      </c>
      <c r="L11" t="str">
        <f t="array" ref="L11">IFERROR(VLOOKUP(E11,Avaluacio[],COLUMN(Avaluacio[Grau de compliment]),FALSE),"")</f>
        <v>Compleix totalment</v>
      </c>
      <c r="M11" s="8">
        <f t="array" ref="M11">IFERROR(VLOOKUP(E11,Avaluacio[],COLUMN(Avaluacio[% compliment]),FALSE),"")</f>
        <v>1</v>
      </c>
    </row>
    <row r="12" spans="1:13" ht="27.6" x14ac:dyDescent="0.25">
      <c r="A12" t="str">
        <f t="array" ref="A12">IFERROR(IF(VLOOKUP($E12,Avaluacio[],COLUMN(Avaluacio[Codi ítem]),FALSE)=$E12,'1_Plantejament'!$B$5,""),"")</f>
        <v>Ajuntament de Blanes</v>
      </c>
      <c r="B12">
        <f t="array" ref="B12">IFERROR(IF(VLOOKUP($E12,Avaluacio[],COLUMN(Avaluacio[Codi ítem]),FALSE)=$E12,'1_Plantejament'!$B$9,""),"")</f>
        <v>2026</v>
      </c>
      <c r="C12">
        <f t="array" ref="C12">IFERROR(IF(VLOOKUP($E12,Avaluacio[],COLUMN(Avaluacio[Codi ítem]),FALSE)=$E12,'1_Plantejament'!$B$10,""),"")</f>
        <v>46206</v>
      </c>
      <c r="D12" s="6" t="str">
        <f t="array" ref="D12">IFERROR(IF(VLOOKUP($E12,Avaluacio[],COLUMN(Avaluacio[Codi ítem]),FALSE)=$E12,'1_Plantejament'!$B$7,""),"")</f>
        <v>Fase 5</v>
      </c>
      <c r="E12" s="6" t="str">
        <f t="array" ref="E12">IFERROR(INDEX(Avaluacio[Codi ítem],(MATCH(0,INDEX(COUNTIF(E$1:E11,Avaluacio[Codi ítem]),0,0)+INDEX(Avaluacio[Avaluable]="No",0,0),0))),"")</f>
        <v>XGO012</v>
      </c>
      <c r="F12" s="45" t="str">
        <f t="array" ref="F12">IFERROR(VLOOKUP(E12,Avaluacio[],COLUMN(Avaluacio[Ítem]),FALSE),"")</f>
        <v>Informació del terme municipal</v>
      </c>
      <c r="G12" t="str">
        <f t="array" ref="G12">IFERROR(VLOOKUP(E12,Avaluacio[],COLUMN(Avaluacio[Família]),FALSE),"")</f>
        <v>Informació institucional i organitzativa</v>
      </c>
      <c r="H12" t="str">
        <f t="array" ref="H12">IFERROR(VLOOKUP(E12,Avaluacio[],COLUMN(Avaluacio[Subfamília]),FALSE),"")</f>
        <v/>
      </c>
      <c r="I12" s="6" t="str">
        <f t="array" ref="I12">IFERROR(VLOOKUP(E12,Avaluacio[],COLUMN(Avaluacio[Contingut]),FALSE),"")</f>
        <v>Sí</v>
      </c>
      <c r="J12" s="6" t="str">
        <f t="array" ref="J12">IFERROR(VLOOKUP(E12,Avaluacio[],COLUMN(Avaluacio[Actualització]),FALSE),"")</f>
        <v>Sí</v>
      </c>
      <c r="K12" s="6" t="str">
        <f t="array" ref="K12">IFERROR(VLOOKUP(E12,Avaluacio[],COLUMN(#REF!),FALSE),"")</f>
        <v/>
      </c>
      <c r="L12" t="str">
        <f t="array" ref="L12">IFERROR(VLOOKUP(E12,Avaluacio[],COLUMN(Avaluacio[Grau de compliment]),FALSE),"")</f>
        <v>Compleix totalment</v>
      </c>
      <c r="M12" s="8">
        <f t="array" ref="M12">IFERROR(VLOOKUP(E12,Avaluacio[],COLUMN(Avaluacio[% compliment]),FALSE),"")</f>
        <v>1</v>
      </c>
    </row>
    <row r="13" spans="1:13" ht="27.6" x14ac:dyDescent="0.25">
      <c r="A13" t="str">
        <f t="array" ref="A13">IFERROR(IF(VLOOKUP($E13,Avaluacio[],COLUMN(Avaluacio[Codi ítem]),FALSE)=$E13,'1_Plantejament'!$B$5,""),"")</f>
        <v>Ajuntament de Blanes</v>
      </c>
      <c r="B13">
        <f t="array" ref="B13">IFERROR(IF(VLOOKUP($E13,Avaluacio[],COLUMN(Avaluacio[Codi ítem]),FALSE)=$E13,'1_Plantejament'!$B$9,""),"")</f>
        <v>2026</v>
      </c>
      <c r="C13">
        <f t="array" ref="C13">IFERROR(IF(VLOOKUP($E13,Avaluacio[],COLUMN(Avaluacio[Codi ítem]),FALSE)=$E13,'1_Plantejament'!$B$10,""),"")</f>
        <v>46206</v>
      </c>
      <c r="D13" s="6" t="str">
        <f t="array" ref="D13">IFERROR(IF(VLOOKUP($E13,Avaluacio[],COLUMN(Avaluacio[Codi ítem]),FALSE)=$E13,'1_Plantejament'!$B$7,""),"")</f>
        <v>Fase 5</v>
      </c>
      <c r="E13" s="6" t="str">
        <f t="array" ref="E13">IFERROR(INDEX(Avaluacio[Codi ítem],(MATCH(0,INDEX(COUNTIF(E$1:E12,Avaluacio[Codi ítem]),0,0)+INDEX(Avaluacio[Avaluable]="No",0,0),0))),"")</f>
        <v>XGO013</v>
      </c>
      <c r="F13" s="45" t="str">
        <f t="array" ref="F13">IFERROR(VLOOKUP(E13,Avaluacio[],COLUMN(Avaluacio[Ítem]),FALSE),"")</f>
        <v>Dades estadístiques</v>
      </c>
      <c r="G13" t="str">
        <f t="array" ref="G13">IFERROR(VLOOKUP(E13,Avaluacio[],COLUMN(Avaluacio[Família]),FALSE),"")</f>
        <v>Informació institucional i organitzativa</v>
      </c>
      <c r="H13" t="str">
        <f t="array" ref="H13">IFERROR(VLOOKUP(E13,Avaluacio[],COLUMN(Avaluacio[Subfamília]),FALSE),"")</f>
        <v/>
      </c>
      <c r="I13" s="6" t="str">
        <f t="array" ref="I13">IFERROR(VLOOKUP(E13,Avaluacio[],COLUMN(Avaluacio[Contingut]),FALSE),"")</f>
        <v>Sí</v>
      </c>
      <c r="J13" s="6" t="str">
        <f t="array" ref="J13">IFERROR(VLOOKUP(E13,Avaluacio[],COLUMN(Avaluacio[Actualització]),FALSE),"")</f>
        <v>Sí</v>
      </c>
      <c r="K13" s="6" t="str">
        <f t="array" ref="K13">IFERROR(VLOOKUP(E13,Avaluacio[],COLUMN(#REF!),FALSE),"")</f>
        <v/>
      </c>
      <c r="L13" t="str">
        <f t="array" ref="L13">IFERROR(VLOOKUP(E13,Avaluacio[],COLUMN(Avaluacio[Grau de compliment]),FALSE),"")</f>
        <v>Compleix totalment</v>
      </c>
      <c r="M13" s="8">
        <f t="array" ref="M13">IFERROR(VLOOKUP(E13,Avaluacio[],COLUMN(Avaluacio[% compliment]),FALSE),"")</f>
        <v>1</v>
      </c>
    </row>
    <row r="14" spans="1:13" ht="27.6" x14ac:dyDescent="0.25">
      <c r="A14" t="str">
        <f t="array" ref="A14">IFERROR(IF(VLOOKUP($E14,Avaluacio[],COLUMN(Avaluacio[Codi ítem]),FALSE)=$E14,'1_Plantejament'!$B$5,""),"")</f>
        <v>Ajuntament de Blanes</v>
      </c>
      <c r="B14">
        <f t="array" ref="B14">IFERROR(IF(VLOOKUP($E14,Avaluacio[],COLUMN(Avaluacio[Codi ítem]),FALSE)=$E14,'1_Plantejament'!$B$9,""),"")</f>
        <v>2026</v>
      </c>
      <c r="C14">
        <f t="array" ref="C14">IFERROR(IF(VLOOKUP($E14,Avaluacio[],COLUMN(Avaluacio[Codi ítem]),FALSE)=$E14,'1_Plantejament'!$B$10,""),"")</f>
        <v>46206</v>
      </c>
      <c r="D14" s="6" t="str">
        <f t="array" ref="D14">IFERROR(IF(VLOOKUP($E14,Avaluacio[],COLUMN(Avaluacio[Codi ítem]),FALSE)=$E14,'1_Plantejament'!$B$7,""),"")</f>
        <v>Fase 5</v>
      </c>
      <c r="E14" s="6" t="str">
        <f t="array" ref="E14">IFERROR(INDEX(Avaluacio[Codi ítem],(MATCH(0,INDEX(COUNTIF(E$1:E13,Avaluacio[Codi ítem]),0,0)+INDEX(Avaluacio[Avaluable]="No",0,0),0))),"")</f>
        <v>XGO014</v>
      </c>
      <c r="F14" s="45" t="str">
        <f t="array" ref="F14">IFERROR(VLOOKUP(E14,Avaluacio[],COLUMN(Avaluacio[Ítem]),FALSE),"")</f>
        <v>Registre de funcionaris habilitats</v>
      </c>
      <c r="G14" t="str">
        <f t="array" ref="G14">IFERROR(VLOOKUP(E14,Avaluacio[],COLUMN(Avaluacio[Família]),FALSE),"")</f>
        <v>Informació institucional i organitzativa</v>
      </c>
      <c r="H14" t="str">
        <f t="array" ref="H14">IFERROR(VLOOKUP(E14,Avaluacio[],COLUMN(Avaluacio[Subfamília]),FALSE),"")</f>
        <v/>
      </c>
      <c r="I14" s="6" t="str">
        <f t="array" ref="I14">IFERROR(VLOOKUP(E14,Avaluacio[],COLUMN(Avaluacio[Contingut]),FALSE),"")</f>
        <v>Sí</v>
      </c>
      <c r="J14" s="6" t="str">
        <f t="array" ref="J14">IFERROR(VLOOKUP(E14,Avaluacio[],COLUMN(Avaluacio[Actualització]),FALSE),"")</f>
        <v>Sí</v>
      </c>
      <c r="K14" s="6" t="str">
        <f t="array" ref="K14">IFERROR(VLOOKUP(E14,Avaluacio[],COLUMN(#REF!),FALSE),"")</f>
        <v/>
      </c>
      <c r="L14" t="str">
        <f t="array" ref="L14">IFERROR(VLOOKUP(E14,Avaluacio[],COLUMN(Avaluacio[Grau de compliment]),FALSE),"")</f>
        <v>Compleix totalment</v>
      </c>
      <c r="M14" s="8">
        <f t="array" ref="M14">IFERROR(VLOOKUP(E14,Avaluacio[],COLUMN(Avaluacio[% compliment]),FALSE),"")</f>
        <v>1</v>
      </c>
    </row>
    <row r="15" spans="1:13" ht="27.6" x14ac:dyDescent="0.25">
      <c r="A15" t="str">
        <f t="array" ref="A15">IFERROR(IF(VLOOKUP($E15,Avaluacio[],COLUMN(Avaluacio[Codi ítem]),FALSE)=$E15,'1_Plantejament'!$B$5,""),"")</f>
        <v>Ajuntament de Blanes</v>
      </c>
      <c r="B15">
        <f t="array" ref="B15">IFERROR(IF(VLOOKUP($E15,Avaluacio[],COLUMN(Avaluacio[Codi ítem]),FALSE)=$E15,'1_Plantejament'!$B$9,""),"")</f>
        <v>2026</v>
      </c>
      <c r="C15">
        <f t="array" ref="C15">IFERROR(IF(VLOOKUP($E15,Avaluacio[],COLUMN(Avaluacio[Codi ítem]),FALSE)=$E15,'1_Plantejament'!$B$10,""),"")</f>
        <v>46206</v>
      </c>
      <c r="D15" s="6" t="str">
        <f t="array" ref="D15">IFERROR(IF(VLOOKUP($E15,Avaluacio[],COLUMN(Avaluacio[Codi ítem]),FALSE)=$E15,'1_Plantejament'!$B$7,""),"")</f>
        <v>Fase 5</v>
      </c>
      <c r="E15" s="6" t="str">
        <f t="array" ref="E15">IFERROR(INDEX(Avaluacio[Codi ítem],(MATCH(0,INDEX(COUNTIF(E$1:E14,Avaluacio[Codi ítem]),0,0)+INDEX(Avaluacio[Avaluable]="No",0,0),0))),"")</f>
        <v>XGO015</v>
      </c>
      <c r="F15" s="45" t="str">
        <f t="array" ref="F15">IFERROR(VLOOKUP(E15,Avaluacio[],COLUMN(Avaluacio[Ítem]),FALSE),"")</f>
        <v>Informació proporcionada per les entitats privades</v>
      </c>
      <c r="G15" t="str">
        <f t="array" ref="G15">IFERROR(VLOOKUP(E15,Avaluacio[],COLUMN(Avaluacio[Família]),FALSE),"")</f>
        <v>Informació institucional i organitzativa</v>
      </c>
      <c r="H15" t="str">
        <f t="array" ref="H15">IFERROR(VLOOKUP(E15,Avaluacio[],COLUMN(Avaluacio[Subfamília]),FALSE),"")</f>
        <v/>
      </c>
      <c r="I15" s="6" t="str">
        <f t="array" ref="I15">IFERROR(VLOOKUP(E15,Avaluacio[],COLUMN(Avaluacio[Contingut]),FALSE),"")</f>
        <v>No</v>
      </c>
      <c r="J15" s="6" t="str">
        <f t="array" ref="J15">IFERROR(VLOOKUP(E15,Avaluacio[],COLUMN(Avaluacio[Actualització]),FALSE),"")</f>
        <v>No</v>
      </c>
      <c r="K15" s="6" t="str">
        <f t="array" ref="K15">IFERROR(VLOOKUP(E15,Avaluacio[],COLUMN(#REF!),FALSE),"")</f>
        <v/>
      </c>
      <c r="L15" t="str">
        <f t="array" ref="L15">IFERROR(VLOOKUP(E15,Avaluacio[],COLUMN(Avaluacio[Grau de compliment]),FALSE),"")</f>
        <v>No compleix</v>
      </c>
      <c r="M15" s="8">
        <f t="array" ref="M15">IFERROR(VLOOKUP(E15,Avaluacio[],COLUMN(Avaluacio[% compliment]),FALSE),"")</f>
        <v>0</v>
      </c>
    </row>
    <row r="16" spans="1:13" ht="27.6" x14ac:dyDescent="0.25">
      <c r="A16" t="str">
        <f t="array" ref="A16">IFERROR(IF(VLOOKUP($E16,Avaluacio[],COLUMN(Avaluacio[Codi ítem]),FALSE)=$E16,'1_Plantejament'!$B$5,""),"")</f>
        <v>Ajuntament de Blanes</v>
      </c>
      <c r="B16">
        <f t="array" ref="B16">IFERROR(IF(VLOOKUP($E16,Avaluacio[],COLUMN(Avaluacio[Codi ítem]),FALSE)=$E16,'1_Plantejament'!$B$9,""),"")</f>
        <v>2026</v>
      </c>
      <c r="C16">
        <f t="array" ref="C16">IFERROR(IF(VLOOKUP($E16,Avaluacio[],COLUMN(Avaluacio[Codi ítem]),FALSE)=$E16,'1_Plantejament'!$B$10,""),"")</f>
        <v>46206</v>
      </c>
      <c r="D16" s="6" t="str">
        <f t="array" ref="D16">IFERROR(IF(VLOOKUP($E16,Avaluacio[],COLUMN(Avaluacio[Codi ítem]),FALSE)=$E16,'1_Plantejament'!$B$7,""),"")</f>
        <v>Fase 5</v>
      </c>
      <c r="E16" s="6" t="str">
        <f t="array" ref="E16">IFERROR(INDEX(Avaluacio[Codi ítem],(MATCH(0,INDEX(COUNTIF(E$1:E15,Avaluacio[Codi ítem]),0,0)+INDEX(Avaluacio[Avaluable]="No",0,0),0))),"")</f>
        <v>XGO016</v>
      </c>
      <c r="F16" s="45" t="str">
        <f t="array" ref="F16">IFERROR(VLOOKUP(E16,Avaluacio[],COLUMN(Avaluacio[Ítem]),FALSE),"")</f>
        <v>Cartipàs: organització política</v>
      </c>
      <c r="G16" t="str">
        <f t="array" ref="G16">IFERROR(VLOOKUP(E16,Avaluacio[],COLUMN(Avaluacio[Família]),FALSE),"")</f>
        <v>Informació institucional i organitzativa</v>
      </c>
      <c r="H16" t="str">
        <f t="array" ref="H16">IFERROR(VLOOKUP(E16,Avaluacio[],COLUMN(Avaluacio[Subfamília]),FALSE),"")</f>
        <v/>
      </c>
      <c r="I16" s="6" t="str">
        <f t="array" ref="I16">IFERROR(VLOOKUP(E16,Avaluacio[],COLUMN(Avaluacio[Contingut]),FALSE),"")</f>
        <v>Sí</v>
      </c>
      <c r="J16" s="6" t="str">
        <f t="array" ref="J16">IFERROR(VLOOKUP(E16,Avaluacio[],COLUMN(Avaluacio[Actualització]),FALSE),"")</f>
        <v>Sí</v>
      </c>
      <c r="K16" s="6" t="str">
        <f t="array" ref="K16">IFERROR(VLOOKUP(E16,Avaluacio[],COLUMN(#REF!),FALSE),"")</f>
        <v/>
      </c>
      <c r="L16" t="str">
        <f t="array" ref="L16">IFERROR(VLOOKUP(E16,Avaluacio[],COLUMN(Avaluacio[Grau de compliment]),FALSE),"")</f>
        <v>Compleix totalment</v>
      </c>
      <c r="M16" s="8">
        <f t="array" ref="M16">IFERROR(VLOOKUP(E16,Avaluacio[],COLUMN(Avaluacio[% compliment]),FALSE),"")</f>
        <v>1</v>
      </c>
    </row>
    <row r="17" spans="1:13" ht="27.6" x14ac:dyDescent="0.25">
      <c r="A17" t="str">
        <f t="array" ref="A17">IFERROR(IF(VLOOKUP($E17,Avaluacio[],COLUMN(Avaluacio[Codi ítem]),FALSE)=$E17,'1_Plantejament'!$B$5,""),"")</f>
        <v>Ajuntament de Blanes</v>
      </c>
      <c r="B17">
        <f t="array" ref="B17">IFERROR(IF(VLOOKUP($E17,Avaluacio[],COLUMN(Avaluacio[Codi ítem]),FALSE)=$E17,'1_Plantejament'!$B$9,""),"")</f>
        <v>2026</v>
      </c>
      <c r="C17">
        <f t="array" ref="C17">IFERROR(IF(VLOOKUP($E17,Avaluacio[],COLUMN(Avaluacio[Codi ítem]),FALSE)=$E17,'1_Plantejament'!$B$10,""),"")</f>
        <v>46206</v>
      </c>
      <c r="D17" s="6" t="str">
        <f t="array" ref="D17">IFERROR(IF(VLOOKUP($E17,Avaluacio[],COLUMN(Avaluacio[Codi ítem]),FALSE)=$E17,'1_Plantejament'!$B$7,""),"")</f>
        <v>Fase 5</v>
      </c>
      <c r="E17" s="6" t="str">
        <f t="array" ref="E17">IFERROR(INDEX(Avaluacio[Codi ítem],(MATCH(0,INDEX(COUNTIF(E$1:E16,Avaluacio[Codi ítem]),0,0)+INDEX(Avaluacio[Avaluable]="No",0,0),0))),"")</f>
        <v>XGO017</v>
      </c>
      <c r="F17" s="45" t="str">
        <f t="array" ref="F17">IFERROR(VLOOKUP(E17,Avaluacio[],COLUMN(Avaluacio[Ítem]),FALSE),"")</f>
        <v>Càrrecs electes</v>
      </c>
      <c r="G17" t="str">
        <f t="array" ref="G17">IFERROR(VLOOKUP(E17,Avaluacio[],COLUMN(Avaluacio[Família]),FALSE),"")</f>
        <v>Informació institucional i organitzativa</v>
      </c>
      <c r="H17" t="str">
        <f t="array" ref="H17">IFERROR(VLOOKUP(E17,Avaluacio[],COLUMN(Avaluacio[Subfamília]),FALSE),"")</f>
        <v/>
      </c>
      <c r="I17" s="6" t="str">
        <f t="array" ref="I17">IFERROR(VLOOKUP(E17,Avaluacio[],COLUMN(Avaluacio[Contingut]),FALSE),"")</f>
        <v>Sí</v>
      </c>
      <c r="J17" s="6" t="str">
        <f t="array" ref="J17">IFERROR(VLOOKUP(E17,Avaluacio[],COLUMN(Avaluacio[Actualització]),FALSE),"")</f>
        <v>Sí</v>
      </c>
      <c r="K17" s="6" t="str">
        <f t="array" ref="K17">IFERROR(VLOOKUP(E17,Avaluacio[],COLUMN(#REF!),FALSE),"")</f>
        <v/>
      </c>
      <c r="L17" t="str">
        <f t="array" ref="L17">IFERROR(VLOOKUP(E17,Avaluacio[],COLUMN(Avaluacio[Grau de compliment]),FALSE),"")</f>
        <v>Compleix totalment</v>
      </c>
      <c r="M17" s="8">
        <f t="array" ref="M17">IFERROR(VLOOKUP(E17,Avaluacio[],COLUMN(Avaluacio[% compliment]),FALSE),"")</f>
        <v>1</v>
      </c>
    </row>
    <row r="18" spans="1:13" ht="27.6" x14ac:dyDescent="0.25">
      <c r="A18" t="str">
        <f t="array" ref="A18">IFERROR(IF(VLOOKUP($E18,Avaluacio[],COLUMN(Avaluacio[Codi ítem]),FALSE)=$E18,'1_Plantejament'!$B$5,""),"")</f>
        <v>Ajuntament de Blanes</v>
      </c>
      <c r="B18">
        <f t="array" ref="B18">IFERROR(IF(VLOOKUP($E18,Avaluacio[],COLUMN(Avaluacio[Codi ítem]),FALSE)=$E18,'1_Plantejament'!$B$9,""),"")</f>
        <v>2026</v>
      </c>
      <c r="C18">
        <f t="array" ref="C18">IFERROR(IF(VLOOKUP($E18,Avaluacio[],COLUMN(Avaluacio[Codi ítem]),FALSE)=$E18,'1_Plantejament'!$B$10,""),"")</f>
        <v>46206</v>
      </c>
      <c r="D18" s="6" t="str">
        <f t="array" ref="D18">IFERROR(IF(VLOOKUP($E18,Avaluacio[],COLUMN(Avaluacio[Codi ítem]),FALSE)=$E18,'1_Plantejament'!$B$7,""),"")</f>
        <v>Fase 5</v>
      </c>
      <c r="E18" s="6" t="str">
        <f t="array" ref="E18">IFERROR(INDEX(Avaluacio[Codi ítem],(MATCH(0,INDEX(COUNTIF(E$1:E17,Avaluacio[Codi ítem]),0,0)+INDEX(Avaluacio[Avaluable]="No",0,0),0))),"")</f>
        <v>XGO018</v>
      </c>
      <c r="F18" s="45" t="str">
        <f t="array" ref="F18">IFERROR(VLOOKUP(E18,Avaluacio[],COLUMN(Avaluacio[Ítem]),FALSE),"")</f>
        <v>Grups polítics/municipals</v>
      </c>
      <c r="G18" t="str">
        <f t="array" ref="G18">IFERROR(VLOOKUP(E18,Avaluacio[],COLUMN(Avaluacio[Família]),FALSE),"")</f>
        <v>Informació institucional i organitzativa</v>
      </c>
      <c r="H18" t="str">
        <f t="array" ref="H18">IFERROR(VLOOKUP(E18,Avaluacio[],COLUMN(Avaluacio[Subfamília]),FALSE),"")</f>
        <v/>
      </c>
      <c r="I18" s="6" t="str">
        <f t="array" ref="I18">IFERROR(VLOOKUP(E18,Avaluacio[],COLUMN(Avaluacio[Contingut]),FALSE),"")</f>
        <v>Sí</v>
      </c>
      <c r="J18" s="6" t="str">
        <f t="array" ref="J18">IFERROR(VLOOKUP(E18,Avaluacio[],COLUMN(Avaluacio[Actualització]),FALSE),"")</f>
        <v>Sí</v>
      </c>
      <c r="K18" s="6" t="str">
        <f t="array" ref="K18">IFERROR(VLOOKUP(E18,Avaluacio[],COLUMN(#REF!),FALSE),"")</f>
        <v/>
      </c>
      <c r="L18" t="str">
        <f t="array" ref="L18">IFERROR(VLOOKUP(E18,Avaluacio[],COLUMN(Avaluacio[Grau de compliment]),FALSE),"")</f>
        <v>Compleix totalment</v>
      </c>
      <c r="M18" s="8">
        <f t="array" ref="M18">IFERROR(VLOOKUP(E18,Avaluacio[],COLUMN(Avaluacio[% compliment]),FALSE),"")</f>
        <v>1</v>
      </c>
    </row>
    <row r="19" spans="1:13" ht="27.6" x14ac:dyDescent="0.25">
      <c r="A19" t="str">
        <f t="array" ref="A19">IFERROR(IF(VLOOKUP($E19,Avaluacio[],COLUMN(Avaluacio[Codi ítem]),FALSE)=$E19,'1_Plantejament'!$B$5,""),"")</f>
        <v>Ajuntament de Blanes</v>
      </c>
      <c r="B19">
        <f t="array" ref="B19">IFERROR(IF(VLOOKUP($E19,Avaluacio[],COLUMN(Avaluacio[Codi ítem]),FALSE)=$E19,'1_Plantejament'!$B$9,""),"")</f>
        <v>2026</v>
      </c>
      <c r="C19">
        <f t="array" ref="C19">IFERROR(IF(VLOOKUP($E19,Avaluacio[],COLUMN(Avaluacio[Codi ítem]),FALSE)=$E19,'1_Plantejament'!$B$10,""),"")</f>
        <v>46206</v>
      </c>
      <c r="D19" s="6" t="str">
        <f t="array" ref="D19">IFERROR(IF(VLOOKUP($E19,Avaluacio[],COLUMN(Avaluacio[Codi ítem]),FALSE)=$E19,'1_Plantejament'!$B$7,""),"")</f>
        <v>Fase 5</v>
      </c>
      <c r="E19" s="6" t="str">
        <f t="array" ref="E19">IFERROR(INDEX(Avaluacio[Codi ítem],(MATCH(0,INDEX(COUNTIF(E$1:E18,Avaluacio[Codi ítem]),0,0)+INDEX(Avaluacio[Avaluable]="No",0,0),0))),"")</f>
        <v>XGO019</v>
      </c>
      <c r="F19" s="45" t="str">
        <f t="array" ref="F19">IFERROR(VLOOKUP(E19,Avaluacio[],COLUMN(Avaluacio[Ítem]),FALSE),"")</f>
        <v>Òrgans de govern i funcions</v>
      </c>
      <c r="G19" t="str">
        <f t="array" ref="G19">IFERROR(VLOOKUP(E19,Avaluacio[],COLUMN(Avaluacio[Família]),FALSE),"")</f>
        <v>Informació institucional i organitzativa</v>
      </c>
      <c r="H19" t="str">
        <f t="array" ref="H19">IFERROR(VLOOKUP(E19,Avaluacio[],COLUMN(Avaluacio[Subfamília]),FALSE),"")</f>
        <v/>
      </c>
      <c r="I19" s="6" t="str">
        <f t="array" ref="I19">IFERROR(VLOOKUP(E19,Avaluacio[],COLUMN(Avaluacio[Contingut]),FALSE),"")</f>
        <v>Sí</v>
      </c>
      <c r="J19" s="6" t="str">
        <f t="array" ref="J19">IFERROR(VLOOKUP(E19,Avaluacio[],COLUMN(Avaluacio[Actualització]),FALSE),"")</f>
        <v>Sí</v>
      </c>
      <c r="K19" s="6" t="str">
        <f t="array" ref="K19">IFERROR(VLOOKUP(E19,Avaluacio[],COLUMN(#REF!),FALSE),"")</f>
        <v/>
      </c>
      <c r="L19" t="str">
        <f t="array" ref="L19">IFERROR(VLOOKUP(E19,Avaluacio[],COLUMN(Avaluacio[Grau de compliment]),FALSE),"")</f>
        <v>Compleix totalment</v>
      </c>
      <c r="M19" s="8">
        <f t="array" ref="M19">IFERROR(VLOOKUP(E19,Avaluacio[],COLUMN(Avaluacio[% compliment]),FALSE),"")</f>
        <v>1</v>
      </c>
    </row>
    <row r="20" spans="1:13" ht="27.6" x14ac:dyDescent="0.25">
      <c r="A20" t="str">
        <f t="array" ref="A20">IFERROR(IF(VLOOKUP($E20,Avaluacio[],COLUMN(Avaluacio[Codi ítem]),FALSE)=$E20,'1_Plantejament'!$B$5,""),"")</f>
        <v>Ajuntament de Blanes</v>
      </c>
      <c r="B20">
        <f t="array" ref="B20">IFERROR(IF(VLOOKUP($E20,Avaluacio[],COLUMN(Avaluacio[Codi ítem]),FALSE)=$E20,'1_Plantejament'!$B$9,""),"")</f>
        <v>2026</v>
      </c>
      <c r="C20">
        <f t="array" ref="C20">IFERROR(IF(VLOOKUP($E20,Avaluacio[],COLUMN(Avaluacio[Codi ítem]),FALSE)=$E20,'1_Plantejament'!$B$10,""),"")</f>
        <v>46206</v>
      </c>
      <c r="D20" s="6" t="str">
        <f t="array" ref="D20">IFERROR(IF(VLOOKUP($E20,Avaluacio[],COLUMN(Avaluacio[Codi ítem]),FALSE)=$E20,'1_Plantejament'!$B$7,""),"")</f>
        <v>Fase 5</v>
      </c>
      <c r="E20" s="6" t="str">
        <f t="array" ref="E20">IFERROR(INDEX(Avaluacio[Codi ítem],(MATCH(0,INDEX(COUNTIF(E$1:E19,Avaluacio[Codi ítem]),0,0)+INDEX(Avaluacio[Avaluable]="No",0,0),0))),"")</f>
        <v>XGO020</v>
      </c>
      <c r="F20" s="45" t="str">
        <f t="array" ref="F20">IFERROR(VLOOKUP(E20,Avaluacio[],COLUMN(Avaluacio[Ítem]),FALSE),"")</f>
        <v>Alts càrrecs, personal directiu i càrrecs eventuals</v>
      </c>
      <c r="G20" t="str">
        <f t="array" ref="G20">IFERROR(VLOOKUP(E20,Avaluacio[],COLUMN(Avaluacio[Família]),FALSE),"")</f>
        <v>Informació institucional i organitzativa</v>
      </c>
      <c r="H20" t="str">
        <f t="array" ref="H20">IFERROR(VLOOKUP(E20,Avaluacio[],COLUMN(Avaluacio[Subfamília]),FALSE),"")</f>
        <v/>
      </c>
      <c r="I20" s="6" t="str">
        <f t="array" ref="I20">IFERROR(VLOOKUP(E20,Avaluacio[],COLUMN(Avaluacio[Contingut]),FALSE),"")</f>
        <v>Sí</v>
      </c>
      <c r="J20" s="6" t="str">
        <f t="array" ref="J20">IFERROR(VLOOKUP(E20,Avaluacio[],COLUMN(Avaluacio[Actualització]),FALSE),"")</f>
        <v>Sí</v>
      </c>
      <c r="K20" s="6" t="str">
        <f t="array" ref="K20">IFERROR(VLOOKUP(E20,Avaluacio[],COLUMN(#REF!),FALSE),"")</f>
        <v/>
      </c>
      <c r="L20" t="str">
        <f t="array" ref="L20">IFERROR(VLOOKUP(E20,Avaluacio[],COLUMN(Avaluacio[Grau de compliment]),FALSE),"")</f>
        <v>Compleix totalment</v>
      </c>
      <c r="M20" s="8">
        <f t="array" ref="M20">IFERROR(VLOOKUP(E20,Avaluacio[],COLUMN(Avaluacio[% compliment]),FALSE),"")</f>
        <v>1</v>
      </c>
    </row>
    <row r="21" spans="1:13" ht="69" x14ac:dyDescent="0.25">
      <c r="A21" t="str">
        <f t="array" ref="A21">IFERROR(IF(VLOOKUP($E21,Avaluacio[],COLUMN(Avaluacio[Codi ítem]),FALSE)=$E21,'1_Plantejament'!$B$5,""),"")</f>
        <v>Ajuntament de Blanes</v>
      </c>
      <c r="B21">
        <f t="array" ref="B21">IFERROR(IF(VLOOKUP($E21,Avaluacio[],COLUMN(Avaluacio[Codi ítem]),FALSE)=$E21,'1_Plantejament'!$B$9,""),"")</f>
        <v>2026</v>
      </c>
      <c r="C21">
        <f t="array" ref="C21">IFERROR(IF(VLOOKUP($E21,Avaluacio[],COLUMN(Avaluacio[Codi ítem]),FALSE)=$E21,'1_Plantejament'!$B$10,""),"")</f>
        <v>46206</v>
      </c>
      <c r="D21" s="6" t="str">
        <f t="array" ref="D21">IFERROR(IF(VLOOKUP($E21,Avaluacio[],COLUMN(Avaluacio[Codi ítem]),FALSE)=$E21,'1_Plantejament'!$B$7,""),"")</f>
        <v>Fase 5</v>
      </c>
      <c r="E21" s="6" t="str">
        <f t="array" ref="E21">IFERROR(INDEX(Avaluacio[Codi ítem],(MATCH(0,INDEX(COUNTIF(E$1:E20,Avaluacio[Codi ítem]),0,0)+INDEX(Avaluacio[Avaluable]="No",0,0),0))),"")</f>
        <v>XGO021</v>
      </c>
      <c r="F21" s="45" t="str">
        <f t="array" ref="F21">IFERROR(VLOOKUP(E21,Avaluacio[],COLUMN(Avaluacio[Ítem]),FALSE),"")</f>
        <v>Resolucions relatives a les declaracions d'activitats, patrimonials i d'interessos dels alts càrrecs i del personal directiu</v>
      </c>
      <c r="G21" t="str">
        <f t="array" ref="G21">IFERROR(VLOOKUP(E21,Avaluacio[],COLUMN(Avaluacio[Família]),FALSE),"")</f>
        <v>Informació institucional i organitzativa</v>
      </c>
      <c r="H21" t="str">
        <f t="array" ref="H21">IFERROR(VLOOKUP(E21,Avaluacio[],COLUMN(Avaluacio[Subfamília]),FALSE),"")</f>
        <v/>
      </c>
      <c r="I21" s="6" t="str">
        <f t="array" ref="I21">IFERROR(VLOOKUP(E21,Avaluacio[],COLUMN(Avaluacio[Contingut]),FALSE),"")</f>
        <v>Sí</v>
      </c>
      <c r="J21" s="6" t="str">
        <f t="array" ref="J21">IFERROR(VLOOKUP(E21,Avaluacio[],COLUMN(Avaluacio[Actualització]),FALSE),"")</f>
        <v>Sí</v>
      </c>
      <c r="K21" s="6" t="str">
        <f t="array" ref="K21">IFERROR(VLOOKUP(E21,Avaluacio[],COLUMN(#REF!),FALSE),"")</f>
        <v/>
      </c>
      <c r="L21" t="str">
        <f t="array" ref="L21">IFERROR(VLOOKUP(E21,Avaluacio[],COLUMN(Avaluacio[Grau de compliment]),FALSE),"")</f>
        <v>Compleix totalment</v>
      </c>
      <c r="M21" s="8">
        <f t="array" ref="M21">IFERROR(VLOOKUP(E21,Avaluacio[],COLUMN(Avaluacio[% compliment]),FALSE),"")</f>
        <v>1</v>
      </c>
    </row>
    <row r="22" spans="1:13" ht="41.4" x14ac:dyDescent="0.25">
      <c r="A22" t="str">
        <f t="array" ref="A22">IFERROR(IF(VLOOKUP($E22,Avaluacio[],COLUMN(Avaluacio[Codi ítem]),FALSE)=$E22,'1_Plantejament'!$B$5,""),"")</f>
        <v>Ajuntament de Blanes</v>
      </c>
      <c r="B22">
        <f t="array" ref="B22">IFERROR(IF(VLOOKUP($E22,Avaluacio[],COLUMN(Avaluacio[Codi ítem]),FALSE)=$E22,'1_Plantejament'!$B$9,""),"")</f>
        <v>2026</v>
      </c>
      <c r="C22">
        <f t="array" ref="C22">IFERROR(IF(VLOOKUP($E22,Avaluacio[],COLUMN(Avaluacio[Codi ítem]),FALSE)=$E22,'1_Plantejament'!$B$10,""),"")</f>
        <v>46206</v>
      </c>
      <c r="D22" s="6" t="str">
        <f t="array" ref="D22">IFERROR(IF(VLOOKUP($E22,Avaluacio[],COLUMN(Avaluacio[Codi ítem]),FALSE)=$E22,'1_Plantejament'!$B$7,""),"")</f>
        <v>Fase 5</v>
      </c>
      <c r="E22" s="6" t="str">
        <f t="array" ref="E22">IFERROR(INDEX(Avaluacio[Codi ítem],(MATCH(0,INDEX(COUNTIF(E$1:E21,Avaluacio[Codi ítem]),0,0)+INDEX(Avaluacio[Avaluable]="No",0,0),0))),"")</f>
        <v>XGO022</v>
      </c>
      <c r="F22" s="45" t="str">
        <f t="array" ref="F22">IFERROR(VLOOKUP(E22,Avaluacio[],COLUMN(Avaluacio[Ítem]),FALSE),"")</f>
        <v>Resolucions sobre el règim d'incompatibilitats dels alts càrrecs i personal directiu</v>
      </c>
      <c r="G22" t="str">
        <f t="array" ref="G22">IFERROR(VLOOKUP(E22,Avaluacio[],COLUMN(Avaluacio[Família]),FALSE),"")</f>
        <v>Informació institucional i organitzativa</v>
      </c>
      <c r="H22" t="str">
        <f t="array" ref="H22">IFERROR(VLOOKUP(E22,Avaluacio[],COLUMN(Avaluacio[Subfamília]),FALSE),"")</f>
        <v/>
      </c>
      <c r="I22" s="6" t="str">
        <f t="array" ref="I22">IFERROR(VLOOKUP(E22,Avaluacio[],COLUMN(Avaluacio[Contingut]),FALSE),"")</f>
        <v>Sí</v>
      </c>
      <c r="J22" s="6" t="str">
        <f t="array" ref="J22">IFERROR(VLOOKUP(E22,Avaluacio[],COLUMN(Avaluacio[Actualització]),FALSE),"")</f>
        <v>Sí</v>
      </c>
      <c r="K22" s="6" t="str">
        <f t="array" ref="K22">IFERROR(VLOOKUP(E22,Avaluacio[],COLUMN(#REF!),FALSE),"")</f>
        <v/>
      </c>
      <c r="L22" t="str">
        <f t="array" ref="L22">IFERROR(VLOOKUP(E22,Avaluacio[],COLUMN(Avaluacio[Grau de compliment]),FALSE),"")</f>
        <v>Compleix totalment</v>
      </c>
      <c r="M22" s="8">
        <f t="array" ref="M22">IFERROR(VLOOKUP(E22,Avaluacio[],COLUMN(Avaluacio[% compliment]),FALSE),"")</f>
        <v>1</v>
      </c>
    </row>
    <row r="23" spans="1:13" ht="27.6" x14ac:dyDescent="0.25">
      <c r="A23" t="str">
        <f t="array" ref="A23">IFERROR(IF(VLOOKUP($E23,Avaluacio[],COLUMN(Avaluacio[Codi ítem]),FALSE)=$E23,'1_Plantejament'!$B$5,""),"")</f>
        <v>Ajuntament de Blanes</v>
      </c>
      <c r="B23">
        <f t="array" ref="B23">IFERROR(IF(VLOOKUP($E23,Avaluacio[],COLUMN(Avaluacio[Codi ítem]),FALSE)=$E23,'1_Plantejament'!$B$9,""),"")</f>
        <v>2026</v>
      </c>
      <c r="C23">
        <f t="array" ref="C23">IFERROR(IF(VLOOKUP($E23,Avaluacio[],COLUMN(Avaluacio[Codi ítem]),FALSE)=$E23,'1_Plantejament'!$B$10,""),"")</f>
        <v>46206</v>
      </c>
      <c r="D23" s="6" t="str">
        <f t="array" ref="D23">IFERROR(IF(VLOOKUP($E23,Avaluacio[],COLUMN(Avaluacio[Codi ítem]),FALSE)=$E23,'1_Plantejament'!$B$7,""),"")</f>
        <v>Fase 5</v>
      </c>
      <c r="E23" s="6" t="str">
        <f t="array" ref="E23">IFERROR(INDEX(Avaluacio[Codi ítem],(MATCH(0,INDEX(COUNTIF(E$1:E22,Avaluacio[Codi ítem]),0,0)+INDEX(Avaluacio[Avaluable]="No",0,0),0))),"")</f>
        <v>XGO023</v>
      </c>
      <c r="F23" s="45" t="str">
        <f t="array" ref="F23">IFERROR(VLOOKUP(E23,Avaluacio[],COLUMN(Avaluacio[Ítem]),FALSE),"")</f>
        <v>Plantilla d'empleats públics</v>
      </c>
      <c r="G23" t="str">
        <f t="array" ref="G23">IFERROR(VLOOKUP(E23,Avaluacio[],COLUMN(Avaluacio[Família]),FALSE),"")</f>
        <v>Informació institucional i organitzativa</v>
      </c>
      <c r="H23" t="str">
        <f t="array" ref="H23">IFERROR(VLOOKUP(E23,Avaluacio[],COLUMN(Avaluacio[Subfamília]),FALSE),"")</f>
        <v/>
      </c>
      <c r="I23" s="6" t="str">
        <f t="array" ref="I23">IFERROR(VLOOKUP(E23,Avaluacio[],COLUMN(Avaluacio[Contingut]),FALSE),"")</f>
        <v>Sí</v>
      </c>
      <c r="J23" s="6" t="str">
        <f t="array" ref="J23">IFERROR(VLOOKUP(E23,Avaluacio[],COLUMN(Avaluacio[Actualització]),FALSE),"")</f>
        <v>Sí</v>
      </c>
      <c r="K23" s="6" t="str">
        <f t="array" ref="K23">IFERROR(VLOOKUP(E23,Avaluacio[],COLUMN(#REF!),FALSE),"")</f>
        <v/>
      </c>
      <c r="L23" t="str">
        <f t="array" ref="L23">IFERROR(VLOOKUP(E23,Avaluacio[],COLUMN(Avaluacio[Grau de compliment]),FALSE),"")</f>
        <v>Compleix totalment</v>
      </c>
      <c r="M23" s="8">
        <f t="array" ref="M23">IFERROR(VLOOKUP(E23,Avaluacio[],COLUMN(Avaluacio[% compliment]),FALSE),"")</f>
        <v>1</v>
      </c>
    </row>
    <row r="24" spans="1:13" ht="27.6" x14ac:dyDescent="0.25">
      <c r="A24" t="str">
        <f t="array" ref="A24">IFERROR(IF(VLOOKUP($E24,Avaluacio[],COLUMN(Avaluacio[Codi ítem]),FALSE)=$E24,'1_Plantejament'!$B$5,""),"")</f>
        <v>Ajuntament de Blanes</v>
      </c>
      <c r="B24">
        <f t="array" ref="B24">IFERROR(IF(VLOOKUP($E24,Avaluacio[],COLUMN(Avaluacio[Codi ítem]),FALSE)=$E24,'1_Plantejament'!$B$9,""),"")</f>
        <v>2026</v>
      </c>
      <c r="C24">
        <f t="array" ref="C24">IFERROR(IF(VLOOKUP($E24,Avaluacio[],COLUMN(Avaluacio[Codi ítem]),FALSE)=$E24,'1_Plantejament'!$B$10,""),"")</f>
        <v>46206</v>
      </c>
      <c r="D24" s="6" t="str">
        <f t="array" ref="D24">IFERROR(IF(VLOOKUP($E24,Avaluacio[],COLUMN(Avaluacio[Codi ítem]),FALSE)=$E24,'1_Plantejament'!$B$7,""),"")</f>
        <v>Fase 5</v>
      </c>
      <c r="E24" s="6" t="str">
        <f t="array" ref="E24">IFERROR(INDEX(Avaluacio[Codi ítem],(MATCH(0,INDEX(COUNTIF(E$1:E23,Avaluacio[Codi ítem]),0,0)+INDEX(Avaluacio[Avaluable]="No",0,0),0))),"")</f>
        <v>XGO024</v>
      </c>
      <c r="F24" s="45" t="str">
        <f t="array" ref="F24">IFERROR(VLOOKUP(E24,Avaluacio[],COLUMN(Avaluacio[Ítem]),FALSE),"")</f>
        <v>Relació de llocs de treball (RLT)</v>
      </c>
      <c r="G24" t="str">
        <f t="array" ref="G24">IFERROR(VLOOKUP(E24,Avaluacio[],COLUMN(Avaluacio[Família]),FALSE),"")</f>
        <v>Informació institucional i organitzativa</v>
      </c>
      <c r="H24" t="str">
        <f t="array" ref="H24">IFERROR(VLOOKUP(E24,Avaluacio[],COLUMN(Avaluacio[Subfamília]),FALSE),"")</f>
        <v/>
      </c>
      <c r="I24" s="6" t="str">
        <f t="array" ref="I24">IFERROR(VLOOKUP(E24,Avaluacio[],COLUMN(Avaluacio[Contingut]),FALSE),"")</f>
        <v>Sí</v>
      </c>
      <c r="J24" s="6" t="str">
        <f t="array" ref="J24">IFERROR(VLOOKUP(E24,Avaluacio[],COLUMN(Avaluacio[Actualització]),FALSE),"")</f>
        <v>Sí</v>
      </c>
      <c r="K24" s="6" t="str">
        <f t="array" ref="K24">IFERROR(VLOOKUP(E24,Avaluacio[],COLUMN(#REF!),FALSE),"")</f>
        <v/>
      </c>
      <c r="L24" t="str">
        <f t="array" ref="L24">IFERROR(VLOOKUP(E24,Avaluacio[],COLUMN(Avaluacio[Grau de compliment]),FALSE),"")</f>
        <v>Compleix totalment</v>
      </c>
      <c r="M24" s="8">
        <f t="array" ref="M24">IFERROR(VLOOKUP(E24,Avaluacio[],COLUMN(Avaluacio[% compliment]),FALSE),"")</f>
        <v>1</v>
      </c>
    </row>
    <row r="25" spans="1:13" ht="27.6" x14ac:dyDescent="0.25">
      <c r="A25" t="str">
        <f t="array" ref="A25">IFERROR(IF(VLOOKUP($E25,Avaluacio[],COLUMN(Avaluacio[Codi ítem]),FALSE)=$E25,'1_Plantejament'!$B$5,""),"")</f>
        <v>Ajuntament de Blanes</v>
      </c>
      <c r="B25">
        <f t="array" ref="B25">IFERROR(IF(VLOOKUP($E25,Avaluacio[],COLUMN(Avaluacio[Codi ítem]),FALSE)=$E25,'1_Plantejament'!$B$9,""),"")</f>
        <v>2026</v>
      </c>
      <c r="C25">
        <f t="array" ref="C25">IFERROR(IF(VLOOKUP($E25,Avaluacio[],COLUMN(Avaluacio[Codi ítem]),FALSE)=$E25,'1_Plantejament'!$B$10,""),"")</f>
        <v>46206</v>
      </c>
      <c r="D25" s="6" t="str">
        <f t="array" ref="D25">IFERROR(IF(VLOOKUP($E25,Avaluacio[],COLUMN(Avaluacio[Codi ítem]),FALSE)=$E25,'1_Plantejament'!$B$7,""),"")</f>
        <v>Fase 5</v>
      </c>
      <c r="E25" s="6" t="str">
        <f t="array" ref="E25">IFERROR(INDEX(Avaluacio[Codi ítem],(MATCH(0,INDEX(COUNTIF(E$1:E24,Avaluacio[Codi ítem]),0,0)+INDEX(Avaluacio[Avaluable]="No",0,0),0))),"")</f>
        <v>XGO025</v>
      </c>
      <c r="F25" s="45" t="str">
        <f t="array" ref="F25">IFERROR(VLOOKUP(E25,Avaluacio[],COLUMN(Avaluacio[Ítem]),FALSE),"")</f>
        <v>Tècnics de l'ens</v>
      </c>
      <c r="G25" t="str">
        <f t="array" ref="G25">IFERROR(VLOOKUP(E25,Avaluacio[],COLUMN(Avaluacio[Família]),FALSE),"")</f>
        <v>Informació institucional i organitzativa</v>
      </c>
      <c r="H25" t="str">
        <f t="array" ref="H25">IFERROR(VLOOKUP(E25,Avaluacio[],COLUMN(Avaluacio[Subfamília]),FALSE),"")</f>
        <v/>
      </c>
      <c r="I25" s="6" t="str">
        <f t="array" ref="I25">IFERROR(VLOOKUP(E25,Avaluacio[],COLUMN(Avaluacio[Contingut]),FALSE),"")</f>
        <v>Sí</v>
      </c>
      <c r="J25" s="6" t="str">
        <f t="array" ref="J25">IFERROR(VLOOKUP(E25,Avaluacio[],COLUMN(Avaluacio[Actualització]),FALSE),"")</f>
        <v>Sí</v>
      </c>
      <c r="K25" s="6" t="str">
        <f t="array" ref="K25">IFERROR(VLOOKUP(E25,Avaluacio[],COLUMN(#REF!),FALSE),"")</f>
        <v/>
      </c>
      <c r="L25" t="str">
        <f t="array" ref="L25">IFERROR(VLOOKUP(E25,Avaluacio[],COLUMN(Avaluacio[Grau de compliment]),FALSE),"")</f>
        <v>Compleix totalment</v>
      </c>
      <c r="M25" s="8">
        <f t="array" ref="M25">IFERROR(VLOOKUP(E25,Avaluacio[],COLUMN(Avaluacio[% compliment]),FALSE),"")</f>
        <v>1</v>
      </c>
    </row>
    <row r="26" spans="1:13" ht="27.6" x14ac:dyDescent="0.25">
      <c r="A26" t="str">
        <f t="array" ref="A26">IFERROR(IF(VLOOKUP($E26,Avaluacio[],COLUMN(Avaluacio[Codi ítem]),FALSE)=$E26,'1_Plantejament'!$B$5,""),"")</f>
        <v>Ajuntament de Blanes</v>
      </c>
      <c r="B26">
        <f t="array" ref="B26">IFERROR(IF(VLOOKUP($E26,Avaluacio[],COLUMN(Avaluacio[Codi ítem]),FALSE)=$E26,'1_Plantejament'!$B$9,""),"")</f>
        <v>2026</v>
      </c>
      <c r="C26">
        <f t="array" ref="C26">IFERROR(IF(VLOOKUP($E26,Avaluacio[],COLUMN(Avaluacio[Codi ítem]),FALSE)=$E26,'1_Plantejament'!$B$10,""),"")</f>
        <v>46206</v>
      </c>
      <c r="D26" s="6" t="str">
        <f t="array" ref="D26">IFERROR(IF(VLOOKUP($E26,Avaluacio[],COLUMN(Avaluacio[Codi ítem]),FALSE)=$E26,'1_Plantejament'!$B$7,""),"")</f>
        <v>Fase 5</v>
      </c>
      <c r="E26" s="6" t="str">
        <f t="array" ref="E26">IFERROR(INDEX(Avaluacio[Codi ítem],(MATCH(0,INDEX(COUNTIF(E$1:E25,Avaluacio[Codi ítem]),0,0)+INDEX(Avaluacio[Avaluable]="No",0,0),0))),"")</f>
        <v>XGO026</v>
      </c>
      <c r="F26" s="45" t="str">
        <f t="array" ref="F26">IFERROR(VLOOKUP(E26,Avaluacio[],COLUMN(Avaluacio[Ítem]),FALSE),"")</f>
        <v>Responsable de comunicació/premsa</v>
      </c>
      <c r="G26" t="str">
        <f t="array" ref="G26">IFERROR(VLOOKUP(E26,Avaluacio[],COLUMN(Avaluacio[Família]),FALSE),"")</f>
        <v>Informació institucional i organitzativa</v>
      </c>
      <c r="H26" t="str">
        <f t="array" ref="H26">IFERROR(VLOOKUP(E26,Avaluacio[],COLUMN(Avaluacio[Subfamília]),FALSE),"")</f>
        <v/>
      </c>
      <c r="I26" s="6" t="str">
        <f t="array" ref="I26">IFERROR(VLOOKUP(E26,Avaluacio[],COLUMN(Avaluacio[Contingut]),FALSE),"")</f>
        <v>Sí</v>
      </c>
      <c r="J26" s="6" t="str">
        <f t="array" ref="J26">IFERROR(VLOOKUP(E26,Avaluacio[],COLUMN(Avaluacio[Actualització]),FALSE),"")</f>
        <v>Sí</v>
      </c>
      <c r="K26" s="6" t="str">
        <f t="array" ref="K26">IFERROR(VLOOKUP(E26,Avaluacio[],COLUMN(#REF!),FALSE),"")</f>
        <v/>
      </c>
      <c r="L26" t="str">
        <f t="array" ref="L26">IFERROR(VLOOKUP(E26,Avaluacio[],COLUMN(Avaluacio[Grau de compliment]),FALSE),"")</f>
        <v>Compleix totalment</v>
      </c>
      <c r="M26" s="8">
        <f t="array" ref="M26">IFERROR(VLOOKUP(E26,Avaluacio[],COLUMN(Avaluacio[% compliment]),FALSE),"")</f>
        <v>1</v>
      </c>
    </row>
    <row r="27" spans="1:13" ht="27.6" x14ac:dyDescent="0.25">
      <c r="A27" t="str">
        <f t="array" ref="A27">IFERROR(IF(VLOOKUP($E27,Avaluacio[],COLUMN(Avaluacio[Codi ítem]),FALSE)=$E27,'1_Plantejament'!$B$5,""),"")</f>
        <v>Ajuntament de Blanes</v>
      </c>
      <c r="B27">
        <f t="array" ref="B27">IFERROR(IF(VLOOKUP($E27,Avaluacio[],COLUMN(Avaluacio[Codi ítem]),FALSE)=$E27,'1_Plantejament'!$B$9,""),"")</f>
        <v>2026</v>
      </c>
      <c r="C27">
        <f t="array" ref="C27">IFERROR(IF(VLOOKUP($E27,Avaluacio[],COLUMN(Avaluacio[Codi ítem]),FALSE)=$E27,'1_Plantejament'!$B$10,""),"")</f>
        <v>46206</v>
      </c>
      <c r="D27" s="6" t="str">
        <f t="array" ref="D27">IFERROR(IF(VLOOKUP($E27,Avaluacio[],COLUMN(Avaluacio[Codi ítem]),FALSE)=$E27,'1_Plantejament'!$B$7,""),"")</f>
        <v>Fase 5</v>
      </c>
      <c r="E27" s="6" t="str">
        <f t="array" ref="E27">IFERROR(INDEX(Avaluacio[Codi ítem],(MATCH(0,INDEX(COUNTIF(E$1:E26,Avaluacio[Codi ítem]),0,0)+INDEX(Avaluacio[Avaluable]="No",0,0),0))),"")</f>
        <v>XGO027</v>
      </c>
      <c r="F27" s="45" t="str">
        <f t="array" ref="F27">IFERROR(VLOOKUP(E27,Avaluacio[],COLUMN(Avaluacio[Ítem]),FALSE),"")</f>
        <v>Relació de contractes temporals i d'interinatge</v>
      </c>
      <c r="G27" t="str">
        <f t="array" ref="G27">IFERROR(VLOOKUP(E27,Avaluacio[],COLUMN(Avaluacio[Família]),FALSE),"")</f>
        <v>Informació institucional i organitzativa</v>
      </c>
      <c r="H27" t="str">
        <f t="array" ref="H27">IFERROR(VLOOKUP(E27,Avaluacio[],COLUMN(Avaluacio[Subfamília]),FALSE),"")</f>
        <v/>
      </c>
      <c r="I27" s="6" t="str">
        <f t="array" ref="I27">IFERROR(VLOOKUP(E27,Avaluacio[],COLUMN(Avaluacio[Contingut]),FALSE),"")</f>
        <v>Sí</v>
      </c>
      <c r="J27" s="6" t="str">
        <f t="array" ref="J27">IFERROR(VLOOKUP(E27,Avaluacio[],COLUMN(Avaluacio[Actualització]),FALSE),"")</f>
        <v>Sí</v>
      </c>
      <c r="K27" s="6" t="str">
        <f t="array" ref="K27">IFERROR(VLOOKUP(E27,Avaluacio[],COLUMN(#REF!),FALSE),"")</f>
        <v/>
      </c>
      <c r="L27" t="str">
        <f t="array" ref="L27">IFERROR(VLOOKUP(E27,Avaluacio[],COLUMN(Avaluacio[Grau de compliment]),FALSE),"")</f>
        <v>Compleix totalment</v>
      </c>
      <c r="M27" s="8">
        <f t="array" ref="M27">IFERROR(VLOOKUP(E27,Avaluacio[],COLUMN(Avaluacio[% compliment]),FALSE),"")</f>
        <v>1</v>
      </c>
    </row>
    <row r="28" spans="1:13" ht="41.4" x14ac:dyDescent="0.25">
      <c r="A28" t="str">
        <f t="array" ref="A28">IFERROR(IF(VLOOKUP($E28,Avaluacio[],COLUMN(Avaluacio[Codi ítem]),FALSE)=$E28,'1_Plantejament'!$B$5,""),"")</f>
        <v>Ajuntament de Blanes</v>
      </c>
      <c r="B28">
        <f t="array" ref="B28">IFERROR(IF(VLOOKUP($E28,Avaluacio[],COLUMN(Avaluacio[Codi ítem]),FALSE)=$E28,'1_Plantejament'!$B$9,""),"")</f>
        <v>2026</v>
      </c>
      <c r="C28">
        <f t="array" ref="C28">IFERROR(IF(VLOOKUP($E28,Avaluacio[],COLUMN(Avaluacio[Codi ítem]),FALSE)=$E28,'1_Plantejament'!$B$10,""),"")</f>
        <v>46206</v>
      </c>
      <c r="D28" s="6" t="str">
        <f t="array" ref="D28">IFERROR(IF(VLOOKUP($E28,Avaluacio[],COLUMN(Avaluacio[Codi ítem]),FALSE)=$E28,'1_Plantejament'!$B$7,""),"")</f>
        <v>Fase 5</v>
      </c>
      <c r="E28" s="6" t="str">
        <f t="array" ref="E28">IFERROR(INDEX(Avaluacio[Codi ítem],(MATCH(0,INDEX(COUNTIF(E$1:E27,Avaluacio[Codi ítem]),0,0)+INDEX(Avaluacio[Avaluable]="No",0,0),0))),"")</f>
        <v>XGO028</v>
      </c>
      <c r="F28" s="45" t="str">
        <f t="array" ref="F28">IFERROR(VLOOKUP(E28,Avaluacio[],COLUMN(Avaluacio[Ítem]),FALSE),"")</f>
        <v>Retribucions, indemnitzacions i dietes dels empleats públics</v>
      </c>
      <c r="G28" t="str">
        <f t="array" ref="G28">IFERROR(VLOOKUP(E28,Avaluacio[],COLUMN(Avaluacio[Família]),FALSE),"")</f>
        <v>Informació institucional i organitzativa</v>
      </c>
      <c r="H28" t="str">
        <f t="array" ref="H28">IFERROR(VLOOKUP(E28,Avaluacio[],COLUMN(Avaluacio[Subfamília]),FALSE),"")</f>
        <v/>
      </c>
      <c r="I28" s="6" t="str">
        <f t="array" ref="I28">IFERROR(VLOOKUP(E28,Avaluacio[],COLUMN(Avaluacio[Contingut]),FALSE),"")</f>
        <v>Sí</v>
      </c>
      <c r="J28" s="6" t="str">
        <f t="array" ref="J28">IFERROR(VLOOKUP(E28,Avaluacio[],COLUMN(Avaluacio[Actualització]),FALSE),"")</f>
        <v>Sí</v>
      </c>
      <c r="K28" s="6" t="str">
        <f t="array" ref="K28">IFERROR(VLOOKUP(E28,Avaluacio[],COLUMN(#REF!),FALSE),"")</f>
        <v/>
      </c>
      <c r="L28" t="str">
        <f t="array" ref="L28">IFERROR(VLOOKUP(E28,Avaluacio[],COLUMN(Avaluacio[Grau de compliment]),FALSE),"")</f>
        <v>Compleix totalment</v>
      </c>
      <c r="M28" s="8">
        <f t="array" ref="M28">IFERROR(VLOOKUP(E28,Avaluacio[],COLUMN(Avaluacio[% compliment]),FALSE),"")</f>
        <v>1</v>
      </c>
    </row>
    <row r="29" spans="1:13" ht="27.6" x14ac:dyDescent="0.25">
      <c r="A29" t="str">
        <f t="array" ref="A29">IFERROR(IF(VLOOKUP($E29,Avaluacio[],COLUMN(Avaluacio[Codi ítem]),FALSE)=$E29,'1_Plantejament'!$B$5,""),"")</f>
        <v>Ajuntament de Blanes</v>
      </c>
      <c r="B29">
        <f t="array" ref="B29">IFERROR(IF(VLOOKUP($E29,Avaluacio[],COLUMN(Avaluacio[Codi ítem]),FALSE)=$E29,'1_Plantejament'!$B$9,""),"")</f>
        <v>2026</v>
      </c>
      <c r="C29">
        <f t="array" ref="C29">IFERROR(IF(VLOOKUP($E29,Avaluacio[],COLUMN(Avaluacio[Codi ítem]),FALSE)=$E29,'1_Plantejament'!$B$10,""),"")</f>
        <v>46206</v>
      </c>
      <c r="D29" s="6" t="str">
        <f t="array" ref="D29">IFERROR(IF(VLOOKUP($E29,Avaluacio[],COLUMN(Avaluacio[Codi ítem]),FALSE)=$E29,'1_Plantejament'!$B$7,""),"")</f>
        <v>Fase 5</v>
      </c>
      <c r="E29" s="6" t="str">
        <f t="array" ref="E29">IFERROR(INDEX(Avaluacio[Codi ítem],(MATCH(0,INDEX(COUNTIF(E$1:E28,Avaluacio[Codi ítem]),0,0)+INDEX(Avaluacio[Avaluable]="No",0,0),0))),"")</f>
        <v>XGO029</v>
      </c>
      <c r="F29" s="45" t="str">
        <f t="array" ref="F29">IFERROR(VLOOKUP(E29,Avaluacio[],COLUMN(Avaluacio[Ítem]),FALSE),"")</f>
        <v>Convocatòries de personal</v>
      </c>
      <c r="G29" t="str">
        <f t="array" ref="G29">IFERROR(VLOOKUP(E29,Avaluacio[],COLUMN(Avaluacio[Família]),FALSE),"")</f>
        <v>Informació institucional i organitzativa</v>
      </c>
      <c r="H29" t="str">
        <f t="array" ref="H29">IFERROR(VLOOKUP(E29,Avaluacio[],COLUMN(Avaluacio[Subfamília]),FALSE),"")</f>
        <v/>
      </c>
      <c r="I29" s="6" t="str">
        <f t="array" ref="I29">IFERROR(VLOOKUP(E29,Avaluacio[],COLUMN(Avaluacio[Contingut]),FALSE),"")</f>
        <v>Sí</v>
      </c>
      <c r="J29" s="6" t="str">
        <f t="array" ref="J29">IFERROR(VLOOKUP(E29,Avaluacio[],COLUMN(Avaluacio[Actualització]),FALSE),"")</f>
        <v>Sí</v>
      </c>
      <c r="K29" s="6" t="str">
        <f t="array" ref="K29">IFERROR(VLOOKUP(E29,Avaluacio[],COLUMN(#REF!),FALSE),"")</f>
        <v/>
      </c>
      <c r="L29" t="str">
        <f t="array" ref="L29">IFERROR(VLOOKUP(E29,Avaluacio[],COLUMN(Avaluacio[Grau de compliment]),FALSE),"")</f>
        <v>Compleix totalment</v>
      </c>
      <c r="M29" s="8">
        <f t="array" ref="M29">IFERROR(VLOOKUP(E29,Avaluacio[],COLUMN(Avaluacio[% compliment]),FALSE),"")</f>
        <v>1</v>
      </c>
    </row>
    <row r="30" spans="1:13" ht="27.6" x14ac:dyDescent="0.25">
      <c r="A30" t="str">
        <f t="array" ref="A30">IFERROR(IF(VLOOKUP($E30,Avaluacio[],COLUMN(Avaluacio[Codi ítem]),FALSE)=$E30,'1_Plantejament'!$B$5,""),"")</f>
        <v>Ajuntament de Blanes</v>
      </c>
      <c r="B30">
        <f t="array" ref="B30">IFERROR(IF(VLOOKUP($E30,Avaluacio[],COLUMN(Avaluacio[Codi ítem]),FALSE)=$E30,'1_Plantejament'!$B$9,""),"")</f>
        <v>2026</v>
      </c>
      <c r="C30">
        <f t="array" ref="C30">IFERROR(IF(VLOOKUP($E30,Avaluacio[],COLUMN(Avaluacio[Codi ítem]),FALSE)=$E30,'1_Plantejament'!$B$10,""),"")</f>
        <v>46206</v>
      </c>
      <c r="D30" s="6" t="str">
        <f t="array" ref="D30">IFERROR(IF(VLOOKUP($E30,Avaluacio[],COLUMN(Avaluacio[Codi ítem]),FALSE)=$E30,'1_Plantejament'!$B$7,""),"")</f>
        <v>Fase 5</v>
      </c>
      <c r="E30" s="6" t="str">
        <f t="array" ref="E30">IFERROR(INDEX(Avaluacio[Codi ítem],(MATCH(0,INDEX(COUNTIF(E$1:E29,Avaluacio[Codi ítem]),0,0)+INDEX(Avaluacio[Avaluable]="No",0,0),0))),"")</f>
        <v>XGO030</v>
      </c>
      <c r="F30" s="45" t="str">
        <f t="array" ref="F30">IFERROR(VLOOKUP(E30,Avaluacio[],COLUMN(Avaluacio[Ítem]),FALSE),"")</f>
        <v>Resultats de les convocatòries de personal</v>
      </c>
      <c r="G30" t="str">
        <f t="array" ref="G30">IFERROR(VLOOKUP(E30,Avaluacio[],COLUMN(Avaluacio[Família]),FALSE),"")</f>
        <v>Informació institucional i organitzativa</v>
      </c>
      <c r="H30" t="str">
        <f t="array" ref="H30">IFERROR(VLOOKUP(E30,Avaluacio[],COLUMN(Avaluacio[Subfamília]),FALSE),"")</f>
        <v/>
      </c>
      <c r="I30" s="6" t="str">
        <f t="array" ref="I30">IFERROR(VLOOKUP(E30,Avaluacio[],COLUMN(Avaluacio[Contingut]),FALSE),"")</f>
        <v>Sí</v>
      </c>
      <c r="J30" s="6" t="str">
        <f t="array" ref="J30">IFERROR(VLOOKUP(E30,Avaluacio[],COLUMN(Avaluacio[Actualització]),FALSE),"")</f>
        <v>Sí</v>
      </c>
      <c r="K30" s="6" t="str">
        <f t="array" ref="K30">IFERROR(VLOOKUP(E30,Avaluacio[],COLUMN(#REF!),FALSE),"")</f>
        <v/>
      </c>
      <c r="L30" t="str">
        <f t="array" ref="L30">IFERROR(VLOOKUP(E30,Avaluacio[],COLUMN(Avaluacio[Grau de compliment]),FALSE),"")</f>
        <v>Compleix totalment</v>
      </c>
      <c r="M30" s="8">
        <f t="array" ref="M30">IFERROR(VLOOKUP(E30,Avaluacio[],COLUMN(Avaluacio[% compliment]),FALSE),"")</f>
        <v>1</v>
      </c>
    </row>
    <row r="31" spans="1:13" ht="41.4" x14ac:dyDescent="0.25">
      <c r="A31" t="str">
        <f t="array" ref="A31">IFERROR(IF(VLOOKUP($E31,Avaluacio[],COLUMN(Avaluacio[Codi ítem]),FALSE)=$E31,'1_Plantejament'!$B$5,""),"")</f>
        <v>Ajuntament de Blanes</v>
      </c>
      <c r="B31">
        <f t="array" ref="B31">IFERROR(IF(VLOOKUP($E31,Avaluacio[],COLUMN(Avaluacio[Codi ítem]),FALSE)=$E31,'1_Plantejament'!$B$9,""),"")</f>
        <v>2026</v>
      </c>
      <c r="C31">
        <f t="array" ref="C31">IFERROR(IF(VLOOKUP($E31,Avaluacio[],COLUMN(Avaluacio[Codi ítem]),FALSE)=$E31,'1_Plantejament'!$B$10,""),"")</f>
        <v>46206</v>
      </c>
      <c r="D31" s="6" t="str">
        <f t="array" ref="D31">IFERROR(IF(VLOOKUP($E31,Avaluacio[],COLUMN(Avaluacio[Codi ítem]),FALSE)=$E31,'1_Plantejament'!$B$7,""),"")</f>
        <v>Fase 5</v>
      </c>
      <c r="E31" s="6" t="str">
        <f t="array" ref="E31">IFERROR(INDEX(Avaluacio[Codi ítem],(MATCH(0,INDEX(COUNTIF(E$1:E30,Avaluacio[Codi ítem]),0,0)+INDEX(Avaluacio[Avaluable]="No",0,0),0))),"")</f>
        <v>XGO031</v>
      </c>
      <c r="F31" s="45" t="str">
        <f t="array" ref="F31">IFERROR(VLOOKUP(E31,Avaluacio[],COLUMN(Avaluacio[Ítem]),FALSE),"")</f>
        <v>Llistes de personal per cada procés de formació i/o promoció</v>
      </c>
      <c r="G31" t="str">
        <f t="array" ref="G31">IFERROR(VLOOKUP(E31,Avaluacio[],COLUMN(Avaluacio[Família]),FALSE),"")</f>
        <v>Informació institucional i organitzativa</v>
      </c>
      <c r="H31" t="str">
        <f t="array" ref="H31">IFERROR(VLOOKUP(E31,Avaluacio[],COLUMN(Avaluacio[Subfamília]),FALSE),"")</f>
        <v/>
      </c>
      <c r="I31" s="6" t="str">
        <f t="array" ref="I31">IFERROR(VLOOKUP(E31,Avaluacio[],COLUMN(Avaluacio[Contingut]),FALSE),"")</f>
        <v>Sí</v>
      </c>
      <c r="J31" s="6" t="str">
        <f t="array" ref="J31">IFERROR(VLOOKUP(E31,Avaluacio[],COLUMN(Avaluacio[Actualització]),FALSE),"")</f>
        <v>Sí</v>
      </c>
      <c r="K31" s="6" t="str">
        <f t="array" ref="K31">IFERROR(VLOOKUP(E31,Avaluacio[],COLUMN(#REF!),FALSE),"")</f>
        <v/>
      </c>
      <c r="L31" t="str">
        <f t="array" ref="L31">IFERROR(VLOOKUP(E31,Avaluacio[],COLUMN(Avaluacio[Grau de compliment]),FALSE),"")</f>
        <v>Compleix totalment</v>
      </c>
      <c r="M31" s="8">
        <f t="array" ref="M31">IFERROR(VLOOKUP(E31,Avaluacio[],COLUMN(Avaluacio[% compliment]),FALSE),"")</f>
        <v>1</v>
      </c>
    </row>
    <row r="32" spans="1:13" ht="41.4" x14ac:dyDescent="0.25">
      <c r="A32" t="str">
        <f t="array" ref="A32">IFERROR(IF(VLOOKUP($E32,Avaluacio[],COLUMN(Avaluacio[Codi ítem]),FALSE)=$E32,'1_Plantejament'!$B$5,""),"")</f>
        <v>Ajuntament de Blanes</v>
      </c>
      <c r="B32">
        <f t="array" ref="B32">IFERROR(IF(VLOOKUP($E32,Avaluacio[],COLUMN(Avaluacio[Codi ítem]),FALSE)=$E32,'1_Plantejament'!$B$9,""),"")</f>
        <v>2026</v>
      </c>
      <c r="C32">
        <f t="array" ref="C32">IFERROR(IF(VLOOKUP($E32,Avaluacio[],COLUMN(Avaluacio[Codi ítem]),FALSE)=$E32,'1_Plantejament'!$B$10,""),"")</f>
        <v>46206</v>
      </c>
      <c r="D32" s="6" t="str">
        <f t="array" ref="D32">IFERROR(IF(VLOOKUP($E32,Avaluacio[],COLUMN(Avaluacio[Codi ítem]),FALSE)=$E32,'1_Plantejament'!$B$7,""),"")</f>
        <v>Fase 5</v>
      </c>
      <c r="E32" s="6" t="str">
        <f t="array" ref="E32">IFERROR(INDEX(Avaluacio[Codi ítem],(MATCH(0,INDEX(COUNTIF(E$1:E31,Avaluacio[Codi ítem]),0,0)+INDEX(Avaluacio[Avaluable]="No",0,0),0))),"")</f>
        <v>XGO032</v>
      </c>
      <c r="F32" s="45" t="str">
        <f t="array" ref="F32">IFERROR(VLOOKUP(E32,Avaluacio[],COLUMN(Avaluacio[Ítem]),FALSE),"")</f>
        <v>Convenis, acords, pactes de caràcter funcionarial, laboral o sindical</v>
      </c>
      <c r="G32" t="str">
        <f t="array" ref="G32">IFERROR(VLOOKUP(E32,Avaluacio[],COLUMN(Avaluacio[Família]),FALSE),"")</f>
        <v>Informació institucional i organitzativa</v>
      </c>
      <c r="H32" t="str">
        <f t="array" ref="H32">IFERROR(VLOOKUP(E32,Avaluacio[],COLUMN(Avaluacio[Subfamília]),FALSE),"")</f>
        <v/>
      </c>
      <c r="I32" s="6" t="str">
        <f t="array" ref="I32">IFERROR(VLOOKUP(E32,Avaluacio[],COLUMN(Avaluacio[Contingut]),FALSE),"")</f>
        <v>Sí</v>
      </c>
      <c r="J32" s="6" t="str">
        <f t="array" ref="J32">IFERROR(VLOOKUP(E32,Avaluacio[],COLUMN(Avaluacio[Actualització]),FALSE),"")</f>
        <v>Sí</v>
      </c>
      <c r="K32" s="6" t="str">
        <f t="array" ref="K32">IFERROR(VLOOKUP(E32,Avaluacio[],COLUMN(#REF!),FALSE),"")</f>
        <v/>
      </c>
      <c r="L32" t="str">
        <f t="array" ref="L32">IFERROR(VLOOKUP(E32,Avaluacio[],COLUMN(Avaluacio[Grau de compliment]),FALSE),"")</f>
        <v>Compleix totalment</v>
      </c>
      <c r="M32" s="8">
        <f t="array" ref="M32">IFERROR(VLOOKUP(E32,Avaluacio[],COLUMN(Avaluacio[% compliment]),FALSE),"")</f>
        <v>1</v>
      </c>
    </row>
    <row r="33" spans="1:13" ht="27.6" x14ac:dyDescent="0.25">
      <c r="A33" t="str">
        <f t="array" ref="A33">IFERROR(IF(VLOOKUP($E33,Avaluacio[],COLUMN(Avaluacio[Codi ítem]),FALSE)=$E33,'1_Plantejament'!$B$5,""),"")</f>
        <v>Ajuntament de Blanes</v>
      </c>
      <c r="B33">
        <f t="array" ref="B33">IFERROR(IF(VLOOKUP($E33,Avaluacio[],COLUMN(Avaluacio[Codi ítem]),FALSE)=$E33,'1_Plantejament'!$B$9,""),"")</f>
        <v>2026</v>
      </c>
      <c r="C33">
        <f t="array" ref="C33">IFERROR(IF(VLOOKUP($E33,Avaluacio[],COLUMN(Avaluacio[Codi ítem]),FALSE)=$E33,'1_Plantejament'!$B$10,""),"")</f>
        <v>46206</v>
      </c>
      <c r="D33" s="6" t="str">
        <f t="array" ref="D33">IFERROR(IF(VLOOKUP($E33,Avaluacio[],COLUMN(Avaluacio[Codi ítem]),FALSE)=$E33,'1_Plantejament'!$B$7,""),"")</f>
        <v>Fase 5</v>
      </c>
      <c r="E33" s="6" t="str">
        <f t="array" ref="E33">IFERROR(INDEX(Avaluacio[Codi ítem],(MATCH(0,INDEX(COUNTIF(E$1:E32,Avaluacio[Codi ítem]),0,0)+INDEX(Avaluacio[Avaluable]="No",0,0),0))),"")</f>
        <v>XGO033</v>
      </c>
      <c r="F33" s="45" t="str">
        <f t="array" ref="F33">IFERROR(VLOOKUP(E33,Avaluacio[],COLUMN(Avaluacio[Ítem]),FALSE),"")</f>
        <v>Alliberats sindicals</v>
      </c>
      <c r="G33" t="str">
        <f t="array" ref="G33">IFERROR(VLOOKUP(E33,Avaluacio[],COLUMN(Avaluacio[Família]),FALSE),"")</f>
        <v>Informació institucional i organitzativa</v>
      </c>
      <c r="H33" t="str">
        <f t="array" ref="H33">IFERROR(VLOOKUP(E33,Avaluacio[],COLUMN(Avaluacio[Subfamília]),FALSE),"")</f>
        <v/>
      </c>
      <c r="I33" s="6" t="str">
        <f t="array" ref="I33">IFERROR(VLOOKUP(E33,Avaluacio[],COLUMN(Avaluacio[Contingut]),FALSE),"")</f>
        <v>Sí</v>
      </c>
      <c r="J33" s="6" t="str">
        <f t="array" ref="J33">IFERROR(VLOOKUP(E33,Avaluacio[],COLUMN(Avaluacio[Actualització]),FALSE),"")</f>
        <v>Sí</v>
      </c>
      <c r="K33" s="6" t="str">
        <f t="array" ref="K33">IFERROR(VLOOKUP(E33,Avaluacio[],COLUMN(#REF!),FALSE),"")</f>
        <v/>
      </c>
      <c r="L33" t="str">
        <f t="array" ref="L33">IFERROR(VLOOKUP(E33,Avaluacio[],COLUMN(Avaluacio[Grau de compliment]),FALSE),"")</f>
        <v>Compleix totalment</v>
      </c>
      <c r="M33" s="8">
        <f t="array" ref="M33">IFERROR(VLOOKUP(E33,Avaluacio[],COLUMN(Avaluacio[% compliment]),FALSE),"")</f>
        <v>1</v>
      </c>
    </row>
    <row r="34" spans="1:13" ht="41.4" x14ac:dyDescent="0.25">
      <c r="A34" t="str">
        <f t="array" ref="A34">IFERROR(IF(VLOOKUP($E34,Avaluacio[],COLUMN(Avaluacio[Codi ítem]),FALSE)=$E34,'1_Plantejament'!$B$5,""),"")</f>
        <v>Ajuntament de Blanes</v>
      </c>
      <c r="B34">
        <f t="array" ref="B34">IFERROR(IF(VLOOKUP($E34,Avaluacio[],COLUMN(Avaluacio[Codi ítem]),FALSE)=$E34,'1_Plantejament'!$B$9,""),"")</f>
        <v>2026</v>
      </c>
      <c r="C34">
        <f t="array" ref="C34">IFERROR(IF(VLOOKUP($E34,Avaluacio[],COLUMN(Avaluacio[Codi ítem]),FALSE)=$E34,'1_Plantejament'!$B$10,""),"")</f>
        <v>46206</v>
      </c>
      <c r="D34" s="6" t="str">
        <f t="array" ref="D34">IFERROR(IF(VLOOKUP($E34,Avaluacio[],COLUMN(Avaluacio[Codi ítem]),FALSE)=$E34,'1_Plantejament'!$B$7,""),"")</f>
        <v>Fase 5</v>
      </c>
      <c r="E34" s="6" t="str">
        <f t="array" ref="E34">IFERROR(INDEX(Avaluacio[Codi ítem],(MATCH(0,INDEX(COUNTIF(E$1:E33,Avaluacio[Codi ítem]),0,0)+INDEX(Avaluacio[Avaluable]="No",0,0),0))),"")</f>
        <v>XGO034</v>
      </c>
      <c r="F34" s="45" t="str">
        <f t="array" ref="F34">IFERROR(VLOOKUP(E34,Avaluacio[],COLUMN(Avaluacio[Ítem]),FALSE),"")</f>
        <v>Resolucions sobre el règim d'incompatibilitats dels empleats públics</v>
      </c>
      <c r="G34" t="str">
        <f t="array" ref="G34">IFERROR(VLOOKUP(E34,Avaluacio[],COLUMN(Avaluacio[Família]),FALSE),"")</f>
        <v>Informació institucional i organitzativa</v>
      </c>
      <c r="H34" t="str">
        <f t="array" ref="H34">IFERROR(VLOOKUP(E34,Avaluacio[],COLUMN(Avaluacio[Subfamília]),FALSE),"")</f>
        <v/>
      </c>
      <c r="I34" s="6" t="str">
        <f t="array" ref="I34">IFERROR(VLOOKUP(E34,Avaluacio[],COLUMN(Avaluacio[Contingut]),FALSE),"")</f>
        <v>Sí</v>
      </c>
      <c r="J34" s="6" t="str">
        <f t="array" ref="J34">IFERROR(VLOOKUP(E34,Avaluacio[],COLUMN(Avaluacio[Actualització]),FALSE),"")</f>
        <v>Sí</v>
      </c>
      <c r="K34" s="6" t="str">
        <f t="array" ref="K34">IFERROR(VLOOKUP(E34,Avaluacio[],COLUMN(#REF!),FALSE),"")</f>
        <v/>
      </c>
      <c r="L34" t="str">
        <f t="array" ref="L34">IFERROR(VLOOKUP(E34,Avaluacio[],COLUMN(Avaluacio[Grau de compliment]),FALSE),"")</f>
        <v>Compleix totalment</v>
      </c>
      <c r="M34" s="8">
        <f t="array" ref="M34">IFERROR(VLOOKUP(E34,Avaluacio[],COLUMN(Avaluacio[% compliment]),FALSE),"")</f>
        <v>1</v>
      </c>
    </row>
    <row r="35" spans="1:13" ht="27.6" x14ac:dyDescent="0.25">
      <c r="A35" t="str">
        <f t="array" ref="A35">IFERROR(IF(VLOOKUP($E35,Avaluacio[],COLUMN(Avaluacio[Codi ítem]),FALSE)=$E35,'1_Plantejament'!$B$5,""),"")</f>
        <v>Ajuntament de Blanes</v>
      </c>
      <c r="B35">
        <f t="array" ref="B35">IFERROR(IF(VLOOKUP($E35,Avaluacio[],COLUMN(Avaluacio[Codi ítem]),FALSE)=$E35,'1_Plantejament'!$B$9,""),"")</f>
        <v>2026</v>
      </c>
      <c r="C35">
        <f t="array" ref="C35">IFERROR(IF(VLOOKUP($E35,Avaluacio[],COLUMN(Avaluacio[Codi ítem]),FALSE)=$E35,'1_Plantejament'!$B$10,""),"")</f>
        <v>46206</v>
      </c>
      <c r="D35" s="6" t="str">
        <f t="array" ref="D35">IFERROR(IF(VLOOKUP($E35,Avaluacio[],COLUMN(Avaluacio[Codi ítem]),FALSE)=$E35,'1_Plantejament'!$B$7,""),"")</f>
        <v>Fase 5</v>
      </c>
      <c r="E35" s="6" t="str">
        <f t="array" ref="E35">IFERROR(INDEX(Avaluacio[Codi ítem],(MATCH(0,INDEX(COUNTIF(E$1:E34,Avaluacio[Codi ítem]),0,0)+INDEX(Avaluacio[Avaluable]="No",0,0),0))),"")</f>
        <v>XGO035</v>
      </c>
      <c r="F35" s="45" t="str">
        <f t="array" ref="F35">IFERROR(VLOOKUP(E35,Avaluacio[],COLUMN(Avaluacio[Ítem]),FALSE),"")</f>
        <v>Delegat/da de Protecció de Dades</v>
      </c>
      <c r="G35" t="str">
        <f t="array" ref="G35">IFERROR(VLOOKUP(E35,Avaluacio[],COLUMN(Avaluacio[Família]),FALSE),"")</f>
        <v>Informació institucional i organitzativa</v>
      </c>
      <c r="H35" t="str">
        <f t="array" ref="H35">IFERROR(VLOOKUP(E35,Avaluacio[],COLUMN(Avaluacio[Subfamília]),FALSE),"")</f>
        <v/>
      </c>
      <c r="I35" s="6" t="str">
        <f t="array" ref="I35">IFERROR(VLOOKUP(E35,Avaluacio[],COLUMN(Avaluacio[Contingut]),FALSE),"")</f>
        <v>Sí</v>
      </c>
      <c r="J35" s="6" t="str">
        <f t="array" ref="J35">IFERROR(VLOOKUP(E35,Avaluacio[],COLUMN(Avaluacio[Actualització]),FALSE),"")</f>
        <v>Sí</v>
      </c>
      <c r="K35" s="6" t="str">
        <f t="array" ref="K35">IFERROR(VLOOKUP(E35,Avaluacio[],COLUMN(#REF!),FALSE),"")</f>
        <v/>
      </c>
      <c r="L35" t="str">
        <f t="array" ref="L35">IFERROR(VLOOKUP(E35,Avaluacio[],COLUMN(Avaluacio[Grau de compliment]),FALSE),"")</f>
        <v>Compleix totalment</v>
      </c>
      <c r="M35" s="8">
        <f t="array" ref="M35">IFERROR(VLOOKUP(E35,Avaluacio[],COLUMN(Avaluacio[% compliment]),FALSE),"")</f>
        <v>1</v>
      </c>
    </row>
    <row r="36" spans="1:13" ht="41.4" x14ac:dyDescent="0.25">
      <c r="A36" t="str">
        <f t="array" ref="A36">IFERROR(IF(VLOOKUP($E36,Avaluacio[],COLUMN(Avaluacio[Codi ítem]),FALSE)=$E36,'1_Plantejament'!$B$5,""),"")</f>
        <v>Ajuntament de Blanes</v>
      </c>
      <c r="B36">
        <f t="array" ref="B36">IFERROR(IF(VLOOKUP($E36,Avaluacio[],COLUMN(Avaluacio[Codi ítem]),FALSE)=$E36,'1_Plantejament'!$B$9,""),"")</f>
        <v>2026</v>
      </c>
      <c r="C36">
        <f t="array" ref="C36">IFERROR(IF(VLOOKUP($E36,Avaluacio[],COLUMN(Avaluacio[Codi ítem]),FALSE)=$E36,'1_Plantejament'!$B$10,""),"")</f>
        <v>46206</v>
      </c>
      <c r="D36" s="6" t="str">
        <f t="array" ref="D36">IFERROR(IF(VLOOKUP($E36,Avaluacio[],COLUMN(Avaluacio[Codi ítem]),FALSE)=$E36,'1_Plantejament'!$B$7,""),"")</f>
        <v>Fase 5</v>
      </c>
      <c r="E36" s="6" t="str">
        <f t="array" ref="E36">IFERROR(INDEX(Avaluacio[Codi ítem],(MATCH(0,INDEX(COUNTIF(E$1:E35,Avaluacio[Codi ítem]),0,0)+INDEX(Avaluacio[Avaluable]="No",0,0),0))),"")</f>
        <v>XGO036</v>
      </c>
      <c r="F36" s="45" t="str">
        <f t="array" ref="F36">IFERROR(VLOOKUP(E36,Avaluacio[],COLUMN(Avaluacio[Ítem]),FALSE),"")</f>
        <v>Exercici dels drets relatius a la protecció de dades personals</v>
      </c>
      <c r="G36" t="str">
        <f t="array" ref="G36">IFERROR(VLOOKUP(E36,Avaluacio[],COLUMN(Avaluacio[Família]),FALSE),"")</f>
        <v>Informació institucional i organitzativa</v>
      </c>
      <c r="H36" t="str">
        <f t="array" ref="H36">IFERROR(VLOOKUP(E36,Avaluacio[],COLUMN(Avaluacio[Subfamília]),FALSE),"")</f>
        <v/>
      </c>
      <c r="I36" s="6" t="str">
        <f t="array" ref="I36">IFERROR(VLOOKUP(E36,Avaluacio[],COLUMN(Avaluacio[Contingut]),FALSE),"")</f>
        <v>Sí</v>
      </c>
      <c r="J36" s="6" t="str">
        <f t="array" ref="J36">IFERROR(VLOOKUP(E36,Avaluacio[],COLUMN(Avaluacio[Actualització]),FALSE),"")</f>
        <v>Sí</v>
      </c>
      <c r="K36" s="6" t="str">
        <f t="array" ref="K36">IFERROR(VLOOKUP(E36,Avaluacio[],COLUMN(#REF!),FALSE),"")</f>
        <v/>
      </c>
      <c r="L36" t="str">
        <f t="array" ref="L36">IFERROR(VLOOKUP(E36,Avaluacio[],COLUMN(Avaluacio[Grau de compliment]),FALSE),"")</f>
        <v>Compleix totalment</v>
      </c>
      <c r="M36" s="8">
        <f t="array" ref="M36">IFERROR(VLOOKUP(E36,Avaluacio[],COLUMN(Avaluacio[% compliment]),FALSE),"")</f>
        <v>1</v>
      </c>
    </row>
    <row r="37" spans="1:13" ht="41.4" x14ac:dyDescent="0.25">
      <c r="A37" t="str">
        <f t="array" ref="A37">IFERROR(IF(VLOOKUP($E37,Avaluacio[],COLUMN(Avaluacio[Codi ítem]),FALSE)=$E37,'1_Plantejament'!$B$5,""),"")</f>
        <v>Ajuntament de Blanes</v>
      </c>
      <c r="B37">
        <f t="array" ref="B37">IFERROR(IF(VLOOKUP($E37,Avaluacio[],COLUMN(Avaluacio[Codi ítem]),FALSE)=$E37,'1_Plantejament'!$B$9,""),"")</f>
        <v>2026</v>
      </c>
      <c r="C37">
        <f t="array" ref="C37">IFERROR(IF(VLOOKUP($E37,Avaluacio[],COLUMN(Avaluacio[Codi ítem]),FALSE)=$E37,'1_Plantejament'!$B$10,""),"")</f>
        <v>46206</v>
      </c>
      <c r="D37" s="6" t="str">
        <f t="array" ref="D37">IFERROR(IF(VLOOKUP($E37,Avaluacio[],COLUMN(Avaluacio[Codi ítem]),FALSE)=$E37,'1_Plantejament'!$B$7,""),"")</f>
        <v>Fase 5</v>
      </c>
      <c r="E37" s="6" t="str">
        <f t="array" ref="E37">IFERROR(INDEX(Avaluacio[Codi ítem],(MATCH(0,INDEX(COUNTIF(E$1:E36,Avaluacio[Codi ítem]),0,0)+INDEX(Avaluacio[Avaluable]="No",0,0),0))),"")</f>
        <v>XGO037</v>
      </c>
      <c r="F37" s="45" t="str">
        <f t="array" ref="F37">IFERROR(VLOOKUP(E37,Avaluacio[],COLUMN(Avaluacio[Ítem]),FALSE),"")</f>
        <v>Registre de les activitats de tractament de dades personals</v>
      </c>
      <c r="G37" t="str">
        <f t="array" ref="G37">IFERROR(VLOOKUP(E37,Avaluacio[],COLUMN(Avaluacio[Família]),FALSE),"")</f>
        <v>Informació institucional i organitzativa</v>
      </c>
      <c r="H37" t="str">
        <f t="array" ref="H37">IFERROR(VLOOKUP(E37,Avaluacio[],COLUMN(Avaluacio[Subfamília]),FALSE),"")</f>
        <v/>
      </c>
      <c r="I37" s="6" t="str">
        <f t="array" ref="I37">IFERROR(VLOOKUP(E37,Avaluacio[],COLUMN(Avaluacio[Contingut]),FALSE),"")</f>
        <v>Sí</v>
      </c>
      <c r="J37" s="6" t="str">
        <f t="array" ref="J37">IFERROR(VLOOKUP(E37,Avaluacio[],COLUMN(Avaluacio[Actualització]),FALSE),"")</f>
        <v>Sí</v>
      </c>
      <c r="K37" s="6" t="str">
        <f t="array" ref="K37">IFERROR(VLOOKUP(E37,Avaluacio[],COLUMN(#REF!),FALSE),"")</f>
        <v/>
      </c>
      <c r="L37" t="str">
        <f t="array" ref="L37">IFERROR(VLOOKUP(E37,Avaluacio[],COLUMN(Avaluacio[Grau de compliment]),FALSE),"")</f>
        <v>Compleix totalment</v>
      </c>
      <c r="M37" s="8">
        <f t="array" ref="M37">IFERROR(VLOOKUP(E37,Avaluacio[],COLUMN(Avaluacio[% compliment]),FALSE),"")</f>
        <v>1</v>
      </c>
    </row>
    <row r="38" spans="1:13" ht="27.6" x14ac:dyDescent="0.25">
      <c r="A38" t="str">
        <f t="array" ref="A38">IFERROR(IF(VLOOKUP($E38,Avaluacio[],COLUMN(Avaluacio[Codi ítem]),FALSE)=$E38,'1_Plantejament'!$B$5,""),"")</f>
        <v>Ajuntament de Blanes</v>
      </c>
      <c r="B38">
        <f t="array" ref="B38">IFERROR(IF(VLOOKUP($E38,Avaluacio[],COLUMN(Avaluacio[Codi ítem]),FALSE)=$E38,'1_Plantejament'!$B$9,""),"")</f>
        <v>2026</v>
      </c>
      <c r="C38">
        <f t="array" ref="C38">IFERROR(IF(VLOOKUP($E38,Avaluacio[],COLUMN(Avaluacio[Codi ítem]),FALSE)=$E38,'1_Plantejament'!$B$10,""),"")</f>
        <v>46206</v>
      </c>
      <c r="D38" s="6" t="str">
        <f t="array" ref="D38">IFERROR(IF(VLOOKUP($E38,Avaluacio[],COLUMN(Avaluacio[Codi ítem]),FALSE)=$E38,'1_Plantejament'!$B$7,""),"")</f>
        <v>Fase 5</v>
      </c>
      <c r="E38" s="6" t="str">
        <f t="array" ref="E38">IFERROR(INDEX(Avaluacio[Codi ítem],(MATCH(0,INDEX(COUNTIF(E$1:E37,Avaluacio[Codi ítem]),0,0)+INDEX(Avaluacio[Avaluable]="No",0,0),0))),"")</f>
        <v>XGO038</v>
      </c>
      <c r="F38" s="45" t="str">
        <f t="array" ref="F38">IFERROR(VLOOKUP(E38,Avaluacio[],COLUMN(Avaluacio[Ítem]),FALSE),"")</f>
        <v>Sistema d'Integritat Institucional</v>
      </c>
      <c r="G38" t="str">
        <f t="array" ref="G38">IFERROR(VLOOKUP(E38,Avaluacio[],COLUMN(Avaluacio[Família]),FALSE),"")</f>
        <v>Informació institucional i organitzativa</v>
      </c>
      <c r="H38" t="str">
        <f t="array" ref="H38">IFERROR(VLOOKUP(E38,Avaluacio[],COLUMN(Avaluacio[Subfamília]),FALSE),"")</f>
        <v/>
      </c>
      <c r="I38" s="6" t="str">
        <f t="array" ref="I38">IFERROR(VLOOKUP(E38,Avaluacio[],COLUMN(Avaluacio[Contingut]),FALSE),"")</f>
        <v>Sí</v>
      </c>
      <c r="J38" s="6" t="str">
        <f t="array" ref="J38">IFERROR(VLOOKUP(E38,Avaluacio[],COLUMN(Avaluacio[Actualització]),FALSE),"")</f>
        <v>Sí</v>
      </c>
      <c r="K38" s="6" t="str">
        <f t="array" ref="K38">IFERROR(VLOOKUP(E38,Avaluacio[],COLUMN(#REF!),FALSE),"")</f>
        <v/>
      </c>
      <c r="L38" t="str">
        <f t="array" ref="L38">IFERROR(VLOOKUP(E38,Avaluacio[],COLUMN(Avaluacio[Grau de compliment]),FALSE),"")</f>
        <v>Compleix totalment</v>
      </c>
      <c r="M38" s="8">
        <f t="array" ref="M38">IFERROR(VLOOKUP(E38,Avaluacio[],COLUMN(Avaluacio[% compliment]),FALSE),"")</f>
        <v>1</v>
      </c>
    </row>
    <row r="39" spans="1:13" ht="27.6" x14ac:dyDescent="0.25">
      <c r="A39" t="str">
        <f t="array" ref="A39">IFERROR(IF(VLOOKUP($E39,Avaluacio[],COLUMN(Avaluacio[Codi ítem]),FALSE)=$E39,'1_Plantejament'!$B$5,""),"")</f>
        <v>Ajuntament de Blanes</v>
      </c>
      <c r="B39">
        <f t="array" ref="B39">IFERROR(IF(VLOOKUP($E39,Avaluacio[],COLUMN(Avaluacio[Codi ítem]),FALSE)=$E39,'1_Plantejament'!$B$9,""),"")</f>
        <v>2026</v>
      </c>
      <c r="C39">
        <f t="array" ref="C39">IFERROR(IF(VLOOKUP($E39,Avaluacio[],COLUMN(Avaluacio[Codi ítem]),FALSE)=$E39,'1_Plantejament'!$B$10,""),"")</f>
        <v>46206</v>
      </c>
      <c r="D39" s="6" t="str">
        <f t="array" ref="D39">IFERROR(IF(VLOOKUP($E39,Avaluacio[],COLUMN(Avaluacio[Codi ítem]),FALSE)=$E39,'1_Plantejament'!$B$7,""),"")</f>
        <v>Fase 5</v>
      </c>
      <c r="E39" s="6" t="str">
        <f t="array" ref="E39">IFERROR(INDEX(Avaluacio[Codi ítem],(MATCH(0,INDEX(COUNTIF(E$1:E38,Avaluacio[Codi ítem]),0,0)+INDEX(Avaluacio[Avaluable]="No",0,0),0))),"")</f>
        <v>XGO039</v>
      </c>
      <c r="F39" s="45" t="str">
        <f t="array" ref="F39">IFERROR(VLOOKUP(E39,Avaluacio[],COLUMN(Avaluacio[Ítem]),FALSE),"")</f>
        <v>Pla de mesures antifrau</v>
      </c>
      <c r="G39" t="str">
        <f t="array" ref="G39">IFERROR(VLOOKUP(E39,Avaluacio[],COLUMN(Avaluacio[Família]),FALSE),"")</f>
        <v>Informació institucional i organitzativa</v>
      </c>
      <c r="H39" t="str">
        <f t="array" ref="H39">IFERROR(VLOOKUP(E39,Avaluacio[],COLUMN(Avaluacio[Subfamília]),FALSE),"")</f>
        <v/>
      </c>
      <c r="I39" s="6" t="str">
        <f t="array" ref="I39">IFERROR(VLOOKUP(E39,Avaluacio[],COLUMN(Avaluacio[Contingut]),FALSE),"")</f>
        <v>Sí</v>
      </c>
      <c r="J39" s="6" t="str">
        <f t="array" ref="J39">IFERROR(VLOOKUP(E39,Avaluacio[],COLUMN(Avaluacio[Actualització]),FALSE),"")</f>
        <v>Sí</v>
      </c>
      <c r="K39" s="6" t="str">
        <f t="array" ref="K39">IFERROR(VLOOKUP(E39,Avaluacio[],COLUMN(#REF!),FALSE),"")</f>
        <v/>
      </c>
      <c r="L39" t="str">
        <f t="array" ref="L39">IFERROR(VLOOKUP(E39,Avaluacio[],COLUMN(Avaluacio[Grau de compliment]),FALSE),"")</f>
        <v>Compleix totalment</v>
      </c>
      <c r="M39" s="8">
        <f t="array" ref="M39">IFERROR(VLOOKUP(E39,Avaluacio[],COLUMN(Avaluacio[% compliment]),FALSE),"")</f>
        <v>1</v>
      </c>
    </row>
    <row r="40" spans="1:13" ht="55.2" x14ac:dyDescent="0.25">
      <c r="A40" t="str">
        <f t="array" ref="A40">IFERROR(IF(VLOOKUP($E40,Avaluacio[],COLUMN(Avaluacio[Codi ítem]),FALSE)=$E40,'1_Plantejament'!$B$5,""),"")</f>
        <v>Ajuntament de Blanes</v>
      </c>
      <c r="B40">
        <f t="array" ref="B40">IFERROR(IF(VLOOKUP($E40,Avaluacio[],COLUMN(Avaluacio[Codi ítem]),FALSE)=$E40,'1_Plantejament'!$B$9,""),"")</f>
        <v>2026</v>
      </c>
      <c r="C40">
        <f t="array" ref="C40">IFERROR(IF(VLOOKUP($E40,Avaluacio[],COLUMN(Avaluacio[Codi ítem]),FALSE)=$E40,'1_Plantejament'!$B$10,""),"")</f>
        <v>46206</v>
      </c>
      <c r="D40" s="6" t="str">
        <f t="array" ref="D40">IFERROR(IF(VLOOKUP($E40,Avaluacio[],COLUMN(Avaluacio[Codi ítem]),FALSE)=$E40,'1_Plantejament'!$B$7,""),"")</f>
        <v>Fase 5</v>
      </c>
      <c r="E40" s="6" t="str">
        <f t="array" ref="E40">IFERROR(INDEX(Avaluacio[Codi ítem],(MATCH(0,INDEX(COUNTIF(E$1:E39,Avaluacio[Codi ítem]),0,0)+INDEX(Avaluacio[Avaluable]="No",0,0),0))),"")</f>
        <v>XGO040</v>
      </c>
      <c r="F40" s="45" t="str">
        <f t="array" ref="F40">IFERROR(VLOOKUP(E40,Avaluacio[],COLUMN(Avaluacio[Ítem]),FALSE),"")</f>
        <v>Declaració institucional d’impuls de la política d’integritat i de lluita contra el frau</v>
      </c>
      <c r="G40" t="str">
        <f t="array" ref="G40">IFERROR(VLOOKUP(E40,Avaluacio[],COLUMN(Avaluacio[Família]),FALSE),"")</f>
        <v>Informació institucional i organitzativa</v>
      </c>
      <c r="H40" t="str">
        <f t="array" ref="H40">IFERROR(VLOOKUP(E40,Avaluacio[],COLUMN(Avaluacio[Subfamília]),FALSE),"")</f>
        <v/>
      </c>
      <c r="I40" s="6" t="str">
        <f t="array" ref="I40">IFERROR(VLOOKUP(E40,Avaluacio[],COLUMN(Avaluacio[Contingut]),FALSE),"")</f>
        <v>Sí</v>
      </c>
      <c r="J40" s="6" t="str">
        <f t="array" ref="J40">IFERROR(VLOOKUP(E40,Avaluacio[],COLUMN(Avaluacio[Actualització]),FALSE),"")</f>
        <v>Sí</v>
      </c>
      <c r="K40" s="6" t="str">
        <f t="array" ref="K40">IFERROR(VLOOKUP(E40,Avaluacio[],COLUMN(#REF!),FALSE),"")</f>
        <v/>
      </c>
      <c r="L40" t="str">
        <f t="array" ref="L40">IFERROR(VLOOKUP(E40,Avaluacio[],COLUMN(Avaluacio[Grau de compliment]),FALSE),"")</f>
        <v>Compleix totalment</v>
      </c>
      <c r="M40" s="8">
        <f t="array" ref="M40">IFERROR(VLOOKUP(E40,Avaluacio[],COLUMN(Avaluacio[% compliment]),FALSE),"")</f>
        <v>1</v>
      </c>
    </row>
    <row r="41" spans="1:13" ht="27.6" x14ac:dyDescent="0.25">
      <c r="A41" t="str">
        <f t="array" ref="A41">IFERROR(IF(VLOOKUP($E41,Avaluacio[],COLUMN(Avaluacio[Codi ítem]),FALSE)=$E41,'1_Plantejament'!$B$5,""),"")</f>
        <v>Ajuntament de Blanes</v>
      </c>
      <c r="B41">
        <f t="array" ref="B41">IFERROR(IF(VLOOKUP($E41,Avaluacio[],COLUMN(Avaluacio[Codi ítem]),FALSE)=$E41,'1_Plantejament'!$B$9,""),"")</f>
        <v>2026</v>
      </c>
      <c r="C41">
        <f t="array" ref="C41">IFERROR(IF(VLOOKUP($E41,Avaluacio[],COLUMN(Avaluacio[Codi ítem]),FALSE)=$E41,'1_Plantejament'!$B$10,""),"")</f>
        <v>46206</v>
      </c>
      <c r="D41" s="6" t="str">
        <f t="array" ref="D41">IFERROR(IF(VLOOKUP($E41,Avaluacio[],COLUMN(Avaluacio[Codi ítem]),FALSE)=$E41,'1_Plantejament'!$B$7,""),"")</f>
        <v>Fase 5</v>
      </c>
      <c r="E41" s="6" t="str">
        <f t="array" ref="E41">IFERROR(INDEX(Avaluacio[Codi ítem],(MATCH(0,INDEX(COUNTIF(E$1:E40,Avaluacio[Codi ítem]),0,0)+INDEX(Avaluacio[Avaluable]="No",0,0),0))),"")</f>
        <v>XGO041</v>
      </c>
      <c r="F41" s="45" t="str">
        <f t="array" ref="F41">IFERROR(VLOOKUP(E41,Avaluacio[],COLUMN(Avaluacio[Ítem]),FALSE),"")</f>
        <v>Canals d’alertes i sistema intern d’alertes (SIA)</v>
      </c>
      <c r="G41" t="str">
        <f t="array" ref="G41">IFERROR(VLOOKUP(E41,Avaluacio[],COLUMN(Avaluacio[Família]),FALSE),"")</f>
        <v>Informació institucional i organitzativa</v>
      </c>
      <c r="H41" t="str">
        <f t="array" ref="H41">IFERROR(VLOOKUP(E41,Avaluacio[],COLUMN(Avaluacio[Subfamília]),FALSE),"")</f>
        <v/>
      </c>
      <c r="I41" s="6" t="str">
        <f t="array" ref="I41">IFERROR(VLOOKUP(E41,Avaluacio[],COLUMN(Avaluacio[Contingut]),FALSE),"")</f>
        <v>Sí</v>
      </c>
      <c r="J41" s="6" t="str">
        <f t="array" ref="J41">IFERROR(VLOOKUP(E41,Avaluacio[],COLUMN(Avaluacio[Actualització]),FALSE),"")</f>
        <v>Sí</v>
      </c>
      <c r="K41" s="6" t="str">
        <f t="array" ref="K41">IFERROR(VLOOKUP(E41,Avaluacio[],COLUMN(#REF!),FALSE),"")</f>
        <v/>
      </c>
      <c r="L41" t="str">
        <f t="array" ref="L41">IFERROR(VLOOKUP(E41,Avaluacio[],COLUMN(Avaluacio[Grau de compliment]),FALSE),"")</f>
        <v>Compleix totalment</v>
      </c>
      <c r="M41" s="8">
        <f t="array" ref="M41">IFERROR(VLOOKUP(E41,Avaluacio[],COLUMN(Avaluacio[% compliment]),FALSE),"")</f>
        <v>1</v>
      </c>
    </row>
    <row r="42" spans="1:13" ht="27.6" x14ac:dyDescent="0.25">
      <c r="A42" t="str">
        <f t="array" ref="A42">IFERROR(IF(VLOOKUP($E42,Avaluacio[],COLUMN(Avaluacio[Codi ítem]),FALSE)=$E42,'1_Plantejament'!$B$5,""),"")</f>
        <v>Ajuntament de Blanes</v>
      </c>
      <c r="B42">
        <f t="array" ref="B42">IFERROR(IF(VLOOKUP($E42,Avaluacio[],COLUMN(Avaluacio[Codi ítem]),FALSE)=$E42,'1_Plantejament'!$B$9,""),"")</f>
        <v>2026</v>
      </c>
      <c r="C42">
        <f t="array" ref="C42">IFERROR(IF(VLOOKUP($E42,Avaluacio[],COLUMN(Avaluacio[Codi ítem]),FALSE)=$E42,'1_Plantejament'!$B$10,""),"")</f>
        <v>46206</v>
      </c>
      <c r="D42" s="6" t="str">
        <f t="array" ref="D42">IFERROR(IF(VLOOKUP($E42,Avaluacio[],COLUMN(Avaluacio[Codi ítem]),FALSE)=$E42,'1_Plantejament'!$B$7,""),"")</f>
        <v>Fase 5</v>
      </c>
      <c r="E42" s="6" t="str">
        <f t="array" ref="E42">IFERROR(INDEX(Avaluacio[Codi ítem],(MATCH(0,INDEX(COUNTIF(E$1:E41,Avaluacio[Codi ítem]),0,0)+INDEX(Avaluacio[Avaluable]="No",0,0),0))),"")</f>
        <v>XGO042</v>
      </c>
      <c r="F42" s="45" t="str">
        <f t="array" ref="F42">IFERROR(VLOOKUP(E42,Avaluacio[],COLUMN(Avaluacio[Ítem]),FALSE),"")</f>
        <v>Registre de grups d'interès</v>
      </c>
      <c r="G42" t="str">
        <f t="array" ref="G42">IFERROR(VLOOKUP(E42,Avaluacio[],COLUMN(Avaluacio[Família]),FALSE),"")</f>
        <v>Informació institucional i organitzativa</v>
      </c>
      <c r="H42" t="str">
        <f t="array" ref="H42">IFERROR(VLOOKUP(E42,Avaluacio[],COLUMN(Avaluacio[Subfamília]),FALSE),"")</f>
        <v/>
      </c>
      <c r="I42" s="6" t="str">
        <f t="array" ref="I42">IFERROR(VLOOKUP(E42,Avaluacio[],COLUMN(Avaluacio[Contingut]),FALSE),"")</f>
        <v>Sí</v>
      </c>
      <c r="J42" s="6" t="str">
        <f t="array" ref="J42">IFERROR(VLOOKUP(E42,Avaluacio[],COLUMN(Avaluacio[Actualització]),FALSE),"")</f>
        <v>Sí</v>
      </c>
      <c r="K42" s="6" t="str">
        <f t="array" ref="K42">IFERROR(VLOOKUP(E42,Avaluacio[],COLUMN(#REF!),FALSE),"")</f>
        <v/>
      </c>
      <c r="L42" t="str">
        <f t="array" ref="L42">IFERROR(VLOOKUP(E42,Avaluacio[],COLUMN(Avaluacio[Grau de compliment]),FALSE),"")</f>
        <v>Compleix totalment</v>
      </c>
      <c r="M42" s="8">
        <f t="array" ref="M42">IFERROR(VLOOKUP(E42,Avaluacio[],COLUMN(Avaluacio[% compliment]),FALSE),"")</f>
        <v>1</v>
      </c>
    </row>
    <row r="43" spans="1:13" ht="27.6" x14ac:dyDescent="0.25">
      <c r="A43" t="str">
        <f t="array" ref="A43">IFERROR(IF(VLOOKUP($E43,Avaluacio[],COLUMN(Avaluacio[Codi ítem]),FALSE)=$E43,'1_Plantejament'!$B$5,""),"")</f>
        <v>Ajuntament de Blanes</v>
      </c>
      <c r="B43">
        <f t="array" ref="B43">IFERROR(IF(VLOOKUP($E43,Avaluacio[],COLUMN(Avaluacio[Codi ítem]),FALSE)=$E43,'1_Plantejament'!$B$9,""),"")</f>
        <v>2026</v>
      </c>
      <c r="C43">
        <f t="array" ref="C43">IFERROR(IF(VLOOKUP($E43,Avaluacio[],COLUMN(Avaluacio[Codi ítem]),FALSE)=$E43,'1_Plantejament'!$B$10,""),"")</f>
        <v>46206</v>
      </c>
      <c r="D43" s="6" t="str">
        <f t="array" ref="D43">IFERROR(IF(VLOOKUP($E43,Avaluacio[],COLUMN(Avaluacio[Codi ítem]),FALSE)=$E43,'1_Plantejament'!$B$7,""),"")</f>
        <v>Fase 5</v>
      </c>
      <c r="E43" s="6" t="str">
        <f t="array" ref="E43">IFERROR(INDEX(Avaluacio[Codi ítem],(MATCH(0,INDEX(COUNTIF(E$1:E42,Avaluacio[Codi ítem]),0,0)+INDEX(Avaluacio[Avaluable]="No",0,0),0))),"")</f>
        <v>XGO043</v>
      </c>
      <c r="F43" s="45" t="str">
        <f t="array" ref="F43">IFERROR(VLOOKUP(E43,Avaluacio[],COLUMN(Avaluacio[Ítem]),FALSE),"")</f>
        <v>Codi de conducta dels grups d'interès</v>
      </c>
      <c r="G43" t="str">
        <f t="array" ref="G43">IFERROR(VLOOKUP(E43,Avaluacio[],COLUMN(Avaluacio[Família]),FALSE),"")</f>
        <v>Informació institucional i organitzativa</v>
      </c>
      <c r="H43" t="str">
        <f t="array" ref="H43">IFERROR(VLOOKUP(E43,Avaluacio[],COLUMN(Avaluacio[Subfamília]),FALSE),"")</f>
        <v/>
      </c>
      <c r="I43" s="6" t="str">
        <f t="array" ref="I43">IFERROR(VLOOKUP(E43,Avaluacio[],COLUMN(Avaluacio[Contingut]),FALSE),"")</f>
        <v>Sí</v>
      </c>
      <c r="J43" s="6" t="str">
        <f t="array" ref="J43">IFERROR(VLOOKUP(E43,Avaluacio[],COLUMN(Avaluacio[Actualització]),FALSE),"")</f>
        <v>Sí</v>
      </c>
      <c r="K43" s="6" t="str">
        <f t="array" ref="K43">IFERROR(VLOOKUP(E43,Avaluacio[],COLUMN(#REF!),FALSE),"")</f>
        <v/>
      </c>
      <c r="L43" t="str">
        <f t="array" ref="L43">IFERROR(VLOOKUP(E43,Avaluacio[],COLUMN(Avaluacio[Grau de compliment]),FALSE),"")</f>
        <v>Compleix totalment</v>
      </c>
      <c r="M43" s="8">
        <f t="array" ref="M43">IFERROR(VLOOKUP(E43,Avaluacio[],COLUMN(Avaluacio[% compliment]),FALSE),"")</f>
        <v>1</v>
      </c>
    </row>
    <row r="44" spans="1:13" ht="27.6" x14ac:dyDescent="0.25">
      <c r="A44" t="str">
        <f t="array" ref="A44">IFERROR(IF(VLOOKUP($E44,Avaluacio[],COLUMN(Avaluacio[Codi ítem]),FALSE)=$E44,'1_Plantejament'!$B$5,""),"")</f>
        <v>Ajuntament de Blanes</v>
      </c>
      <c r="B44">
        <f t="array" ref="B44">IFERROR(IF(VLOOKUP($E44,Avaluacio[],COLUMN(Avaluacio[Codi ítem]),FALSE)=$E44,'1_Plantejament'!$B$9,""),"")</f>
        <v>2026</v>
      </c>
      <c r="C44">
        <f t="array" ref="C44">IFERROR(IF(VLOOKUP($E44,Avaluacio[],COLUMN(Avaluacio[Codi ítem]),FALSE)=$E44,'1_Plantejament'!$B$10,""),"")</f>
        <v>46206</v>
      </c>
      <c r="D44" s="6" t="str">
        <f t="array" ref="D44">IFERROR(IF(VLOOKUP($E44,Avaluacio[],COLUMN(Avaluacio[Codi ítem]),FALSE)=$E44,'1_Plantejament'!$B$7,""),"")</f>
        <v>Fase 5</v>
      </c>
      <c r="E44" s="6" t="str">
        <f t="array" ref="E44">IFERROR(INDEX(Avaluacio[Codi ítem],(MATCH(0,INDEX(COUNTIF(E$1:E43,Avaluacio[Codi ítem]),0,0)+INDEX(Avaluacio[Avaluable]="No",0,0),0))),"")</f>
        <v>XGO044</v>
      </c>
      <c r="F44" s="45" t="str">
        <f t="array" ref="F44">IFERROR(VLOOKUP(E44,Avaluacio[],COLUMN(Avaluacio[Ítem]),FALSE),"")</f>
        <v>Comissió antifrau</v>
      </c>
      <c r="G44" t="str">
        <f t="array" ref="G44">IFERROR(VLOOKUP(E44,Avaluacio[],COLUMN(Avaluacio[Família]),FALSE),"")</f>
        <v>Informació institucional i organitzativa</v>
      </c>
      <c r="H44" t="str">
        <f t="array" ref="H44">IFERROR(VLOOKUP(E44,Avaluacio[],COLUMN(Avaluacio[Subfamília]),FALSE),"")</f>
        <v/>
      </c>
      <c r="I44" s="6" t="str">
        <f t="array" ref="I44">IFERROR(VLOOKUP(E44,Avaluacio[],COLUMN(Avaluacio[Contingut]),FALSE),"")</f>
        <v>Sí</v>
      </c>
      <c r="J44" s="6" t="str">
        <f t="array" ref="J44">IFERROR(VLOOKUP(E44,Avaluacio[],COLUMN(Avaluacio[Actualització]),FALSE),"")</f>
        <v>Sí</v>
      </c>
      <c r="K44" s="6" t="str">
        <f t="array" ref="K44">IFERROR(VLOOKUP(E44,Avaluacio[],COLUMN(#REF!),FALSE),"")</f>
        <v/>
      </c>
      <c r="L44" t="str">
        <f t="array" ref="L44">IFERROR(VLOOKUP(E44,Avaluacio[],COLUMN(Avaluacio[Grau de compliment]),FALSE),"")</f>
        <v>Compleix totalment</v>
      </c>
      <c r="M44" s="8">
        <f t="array" ref="M44">IFERROR(VLOOKUP(E44,Avaluacio[],COLUMN(Avaluacio[% compliment]),FALSE),"")</f>
        <v>1</v>
      </c>
    </row>
    <row r="45" spans="1:13" ht="27.6" x14ac:dyDescent="0.25">
      <c r="A45" t="str">
        <f t="array" ref="A45">IFERROR(IF(VLOOKUP($E45,Avaluacio[],COLUMN(Avaluacio[Codi ítem]),FALSE)=$E45,'1_Plantejament'!$B$5,""),"")</f>
        <v>Ajuntament de Blanes</v>
      </c>
      <c r="B45">
        <f t="array" ref="B45">IFERROR(IF(VLOOKUP($E45,Avaluacio[],COLUMN(Avaluacio[Codi ítem]),FALSE)=$E45,'1_Plantejament'!$B$9,""),"")</f>
        <v>2026</v>
      </c>
      <c r="C45">
        <f t="array" ref="C45">IFERROR(IF(VLOOKUP($E45,Avaluacio[],COLUMN(Avaluacio[Codi ítem]),FALSE)=$E45,'1_Plantejament'!$B$10,""),"")</f>
        <v>46206</v>
      </c>
      <c r="D45" s="6" t="str">
        <f t="array" ref="D45">IFERROR(IF(VLOOKUP($E45,Avaluacio[],COLUMN(Avaluacio[Codi ítem]),FALSE)=$E45,'1_Plantejament'!$B$7,""),"")</f>
        <v>Fase 5</v>
      </c>
      <c r="E45" s="6" t="str">
        <f t="array" ref="E45">IFERROR(INDEX(Avaluacio[Codi ítem],(MATCH(0,INDEX(COUNTIF(E$1:E44,Avaluacio[Codi ítem]),0,0)+INDEX(Avaluacio[Avaluable]="No",0,0),0))),"")</f>
        <v>XGO045</v>
      </c>
      <c r="F45" s="45" t="str">
        <f t="array" ref="F45">IFERROR(VLOOKUP(E45,Avaluacio[],COLUMN(Avaluacio[Ítem]),FALSE),"")</f>
        <v>Codi de conducta dels alts càrrecs i de bon govern</v>
      </c>
      <c r="G45" t="str">
        <f t="array" ref="G45">IFERROR(VLOOKUP(E45,Avaluacio[],COLUMN(Avaluacio[Família]),FALSE),"")</f>
        <v>Informació institucional i organitzativa</v>
      </c>
      <c r="H45" t="str">
        <f t="array" ref="H45">IFERROR(VLOOKUP(E45,Avaluacio[],COLUMN(Avaluacio[Subfamília]),FALSE),"")</f>
        <v/>
      </c>
      <c r="I45" s="6" t="str">
        <f t="array" ref="I45">IFERROR(VLOOKUP(E45,Avaluacio[],COLUMN(Avaluacio[Contingut]),FALSE),"")</f>
        <v>Sí</v>
      </c>
      <c r="J45" s="6" t="str">
        <f t="array" ref="J45">IFERROR(VLOOKUP(E45,Avaluacio[],COLUMN(Avaluacio[Actualització]),FALSE),"")</f>
        <v>Sí</v>
      </c>
      <c r="K45" s="6" t="str">
        <f t="array" ref="K45">IFERROR(VLOOKUP(E45,Avaluacio[],COLUMN(#REF!),FALSE),"")</f>
        <v/>
      </c>
      <c r="L45" t="str">
        <f t="array" ref="L45">IFERROR(VLOOKUP(E45,Avaluacio[],COLUMN(Avaluacio[Grau de compliment]),FALSE),"")</f>
        <v>Compleix totalment</v>
      </c>
      <c r="M45" s="8">
        <f t="array" ref="M45">IFERROR(VLOOKUP(E45,Avaluacio[],COLUMN(Avaluacio[% compliment]),FALSE),"")</f>
        <v>1</v>
      </c>
    </row>
    <row r="46" spans="1:13" ht="27.6" x14ac:dyDescent="0.25">
      <c r="A46" t="str">
        <f t="array" ref="A46">IFERROR(IF(VLOOKUP($E46,Avaluacio[],COLUMN(Avaluacio[Codi ítem]),FALSE)=$E46,'1_Plantejament'!$B$5,""),"")</f>
        <v>Ajuntament de Blanes</v>
      </c>
      <c r="B46">
        <f t="array" ref="B46">IFERROR(IF(VLOOKUP($E46,Avaluacio[],COLUMN(Avaluacio[Codi ítem]),FALSE)=$E46,'1_Plantejament'!$B$9,""),"")</f>
        <v>2026</v>
      </c>
      <c r="C46">
        <f t="array" ref="C46">IFERROR(IF(VLOOKUP($E46,Avaluacio[],COLUMN(Avaluacio[Codi ítem]),FALSE)=$E46,'1_Plantejament'!$B$10,""),"")</f>
        <v>46206</v>
      </c>
      <c r="D46" s="6" t="str">
        <f t="array" ref="D46">IFERROR(IF(VLOOKUP($E46,Avaluacio[],COLUMN(Avaluacio[Codi ítem]),FALSE)=$E46,'1_Plantejament'!$B$7,""),"")</f>
        <v>Fase 5</v>
      </c>
      <c r="E46" s="6" t="str">
        <f t="array" ref="E46">IFERROR(INDEX(Avaluacio[Codi ítem],(MATCH(0,INDEX(COUNTIF(E$1:E45,Avaluacio[Codi ítem]),0,0)+INDEX(Avaluacio[Avaluable]="No",0,0),0))),"")</f>
        <v>XGO046</v>
      </c>
      <c r="F46" s="45" t="str">
        <f t="array" ref="F46">IFERROR(VLOOKUP(E46,Avaluacio[],COLUMN(Avaluacio[Ítem]),FALSE),"")</f>
        <v>Actes de ple</v>
      </c>
      <c r="G46" t="str">
        <f t="array" ref="G46">IFERROR(VLOOKUP(E46,Avaluacio[],COLUMN(Avaluacio[Família]),FALSE),"")</f>
        <v>Acció de govern i normativa</v>
      </c>
      <c r="H46" t="str">
        <f t="array" ref="H46">IFERROR(VLOOKUP(E46,Avaluacio[],COLUMN(Avaluacio[Subfamília]),FALSE),"")</f>
        <v/>
      </c>
      <c r="I46" s="6" t="str">
        <f t="array" ref="I46">IFERROR(VLOOKUP(E46,Avaluacio[],COLUMN(Avaluacio[Contingut]),FALSE),"")</f>
        <v>Sí</v>
      </c>
      <c r="J46" s="6" t="str">
        <f t="array" ref="J46">IFERROR(VLOOKUP(E46,Avaluacio[],COLUMN(Avaluacio[Actualització]),FALSE),"")</f>
        <v>Sí</v>
      </c>
      <c r="K46" s="6" t="str">
        <f t="array" ref="K46">IFERROR(VLOOKUP(E46,Avaluacio[],COLUMN(#REF!),FALSE),"")</f>
        <v/>
      </c>
      <c r="L46" t="str">
        <f t="array" ref="L46">IFERROR(VLOOKUP(E46,Avaluacio[],COLUMN(Avaluacio[Grau de compliment]),FALSE),"")</f>
        <v>Compleix totalment</v>
      </c>
      <c r="M46" s="8">
        <f t="array" ref="M46">IFERROR(VLOOKUP(E46,Avaluacio[],COLUMN(Avaluacio[% compliment]),FALSE),"")</f>
        <v>1</v>
      </c>
    </row>
    <row r="47" spans="1:13" ht="27.6" x14ac:dyDescent="0.25">
      <c r="A47" t="str">
        <f t="array" ref="A47">IFERROR(IF(VLOOKUP($E47,Avaluacio[],COLUMN(Avaluacio[Codi ítem]),FALSE)=$E47,'1_Plantejament'!$B$5,""),"")</f>
        <v>Ajuntament de Blanes</v>
      </c>
      <c r="B47">
        <f t="array" ref="B47">IFERROR(IF(VLOOKUP($E47,Avaluacio[],COLUMN(Avaluacio[Codi ítem]),FALSE)=$E47,'1_Plantejament'!$B$9,""),"")</f>
        <v>2026</v>
      </c>
      <c r="C47">
        <f t="array" ref="C47">IFERROR(IF(VLOOKUP($E47,Avaluacio[],COLUMN(Avaluacio[Codi ítem]),FALSE)=$E47,'1_Plantejament'!$B$10,""),"")</f>
        <v>46206</v>
      </c>
      <c r="D47" s="6" t="str">
        <f t="array" ref="D47">IFERROR(IF(VLOOKUP($E47,Avaluacio[],COLUMN(Avaluacio[Codi ítem]),FALSE)=$E47,'1_Plantejament'!$B$7,""),"")</f>
        <v>Fase 5</v>
      </c>
      <c r="E47" s="6" t="str">
        <f t="array" ref="E47">IFERROR(INDEX(Avaluacio[Codi ítem],(MATCH(0,INDEX(COUNTIF(E$1:E46,Avaluacio[Codi ítem]),0,0)+INDEX(Avaluacio[Avaluable]="No",0,0),0))),"")</f>
        <v>XGO047</v>
      </c>
      <c r="F47" s="45" t="str">
        <f t="array" ref="F47">IFERROR(VLOOKUP(E47,Avaluacio[],COLUMN(Avaluacio[Ítem]),FALSE),"")</f>
        <v>Acords de junta de govern</v>
      </c>
      <c r="G47" t="str">
        <f t="array" ref="G47">IFERROR(VLOOKUP(E47,Avaluacio[],COLUMN(Avaluacio[Família]),FALSE),"")</f>
        <v>Acció de govern i normativa</v>
      </c>
      <c r="H47" t="str">
        <f t="array" ref="H47">IFERROR(VLOOKUP(E47,Avaluacio[],COLUMN(Avaluacio[Subfamília]),FALSE),"")</f>
        <v/>
      </c>
      <c r="I47" s="6" t="str">
        <f t="array" ref="I47">IFERROR(VLOOKUP(E47,Avaluacio[],COLUMN(Avaluacio[Contingut]),FALSE),"")</f>
        <v>Sí</v>
      </c>
      <c r="J47" s="6" t="str">
        <f t="array" ref="J47">IFERROR(VLOOKUP(E47,Avaluacio[],COLUMN(Avaluacio[Actualització]),FALSE),"")</f>
        <v>Sí</v>
      </c>
      <c r="K47" s="6" t="str">
        <f t="array" ref="K47">IFERROR(VLOOKUP(E47,Avaluacio[],COLUMN(#REF!),FALSE),"")</f>
        <v/>
      </c>
      <c r="L47" t="str">
        <f t="array" ref="L47">IFERROR(VLOOKUP(E47,Avaluacio[],COLUMN(Avaluacio[Grau de compliment]),FALSE),"")</f>
        <v>Compleix totalment</v>
      </c>
      <c r="M47" s="8">
        <f t="array" ref="M47">IFERROR(VLOOKUP(E47,Avaluacio[],COLUMN(Avaluacio[% compliment]),FALSE),"")</f>
        <v>1</v>
      </c>
    </row>
    <row r="48" spans="1:13" x14ac:dyDescent="0.25">
      <c r="A48" t="str">
        <f t="array" ref="A48">IFERROR(IF(VLOOKUP($E48,Avaluacio[],COLUMN(Avaluacio[Codi ítem]),FALSE)=$E48,'1_Plantejament'!$B$5,""),"")</f>
        <v>Ajuntament de Blanes</v>
      </c>
      <c r="B48">
        <f t="array" ref="B48">IFERROR(IF(VLOOKUP($E48,Avaluacio[],COLUMN(Avaluacio[Codi ítem]),FALSE)=$E48,'1_Plantejament'!$B$9,""),"")</f>
        <v>2026</v>
      </c>
      <c r="C48">
        <f t="array" ref="C48">IFERROR(IF(VLOOKUP($E48,Avaluacio[],COLUMN(Avaluacio[Codi ítem]),FALSE)=$E48,'1_Plantejament'!$B$10,""),"")</f>
        <v>46206</v>
      </c>
      <c r="D48" s="6" t="str">
        <f t="array" ref="D48">IFERROR(IF(VLOOKUP($E48,Avaluacio[],COLUMN(Avaluacio[Codi ítem]),FALSE)=$E48,'1_Plantejament'!$B$7,""),"")</f>
        <v>Fase 5</v>
      </c>
      <c r="E48" s="6" t="str">
        <f t="array" ref="E48">IFERROR(INDEX(Avaluacio[Codi ítem],(MATCH(0,INDEX(COUNTIF(E$1:E47,Avaluacio[Codi ítem]),0,0)+INDEX(Avaluacio[Avaluable]="No",0,0),0))),"")</f>
        <v>XGO048</v>
      </c>
      <c r="F48" s="45" t="str">
        <f t="array" ref="F48">IFERROR(VLOOKUP(E48,Avaluacio[],COLUMN(Avaluacio[Ítem]),FALSE),"")</f>
        <v>Acords d'òrgans de govern</v>
      </c>
      <c r="G48" t="str">
        <f t="array" ref="G48">IFERROR(VLOOKUP(E48,Avaluacio[],COLUMN(Avaluacio[Família]),FALSE),"")</f>
        <v>Acció de govern i normativa</v>
      </c>
      <c r="H48" t="str">
        <f t="array" ref="H48">IFERROR(VLOOKUP(E48,Avaluacio[],COLUMN(Avaluacio[Subfamília]),FALSE),"")</f>
        <v/>
      </c>
      <c r="I48" s="6" t="str">
        <f t="array" ref="I48">IFERROR(VLOOKUP(E48,Avaluacio[],COLUMN(Avaluacio[Contingut]),FALSE),"")</f>
        <v>No</v>
      </c>
      <c r="J48" s="6" t="str">
        <f t="array" ref="J48">IFERROR(VLOOKUP(E48,Avaluacio[],COLUMN(Avaluacio[Actualització]),FALSE),"")</f>
        <v>No</v>
      </c>
      <c r="K48" s="6" t="str">
        <f t="array" ref="K48">IFERROR(VLOOKUP(E48,Avaluacio[],COLUMN(#REF!),FALSE),"")</f>
        <v/>
      </c>
      <c r="L48" t="str">
        <f t="array" ref="L48">IFERROR(VLOOKUP(E48,Avaluacio[],COLUMN(Avaluacio[Grau de compliment]),FALSE),"")</f>
        <v>No compleix</v>
      </c>
      <c r="M48" s="8">
        <f t="array" ref="M48">IFERROR(VLOOKUP(E48,Avaluacio[],COLUMN(Avaluacio[% compliment]),FALSE),"")</f>
        <v>0</v>
      </c>
    </row>
    <row r="49" spans="1:13" ht="27.6" x14ac:dyDescent="0.25">
      <c r="A49" t="str">
        <f t="array" ref="A49">IFERROR(IF(VLOOKUP($E49,Avaluacio[],COLUMN(Avaluacio[Codi ítem]),FALSE)=$E49,'1_Plantejament'!$B$5,""),"")</f>
        <v>Ajuntament de Blanes</v>
      </c>
      <c r="B49">
        <f t="array" ref="B49">IFERROR(IF(VLOOKUP($E49,Avaluacio[],COLUMN(Avaluacio[Codi ítem]),FALSE)=$E49,'1_Plantejament'!$B$9,""),"")</f>
        <v>2026</v>
      </c>
      <c r="C49">
        <f t="array" ref="C49">IFERROR(IF(VLOOKUP($E49,Avaluacio[],COLUMN(Avaluacio[Codi ítem]),FALSE)=$E49,'1_Plantejament'!$B$10,""),"")</f>
        <v>46206</v>
      </c>
      <c r="D49" s="6" t="str">
        <f t="array" ref="D49">IFERROR(IF(VLOOKUP($E49,Avaluacio[],COLUMN(Avaluacio[Codi ítem]),FALSE)=$E49,'1_Plantejament'!$B$7,""),"")</f>
        <v>Fase 5</v>
      </c>
      <c r="E49" s="6" t="str">
        <f t="array" ref="E49">IFERROR(INDEX(Avaluacio[Codi ítem],(MATCH(0,INDEX(COUNTIF(E$1:E48,Avaluacio[Codi ítem]),0,0)+INDEX(Avaluacio[Avaluable]="No",0,0),0))),"")</f>
        <v>XGO049</v>
      </c>
      <c r="F49" s="45" t="str">
        <f t="array" ref="F49">IFERROR(VLOOKUP(E49,Avaluacio[],COLUMN(Avaluacio[Ítem]),FALSE),"")</f>
        <v>Resolucions i decrets</v>
      </c>
      <c r="G49" t="str">
        <f t="array" ref="G49">IFERROR(VLOOKUP(E49,Avaluacio[],COLUMN(Avaluacio[Família]),FALSE),"")</f>
        <v>Acció de govern i normativa</v>
      </c>
      <c r="H49" t="str">
        <f t="array" ref="H49">IFERROR(VLOOKUP(E49,Avaluacio[],COLUMN(Avaluacio[Subfamília]),FALSE),"")</f>
        <v/>
      </c>
      <c r="I49" s="6" t="str">
        <f t="array" ref="I49">IFERROR(VLOOKUP(E49,Avaluacio[],COLUMN(Avaluacio[Contingut]),FALSE),"")</f>
        <v>Sí</v>
      </c>
      <c r="J49" s="6" t="str">
        <f t="array" ref="J49">IFERROR(VLOOKUP(E49,Avaluacio[],COLUMN(Avaluacio[Actualització]),FALSE),"")</f>
        <v>Sí</v>
      </c>
      <c r="K49" s="6" t="str">
        <f t="array" ref="K49">IFERROR(VLOOKUP(E49,Avaluacio[],COLUMN(#REF!),FALSE),"")</f>
        <v/>
      </c>
      <c r="L49" t="str">
        <f t="array" ref="L49">IFERROR(VLOOKUP(E49,Avaluacio[],COLUMN(Avaluacio[Grau de compliment]),FALSE),"")</f>
        <v>Compleix totalment</v>
      </c>
      <c r="M49" s="8">
        <f t="array" ref="M49">IFERROR(VLOOKUP(E49,Avaluacio[],COLUMN(Avaluacio[% compliment]),FALSE),"")</f>
        <v>1</v>
      </c>
    </row>
    <row r="50" spans="1:13" ht="27.6" x14ac:dyDescent="0.25">
      <c r="A50" t="str">
        <f t="array" ref="A50">IFERROR(IF(VLOOKUP($E50,Avaluacio[],COLUMN(Avaluacio[Codi ítem]),FALSE)=$E50,'1_Plantejament'!$B$5,""),"")</f>
        <v>Ajuntament de Blanes</v>
      </c>
      <c r="B50">
        <f t="array" ref="B50">IFERROR(IF(VLOOKUP($E50,Avaluacio[],COLUMN(Avaluacio[Codi ítem]),FALSE)=$E50,'1_Plantejament'!$B$9,""),"")</f>
        <v>2026</v>
      </c>
      <c r="C50">
        <f t="array" ref="C50">IFERROR(IF(VLOOKUP($E50,Avaluacio[],COLUMN(Avaluacio[Codi ítem]),FALSE)=$E50,'1_Plantejament'!$B$10,""),"")</f>
        <v>46206</v>
      </c>
      <c r="D50" s="6" t="str">
        <f t="array" ref="D50">IFERROR(IF(VLOOKUP($E50,Avaluacio[],COLUMN(Avaluacio[Codi ítem]),FALSE)=$E50,'1_Plantejament'!$B$7,""),"")</f>
        <v>Fase 5</v>
      </c>
      <c r="E50" s="6" t="str">
        <f t="array" ref="E50">IFERROR(INDEX(Avaluacio[Codi ítem],(MATCH(0,INDEX(COUNTIF(E$1:E49,Avaluacio[Codi ítem]),0,0)+INDEX(Avaluacio[Avaluable]="No",0,0),0))),"")</f>
        <v>XGO050</v>
      </c>
      <c r="F50" s="45" t="str">
        <f t="array" ref="F50">IFERROR(VLOOKUP(E50,Avaluacio[],COLUMN(Avaluacio[Ítem]),FALSE),"")</f>
        <v>Tauler d'edictes i anuncis</v>
      </c>
      <c r="G50" t="str">
        <f t="array" ref="G50">IFERROR(VLOOKUP(E50,Avaluacio[],COLUMN(Avaluacio[Família]),FALSE),"")</f>
        <v>Acció de govern i normativa</v>
      </c>
      <c r="H50" t="str">
        <f t="array" ref="H50">IFERROR(VLOOKUP(E50,Avaluacio[],COLUMN(Avaluacio[Subfamília]),FALSE),"")</f>
        <v/>
      </c>
      <c r="I50" s="6" t="str">
        <f t="array" ref="I50">IFERROR(VLOOKUP(E50,Avaluacio[],COLUMN(Avaluacio[Contingut]),FALSE),"")</f>
        <v>Sí</v>
      </c>
      <c r="J50" s="6" t="str">
        <f t="array" ref="J50">IFERROR(VLOOKUP(E50,Avaluacio[],COLUMN(Avaluacio[Actualització]),FALSE),"")</f>
        <v>Sí</v>
      </c>
      <c r="K50" s="6" t="str">
        <f t="array" ref="K50">IFERROR(VLOOKUP(E50,Avaluacio[],COLUMN(#REF!),FALSE),"")</f>
        <v/>
      </c>
      <c r="L50" t="str">
        <f t="array" ref="L50">IFERROR(VLOOKUP(E50,Avaluacio[],COLUMN(Avaluacio[Grau de compliment]),FALSE),"")</f>
        <v>Compleix totalment</v>
      </c>
      <c r="M50" s="8">
        <f t="array" ref="M50">IFERROR(VLOOKUP(E50,Avaluacio[],COLUMN(Avaluacio[% compliment]),FALSE),"")</f>
        <v>1</v>
      </c>
    </row>
    <row r="51" spans="1:13" ht="27.6" x14ac:dyDescent="0.25">
      <c r="A51" t="str">
        <f t="array" ref="A51">IFERROR(IF(VLOOKUP($E51,Avaluacio[],COLUMN(Avaluacio[Codi ítem]),FALSE)=$E51,'1_Plantejament'!$B$5,""),"")</f>
        <v>Ajuntament de Blanes</v>
      </c>
      <c r="B51">
        <f t="array" ref="B51">IFERROR(IF(VLOOKUP($E51,Avaluacio[],COLUMN(Avaluacio[Codi ítem]),FALSE)=$E51,'1_Plantejament'!$B$9,""),"")</f>
        <v>2026</v>
      </c>
      <c r="C51">
        <f t="array" ref="C51">IFERROR(IF(VLOOKUP($E51,Avaluacio[],COLUMN(Avaluacio[Codi ítem]),FALSE)=$E51,'1_Plantejament'!$B$10,""),"")</f>
        <v>46206</v>
      </c>
      <c r="D51" s="6" t="str">
        <f t="array" ref="D51">IFERROR(IF(VLOOKUP($E51,Avaluacio[],COLUMN(Avaluacio[Codi ítem]),FALSE)=$E51,'1_Plantejament'!$B$7,""),"")</f>
        <v>Fase 5</v>
      </c>
      <c r="E51" s="6" t="str">
        <f t="array" ref="E51">IFERROR(INDEX(Avaluacio[Codi ítem],(MATCH(0,INDEX(COUNTIF(E$1:E50,Avaluacio[Codi ítem]),0,0)+INDEX(Avaluacio[Avaluable]="No",0,0),0))),"")</f>
        <v>XGO051</v>
      </c>
      <c r="F51" s="45" t="str">
        <f t="array" ref="F51">IFERROR(VLOOKUP(E51,Avaluacio[],COLUMN(Avaluacio[Ítem]),FALSE),"")</f>
        <v>Convocatòries de sessions del ple</v>
      </c>
      <c r="G51" t="str">
        <f t="array" ref="G51">IFERROR(VLOOKUP(E51,Avaluacio[],COLUMN(Avaluacio[Família]),FALSE),"")</f>
        <v>Acció de govern i normativa</v>
      </c>
      <c r="H51" t="str">
        <f t="array" ref="H51">IFERROR(VLOOKUP(E51,Avaluacio[],COLUMN(Avaluacio[Subfamília]),FALSE),"")</f>
        <v/>
      </c>
      <c r="I51" s="6" t="str">
        <f t="array" ref="I51">IFERROR(VLOOKUP(E51,Avaluacio[],COLUMN(Avaluacio[Contingut]),FALSE),"")</f>
        <v>Sí</v>
      </c>
      <c r="J51" s="6" t="str">
        <f t="array" ref="J51">IFERROR(VLOOKUP(E51,Avaluacio[],COLUMN(Avaluacio[Actualització]),FALSE),"")</f>
        <v>Sí</v>
      </c>
      <c r="K51" s="6" t="str">
        <f t="array" ref="K51">IFERROR(VLOOKUP(E51,Avaluacio[],COLUMN(#REF!),FALSE),"")</f>
        <v/>
      </c>
      <c r="L51" t="str">
        <f t="array" ref="L51">IFERROR(VLOOKUP(E51,Avaluacio[],COLUMN(Avaluacio[Grau de compliment]),FALSE),"")</f>
        <v>Compleix totalment</v>
      </c>
      <c r="M51" s="8">
        <f t="array" ref="M51">IFERROR(VLOOKUP(E51,Avaluacio[],COLUMN(Avaluacio[% compliment]),FALSE),"")</f>
        <v>1</v>
      </c>
    </row>
    <row r="52" spans="1:13" ht="41.4" x14ac:dyDescent="0.25">
      <c r="A52" t="str">
        <f t="array" ref="A52">IFERROR(IF(VLOOKUP($E52,Avaluacio[],COLUMN(Avaluacio[Codi ítem]),FALSE)=$E52,'1_Plantejament'!$B$5,""),"")</f>
        <v>Ajuntament de Blanes</v>
      </c>
      <c r="B52">
        <f t="array" ref="B52">IFERROR(IF(VLOOKUP($E52,Avaluacio[],COLUMN(Avaluacio[Codi ítem]),FALSE)=$E52,'1_Plantejament'!$B$9,""),"")</f>
        <v>2026</v>
      </c>
      <c r="C52">
        <f t="array" ref="C52">IFERROR(IF(VLOOKUP($E52,Avaluacio[],COLUMN(Avaluacio[Codi ítem]),FALSE)=$E52,'1_Plantejament'!$B$10,""),"")</f>
        <v>46206</v>
      </c>
      <c r="D52" s="6" t="str">
        <f t="array" ref="D52">IFERROR(IF(VLOOKUP($E52,Avaluacio[],COLUMN(Avaluacio[Codi ítem]),FALSE)=$E52,'1_Plantejament'!$B$7,""),"")</f>
        <v>Fase 5</v>
      </c>
      <c r="E52" s="6" t="str">
        <f t="array" ref="E52">IFERROR(INDEX(Avaluacio[Codi ítem],(MATCH(0,INDEX(COUNTIF(E$1:E51,Avaluacio[Codi ítem]),0,0)+INDEX(Avaluacio[Avaluable]="No",0,0),0))),"")</f>
        <v>XGO052</v>
      </c>
      <c r="F52" s="45" t="str">
        <f t="array" ref="F52">IFERROR(VLOOKUP(E52,Avaluacio[],COLUMN(Avaluacio[Ítem]),FALSE),"")</f>
        <v>Actes administratius amb incidència al domini públic i als serveis públics</v>
      </c>
      <c r="G52" t="str">
        <f t="array" ref="G52">IFERROR(VLOOKUP(E52,Avaluacio[],COLUMN(Avaluacio[Família]),FALSE),"")</f>
        <v>Acció de govern i normativa</v>
      </c>
      <c r="H52" t="str">
        <f t="array" ref="H52">IFERROR(VLOOKUP(E52,Avaluacio[],COLUMN(Avaluacio[Subfamília]),FALSE),"")</f>
        <v/>
      </c>
      <c r="I52" s="6" t="str">
        <f t="array" ref="I52">IFERROR(VLOOKUP(E52,Avaluacio[],COLUMN(Avaluacio[Contingut]),FALSE),"")</f>
        <v>Sí</v>
      </c>
      <c r="J52" s="6" t="str">
        <f t="array" ref="J52">IFERROR(VLOOKUP(E52,Avaluacio[],COLUMN(Avaluacio[Actualització]),FALSE),"")</f>
        <v>Sí</v>
      </c>
      <c r="K52" s="6" t="str">
        <f t="array" ref="K52">IFERROR(VLOOKUP(E52,Avaluacio[],COLUMN(#REF!),FALSE),"")</f>
        <v/>
      </c>
      <c r="L52" t="str">
        <f t="array" ref="L52">IFERROR(VLOOKUP(E52,Avaluacio[],COLUMN(Avaluacio[Grau de compliment]),FALSE),"")</f>
        <v>Compleix totalment</v>
      </c>
      <c r="M52" s="8">
        <f t="array" ref="M52">IFERROR(VLOOKUP(E52,Avaluacio[],COLUMN(Avaluacio[% compliment]),FALSE),"")</f>
        <v>1</v>
      </c>
    </row>
    <row r="53" spans="1:13" ht="27.6" x14ac:dyDescent="0.25">
      <c r="A53" t="str">
        <f t="array" ref="A53">IFERROR(IF(VLOOKUP($E53,Avaluacio[],COLUMN(Avaluacio[Codi ítem]),FALSE)=$E53,'1_Plantejament'!$B$5,""),"")</f>
        <v>Ajuntament de Blanes</v>
      </c>
      <c r="B53">
        <f t="array" ref="B53">IFERROR(IF(VLOOKUP($E53,Avaluacio[],COLUMN(Avaluacio[Codi ítem]),FALSE)=$E53,'1_Plantejament'!$B$9,""),"")</f>
        <v>2026</v>
      </c>
      <c r="C53">
        <f t="array" ref="C53">IFERROR(IF(VLOOKUP($E53,Avaluacio[],COLUMN(Avaluacio[Codi ítem]),FALSE)=$E53,'1_Plantejament'!$B$10,""),"")</f>
        <v>46206</v>
      </c>
      <c r="D53" s="6" t="str">
        <f t="array" ref="D53">IFERROR(IF(VLOOKUP($E53,Avaluacio[],COLUMN(Avaluacio[Codi ítem]),FALSE)=$E53,'1_Plantejament'!$B$7,""),"")</f>
        <v>Fase 5</v>
      </c>
      <c r="E53" s="6" t="str">
        <f t="array" ref="E53">IFERROR(INDEX(Avaluacio[Codi ítem],(MATCH(0,INDEX(COUNTIF(E$1:E52,Avaluacio[Codi ítem]),0,0)+INDEX(Avaluacio[Avaluable]="No",0,0),0))),"")</f>
        <v>XGO053</v>
      </c>
      <c r="F53" s="45" t="str">
        <f t="array" ref="F53">IFERROR(VLOOKUP(E53,Avaluacio[],COLUMN(Avaluacio[Ítem]),FALSE),"")</f>
        <v>Actes objecte de revisió en via administrativa</v>
      </c>
      <c r="G53" t="str">
        <f t="array" ref="G53">IFERROR(VLOOKUP(E53,Avaluacio[],COLUMN(Avaluacio[Família]),FALSE),"")</f>
        <v>Acció de govern i normativa</v>
      </c>
      <c r="H53" t="str">
        <f t="array" ref="H53">IFERROR(VLOOKUP(E53,Avaluacio[],COLUMN(Avaluacio[Subfamília]),FALSE),"")</f>
        <v/>
      </c>
      <c r="I53" s="6" t="str">
        <f t="array" ref="I53">IFERROR(VLOOKUP(E53,Avaluacio[],COLUMN(Avaluacio[Contingut]),FALSE),"")</f>
        <v>No</v>
      </c>
      <c r="J53" s="6" t="str">
        <f t="array" ref="J53">IFERROR(VLOOKUP(E53,Avaluacio[],COLUMN(Avaluacio[Actualització]),FALSE),"")</f>
        <v>No</v>
      </c>
      <c r="K53" s="6" t="str">
        <f t="array" ref="K53">IFERROR(VLOOKUP(E53,Avaluacio[],COLUMN(#REF!),FALSE),"")</f>
        <v/>
      </c>
      <c r="L53" t="str">
        <f t="array" ref="L53">IFERROR(VLOOKUP(E53,Avaluacio[],COLUMN(Avaluacio[Grau de compliment]),FALSE),"")</f>
        <v>No compleix</v>
      </c>
      <c r="M53" s="8">
        <f t="array" ref="M53">IFERROR(VLOOKUP(E53,Avaluacio[],COLUMN(Avaluacio[% compliment]),FALSE),"")</f>
        <v>0</v>
      </c>
    </row>
    <row r="54" spans="1:13" ht="27.6" x14ac:dyDescent="0.25">
      <c r="A54" t="str">
        <f t="array" ref="A54">IFERROR(IF(VLOOKUP($E54,Avaluacio[],COLUMN(Avaluacio[Codi ítem]),FALSE)=$E54,'1_Plantejament'!$B$5,""),"")</f>
        <v>Ajuntament de Blanes</v>
      </c>
      <c r="B54">
        <f t="array" ref="B54">IFERROR(IF(VLOOKUP($E54,Avaluacio[],COLUMN(Avaluacio[Codi ítem]),FALSE)=$E54,'1_Plantejament'!$B$9,""),"")</f>
        <v>2026</v>
      </c>
      <c r="C54">
        <f t="array" ref="C54">IFERROR(IF(VLOOKUP($E54,Avaluacio[],COLUMN(Avaluacio[Codi ítem]),FALSE)=$E54,'1_Plantejament'!$B$10,""),"")</f>
        <v>46206</v>
      </c>
      <c r="D54" s="6" t="str">
        <f t="array" ref="D54">IFERROR(IF(VLOOKUP($E54,Avaluacio[],COLUMN(Avaluacio[Codi ítem]),FALSE)=$E54,'1_Plantejament'!$B$7,""),"")</f>
        <v>Fase 5</v>
      </c>
      <c r="E54" s="6" t="str">
        <f t="array" ref="E54">IFERROR(INDEX(Avaluacio[Codi ítem],(MATCH(0,INDEX(COUNTIF(E$1:E53,Avaluacio[Codi ítem]),0,0)+INDEX(Avaluacio[Avaluable]="No",0,0),0))),"")</f>
        <v>XGO054</v>
      </c>
      <c r="F54" s="45" t="str">
        <f t="array" ref="F54">IFERROR(VLOOKUP(E54,Avaluacio[],COLUMN(Avaluacio[Ítem]),FALSE),"")</f>
        <v>Resolucions administratives i judicials rellevants</v>
      </c>
      <c r="G54" t="str">
        <f t="array" ref="G54">IFERROR(VLOOKUP(E54,Avaluacio[],COLUMN(Avaluacio[Família]),FALSE),"")</f>
        <v>Acció de govern i normativa</v>
      </c>
      <c r="H54" t="str">
        <f t="array" ref="H54">IFERROR(VLOOKUP(E54,Avaluacio[],COLUMN(Avaluacio[Subfamília]),FALSE),"")</f>
        <v/>
      </c>
      <c r="I54" s="6" t="str">
        <f t="array" ref="I54">IFERROR(VLOOKUP(E54,Avaluacio[],COLUMN(Avaluacio[Contingut]),FALSE),"")</f>
        <v>Sí</v>
      </c>
      <c r="J54" s="6" t="str">
        <f t="array" ref="J54">IFERROR(VLOOKUP(E54,Avaluacio[],COLUMN(Avaluacio[Actualització]),FALSE),"")</f>
        <v>Sí</v>
      </c>
      <c r="K54" s="6" t="str">
        <f t="array" ref="K54">IFERROR(VLOOKUP(E54,Avaluacio[],COLUMN(#REF!),FALSE),"")</f>
        <v/>
      </c>
      <c r="L54" t="str">
        <f t="array" ref="L54">IFERROR(VLOOKUP(E54,Avaluacio[],COLUMN(Avaluacio[Grau de compliment]),FALSE),"")</f>
        <v>Compleix totalment</v>
      </c>
      <c r="M54" s="8">
        <f t="array" ref="M54">IFERROR(VLOOKUP(E54,Avaluacio[],COLUMN(Avaluacio[% compliment]),FALSE),"")</f>
        <v>1</v>
      </c>
    </row>
    <row r="55" spans="1:13" ht="41.4" x14ac:dyDescent="0.25">
      <c r="A55" t="str">
        <f t="array" ref="A55">IFERROR(IF(VLOOKUP($E55,Avaluacio[],COLUMN(Avaluacio[Codi ítem]),FALSE)=$E55,'1_Plantejament'!$B$5,""),"")</f>
        <v>Ajuntament de Blanes</v>
      </c>
      <c r="B55">
        <f t="array" ref="B55">IFERROR(IF(VLOOKUP($E55,Avaluacio[],COLUMN(Avaluacio[Codi ítem]),FALSE)=$E55,'1_Plantejament'!$B$9,""),"")</f>
        <v>2026</v>
      </c>
      <c r="C55">
        <f t="array" ref="C55">IFERROR(IF(VLOOKUP($E55,Avaluacio[],COLUMN(Avaluacio[Codi ítem]),FALSE)=$E55,'1_Plantejament'!$B$10,""),"")</f>
        <v>46206</v>
      </c>
      <c r="D55" s="6" t="str">
        <f t="array" ref="D55">IFERROR(IF(VLOOKUP($E55,Avaluacio[],COLUMN(Avaluacio[Codi ítem]),FALSE)=$E55,'1_Plantejament'!$B$7,""),"")</f>
        <v>Fase 5</v>
      </c>
      <c r="E55" s="6" t="str">
        <f t="array" ref="E55">IFERROR(INDEX(Avaluacio[Codi ítem],(MATCH(0,INDEX(COUNTIF(E$1:E54,Avaluacio[Codi ítem]),0,0)+INDEX(Avaluacio[Avaluable]="No",0,0),0))),"")</f>
        <v>XGO055</v>
      </c>
      <c r="F55" s="45" t="str">
        <f t="array" ref="F55">IFERROR(VLOOKUP(E55,Avaluacio[],COLUMN(Avaluacio[Ítem]),FALSE),"")</f>
        <v>Dictàmens de la Comissió Jurídica Assessora i altres òrgans consultius</v>
      </c>
      <c r="G55" t="str">
        <f t="array" ref="G55">IFERROR(VLOOKUP(E55,Avaluacio[],COLUMN(Avaluacio[Família]),FALSE),"")</f>
        <v>Acció de govern i normativa</v>
      </c>
      <c r="H55" t="str">
        <f t="array" ref="H55">IFERROR(VLOOKUP(E55,Avaluacio[],COLUMN(Avaluacio[Subfamília]),FALSE),"")</f>
        <v/>
      </c>
      <c r="I55" s="6" t="str">
        <f t="array" ref="I55">IFERROR(VLOOKUP(E55,Avaluacio[],COLUMN(Avaluacio[Contingut]),FALSE),"")</f>
        <v>Sí</v>
      </c>
      <c r="J55" s="6" t="str">
        <f t="array" ref="J55">IFERROR(VLOOKUP(E55,Avaluacio[],COLUMN(Avaluacio[Actualització]),FALSE),"")</f>
        <v>Sí</v>
      </c>
      <c r="K55" s="6" t="str">
        <f t="array" ref="K55">IFERROR(VLOOKUP(E55,Avaluacio[],COLUMN(#REF!),FALSE),"")</f>
        <v/>
      </c>
      <c r="L55" t="str">
        <f t="array" ref="L55">IFERROR(VLOOKUP(E55,Avaluacio[],COLUMN(Avaluacio[Grau de compliment]),FALSE),"")</f>
        <v>Compleix totalment</v>
      </c>
      <c r="M55" s="8">
        <f t="array" ref="M55">IFERROR(VLOOKUP(E55,Avaluacio[],COLUMN(Avaluacio[% compliment]),FALSE),"")</f>
        <v>1</v>
      </c>
    </row>
    <row r="56" spans="1:13" ht="41.4" x14ac:dyDescent="0.25">
      <c r="A56" t="str">
        <f t="array" ref="A56">IFERROR(IF(VLOOKUP($E56,Avaluacio[],COLUMN(Avaluacio[Codi ítem]),FALSE)=$E56,'1_Plantejament'!$B$5,""),"")</f>
        <v>Ajuntament de Blanes</v>
      </c>
      <c r="B56">
        <f t="array" ref="B56">IFERROR(IF(VLOOKUP($E56,Avaluacio[],COLUMN(Avaluacio[Codi ítem]),FALSE)=$E56,'1_Plantejament'!$B$9,""),"")</f>
        <v>2026</v>
      </c>
      <c r="C56">
        <f t="array" ref="C56">IFERROR(IF(VLOOKUP($E56,Avaluacio[],COLUMN(Avaluacio[Codi ítem]),FALSE)=$E56,'1_Plantejament'!$B$10,""),"")</f>
        <v>46206</v>
      </c>
      <c r="D56" s="6" t="str">
        <f t="array" ref="D56">IFERROR(IF(VLOOKUP($E56,Avaluacio[],COLUMN(Avaluacio[Codi ítem]),FALSE)=$E56,'1_Plantejament'!$B$7,""),"")</f>
        <v>Fase 5</v>
      </c>
      <c r="E56" s="6" t="str">
        <f t="array" ref="E56">IFERROR(INDEX(Avaluacio[Codi ítem],(MATCH(0,INDEX(COUNTIF(E$1:E55,Avaluacio[Codi ítem]),0,0)+INDEX(Avaluacio[Avaluable]="No",0,0),0))),"")</f>
        <v>XGO056</v>
      </c>
      <c r="F56" s="45" t="str">
        <f t="array" ref="F56">IFERROR(VLOOKUP(E56,Avaluacio[],COLUMN(Avaluacio[Ítem]),FALSE),"")</f>
        <v>Notícies i opinions sobre les actuacions de govern i de l'oposició</v>
      </c>
      <c r="G56" t="str">
        <f t="array" ref="G56">IFERROR(VLOOKUP(E56,Avaluacio[],COLUMN(Avaluacio[Família]),FALSE),"")</f>
        <v>Acció de govern i normativa</v>
      </c>
      <c r="H56" t="str">
        <f t="array" ref="H56">IFERROR(VLOOKUP(E56,Avaluacio[],COLUMN(Avaluacio[Subfamília]),FALSE),"")</f>
        <v/>
      </c>
      <c r="I56" s="6" t="str">
        <f t="array" ref="I56">IFERROR(VLOOKUP(E56,Avaluacio[],COLUMN(Avaluacio[Contingut]),FALSE),"")</f>
        <v>Sí</v>
      </c>
      <c r="J56" s="6" t="str">
        <f t="array" ref="J56">IFERROR(VLOOKUP(E56,Avaluacio[],COLUMN(Avaluacio[Actualització]),FALSE),"")</f>
        <v>Sí</v>
      </c>
      <c r="K56" s="6" t="str">
        <f t="array" ref="K56">IFERROR(VLOOKUP(E56,Avaluacio[],COLUMN(#REF!),FALSE),"")</f>
        <v/>
      </c>
      <c r="L56" t="str">
        <f t="array" ref="L56">IFERROR(VLOOKUP(E56,Avaluacio[],COLUMN(Avaluacio[Grau de compliment]),FALSE),"")</f>
        <v>Compleix totalment</v>
      </c>
      <c r="M56" s="8">
        <f t="array" ref="M56">IFERROR(VLOOKUP(E56,Avaluacio[],COLUMN(Avaluacio[% compliment]),FALSE),"")</f>
        <v>1</v>
      </c>
    </row>
    <row r="57" spans="1:13" ht="27.6" x14ac:dyDescent="0.25">
      <c r="A57" t="str">
        <f t="array" ref="A57">IFERROR(IF(VLOOKUP($E57,Avaluacio[],COLUMN(Avaluacio[Codi ítem]),FALSE)=$E57,'1_Plantejament'!$B$5,""),"")</f>
        <v>Ajuntament de Blanes</v>
      </c>
      <c r="B57">
        <f t="array" ref="B57">IFERROR(IF(VLOOKUP($E57,Avaluacio[],COLUMN(Avaluacio[Codi ítem]),FALSE)=$E57,'1_Plantejament'!$B$9,""),"")</f>
        <v>2026</v>
      </c>
      <c r="C57">
        <f t="array" ref="C57">IFERROR(IF(VLOOKUP($E57,Avaluacio[],COLUMN(Avaluacio[Codi ítem]),FALSE)=$E57,'1_Plantejament'!$B$10,""),"")</f>
        <v>46206</v>
      </c>
      <c r="D57" s="6" t="str">
        <f t="array" ref="D57">IFERROR(IF(VLOOKUP($E57,Avaluacio[],COLUMN(Avaluacio[Codi ítem]),FALSE)=$E57,'1_Plantejament'!$B$7,""),"")</f>
        <v>Fase 5</v>
      </c>
      <c r="E57" s="6" t="str">
        <f t="array" ref="E57">IFERROR(INDEX(Avaluacio[Codi ítem],(MATCH(0,INDEX(COUNTIF(E$1:E56,Avaluacio[Codi ítem]),0,0)+INDEX(Avaluacio[Avaluable]="No",0,0),0))),"")</f>
        <v>XGO057</v>
      </c>
      <c r="F57" s="45" t="str">
        <f t="array" ref="F57">IFERROR(VLOOKUP(E57,Avaluacio[],COLUMN(Avaluacio[Ítem]),FALSE),"")</f>
        <v>Opinions i propostes dels grups municipals</v>
      </c>
      <c r="G57" t="str">
        <f t="array" ref="G57">IFERROR(VLOOKUP(E57,Avaluacio[],COLUMN(Avaluacio[Família]),FALSE),"")</f>
        <v>Acció de govern i normativa</v>
      </c>
      <c r="H57" t="str">
        <f t="array" ref="H57">IFERROR(VLOOKUP(E57,Avaluacio[],COLUMN(Avaluacio[Subfamília]),FALSE),"")</f>
        <v/>
      </c>
      <c r="I57" s="6" t="str">
        <f t="array" ref="I57">IFERROR(VLOOKUP(E57,Avaluacio[],COLUMN(Avaluacio[Contingut]),FALSE),"")</f>
        <v>Sí</v>
      </c>
      <c r="J57" s="6" t="str">
        <f t="array" ref="J57">IFERROR(VLOOKUP(E57,Avaluacio[],COLUMN(Avaluacio[Actualització]),FALSE),"")</f>
        <v>Sí</v>
      </c>
      <c r="K57" s="6" t="str">
        <f t="array" ref="K57">IFERROR(VLOOKUP(E57,Avaluacio[],COLUMN(#REF!),FALSE),"")</f>
        <v/>
      </c>
      <c r="L57" t="str">
        <f t="array" ref="L57">IFERROR(VLOOKUP(E57,Avaluacio[],COLUMN(Avaluacio[Grau de compliment]),FALSE),"")</f>
        <v>Compleix totalment</v>
      </c>
      <c r="M57" s="8">
        <f t="array" ref="M57">IFERROR(VLOOKUP(E57,Avaluacio[],COLUMN(Avaluacio[% compliment]),FALSE),"")</f>
        <v>1</v>
      </c>
    </row>
    <row r="58" spans="1:13" ht="41.4" x14ac:dyDescent="0.25">
      <c r="A58" t="str">
        <f t="array" ref="A58">IFERROR(IF(VLOOKUP($E58,Avaluacio[],COLUMN(Avaluacio[Codi ítem]),FALSE)=$E58,'1_Plantejament'!$B$5,""),"")</f>
        <v>Ajuntament de Blanes</v>
      </c>
      <c r="B58">
        <f t="array" ref="B58">IFERROR(IF(VLOOKUP($E58,Avaluacio[],COLUMN(Avaluacio[Codi ítem]),FALSE)=$E58,'1_Plantejament'!$B$9,""),"")</f>
        <v>2026</v>
      </c>
      <c r="C58">
        <f t="array" ref="C58">IFERROR(IF(VLOOKUP($E58,Avaluacio[],COLUMN(Avaluacio[Codi ítem]),FALSE)=$E58,'1_Plantejament'!$B$10,""),"")</f>
        <v>46206</v>
      </c>
      <c r="D58" s="6" t="str">
        <f t="array" ref="D58">IFERROR(IF(VLOOKUP($E58,Avaluacio[],COLUMN(Avaluacio[Codi ítem]),FALSE)=$E58,'1_Plantejament'!$B$7,""),"")</f>
        <v>Fase 5</v>
      </c>
      <c r="E58" s="6" t="str">
        <f t="array" ref="E58">IFERROR(INDEX(Avaluacio[Codi ítem],(MATCH(0,INDEX(COUNTIF(E$1:E57,Avaluacio[Codi ítem]),0,0)+INDEX(Avaluacio[Avaluable]="No",0,0),0))),"")</f>
        <v>XGO058</v>
      </c>
      <c r="F58" s="45" t="str">
        <f t="array" ref="F58">IFERROR(VLOOKUP(E58,Avaluacio[],COLUMN(Avaluacio[Ítem]),FALSE),"")</f>
        <v>Resolucions de les sol·licituds d’accés a la informació pública</v>
      </c>
      <c r="G58" t="str">
        <f t="array" ref="G58">IFERROR(VLOOKUP(E58,Avaluacio[],COLUMN(Avaluacio[Família]),FALSE),"")</f>
        <v>Acció de govern i normativa</v>
      </c>
      <c r="H58" t="str">
        <f t="array" ref="H58">IFERROR(VLOOKUP(E58,Avaluacio[],COLUMN(Avaluacio[Subfamília]),FALSE),"")</f>
        <v/>
      </c>
      <c r="I58" s="6" t="str">
        <f t="array" ref="I58">IFERROR(VLOOKUP(E58,Avaluacio[],COLUMN(Avaluacio[Contingut]),FALSE),"")</f>
        <v>Sí</v>
      </c>
      <c r="J58" s="6" t="str">
        <f t="array" ref="J58">IFERROR(VLOOKUP(E58,Avaluacio[],COLUMN(Avaluacio[Actualització]),FALSE),"")</f>
        <v>Sí</v>
      </c>
      <c r="K58" s="6" t="str">
        <f t="array" ref="K58">IFERROR(VLOOKUP(E58,Avaluacio[],COLUMN(#REF!),FALSE),"")</f>
        <v/>
      </c>
      <c r="L58" t="str">
        <f t="array" ref="L58">IFERROR(VLOOKUP(E58,Avaluacio[],COLUMN(Avaluacio[Grau de compliment]),FALSE),"")</f>
        <v>Compleix totalment</v>
      </c>
      <c r="M58" s="8">
        <f t="array" ref="M58">IFERROR(VLOOKUP(E58,Avaluacio[],COLUMN(Avaluacio[% compliment]),FALSE),"")</f>
        <v>1</v>
      </c>
    </row>
    <row r="59" spans="1:13" ht="27.6" x14ac:dyDescent="0.25">
      <c r="A59" t="str">
        <f t="array" ref="A59">IFERROR(IF(VLOOKUP($E59,Avaluacio[],COLUMN(Avaluacio[Codi ítem]),FALSE)=$E59,'1_Plantejament'!$B$5,""),"")</f>
        <v>Ajuntament de Blanes</v>
      </c>
      <c r="B59">
        <f t="array" ref="B59">IFERROR(IF(VLOOKUP($E59,Avaluacio[],COLUMN(Avaluacio[Codi ítem]),FALSE)=$E59,'1_Plantejament'!$B$9,""),"")</f>
        <v>2026</v>
      </c>
      <c r="C59">
        <f t="array" ref="C59">IFERROR(IF(VLOOKUP($E59,Avaluacio[],COLUMN(Avaluacio[Codi ítem]),FALSE)=$E59,'1_Plantejament'!$B$10,""),"")</f>
        <v>46206</v>
      </c>
      <c r="D59" s="6" t="str">
        <f t="array" ref="D59">IFERROR(IF(VLOOKUP($E59,Avaluacio[],COLUMN(Avaluacio[Codi ítem]),FALSE)=$E59,'1_Plantejament'!$B$7,""),"")</f>
        <v>Fase 5</v>
      </c>
      <c r="E59" s="6" t="str">
        <f t="array" ref="E59">IFERROR(INDEX(Avaluacio[Codi ítem],(MATCH(0,INDEX(COUNTIF(E$1:E58,Avaluacio[Codi ítem]),0,0)+INDEX(Avaluacio[Avaluable]="No",0,0),0))),"")</f>
        <v>XGO059</v>
      </c>
      <c r="F59" s="45" t="str">
        <f t="array" ref="F59">IFERROR(VLOOKUP(E59,Avaluacio[],COLUMN(Avaluacio[Ítem]),FALSE),"")</f>
        <v>Estatuts</v>
      </c>
      <c r="G59" t="str">
        <f t="array" ref="G59">IFERROR(VLOOKUP(E59,Avaluacio[],COLUMN(Avaluacio[Família]),FALSE),"")</f>
        <v>Acció de govern i normativa</v>
      </c>
      <c r="H59" t="str">
        <f t="array" ref="H59">IFERROR(VLOOKUP(E59,Avaluacio[],COLUMN(Avaluacio[Subfamília]),FALSE),"")</f>
        <v/>
      </c>
      <c r="I59" s="6" t="str">
        <f t="array" ref="I59">IFERROR(VLOOKUP(E59,Avaluacio[],COLUMN(Avaluacio[Contingut]),FALSE),"")</f>
        <v>Sí</v>
      </c>
      <c r="J59" s="6" t="str">
        <f t="array" ref="J59">IFERROR(VLOOKUP(E59,Avaluacio[],COLUMN(Avaluacio[Actualització]),FALSE),"")</f>
        <v>Sí</v>
      </c>
      <c r="K59" s="6" t="str">
        <f t="array" ref="K59">IFERROR(VLOOKUP(E59,Avaluacio[],COLUMN(#REF!),FALSE),"")</f>
        <v/>
      </c>
      <c r="L59" t="str">
        <f t="array" ref="L59">IFERROR(VLOOKUP(E59,Avaluacio[],COLUMN(Avaluacio[Grau de compliment]),FALSE),"")</f>
        <v>Compleix totalment</v>
      </c>
      <c r="M59" s="8">
        <f t="array" ref="M59">IFERROR(VLOOKUP(E59,Avaluacio[],COLUMN(Avaluacio[% compliment]),FALSE),"")</f>
        <v>1</v>
      </c>
    </row>
    <row r="60" spans="1:13" ht="27.6" x14ac:dyDescent="0.25">
      <c r="A60" t="str">
        <f t="array" ref="A60">IFERROR(IF(VLOOKUP($E60,Avaluacio[],COLUMN(Avaluacio[Codi ítem]),FALSE)=$E60,'1_Plantejament'!$B$5,""),"")</f>
        <v>Ajuntament de Blanes</v>
      </c>
      <c r="B60">
        <f t="array" ref="B60">IFERROR(IF(VLOOKUP($E60,Avaluacio[],COLUMN(Avaluacio[Codi ítem]),FALSE)=$E60,'1_Plantejament'!$B$9,""),"")</f>
        <v>2026</v>
      </c>
      <c r="C60">
        <f t="array" ref="C60">IFERROR(IF(VLOOKUP($E60,Avaluacio[],COLUMN(Avaluacio[Codi ítem]),FALSE)=$E60,'1_Plantejament'!$B$10,""),"")</f>
        <v>46206</v>
      </c>
      <c r="D60" s="6" t="str">
        <f t="array" ref="D60">IFERROR(IF(VLOOKUP($E60,Avaluacio[],COLUMN(Avaluacio[Codi ítem]),FALSE)=$E60,'1_Plantejament'!$B$7,""),"")</f>
        <v>Fase 5</v>
      </c>
      <c r="E60" s="6" t="str">
        <f t="array" ref="E60">IFERROR(INDEX(Avaluacio[Codi ítem],(MATCH(0,INDEX(COUNTIF(E$1:E59,Avaluacio[Codi ítem]),0,0)+INDEX(Avaluacio[Avaluable]="No",0,0),0))),"")</f>
        <v>XGO060</v>
      </c>
      <c r="F60" s="45" t="str">
        <f t="array" ref="F60">IFERROR(VLOOKUP(E60,Avaluacio[],COLUMN(Avaluacio[Ítem]),FALSE),"")</f>
        <v>Ordenances reguladores i reglaments</v>
      </c>
      <c r="G60" t="str">
        <f t="array" ref="G60">IFERROR(VLOOKUP(E60,Avaluacio[],COLUMN(Avaluacio[Família]),FALSE),"")</f>
        <v>Acció de govern i normativa</v>
      </c>
      <c r="H60" t="str">
        <f t="array" ref="H60">IFERROR(VLOOKUP(E60,Avaluacio[],COLUMN(Avaluacio[Subfamília]),FALSE),"")</f>
        <v/>
      </c>
      <c r="I60" s="6" t="str">
        <f t="array" ref="I60">IFERROR(VLOOKUP(E60,Avaluacio[],COLUMN(Avaluacio[Contingut]),FALSE),"")</f>
        <v>Sí</v>
      </c>
      <c r="J60" s="6" t="str">
        <f t="array" ref="J60">IFERROR(VLOOKUP(E60,Avaluacio[],COLUMN(Avaluacio[Actualització]),FALSE),"")</f>
        <v>Sí</v>
      </c>
      <c r="K60" s="6" t="str">
        <f t="array" ref="K60">IFERROR(VLOOKUP(E60,Avaluacio[],COLUMN(#REF!),FALSE),"")</f>
        <v/>
      </c>
      <c r="L60" t="str">
        <f t="array" ref="L60">IFERROR(VLOOKUP(E60,Avaluacio[],COLUMN(Avaluacio[Grau de compliment]),FALSE),"")</f>
        <v>Compleix totalment</v>
      </c>
      <c r="M60" s="8">
        <f t="array" ref="M60">IFERROR(VLOOKUP(E60,Avaluacio[],COLUMN(Avaluacio[% compliment]),FALSE),"")</f>
        <v>1</v>
      </c>
    </row>
    <row r="61" spans="1:13" ht="27.6" x14ac:dyDescent="0.25">
      <c r="A61" t="str">
        <f t="array" ref="A61">IFERROR(IF(VLOOKUP($E61,Avaluacio[],COLUMN(Avaluacio[Codi ítem]),FALSE)=$E61,'1_Plantejament'!$B$5,""),"")</f>
        <v>Ajuntament de Blanes</v>
      </c>
      <c r="B61">
        <f t="array" ref="B61">IFERROR(IF(VLOOKUP($E61,Avaluacio[],COLUMN(Avaluacio[Codi ítem]),FALSE)=$E61,'1_Plantejament'!$B$9,""),"")</f>
        <v>2026</v>
      </c>
      <c r="C61">
        <f t="array" ref="C61">IFERROR(IF(VLOOKUP($E61,Avaluacio[],COLUMN(Avaluacio[Codi ítem]),FALSE)=$E61,'1_Plantejament'!$B$10,""),"")</f>
        <v>46206</v>
      </c>
      <c r="D61" s="6" t="str">
        <f t="array" ref="D61">IFERROR(IF(VLOOKUP($E61,Avaluacio[],COLUMN(Avaluacio[Codi ítem]),FALSE)=$E61,'1_Plantejament'!$B$7,""),"")</f>
        <v>Fase 5</v>
      </c>
      <c r="E61" s="6" t="str">
        <f t="array" ref="E61">IFERROR(INDEX(Avaluacio[Codi ítem],(MATCH(0,INDEX(COUNTIF(E$1:E60,Avaluacio[Codi ítem]),0,0)+INDEX(Avaluacio[Avaluable]="No",0,0),0))),"")</f>
        <v>XGO061</v>
      </c>
      <c r="F61" s="45" t="str">
        <f t="array" ref="F61">IFERROR(VLOOKUP(E61,Avaluacio[],COLUMN(Avaluacio[Ítem]),FALSE),"")</f>
        <v>Ordenances fiscals</v>
      </c>
      <c r="G61" t="str">
        <f t="array" ref="G61">IFERROR(VLOOKUP(E61,Avaluacio[],COLUMN(Avaluacio[Família]),FALSE),"")</f>
        <v>Acció de govern i normativa</v>
      </c>
      <c r="H61" t="str">
        <f t="array" ref="H61">IFERROR(VLOOKUP(E61,Avaluacio[],COLUMN(Avaluacio[Subfamília]),FALSE),"")</f>
        <v/>
      </c>
      <c r="I61" s="6" t="str">
        <f t="array" ref="I61">IFERROR(VLOOKUP(E61,Avaluacio[],COLUMN(Avaluacio[Contingut]),FALSE),"")</f>
        <v>Sí</v>
      </c>
      <c r="J61" s="6" t="str">
        <f t="array" ref="J61">IFERROR(VLOOKUP(E61,Avaluacio[],COLUMN(Avaluacio[Actualització]),FALSE),"")</f>
        <v>Sí</v>
      </c>
      <c r="K61" s="6" t="str">
        <f t="array" ref="K61">IFERROR(VLOOKUP(E61,Avaluacio[],COLUMN(#REF!),FALSE),"")</f>
        <v/>
      </c>
      <c r="L61" t="str">
        <f t="array" ref="L61">IFERROR(VLOOKUP(E61,Avaluacio[],COLUMN(Avaluacio[Grau de compliment]),FALSE),"")</f>
        <v>Compleix totalment</v>
      </c>
      <c r="M61" s="8">
        <f t="array" ref="M61">IFERROR(VLOOKUP(E61,Avaluacio[],COLUMN(Avaluacio[% compliment]),FALSE),"")</f>
        <v>1</v>
      </c>
    </row>
    <row r="62" spans="1:13" x14ac:dyDescent="0.25">
      <c r="A62" t="str">
        <f t="array" ref="A62">IFERROR(IF(VLOOKUP($E62,Avaluacio[],COLUMN(Avaluacio[Codi ítem]),FALSE)=$E62,'1_Plantejament'!$B$5,""),"")</f>
        <v>Ajuntament de Blanes</v>
      </c>
      <c r="B62">
        <f t="array" ref="B62">IFERROR(IF(VLOOKUP($E62,Avaluacio[],COLUMN(Avaluacio[Codi ítem]),FALSE)=$E62,'1_Plantejament'!$B$9,""),"")</f>
        <v>2026</v>
      </c>
      <c r="C62">
        <f t="array" ref="C62">IFERROR(IF(VLOOKUP($E62,Avaluacio[],COLUMN(Avaluacio[Codi ítem]),FALSE)=$E62,'1_Plantejament'!$B$10,""),"")</f>
        <v>46206</v>
      </c>
      <c r="D62" s="6" t="str">
        <f t="array" ref="D62">IFERROR(IF(VLOOKUP($E62,Avaluacio[],COLUMN(Avaluacio[Codi ítem]),FALSE)=$E62,'1_Plantejament'!$B$7,""),"")</f>
        <v>Fase 5</v>
      </c>
      <c r="E62" s="6" t="str">
        <f t="array" ref="E62">IFERROR(INDEX(Avaluacio[Codi ítem],(MATCH(0,INDEX(COUNTIF(E$1:E61,Avaluacio[Codi ítem]),0,0)+INDEX(Avaluacio[Avaluable]="No",0,0),0))),"")</f>
        <v>XGO062</v>
      </c>
      <c r="F62" s="45" t="str">
        <f t="array" ref="F62">IFERROR(VLOOKUP(E62,Avaluacio[],COLUMN(Avaluacio[Ítem]),FALSE),"")</f>
        <v>Plecs de clàusules generals</v>
      </c>
      <c r="G62" t="str">
        <f t="array" ref="G62">IFERROR(VLOOKUP(E62,Avaluacio[],COLUMN(Avaluacio[Família]),FALSE),"")</f>
        <v>Acció de govern i normativa</v>
      </c>
      <c r="H62" t="str">
        <f t="array" ref="H62">IFERROR(VLOOKUP(E62,Avaluacio[],COLUMN(Avaluacio[Subfamília]),FALSE),"")</f>
        <v/>
      </c>
      <c r="I62" s="6" t="str">
        <f t="array" ref="I62">IFERROR(VLOOKUP(E62,Avaluacio[],COLUMN(Avaluacio[Contingut]),FALSE),"")</f>
        <v>No</v>
      </c>
      <c r="J62" s="6" t="str">
        <f t="array" ref="J62">IFERROR(VLOOKUP(E62,Avaluacio[],COLUMN(Avaluacio[Actualització]),FALSE),"")</f>
        <v>No</v>
      </c>
      <c r="K62" s="6" t="str">
        <f t="array" ref="K62">IFERROR(VLOOKUP(E62,Avaluacio[],COLUMN(#REF!),FALSE),"")</f>
        <v/>
      </c>
      <c r="L62" t="str">
        <f t="array" ref="L62">IFERROR(VLOOKUP(E62,Avaluacio[],COLUMN(Avaluacio[Grau de compliment]),FALSE),"")</f>
        <v>No compleix</v>
      </c>
      <c r="M62" s="8">
        <f t="array" ref="M62">IFERROR(VLOOKUP(E62,Avaluacio[],COLUMN(Avaluacio[% compliment]),FALSE),"")</f>
        <v>0</v>
      </c>
    </row>
    <row r="63" spans="1:13" ht="41.4" x14ac:dyDescent="0.25">
      <c r="A63" t="str">
        <f t="array" ref="A63">IFERROR(IF(VLOOKUP($E63,Avaluacio[],COLUMN(Avaluacio[Codi ítem]),FALSE)=$E63,'1_Plantejament'!$B$5,""),"")</f>
        <v>Ajuntament de Blanes</v>
      </c>
      <c r="B63">
        <f t="array" ref="B63">IFERROR(IF(VLOOKUP($E63,Avaluacio[],COLUMN(Avaluacio[Codi ítem]),FALSE)=$E63,'1_Plantejament'!$B$9,""),"")</f>
        <v>2026</v>
      </c>
      <c r="C63">
        <f t="array" ref="C63">IFERROR(IF(VLOOKUP($E63,Avaluacio[],COLUMN(Avaluacio[Codi ítem]),FALSE)=$E63,'1_Plantejament'!$B$10,""),"")</f>
        <v>46206</v>
      </c>
      <c r="D63" s="6" t="str">
        <f t="array" ref="D63">IFERROR(IF(VLOOKUP($E63,Avaluacio[],COLUMN(Avaluacio[Codi ítem]),FALSE)=$E63,'1_Plantejament'!$B$7,""),"")</f>
        <v>Fase 5</v>
      </c>
      <c r="E63" s="6" t="str">
        <f t="array" ref="E63">IFERROR(INDEX(Avaluacio[Codi ítem],(MATCH(0,INDEX(COUNTIF(E$1:E62,Avaluacio[Codi ítem]),0,0)+INDEX(Avaluacio[Avaluable]="No",0,0),0))),"")</f>
        <v>XGO063</v>
      </c>
      <c r="F63" s="45" t="str">
        <f t="array" ref="F63">IFERROR(VLOOKUP(E63,Avaluacio[],COLUMN(Avaluacio[Ítem]),FALSE),"")</f>
        <v>Directives, instruccions, circulars i respostes a consultes sobre les normes</v>
      </c>
      <c r="G63" t="str">
        <f t="array" ref="G63">IFERROR(VLOOKUP(E63,Avaluacio[],COLUMN(Avaluacio[Família]),FALSE),"")</f>
        <v>Acció de govern i normativa</v>
      </c>
      <c r="H63" t="str">
        <f t="array" ref="H63">IFERROR(VLOOKUP(E63,Avaluacio[],COLUMN(Avaluacio[Subfamília]),FALSE),"")</f>
        <v/>
      </c>
      <c r="I63" s="6" t="str">
        <f t="array" ref="I63">IFERROR(VLOOKUP(E63,Avaluacio[],COLUMN(Avaluacio[Contingut]),FALSE),"")</f>
        <v>Sí</v>
      </c>
      <c r="J63" s="6" t="str">
        <f t="array" ref="J63">IFERROR(VLOOKUP(E63,Avaluacio[],COLUMN(Avaluacio[Actualització]),FALSE),"")</f>
        <v>Sí</v>
      </c>
      <c r="K63" s="6" t="str">
        <f t="array" ref="K63">IFERROR(VLOOKUP(E63,Avaluacio[],COLUMN(#REF!),FALSE),"")</f>
        <v/>
      </c>
      <c r="L63" t="str">
        <f t="array" ref="L63">IFERROR(VLOOKUP(E63,Avaluacio[],COLUMN(Avaluacio[Grau de compliment]),FALSE),"")</f>
        <v>Compleix totalment</v>
      </c>
      <c r="M63" s="8">
        <f t="array" ref="M63">IFERROR(VLOOKUP(E63,Avaluacio[],COLUMN(Avaluacio[% compliment]),FALSE),"")</f>
        <v>1</v>
      </c>
    </row>
    <row r="64" spans="1:13" ht="27.6" x14ac:dyDescent="0.25">
      <c r="A64" t="str">
        <f t="array" ref="A64">IFERROR(IF(VLOOKUP($E64,Avaluacio[],COLUMN(Avaluacio[Codi ítem]),FALSE)=$E64,'1_Plantejament'!$B$5,""),"")</f>
        <v>Ajuntament de Blanes</v>
      </c>
      <c r="B64">
        <f t="array" ref="B64">IFERROR(IF(VLOOKUP($E64,Avaluacio[],COLUMN(Avaluacio[Codi ítem]),FALSE)=$E64,'1_Plantejament'!$B$9,""),"")</f>
        <v>2026</v>
      </c>
      <c r="C64">
        <f t="array" ref="C64">IFERROR(IF(VLOOKUP($E64,Avaluacio[],COLUMN(Avaluacio[Codi ítem]),FALSE)=$E64,'1_Plantejament'!$B$10,""),"")</f>
        <v>46206</v>
      </c>
      <c r="D64" s="6" t="str">
        <f t="array" ref="D64">IFERROR(IF(VLOOKUP($E64,Avaluacio[],COLUMN(Avaluacio[Codi ítem]),FALSE)=$E64,'1_Plantejament'!$B$7,""),"")</f>
        <v>Fase 5</v>
      </c>
      <c r="E64" s="6" t="str">
        <f t="array" ref="E64">IFERROR(INDEX(Avaluacio[Codi ítem],(MATCH(0,INDEX(COUNTIF(E$1:E63,Avaluacio[Codi ítem]),0,0)+INDEX(Avaluacio[Avaluable]="No",0,0),0))),"")</f>
        <v>XGO064</v>
      </c>
      <c r="F64" s="45" t="str">
        <f t="array" ref="F64">IFERROR(VLOOKUP(E64,Avaluacio[],COLUMN(Avaluacio[Ítem]),FALSE),"")</f>
        <v>Memòries i documents dels projectes normatius en curs</v>
      </c>
      <c r="G64" t="str">
        <f t="array" ref="G64">IFERROR(VLOOKUP(E64,Avaluacio[],COLUMN(Avaluacio[Família]),FALSE),"")</f>
        <v>Acció de govern i normativa</v>
      </c>
      <c r="H64" t="str">
        <f t="array" ref="H64">IFERROR(VLOOKUP(E64,Avaluacio[],COLUMN(Avaluacio[Subfamília]),FALSE),"")</f>
        <v/>
      </c>
      <c r="I64" s="6" t="str">
        <f t="array" ref="I64">IFERROR(VLOOKUP(E64,Avaluacio[],COLUMN(Avaluacio[Contingut]),FALSE),"")</f>
        <v>Sí</v>
      </c>
      <c r="J64" s="6" t="str">
        <f t="array" ref="J64">IFERROR(VLOOKUP(E64,Avaluacio[],COLUMN(Avaluacio[Actualització]),FALSE),"")</f>
        <v>Sí</v>
      </c>
      <c r="K64" s="6" t="str">
        <f t="array" ref="K64">IFERROR(VLOOKUP(E64,Avaluacio[],COLUMN(#REF!),FALSE),"")</f>
        <v/>
      </c>
      <c r="L64" t="str">
        <f t="array" ref="L64">IFERROR(VLOOKUP(E64,Avaluacio[],COLUMN(Avaluacio[Grau de compliment]),FALSE),"")</f>
        <v>Compleix totalment</v>
      </c>
      <c r="M64" s="8">
        <f t="array" ref="M64">IFERROR(VLOOKUP(E64,Avaluacio[],COLUMN(Avaluacio[% compliment]),FALSE),"")</f>
        <v>1</v>
      </c>
    </row>
    <row r="65" spans="1:13" ht="27.6" x14ac:dyDescent="0.25">
      <c r="A65" t="str">
        <f t="array" ref="A65">IFERROR(IF(VLOOKUP($E65,Avaluacio[],COLUMN(Avaluacio[Codi ítem]),FALSE)=$E65,'1_Plantejament'!$B$5,""),"")</f>
        <v>Ajuntament de Blanes</v>
      </c>
      <c r="B65">
        <f t="array" ref="B65">IFERROR(IF(VLOOKUP($E65,Avaluacio[],COLUMN(Avaluacio[Codi ítem]),FALSE)=$E65,'1_Plantejament'!$B$9,""),"")</f>
        <v>2026</v>
      </c>
      <c r="C65">
        <f t="array" ref="C65">IFERROR(IF(VLOOKUP($E65,Avaluacio[],COLUMN(Avaluacio[Codi ítem]),FALSE)=$E65,'1_Plantejament'!$B$10,""),"")</f>
        <v>46206</v>
      </c>
      <c r="D65" s="6" t="str">
        <f t="array" ref="D65">IFERROR(IF(VLOOKUP($E65,Avaluacio[],COLUMN(Avaluacio[Codi ítem]),FALSE)=$E65,'1_Plantejament'!$B$7,""),"")</f>
        <v>Fase 5</v>
      </c>
      <c r="E65" s="6" t="str">
        <f t="array" ref="E65">IFERROR(INDEX(Avaluacio[Codi ítem],(MATCH(0,INDEX(COUNTIF(E$1:E64,Avaluacio[Codi ítem]),0,0)+INDEX(Avaluacio[Avaluable]="No",0,0),0))),"")</f>
        <v>XGO065</v>
      </c>
      <c r="F65" s="45" t="str">
        <f t="array" ref="F65">IFERROR(VLOOKUP(E65,Avaluacio[],COLUMN(Avaluacio[Ítem]),FALSE),"")</f>
        <v>Avaluació de l'aplicació de les normes</v>
      </c>
      <c r="G65" t="str">
        <f t="array" ref="G65">IFERROR(VLOOKUP(E65,Avaluacio[],COLUMN(Avaluacio[Família]),FALSE),"")</f>
        <v>Acció de govern i normativa</v>
      </c>
      <c r="H65" t="str">
        <f t="array" ref="H65">IFERROR(VLOOKUP(E65,Avaluacio[],COLUMN(Avaluacio[Subfamília]),FALSE),"")</f>
        <v/>
      </c>
      <c r="I65" s="6" t="str">
        <f t="array" ref="I65">IFERROR(VLOOKUP(E65,Avaluacio[],COLUMN(Avaluacio[Contingut]),FALSE),"")</f>
        <v>No</v>
      </c>
      <c r="J65" s="6" t="str">
        <f t="array" ref="J65">IFERROR(VLOOKUP(E65,Avaluacio[],COLUMN(Avaluacio[Actualització]),FALSE),"")</f>
        <v>No</v>
      </c>
      <c r="K65" s="6" t="str">
        <f t="array" ref="K65">IFERROR(VLOOKUP(E65,Avaluacio[],COLUMN(#REF!),FALSE),"")</f>
        <v/>
      </c>
      <c r="L65" t="str">
        <f t="array" ref="L65">IFERROR(VLOOKUP(E65,Avaluacio[],COLUMN(Avaluacio[Grau de compliment]),FALSE),"")</f>
        <v>No compleix</v>
      </c>
      <c r="M65" s="8">
        <f t="array" ref="M65">IFERROR(VLOOKUP(E65,Avaluacio[],COLUMN(Avaluacio[% compliment]),FALSE),"")</f>
        <v>0</v>
      </c>
    </row>
    <row r="66" spans="1:13" ht="41.4" x14ac:dyDescent="0.25">
      <c r="A66" t="str">
        <f t="array" ref="A66">IFERROR(IF(VLOOKUP($E66,Avaluacio[],COLUMN(Avaluacio[Codi ítem]),FALSE)=$E66,'1_Plantejament'!$B$5,""),"")</f>
        <v>Ajuntament de Blanes</v>
      </c>
      <c r="B66">
        <f t="array" ref="B66">IFERROR(IF(VLOOKUP($E66,Avaluacio[],COLUMN(Avaluacio[Codi ítem]),FALSE)=$E66,'1_Plantejament'!$B$9,""),"")</f>
        <v>2026</v>
      </c>
      <c r="C66">
        <f t="array" ref="C66">IFERROR(IF(VLOOKUP($E66,Avaluacio[],COLUMN(Avaluacio[Codi ítem]),FALSE)=$E66,'1_Plantejament'!$B$10,""),"")</f>
        <v>46206</v>
      </c>
      <c r="D66" s="6" t="str">
        <f t="array" ref="D66">IFERROR(IF(VLOOKUP($E66,Avaluacio[],COLUMN(Avaluacio[Codi ítem]),FALSE)=$E66,'1_Plantejament'!$B$7,""),"")</f>
        <v>Fase 5</v>
      </c>
      <c r="E66" s="6" t="str">
        <f t="array" ref="E66">IFERROR(INDEX(Avaluacio[Codi ítem],(MATCH(0,INDEX(COUNTIF(E$1:E65,Avaluacio[Codi ítem]),0,0)+INDEX(Avaluacio[Avaluable]="No",0,0),0))),"")</f>
        <v>XGO066</v>
      </c>
      <c r="F66" s="45" t="str">
        <f t="array" ref="F66">IFERROR(VLOOKUP(E66,Avaluacio[],COLUMN(Avaluacio[Ítem]),FALSE),"")</f>
        <v>Plans i programes destacats sobre les polítiques públiques</v>
      </c>
      <c r="G66" t="str">
        <f t="array" ref="G66">IFERROR(VLOOKUP(E66,Avaluacio[],COLUMN(Avaluacio[Família]),FALSE),"")</f>
        <v>Acció de govern i normativa</v>
      </c>
      <c r="H66" t="str">
        <f t="array" ref="H66">IFERROR(VLOOKUP(E66,Avaluacio[],COLUMN(Avaluacio[Subfamília]),FALSE),"")</f>
        <v/>
      </c>
      <c r="I66" s="6" t="str">
        <f t="array" ref="I66">IFERROR(VLOOKUP(E66,Avaluacio[],COLUMN(Avaluacio[Contingut]),FALSE),"")</f>
        <v>Sí</v>
      </c>
      <c r="J66" s="6" t="str">
        <f t="array" ref="J66">IFERROR(VLOOKUP(E66,Avaluacio[],COLUMN(Avaluacio[Actualització]),FALSE),"")</f>
        <v>Sí</v>
      </c>
      <c r="K66" s="6" t="str">
        <f t="array" ref="K66">IFERROR(VLOOKUP(E66,Avaluacio[],COLUMN(#REF!),FALSE),"")</f>
        <v/>
      </c>
      <c r="L66" t="str">
        <f t="array" ref="L66">IFERROR(VLOOKUP(E66,Avaluacio[],COLUMN(Avaluacio[Grau de compliment]),FALSE),"")</f>
        <v>Compleix totalment</v>
      </c>
      <c r="M66" s="8">
        <f t="array" ref="M66">IFERROR(VLOOKUP(E66,Avaluacio[],COLUMN(Avaluacio[% compliment]),FALSE),"")</f>
        <v>1</v>
      </c>
    </row>
    <row r="67" spans="1:13" x14ac:dyDescent="0.25">
      <c r="A67" t="str">
        <f t="array" ref="A67">IFERROR(IF(VLOOKUP($E67,Avaluacio[],COLUMN(Avaluacio[Codi ítem]),FALSE)=$E67,'1_Plantejament'!$B$5,""),"")</f>
        <v>Ajuntament de Blanes</v>
      </c>
      <c r="B67">
        <f t="array" ref="B67">IFERROR(IF(VLOOKUP($E67,Avaluacio[],COLUMN(Avaluacio[Codi ítem]),FALSE)=$E67,'1_Plantejament'!$B$9,""),"")</f>
        <v>2026</v>
      </c>
      <c r="C67">
        <f t="array" ref="C67">IFERROR(IF(VLOOKUP($E67,Avaluacio[],COLUMN(Avaluacio[Codi ítem]),FALSE)=$E67,'1_Plantejament'!$B$10,""),"")</f>
        <v>46206</v>
      </c>
      <c r="D67" s="6" t="str">
        <f t="array" ref="D67">IFERROR(IF(VLOOKUP($E67,Avaluacio[],COLUMN(Avaluacio[Codi ítem]),FALSE)=$E67,'1_Plantejament'!$B$7,""),"")</f>
        <v>Fase 5</v>
      </c>
      <c r="E67" s="6" t="str">
        <f t="array" ref="E67">IFERROR(INDEX(Avaluacio[Codi ítem],(MATCH(0,INDEX(COUNTIF(E$1:E66,Avaluacio[Codi ítem]),0,0)+INDEX(Avaluacio[Avaluable]="No",0,0),0))),"")</f>
        <v>XGO067</v>
      </c>
      <c r="F67" s="45" t="str">
        <f t="array" ref="F67">IFERROR(VLOOKUP(E67,Avaluacio[],COLUMN(Avaluacio[Ítem]),FALSE),"")</f>
        <v>Pla anual normatiu</v>
      </c>
      <c r="G67" t="str">
        <f t="array" ref="G67">IFERROR(VLOOKUP(E67,Avaluacio[],COLUMN(Avaluacio[Família]),FALSE),"")</f>
        <v>Acció de govern i normativa</v>
      </c>
      <c r="H67" t="str">
        <f t="array" ref="H67">IFERROR(VLOOKUP(E67,Avaluacio[],COLUMN(Avaluacio[Subfamília]),FALSE),"")</f>
        <v/>
      </c>
      <c r="I67" s="6" t="str">
        <f t="array" ref="I67">IFERROR(VLOOKUP(E67,Avaluacio[],COLUMN(Avaluacio[Contingut]),FALSE),"")</f>
        <v>No</v>
      </c>
      <c r="J67" s="6" t="str">
        <f t="array" ref="J67">IFERROR(VLOOKUP(E67,Avaluacio[],COLUMN(Avaluacio[Actualització]),FALSE),"")</f>
        <v>No</v>
      </c>
      <c r="K67" s="6" t="str">
        <f t="array" ref="K67">IFERROR(VLOOKUP(E67,Avaluacio[],COLUMN(#REF!),FALSE),"")</f>
        <v/>
      </c>
      <c r="L67" t="str">
        <f t="array" ref="L67">IFERROR(VLOOKUP(E67,Avaluacio[],COLUMN(Avaluacio[Grau de compliment]),FALSE),"")</f>
        <v>No compleix</v>
      </c>
      <c r="M67" s="8">
        <f t="array" ref="M67">IFERROR(VLOOKUP(E67,Avaluacio[],COLUMN(Avaluacio[% compliment]),FALSE),"")</f>
        <v>0</v>
      </c>
    </row>
    <row r="68" spans="1:13" ht="27.6" x14ac:dyDescent="0.25">
      <c r="A68" t="str">
        <f t="array" ref="A68">IFERROR(IF(VLOOKUP($E68,Avaluacio[],COLUMN(Avaluacio[Codi ítem]),FALSE)=$E68,'1_Plantejament'!$B$5,""),"")</f>
        <v>Ajuntament de Blanes</v>
      </c>
      <c r="B68">
        <f t="array" ref="B68">IFERROR(IF(VLOOKUP($E68,Avaluacio[],COLUMN(Avaluacio[Codi ítem]),FALSE)=$E68,'1_Plantejament'!$B$9,""),"")</f>
        <v>2026</v>
      </c>
      <c r="C68">
        <f t="array" ref="C68">IFERROR(IF(VLOOKUP($E68,Avaluacio[],COLUMN(Avaluacio[Codi ítem]),FALSE)=$E68,'1_Plantejament'!$B$10,""),"")</f>
        <v>46206</v>
      </c>
      <c r="D68" s="6" t="str">
        <f t="array" ref="D68">IFERROR(IF(VLOOKUP($E68,Avaluacio[],COLUMN(Avaluacio[Codi ítem]),FALSE)=$E68,'1_Plantejament'!$B$7,""),"")</f>
        <v>Fase 5</v>
      </c>
      <c r="E68" s="6" t="str">
        <f t="array" ref="E68">IFERROR(INDEX(Avaluacio[Codi ítem],(MATCH(0,INDEX(COUNTIF(E$1:E67,Avaluacio[Codi ítem]),0,0)+INDEX(Avaluacio[Avaluable]="No",0,0),0))),"")</f>
        <v>XGO068</v>
      </c>
      <c r="F68" s="45" t="str">
        <f t="array" ref="F68">IFERROR(VLOOKUP(E68,Avaluacio[],COLUMN(Avaluacio[Ítem]),FALSE),"")</f>
        <v>Calendari i padrons fiscals</v>
      </c>
      <c r="G68" t="str">
        <f t="array" ref="G68">IFERROR(VLOOKUP(E68,Avaluacio[],COLUMN(Avaluacio[Família]),FALSE),"")</f>
        <v>Acció de govern i normativa</v>
      </c>
      <c r="H68" t="str">
        <f t="array" ref="H68">IFERROR(VLOOKUP(E68,Avaluacio[],COLUMN(Avaluacio[Subfamília]),FALSE),"")</f>
        <v/>
      </c>
      <c r="I68" s="6" t="str">
        <f t="array" ref="I68">IFERROR(VLOOKUP(E68,Avaluacio[],COLUMN(Avaluacio[Contingut]),FALSE),"")</f>
        <v>Sí</v>
      </c>
      <c r="J68" s="6" t="str">
        <f t="array" ref="J68">IFERROR(VLOOKUP(E68,Avaluacio[],COLUMN(Avaluacio[Actualització]),FALSE),"")</f>
        <v>Sí</v>
      </c>
      <c r="K68" s="6" t="str">
        <f t="array" ref="K68">IFERROR(VLOOKUP(E68,Avaluacio[],COLUMN(#REF!),FALSE),"")</f>
        <v/>
      </c>
      <c r="L68" t="str">
        <f t="array" ref="L68">IFERROR(VLOOKUP(E68,Avaluacio[],COLUMN(Avaluacio[Grau de compliment]),FALSE),"")</f>
        <v>Compleix totalment</v>
      </c>
      <c r="M68" s="8">
        <f t="array" ref="M68">IFERROR(VLOOKUP(E68,Avaluacio[],COLUMN(Avaluacio[% compliment]),FALSE),"")</f>
        <v>1</v>
      </c>
    </row>
    <row r="69" spans="1:13" ht="27.6" x14ac:dyDescent="0.25">
      <c r="A69" t="str">
        <f t="array" ref="A69">IFERROR(IF(VLOOKUP($E69,Avaluacio[],COLUMN(Avaluacio[Codi ítem]),FALSE)=$E69,'1_Plantejament'!$B$5,""),"")</f>
        <v>Ajuntament de Blanes</v>
      </c>
      <c r="B69">
        <f t="array" ref="B69">IFERROR(IF(VLOOKUP($E69,Avaluacio[],COLUMN(Avaluacio[Codi ítem]),FALSE)=$E69,'1_Plantejament'!$B$9,""),"")</f>
        <v>2026</v>
      </c>
      <c r="C69">
        <f t="array" ref="C69">IFERROR(IF(VLOOKUP($E69,Avaluacio[],COLUMN(Avaluacio[Codi ítem]),FALSE)=$E69,'1_Plantejament'!$B$10,""),"")</f>
        <v>46206</v>
      </c>
      <c r="D69" s="6" t="str">
        <f t="array" ref="D69">IFERROR(IF(VLOOKUP($E69,Avaluacio[],COLUMN(Avaluacio[Codi ítem]),FALSE)=$E69,'1_Plantejament'!$B$7,""),"")</f>
        <v>Fase 5</v>
      </c>
      <c r="E69" s="6" t="str">
        <f t="array" ref="E69">IFERROR(INDEX(Avaluacio[Codi ítem],(MATCH(0,INDEX(COUNTIF(E$1:E68,Avaluacio[Codi ítem]),0,0)+INDEX(Avaluacio[Avaluable]="No",0,0),0))),"")</f>
        <v>XGO069</v>
      </c>
      <c r="F69" s="45" t="str">
        <f t="array" ref="F69">IFERROR(VLOOKUP(E69,Avaluacio[],COLUMN(Avaluacio[Ítem]),FALSE),"")</f>
        <v>Tipus impositius</v>
      </c>
      <c r="G69" t="str">
        <f t="array" ref="G69">IFERROR(VLOOKUP(E69,Avaluacio[],COLUMN(Avaluacio[Família]),FALSE),"")</f>
        <v>Acció de govern i normativa</v>
      </c>
      <c r="H69" t="str">
        <f t="array" ref="H69">IFERROR(VLOOKUP(E69,Avaluacio[],COLUMN(Avaluacio[Subfamília]),FALSE),"")</f>
        <v/>
      </c>
      <c r="I69" s="6" t="str">
        <f t="array" ref="I69">IFERROR(VLOOKUP(E69,Avaluacio[],COLUMN(Avaluacio[Contingut]),FALSE),"")</f>
        <v>Sí</v>
      </c>
      <c r="J69" s="6" t="str">
        <f t="array" ref="J69">IFERROR(VLOOKUP(E69,Avaluacio[],COLUMN(Avaluacio[Actualització]),FALSE),"")</f>
        <v>Sí</v>
      </c>
      <c r="K69" s="6" t="str">
        <f t="array" ref="K69">IFERROR(VLOOKUP(E69,Avaluacio[],COLUMN(#REF!),FALSE),"")</f>
        <v/>
      </c>
      <c r="L69" t="str">
        <f t="array" ref="L69">IFERROR(VLOOKUP(E69,Avaluacio[],COLUMN(Avaluacio[Grau de compliment]),FALSE),"")</f>
        <v>Compleix totalment</v>
      </c>
      <c r="M69" s="8">
        <f t="array" ref="M69">IFERROR(VLOOKUP(E69,Avaluacio[],COLUMN(Avaluacio[% compliment]),FALSE),"")</f>
        <v>1</v>
      </c>
    </row>
    <row r="70" spans="1:13" ht="27.6" x14ac:dyDescent="0.25">
      <c r="A70" t="str">
        <f t="array" ref="A70">IFERROR(IF(VLOOKUP($E70,Avaluacio[],COLUMN(Avaluacio[Codi ítem]),FALSE)=$E70,'1_Plantejament'!$B$5,""),"")</f>
        <v>Ajuntament de Blanes</v>
      </c>
      <c r="B70">
        <f t="array" ref="B70">IFERROR(IF(VLOOKUP($E70,Avaluacio[],COLUMN(Avaluacio[Codi ítem]),FALSE)=$E70,'1_Plantejament'!$B$9,""),"")</f>
        <v>2026</v>
      </c>
      <c r="C70">
        <f t="array" ref="C70">IFERROR(IF(VLOOKUP($E70,Avaluacio[],COLUMN(Avaluacio[Codi ítem]),FALSE)=$E70,'1_Plantejament'!$B$10,""),"")</f>
        <v>46206</v>
      </c>
      <c r="D70" s="6" t="str">
        <f t="array" ref="D70">IFERROR(IF(VLOOKUP($E70,Avaluacio[],COLUMN(Avaluacio[Codi ítem]),FALSE)=$E70,'1_Plantejament'!$B$7,""),"")</f>
        <v>Fase 5</v>
      </c>
      <c r="E70" s="6" t="str">
        <f t="array" ref="E70">IFERROR(INDEX(Avaluacio[Codi ítem],(MATCH(0,INDEX(COUNTIF(E$1:E69,Avaluacio[Codi ítem]),0,0)+INDEX(Avaluacio[Avaluable]="No",0,0),0))),"")</f>
        <v>XGO070</v>
      </c>
      <c r="F70" s="45" t="str">
        <f t="array" ref="F70">IFERROR(VLOOKUP(E70,Avaluacio[],COLUMN(Avaluacio[Ítem]),FALSE),"")</f>
        <v>Normativa d'urbanisme</v>
      </c>
      <c r="G70" t="str">
        <f t="array" ref="G70">IFERROR(VLOOKUP(E70,Avaluacio[],COLUMN(Avaluacio[Família]),FALSE),"")</f>
        <v>Acció de govern i normativa</v>
      </c>
      <c r="H70" t="str">
        <f t="array" ref="H70">IFERROR(VLOOKUP(E70,Avaluacio[],COLUMN(Avaluacio[Subfamília]),FALSE),"")</f>
        <v/>
      </c>
      <c r="I70" s="6" t="str">
        <f t="array" ref="I70">IFERROR(VLOOKUP(E70,Avaluacio[],COLUMN(Avaluacio[Contingut]),FALSE),"")</f>
        <v>Sí</v>
      </c>
      <c r="J70" s="6" t="str">
        <f t="array" ref="J70">IFERROR(VLOOKUP(E70,Avaluacio[],COLUMN(Avaluacio[Actualització]),FALSE),"")</f>
        <v>Sí</v>
      </c>
      <c r="K70" s="6" t="str">
        <f t="array" ref="K70">IFERROR(VLOOKUP(E70,Avaluacio[],COLUMN(#REF!),FALSE),"")</f>
        <v/>
      </c>
      <c r="L70" t="str">
        <f t="array" ref="L70">IFERROR(VLOOKUP(E70,Avaluacio[],COLUMN(Avaluacio[Grau de compliment]),FALSE),"")</f>
        <v>Compleix totalment</v>
      </c>
      <c r="M70" s="8">
        <f t="array" ref="M70">IFERROR(VLOOKUP(E70,Avaluacio[],COLUMN(Avaluacio[% compliment]),FALSE),"")</f>
        <v>1</v>
      </c>
    </row>
    <row r="71" spans="1:13" ht="27.6" x14ac:dyDescent="0.25">
      <c r="A71" t="str">
        <f t="array" ref="A71">IFERROR(IF(VLOOKUP($E71,Avaluacio[],COLUMN(Avaluacio[Codi ítem]),FALSE)=$E71,'1_Plantejament'!$B$5,""),"")</f>
        <v>Ajuntament de Blanes</v>
      </c>
      <c r="B71">
        <f t="array" ref="B71">IFERROR(IF(VLOOKUP($E71,Avaluacio[],COLUMN(Avaluacio[Codi ítem]),FALSE)=$E71,'1_Plantejament'!$B$9,""),"")</f>
        <v>2026</v>
      </c>
      <c r="C71">
        <f t="array" ref="C71">IFERROR(IF(VLOOKUP($E71,Avaluacio[],COLUMN(Avaluacio[Codi ítem]),FALSE)=$E71,'1_Plantejament'!$B$10,""),"")</f>
        <v>46206</v>
      </c>
      <c r="D71" s="6" t="str">
        <f t="array" ref="D71">IFERROR(IF(VLOOKUP($E71,Avaluacio[],COLUMN(Avaluacio[Codi ítem]),FALSE)=$E71,'1_Plantejament'!$B$7,""),"")</f>
        <v>Fase 5</v>
      </c>
      <c r="E71" s="6" t="str">
        <f t="array" ref="E71">IFERROR(INDEX(Avaluacio[Codi ítem],(MATCH(0,INDEX(COUNTIF(E$1:E70,Avaluacio[Codi ítem]),0,0)+INDEX(Avaluacio[Avaluable]="No",0,0),0))),"")</f>
        <v>XGO071</v>
      </c>
      <c r="F71" s="45" t="str">
        <f t="array" ref="F71">IFERROR(VLOOKUP(E71,Avaluacio[],COLUMN(Avaluacio[Ítem]),FALSE),"")</f>
        <v>Planejament urbanístic</v>
      </c>
      <c r="G71" t="str">
        <f t="array" ref="G71">IFERROR(VLOOKUP(E71,Avaluacio[],COLUMN(Avaluacio[Família]),FALSE),"")</f>
        <v>Acció de govern i normativa</v>
      </c>
      <c r="H71" t="str">
        <f t="array" ref="H71">IFERROR(VLOOKUP(E71,Avaluacio[],COLUMN(Avaluacio[Subfamília]),FALSE),"")</f>
        <v/>
      </c>
      <c r="I71" s="6" t="str">
        <f t="array" ref="I71">IFERROR(VLOOKUP(E71,Avaluacio[],COLUMN(Avaluacio[Contingut]),FALSE),"")</f>
        <v>Sí</v>
      </c>
      <c r="J71" s="6" t="str">
        <f t="array" ref="J71">IFERROR(VLOOKUP(E71,Avaluacio[],COLUMN(Avaluacio[Actualització]),FALSE),"")</f>
        <v>Sí</v>
      </c>
      <c r="K71" s="6" t="str">
        <f t="array" ref="K71">IFERROR(VLOOKUP(E71,Avaluacio[],COLUMN(#REF!),FALSE),"")</f>
        <v/>
      </c>
      <c r="L71" t="str">
        <f t="array" ref="L71">IFERROR(VLOOKUP(E71,Avaluacio[],COLUMN(Avaluacio[Grau de compliment]),FALSE),"")</f>
        <v>Compleix totalment</v>
      </c>
      <c r="M71" s="8">
        <f t="array" ref="M71">IFERROR(VLOOKUP(E71,Avaluacio[],COLUMN(Avaluacio[% compliment]),FALSE),"")</f>
        <v>1</v>
      </c>
    </row>
    <row r="72" spans="1:13" ht="27.6" x14ac:dyDescent="0.25">
      <c r="A72" t="str">
        <f t="array" ref="A72">IFERROR(IF(VLOOKUP($E72,Avaluacio[],COLUMN(Avaluacio[Codi ítem]),FALSE)=$E72,'1_Plantejament'!$B$5,""),"")</f>
        <v>Ajuntament de Blanes</v>
      </c>
      <c r="B72">
        <f t="array" ref="B72">IFERROR(IF(VLOOKUP($E72,Avaluacio[],COLUMN(Avaluacio[Codi ítem]),FALSE)=$E72,'1_Plantejament'!$B$9,""),"")</f>
        <v>2026</v>
      </c>
      <c r="C72">
        <f t="array" ref="C72">IFERROR(IF(VLOOKUP($E72,Avaluacio[],COLUMN(Avaluacio[Codi ítem]),FALSE)=$E72,'1_Plantejament'!$B$10,""),"")</f>
        <v>46206</v>
      </c>
      <c r="D72" s="6" t="str">
        <f t="array" ref="D72">IFERROR(IF(VLOOKUP($E72,Avaluacio[],COLUMN(Avaluacio[Codi ítem]),FALSE)=$E72,'1_Plantejament'!$B$7,""),"")</f>
        <v>Fase 5</v>
      </c>
      <c r="E72" s="6" t="str">
        <f t="array" ref="E72">IFERROR(INDEX(Avaluacio[Codi ítem],(MATCH(0,INDEX(COUNTIF(E$1:E71,Avaluacio[Codi ítem]),0,0)+INDEX(Avaluacio[Avaluable]="No",0,0),0))),"")</f>
        <v>XGO072</v>
      </c>
      <c r="F72" s="45" t="str">
        <f t="array" ref="F72">IFERROR(VLOOKUP(E72,Avaluacio[],COLUMN(Avaluacio[Ítem]),FALSE),"")</f>
        <v>Informació geogràfica d'urbanisme</v>
      </c>
      <c r="G72" t="str">
        <f t="array" ref="G72">IFERROR(VLOOKUP(E72,Avaluacio[],COLUMN(Avaluacio[Família]),FALSE),"")</f>
        <v>Acció de govern i normativa</v>
      </c>
      <c r="H72" t="str">
        <f t="array" ref="H72">IFERROR(VLOOKUP(E72,Avaluacio[],COLUMN(Avaluacio[Subfamília]),FALSE),"")</f>
        <v/>
      </c>
      <c r="I72" s="6" t="str">
        <f t="array" ref="I72">IFERROR(VLOOKUP(E72,Avaluacio[],COLUMN(Avaluacio[Contingut]),FALSE),"")</f>
        <v>Sí</v>
      </c>
      <c r="J72" s="6" t="str">
        <f t="array" ref="J72">IFERROR(VLOOKUP(E72,Avaluacio[],COLUMN(Avaluacio[Actualització]),FALSE),"")</f>
        <v>Sí</v>
      </c>
      <c r="K72" s="6" t="str">
        <f t="array" ref="K72">IFERROR(VLOOKUP(E72,Avaluacio[],COLUMN(#REF!),FALSE),"")</f>
        <v/>
      </c>
      <c r="L72" t="str">
        <f t="array" ref="L72">IFERROR(VLOOKUP(E72,Avaluacio[],COLUMN(Avaluacio[Grau de compliment]),FALSE),"")</f>
        <v>Compleix totalment</v>
      </c>
      <c r="M72" s="8">
        <f t="array" ref="M72">IFERROR(VLOOKUP(E72,Avaluacio[],COLUMN(Avaluacio[% compliment]),FALSE),"")</f>
        <v>1</v>
      </c>
    </row>
    <row r="73" spans="1:13" ht="27.6" x14ac:dyDescent="0.25">
      <c r="A73" t="str">
        <f t="array" ref="A73">IFERROR(IF(VLOOKUP($E73,Avaluacio[],COLUMN(Avaluacio[Codi ítem]),FALSE)=$E73,'1_Plantejament'!$B$5,""),"")</f>
        <v>Ajuntament de Blanes</v>
      </c>
      <c r="B73">
        <f t="array" ref="B73">IFERROR(IF(VLOOKUP($E73,Avaluacio[],COLUMN(Avaluacio[Codi ítem]),FALSE)=$E73,'1_Plantejament'!$B$9,""),"")</f>
        <v>2026</v>
      </c>
      <c r="C73">
        <f t="array" ref="C73">IFERROR(IF(VLOOKUP($E73,Avaluacio[],COLUMN(Avaluacio[Codi ítem]),FALSE)=$E73,'1_Plantejament'!$B$10,""),"")</f>
        <v>46206</v>
      </c>
      <c r="D73" s="6" t="str">
        <f t="array" ref="D73">IFERROR(IF(VLOOKUP($E73,Avaluacio[],COLUMN(Avaluacio[Codi ítem]),FALSE)=$E73,'1_Plantejament'!$B$7,""),"")</f>
        <v>Fase 5</v>
      </c>
      <c r="E73" s="6" t="str">
        <f t="array" ref="E73">IFERROR(INDEX(Avaluacio[Codi ítem],(MATCH(0,INDEX(COUNTIF(E$1:E72,Avaluacio[Codi ítem]),0,0)+INDEX(Avaluacio[Avaluable]="No",0,0),0))),"")</f>
        <v>XGO073</v>
      </c>
      <c r="F73" s="45" t="str">
        <f t="array" ref="F73">IFERROR(VLOOKUP(E73,Avaluacio[],COLUMN(Avaluacio[Ítem]),FALSE),"")</f>
        <v>Plans territorials d'urbanisme</v>
      </c>
      <c r="G73" t="str">
        <f t="array" ref="G73">IFERROR(VLOOKUP(E73,Avaluacio[],COLUMN(Avaluacio[Família]),FALSE),"")</f>
        <v>Acció de govern i normativa</v>
      </c>
      <c r="H73" t="str">
        <f t="array" ref="H73">IFERROR(VLOOKUP(E73,Avaluacio[],COLUMN(Avaluacio[Subfamília]),FALSE),"")</f>
        <v/>
      </c>
      <c r="I73" s="6" t="str">
        <f t="array" ref="I73">IFERROR(VLOOKUP(E73,Avaluacio[],COLUMN(Avaluacio[Contingut]),FALSE),"")</f>
        <v>Sí</v>
      </c>
      <c r="J73" s="6" t="str">
        <f t="array" ref="J73">IFERROR(VLOOKUP(E73,Avaluacio[],COLUMN(Avaluacio[Actualització]),FALSE),"")</f>
        <v>Sí</v>
      </c>
      <c r="K73" s="6" t="str">
        <f t="array" ref="K73">IFERROR(VLOOKUP(E73,Avaluacio[],COLUMN(#REF!),FALSE),"")</f>
        <v/>
      </c>
      <c r="L73" t="str">
        <f t="array" ref="L73">IFERROR(VLOOKUP(E73,Avaluacio[],COLUMN(Avaluacio[Grau de compliment]),FALSE),"")</f>
        <v>Compleix totalment</v>
      </c>
      <c r="M73" s="8">
        <f t="array" ref="M73">IFERROR(VLOOKUP(E73,Avaluacio[],COLUMN(Avaluacio[% compliment]),FALSE),"")</f>
        <v>1</v>
      </c>
    </row>
    <row r="74" spans="1:13" ht="27.6" x14ac:dyDescent="0.25">
      <c r="A74" t="str">
        <f t="array" ref="A74">IFERROR(IF(VLOOKUP($E74,Avaluacio[],COLUMN(Avaluacio[Codi ítem]),FALSE)=$E74,'1_Plantejament'!$B$5,""),"")</f>
        <v>Ajuntament de Blanes</v>
      </c>
      <c r="B74">
        <f t="array" ref="B74">IFERROR(IF(VLOOKUP($E74,Avaluacio[],COLUMN(Avaluacio[Codi ítem]),FALSE)=$E74,'1_Plantejament'!$B$9,""),"")</f>
        <v>2026</v>
      </c>
      <c r="C74">
        <f t="array" ref="C74">IFERROR(IF(VLOOKUP($E74,Avaluacio[],COLUMN(Avaluacio[Codi ítem]),FALSE)=$E74,'1_Plantejament'!$B$10,""),"")</f>
        <v>46206</v>
      </c>
      <c r="D74" s="6" t="str">
        <f t="array" ref="D74">IFERROR(IF(VLOOKUP($E74,Avaluacio[],COLUMN(Avaluacio[Codi ítem]),FALSE)=$E74,'1_Plantejament'!$B$7,""),"")</f>
        <v>Fase 5</v>
      </c>
      <c r="E74" s="6" t="str">
        <f t="array" ref="E74">IFERROR(INDEX(Avaluacio[Codi ítem],(MATCH(0,INDEX(COUNTIF(E$1:E73,Avaluacio[Codi ítem]),0,0)+INDEX(Avaluacio[Avaluable]="No",0,0),0))),"")</f>
        <v>XGO074</v>
      </c>
      <c r="F74" s="45" t="str">
        <f t="array" ref="F74">IFERROR(VLOOKUP(E74,Avaluacio[],COLUMN(Avaluacio[Ítem]),FALSE),"")</f>
        <v>Estudis d'impacte ambiental i paisatgístic</v>
      </c>
      <c r="G74" t="str">
        <f t="array" ref="G74">IFERROR(VLOOKUP(E74,Avaluacio[],COLUMN(Avaluacio[Família]),FALSE),"")</f>
        <v>Acció de govern i normativa</v>
      </c>
      <c r="H74" t="str">
        <f t="array" ref="H74">IFERROR(VLOOKUP(E74,Avaluacio[],COLUMN(Avaluacio[Subfamília]),FALSE),"")</f>
        <v/>
      </c>
      <c r="I74" s="6" t="str">
        <f t="array" ref="I74">IFERROR(VLOOKUP(E74,Avaluacio[],COLUMN(Avaluacio[Contingut]),FALSE),"")</f>
        <v>Sí</v>
      </c>
      <c r="J74" s="6" t="str">
        <f t="array" ref="J74">IFERROR(VLOOKUP(E74,Avaluacio[],COLUMN(Avaluacio[Actualització]),FALSE),"")</f>
        <v>No</v>
      </c>
      <c r="K74" s="6" t="str">
        <f t="array" ref="K74">IFERROR(VLOOKUP(E74,Avaluacio[],COLUMN(#REF!),FALSE),"")</f>
        <v/>
      </c>
      <c r="L74" t="str">
        <f t="array" ref="L74">IFERROR(VLOOKUP(E74,Avaluacio[],COLUMN(Avaluacio[Grau de compliment]),FALSE),"")</f>
        <v>Compleix parcialment</v>
      </c>
      <c r="M74" s="8">
        <f t="array" ref="M74">IFERROR(VLOOKUP(E74,Avaluacio[],COLUMN(Avaluacio[% compliment]),FALSE),"")</f>
        <v>0.5</v>
      </c>
    </row>
    <row r="75" spans="1:13" ht="27.6" x14ac:dyDescent="0.25">
      <c r="A75" t="str">
        <f t="array" ref="A75">IFERROR(IF(VLOOKUP($E75,Avaluacio[],COLUMN(Avaluacio[Codi ítem]),FALSE)=$E75,'1_Plantejament'!$B$5,""),"")</f>
        <v>Ajuntament de Blanes</v>
      </c>
      <c r="B75">
        <f t="array" ref="B75">IFERROR(IF(VLOOKUP($E75,Avaluacio[],COLUMN(Avaluacio[Codi ítem]),FALSE)=$E75,'1_Plantejament'!$B$9,""),"")</f>
        <v>2026</v>
      </c>
      <c r="C75">
        <f t="array" ref="C75">IFERROR(IF(VLOOKUP($E75,Avaluacio[],COLUMN(Avaluacio[Codi ítem]),FALSE)=$E75,'1_Plantejament'!$B$10,""),"")</f>
        <v>46206</v>
      </c>
      <c r="D75" s="6" t="str">
        <f t="array" ref="D75">IFERROR(IF(VLOOKUP($E75,Avaluacio[],COLUMN(Avaluacio[Codi ítem]),FALSE)=$E75,'1_Plantejament'!$B$7,""),"")</f>
        <v>Fase 5</v>
      </c>
      <c r="E75" s="6" t="str">
        <f t="array" ref="E75">IFERROR(INDEX(Avaluacio[Codi ítem],(MATCH(0,INDEX(COUNTIF(E$1:E74,Avaluacio[Codi ítem]),0,0)+INDEX(Avaluacio[Avaluable]="No",0,0),0))),"")</f>
        <v>XGO075</v>
      </c>
      <c r="F75" s="45" t="str">
        <f t="array" ref="F75">IFERROR(VLOOKUP(E75,Avaluacio[],COLUMN(Avaluacio[Ítem]),FALSE),"")</f>
        <v>Calendari de conservació i règim d'accés documental</v>
      </c>
      <c r="G75" t="str">
        <f t="array" ref="G75">IFERROR(VLOOKUP(E75,Avaluacio[],COLUMN(Avaluacio[Família]),FALSE),"")</f>
        <v>Acció de govern i normativa</v>
      </c>
      <c r="H75" t="str">
        <f t="array" ref="H75">IFERROR(VLOOKUP(E75,Avaluacio[],COLUMN(Avaluacio[Subfamília]),FALSE),"")</f>
        <v/>
      </c>
      <c r="I75" s="6" t="str">
        <f t="array" ref="I75">IFERROR(VLOOKUP(E75,Avaluacio[],COLUMN(Avaluacio[Contingut]),FALSE),"")</f>
        <v>Sí</v>
      </c>
      <c r="J75" s="6" t="str">
        <f t="array" ref="J75">IFERROR(VLOOKUP(E75,Avaluacio[],COLUMN(Avaluacio[Actualització]),FALSE),"")</f>
        <v>Sí</v>
      </c>
      <c r="K75" s="6" t="str">
        <f t="array" ref="K75">IFERROR(VLOOKUP(E75,Avaluacio[],COLUMN(#REF!),FALSE),"")</f>
        <v/>
      </c>
      <c r="L75" t="str">
        <f t="array" ref="L75">IFERROR(VLOOKUP(E75,Avaluacio[],COLUMN(Avaluacio[Grau de compliment]),FALSE),"")</f>
        <v>Compleix totalment</v>
      </c>
      <c r="M75" s="8">
        <f t="array" ref="M75">IFERROR(VLOOKUP(E75,Avaluacio[],COLUMN(Avaluacio[% compliment]),FALSE),"")</f>
        <v>1</v>
      </c>
    </row>
    <row r="76" spans="1:13" ht="27.6" x14ac:dyDescent="0.25">
      <c r="A76" t="str">
        <f t="array" ref="A76">IFERROR(IF(VLOOKUP($E76,Avaluacio[],COLUMN(Avaluacio[Codi ítem]),FALSE)=$E76,'1_Plantejament'!$B$5,""),"")</f>
        <v>Ajuntament de Blanes</v>
      </c>
      <c r="B76">
        <f t="array" ref="B76">IFERROR(IF(VLOOKUP($E76,Avaluacio[],COLUMN(Avaluacio[Codi ítem]),FALSE)=$E76,'1_Plantejament'!$B$9,""),"")</f>
        <v>2026</v>
      </c>
      <c r="C76">
        <f t="array" ref="C76">IFERROR(IF(VLOOKUP($E76,Avaluacio[],COLUMN(Avaluacio[Codi ítem]),FALSE)=$E76,'1_Plantejament'!$B$10,""),"")</f>
        <v>46206</v>
      </c>
      <c r="D76" s="6" t="str">
        <f t="array" ref="D76">IFERROR(IF(VLOOKUP($E76,Avaluacio[],COLUMN(Avaluacio[Codi ítem]),FALSE)=$E76,'1_Plantejament'!$B$7,""),"")</f>
        <v>Fase 5</v>
      </c>
      <c r="E76" s="6" t="str">
        <f t="array" ref="E76">IFERROR(INDEX(Avaluacio[Codi ítem],(MATCH(0,INDEX(COUNTIF(E$1:E75,Avaluacio[Codi ítem]),0,0)+INDEX(Avaluacio[Avaluable]="No",0,0),0))),"")</f>
        <v>XGO076</v>
      </c>
      <c r="F76" s="45" t="str">
        <f t="array" ref="F76">IFERROR(VLOOKUP(E76,Avaluacio[],COLUMN(Avaluacio[Ítem]),FALSE),"")</f>
        <v>Quadre de classificació documental</v>
      </c>
      <c r="G76" t="str">
        <f t="array" ref="G76">IFERROR(VLOOKUP(E76,Avaluacio[],COLUMN(Avaluacio[Família]),FALSE),"")</f>
        <v>Acció de govern i normativa</v>
      </c>
      <c r="H76" t="str">
        <f t="array" ref="H76">IFERROR(VLOOKUP(E76,Avaluacio[],COLUMN(Avaluacio[Subfamília]),FALSE),"")</f>
        <v/>
      </c>
      <c r="I76" s="6" t="str">
        <f t="array" ref="I76">IFERROR(VLOOKUP(E76,Avaluacio[],COLUMN(Avaluacio[Contingut]),FALSE),"")</f>
        <v>Sí</v>
      </c>
      <c r="J76" s="6" t="str">
        <f t="array" ref="J76">IFERROR(VLOOKUP(E76,Avaluacio[],COLUMN(Avaluacio[Actualització]),FALSE),"")</f>
        <v>Sí</v>
      </c>
      <c r="K76" s="6" t="str">
        <f t="array" ref="K76">IFERROR(VLOOKUP(E76,Avaluacio[],COLUMN(#REF!),FALSE),"")</f>
        <v/>
      </c>
      <c r="L76" t="str">
        <f t="array" ref="L76">IFERROR(VLOOKUP(E76,Avaluacio[],COLUMN(Avaluacio[Grau de compliment]),FALSE),"")</f>
        <v>Compleix totalment</v>
      </c>
      <c r="M76" s="8">
        <f t="array" ref="M76">IFERROR(VLOOKUP(E76,Avaluacio[],COLUMN(Avaluacio[% compliment]),FALSE),"")</f>
        <v>1</v>
      </c>
    </row>
    <row r="77" spans="1:13" ht="27.6" x14ac:dyDescent="0.25">
      <c r="A77" t="str">
        <f t="array" ref="A77">IFERROR(IF(VLOOKUP($E77,Avaluacio[],COLUMN(Avaluacio[Codi ítem]),FALSE)=$E77,'1_Plantejament'!$B$5,""),"")</f>
        <v>Ajuntament de Blanes</v>
      </c>
      <c r="B77">
        <f t="array" ref="B77">IFERROR(IF(VLOOKUP($E77,Avaluacio[],COLUMN(Avaluacio[Codi ítem]),FALSE)=$E77,'1_Plantejament'!$B$9,""),"")</f>
        <v>2026</v>
      </c>
      <c r="C77">
        <f t="array" ref="C77">IFERROR(IF(VLOOKUP($E77,Avaluacio[],COLUMN(Avaluacio[Codi ítem]),FALSE)=$E77,'1_Plantejament'!$B$10,""),"")</f>
        <v>46206</v>
      </c>
      <c r="D77" s="6" t="str">
        <f t="array" ref="D77">IFERROR(IF(VLOOKUP($E77,Avaluacio[],COLUMN(Avaluacio[Codi ítem]),FALSE)=$E77,'1_Plantejament'!$B$7,""),"")</f>
        <v>Fase 5</v>
      </c>
      <c r="E77" s="6" t="str">
        <f t="array" ref="E77">IFERROR(INDEX(Avaluacio[Codi ítem],(MATCH(0,INDEX(COUNTIF(E$1:E76,Avaluacio[Codi ítem]),0,0)+INDEX(Avaluacio[Avaluable]="No",0,0),0))),"")</f>
        <v>XGO077</v>
      </c>
      <c r="F77" s="45" t="str">
        <f t="array" ref="F77">IFERROR(VLOOKUP(E77,Avaluacio[],COLUMN(Avaluacio[Ítem]),FALSE),"")</f>
        <v>Instruments de descripció documental</v>
      </c>
      <c r="G77" t="str">
        <f t="array" ref="G77">IFERROR(VLOOKUP(E77,Avaluacio[],COLUMN(Avaluacio[Família]),FALSE),"")</f>
        <v>Acció de govern i normativa</v>
      </c>
      <c r="H77" t="str">
        <f t="array" ref="H77">IFERROR(VLOOKUP(E77,Avaluacio[],COLUMN(Avaluacio[Subfamília]),FALSE),"")</f>
        <v/>
      </c>
      <c r="I77" s="6" t="str">
        <f t="array" ref="I77">IFERROR(VLOOKUP(E77,Avaluacio[],COLUMN(Avaluacio[Contingut]),FALSE),"")</f>
        <v>Sí</v>
      </c>
      <c r="J77" s="6" t="str">
        <f t="array" ref="J77">IFERROR(VLOOKUP(E77,Avaluacio[],COLUMN(Avaluacio[Actualització]),FALSE),"")</f>
        <v>Sí</v>
      </c>
      <c r="K77" s="6" t="str">
        <f t="array" ref="K77">IFERROR(VLOOKUP(E77,Avaluacio[],COLUMN(#REF!),FALSE),"")</f>
        <v/>
      </c>
      <c r="L77" t="str">
        <f t="array" ref="L77">IFERROR(VLOOKUP(E77,Avaluacio[],COLUMN(Avaluacio[Grau de compliment]),FALSE),"")</f>
        <v>Compleix totalment</v>
      </c>
      <c r="M77" s="8">
        <f t="array" ref="M77">IFERROR(VLOOKUP(E77,Avaluacio[],COLUMN(Avaluacio[% compliment]),FALSE),"")</f>
        <v>1</v>
      </c>
    </row>
    <row r="78" spans="1:13" ht="27.6" x14ac:dyDescent="0.25">
      <c r="A78" t="str">
        <f t="array" ref="A78">IFERROR(IF(VLOOKUP($E78,Avaluacio[],COLUMN(Avaluacio[Codi ítem]),FALSE)=$E78,'1_Plantejament'!$B$5,""),"")</f>
        <v>Ajuntament de Blanes</v>
      </c>
      <c r="B78">
        <f t="array" ref="B78">IFERROR(IF(VLOOKUP($E78,Avaluacio[],COLUMN(Avaluacio[Codi ítem]),FALSE)=$E78,'1_Plantejament'!$B$9,""),"")</f>
        <v>2026</v>
      </c>
      <c r="C78">
        <f t="array" ref="C78">IFERROR(IF(VLOOKUP($E78,Avaluacio[],COLUMN(Avaluacio[Codi ítem]),FALSE)=$E78,'1_Plantejament'!$B$10,""),"")</f>
        <v>46206</v>
      </c>
      <c r="D78" s="6" t="str">
        <f t="array" ref="D78">IFERROR(IF(VLOOKUP($E78,Avaluacio[],COLUMN(Avaluacio[Codi ítem]),FALSE)=$E78,'1_Plantejament'!$B$7,""),"")</f>
        <v>Fase 5</v>
      </c>
      <c r="E78" s="6" t="str">
        <f t="array" ref="E78">IFERROR(INDEX(Avaluacio[Codi ítem],(MATCH(0,INDEX(COUNTIF(E$1:E77,Avaluacio[Codi ítem]),0,0)+INDEX(Avaluacio[Avaluable]="No",0,0),0))),"")</f>
        <v>XGO078</v>
      </c>
      <c r="F78" s="45" t="str">
        <f t="array" ref="F78">IFERROR(VLOOKUP(E78,Avaluacio[],COLUMN(Avaluacio[Ítem]),FALSE),"")</f>
        <v>Registre d'eliminació de documents</v>
      </c>
      <c r="G78" t="str">
        <f t="array" ref="G78">IFERROR(VLOOKUP(E78,Avaluacio[],COLUMN(Avaluacio[Família]),FALSE),"")</f>
        <v>Acció de govern i normativa</v>
      </c>
      <c r="H78" t="str">
        <f t="array" ref="H78">IFERROR(VLOOKUP(E78,Avaluacio[],COLUMN(Avaluacio[Subfamília]),FALSE),"")</f>
        <v/>
      </c>
      <c r="I78" s="6" t="str">
        <f t="array" ref="I78">IFERROR(VLOOKUP(E78,Avaluacio[],COLUMN(Avaluacio[Contingut]),FALSE),"")</f>
        <v>Sí</v>
      </c>
      <c r="J78" s="6" t="str">
        <f t="array" ref="J78">IFERROR(VLOOKUP(E78,Avaluacio[],COLUMN(Avaluacio[Actualització]),FALSE),"")</f>
        <v>Sí</v>
      </c>
      <c r="K78" s="6" t="str">
        <f t="array" ref="K78">IFERROR(VLOOKUP(E78,Avaluacio[],COLUMN(#REF!),FALSE),"")</f>
        <v/>
      </c>
      <c r="L78" t="str">
        <f t="array" ref="L78">IFERROR(VLOOKUP(E78,Avaluacio[],COLUMN(Avaluacio[Grau de compliment]),FALSE),"")</f>
        <v>Compleix totalment</v>
      </c>
      <c r="M78" s="8">
        <f t="array" ref="M78">IFERROR(VLOOKUP(E78,Avaluacio[],COLUMN(Avaluacio[% compliment]),FALSE),"")</f>
        <v>1</v>
      </c>
    </row>
    <row r="79" spans="1:13" ht="27.6" x14ac:dyDescent="0.25">
      <c r="A79" t="str">
        <f t="array" ref="A79">IFERROR(IF(VLOOKUP($E79,Avaluacio[],COLUMN(Avaluacio[Codi ítem]),FALSE)=$E79,'1_Plantejament'!$B$5,""),"")</f>
        <v>Ajuntament de Blanes</v>
      </c>
      <c r="B79">
        <f t="array" ref="B79">IFERROR(IF(VLOOKUP($E79,Avaluacio[],COLUMN(Avaluacio[Codi ítem]),FALSE)=$E79,'1_Plantejament'!$B$9,""),"")</f>
        <v>2026</v>
      </c>
      <c r="C79">
        <f t="array" ref="C79">IFERROR(IF(VLOOKUP($E79,Avaluacio[],COLUMN(Avaluacio[Codi ítem]),FALSE)=$E79,'1_Plantejament'!$B$10,""),"")</f>
        <v>46206</v>
      </c>
      <c r="D79" s="6" t="str">
        <f t="array" ref="D79">IFERROR(IF(VLOOKUP($E79,Avaluacio[],COLUMN(Avaluacio[Codi ítem]),FALSE)=$E79,'1_Plantejament'!$B$7,""),"")</f>
        <v>Fase 5</v>
      </c>
      <c r="E79" s="6" t="str">
        <f t="array" ref="E79">IFERROR(INDEX(Avaluacio[Codi ítem],(MATCH(0,INDEX(COUNTIF(E$1:E78,Avaluacio[Codi ítem]),0,0)+INDEX(Avaluacio[Avaluable]="No",0,0),0))),"")</f>
        <v>XGO079</v>
      </c>
      <c r="F79" s="45" t="str">
        <f t="array" ref="F79">IFERROR(VLOOKUP(E79,Avaluacio[],COLUMN(Avaluacio[Ítem]),FALSE),"")</f>
        <v>Licitacions en tràmit (perfil de contractant)</v>
      </c>
      <c r="G79" t="str">
        <f t="array" ref="G79">IFERROR(VLOOKUP(E79,Avaluacio[],COLUMN(Avaluacio[Família]),FALSE),"")</f>
        <v>Contractes, convenis i subvencions</v>
      </c>
      <c r="H79" t="str">
        <f t="array" ref="H79">IFERROR(VLOOKUP(E79,Avaluacio[],COLUMN(Avaluacio[Subfamília]),FALSE),"")</f>
        <v/>
      </c>
      <c r="I79" s="6" t="str">
        <f t="array" ref="I79">IFERROR(VLOOKUP(E79,Avaluacio[],COLUMN(Avaluacio[Contingut]),FALSE),"")</f>
        <v>Sí</v>
      </c>
      <c r="J79" s="6" t="str">
        <f t="array" ref="J79">IFERROR(VLOOKUP(E79,Avaluacio[],COLUMN(Avaluacio[Actualització]),FALSE),"")</f>
        <v>Sí</v>
      </c>
      <c r="K79" s="6" t="str">
        <f t="array" ref="K79">IFERROR(VLOOKUP(E79,Avaluacio[],COLUMN(#REF!),FALSE),"")</f>
        <v/>
      </c>
      <c r="L79" t="str">
        <f t="array" ref="L79">IFERROR(VLOOKUP(E79,Avaluacio[],COLUMN(Avaluacio[Grau de compliment]),FALSE),"")</f>
        <v>Compleix totalment</v>
      </c>
      <c r="M79" s="8">
        <f t="array" ref="M79">IFERROR(VLOOKUP(E79,Avaluacio[],COLUMN(Avaluacio[% compliment]),FALSE),"")</f>
        <v>1</v>
      </c>
    </row>
    <row r="80" spans="1:13" ht="27.6" x14ac:dyDescent="0.25">
      <c r="A80" t="str">
        <f t="array" ref="A80">IFERROR(IF(VLOOKUP($E80,Avaluacio[],COLUMN(Avaluacio[Codi ítem]),FALSE)=$E80,'1_Plantejament'!$B$5,""),"")</f>
        <v>Ajuntament de Blanes</v>
      </c>
      <c r="B80">
        <f t="array" ref="B80">IFERROR(IF(VLOOKUP($E80,Avaluacio[],COLUMN(Avaluacio[Codi ítem]),FALSE)=$E80,'1_Plantejament'!$B$9,""),"")</f>
        <v>2026</v>
      </c>
      <c r="C80">
        <f t="array" ref="C80">IFERROR(IF(VLOOKUP($E80,Avaluacio[],COLUMN(Avaluacio[Codi ítem]),FALSE)=$E80,'1_Plantejament'!$B$10,""),"")</f>
        <v>46206</v>
      </c>
      <c r="D80" s="6" t="str">
        <f t="array" ref="D80">IFERROR(IF(VLOOKUP($E80,Avaluacio[],COLUMN(Avaluacio[Codi ítem]),FALSE)=$E80,'1_Plantejament'!$B$7,""),"")</f>
        <v>Fase 5</v>
      </c>
      <c r="E80" s="6" t="str">
        <f t="array" ref="E80">IFERROR(INDEX(Avaluacio[Codi ítem],(MATCH(0,INDEX(COUNTIF(E$1:E79,Avaluacio[Codi ítem]),0,0)+INDEX(Avaluacio[Avaluable]="No",0,0),0))),"")</f>
        <v>XGO080</v>
      </c>
      <c r="F80" s="45" t="str">
        <f t="array" ref="F80">IFERROR(VLOOKUP(E80,Avaluacio[],COLUMN(Avaluacio[Ítem]),FALSE),"")</f>
        <v>Contractes programats</v>
      </c>
      <c r="G80" t="str">
        <f t="array" ref="G80">IFERROR(VLOOKUP(E80,Avaluacio[],COLUMN(Avaluacio[Família]),FALSE),"")</f>
        <v>Contractes, convenis i subvencions</v>
      </c>
      <c r="H80" t="str">
        <f t="array" ref="H80">IFERROR(VLOOKUP(E80,Avaluacio[],COLUMN(Avaluacio[Subfamília]),FALSE),"")</f>
        <v/>
      </c>
      <c r="I80" s="6" t="str">
        <f t="array" ref="I80">IFERROR(VLOOKUP(E80,Avaluacio[],COLUMN(Avaluacio[Contingut]),FALSE),"")</f>
        <v>Sí</v>
      </c>
      <c r="J80" s="6" t="str">
        <f t="array" ref="J80">IFERROR(VLOOKUP(E80,Avaluacio[],COLUMN(Avaluacio[Actualització]),FALSE),"")</f>
        <v>Sí</v>
      </c>
      <c r="K80" s="6" t="str">
        <f t="array" ref="K80">IFERROR(VLOOKUP(E80,Avaluacio[],COLUMN(#REF!),FALSE),"")</f>
        <v/>
      </c>
      <c r="L80" t="str">
        <f t="array" ref="L80">IFERROR(VLOOKUP(E80,Avaluacio[],COLUMN(Avaluacio[Grau de compliment]),FALSE),"")</f>
        <v>Compleix totalment</v>
      </c>
      <c r="M80" s="8">
        <f t="array" ref="M80">IFERROR(VLOOKUP(E80,Avaluacio[],COLUMN(Avaluacio[% compliment]),FALSE),"")</f>
        <v>1</v>
      </c>
    </row>
    <row r="81" spans="1:13" ht="27.6" x14ac:dyDescent="0.25">
      <c r="A81" t="str">
        <f t="array" ref="A81">IFERROR(IF(VLOOKUP($E81,Avaluacio[],COLUMN(Avaluacio[Codi ítem]),FALSE)=$E81,'1_Plantejament'!$B$5,""),"")</f>
        <v>Ajuntament de Blanes</v>
      </c>
      <c r="B81">
        <f t="array" ref="B81">IFERROR(IF(VLOOKUP($E81,Avaluacio[],COLUMN(Avaluacio[Codi ítem]),FALSE)=$E81,'1_Plantejament'!$B$9,""),"")</f>
        <v>2026</v>
      </c>
      <c r="C81">
        <f t="array" ref="C81">IFERROR(IF(VLOOKUP($E81,Avaluacio[],COLUMN(Avaluacio[Codi ítem]),FALSE)=$E81,'1_Plantejament'!$B$10,""),"")</f>
        <v>46206</v>
      </c>
      <c r="D81" s="6" t="str">
        <f t="array" ref="D81">IFERROR(IF(VLOOKUP($E81,Avaluacio[],COLUMN(Avaluacio[Codi ítem]),FALSE)=$E81,'1_Plantejament'!$B$7,""),"")</f>
        <v>Fase 5</v>
      </c>
      <c r="E81" s="6" t="str">
        <f t="array" ref="E81">IFERROR(INDEX(Avaluacio[Codi ítem],(MATCH(0,INDEX(COUNTIF(E$1:E80,Avaluacio[Codi ítem]),0,0)+INDEX(Avaluacio[Avaluable]="No",0,0),0))),"")</f>
        <v>XGO081</v>
      </c>
      <c r="F81" s="45" t="str">
        <f t="array" ref="F81">IFERROR(VLOOKUP(E81,Avaluacio[],COLUMN(Avaluacio[Ítem]),FALSE),"")</f>
        <v>Relació de contractes adjudicats (històric)</v>
      </c>
      <c r="G81" t="str">
        <f t="array" ref="G81">IFERROR(VLOOKUP(E81,Avaluacio[],COLUMN(Avaluacio[Família]),FALSE),"")</f>
        <v>Contractes, convenis i subvencions</v>
      </c>
      <c r="H81" t="str">
        <f t="array" ref="H81">IFERROR(VLOOKUP(E81,Avaluacio[],COLUMN(Avaluacio[Subfamília]),FALSE),"")</f>
        <v/>
      </c>
      <c r="I81" s="6" t="str">
        <f t="array" ref="I81">IFERROR(VLOOKUP(E81,Avaluacio[],COLUMN(Avaluacio[Contingut]),FALSE),"")</f>
        <v>Sí</v>
      </c>
      <c r="J81" s="6" t="str">
        <f t="array" ref="J81">IFERROR(VLOOKUP(E81,Avaluacio[],COLUMN(Avaluacio[Actualització]),FALSE),"")</f>
        <v>Sí</v>
      </c>
      <c r="K81" s="6" t="str">
        <f t="array" ref="K81">IFERROR(VLOOKUP(E81,Avaluacio[],COLUMN(#REF!),FALSE),"")</f>
        <v/>
      </c>
      <c r="L81" t="str">
        <f t="array" ref="L81">IFERROR(VLOOKUP(E81,Avaluacio[],COLUMN(Avaluacio[Grau de compliment]),FALSE),"")</f>
        <v>Compleix totalment</v>
      </c>
      <c r="M81" s="8">
        <f t="array" ref="M81">IFERROR(VLOOKUP(E81,Avaluacio[],COLUMN(Avaluacio[% compliment]),FALSE),"")</f>
        <v>1</v>
      </c>
    </row>
    <row r="82" spans="1:13" ht="27.6" x14ac:dyDescent="0.25">
      <c r="A82" t="str">
        <f t="array" ref="A82">IFERROR(IF(VLOOKUP($E82,Avaluacio[],COLUMN(Avaluacio[Codi ítem]),FALSE)=$E82,'1_Plantejament'!$B$5,""),"")</f>
        <v>Ajuntament de Blanes</v>
      </c>
      <c r="B82">
        <f t="array" ref="B82">IFERROR(IF(VLOOKUP($E82,Avaluacio[],COLUMN(Avaluacio[Codi ítem]),FALSE)=$E82,'1_Plantejament'!$B$9,""),"")</f>
        <v>2026</v>
      </c>
      <c r="C82">
        <f t="array" ref="C82">IFERROR(IF(VLOOKUP($E82,Avaluacio[],COLUMN(Avaluacio[Codi ítem]),FALSE)=$E82,'1_Plantejament'!$B$10,""),"")</f>
        <v>46206</v>
      </c>
      <c r="D82" s="6" t="str">
        <f t="array" ref="D82">IFERROR(IF(VLOOKUP($E82,Avaluacio[],COLUMN(Avaluacio[Codi ítem]),FALSE)=$E82,'1_Plantejament'!$B$7,""),"")</f>
        <v>Fase 5</v>
      </c>
      <c r="E82" s="6" t="str">
        <f t="array" ref="E82">IFERROR(INDEX(Avaluacio[Codi ítem],(MATCH(0,INDEX(COUNTIF(E$1:E81,Avaluacio[Codi ítem]),0,0)+INDEX(Avaluacio[Avaluable]="No",0,0),0))),"")</f>
        <v>XGO082</v>
      </c>
      <c r="F82" s="45" t="str">
        <f t="array" ref="F82">IFERROR(VLOOKUP(E82,Avaluacio[],COLUMN(Avaluacio[Ítem]),FALSE),"")</f>
        <v>Relació de contractes menors (històric)</v>
      </c>
      <c r="G82" t="str">
        <f t="array" ref="G82">IFERROR(VLOOKUP(E82,Avaluacio[],COLUMN(Avaluacio[Família]),FALSE),"")</f>
        <v>Contractes, convenis i subvencions</v>
      </c>
      <c r="H82" t="str">
        <f t="array" ref="H82">IFERROR(VLOOKUP(E82,Avaluacio[],COLUMN(Avaluacio[Subfamília]),FALSE),"")</f>
        <v/>
      </c>
      <c r="I82" s="6" t="str">
        <f t="array" ref="I82">IFERROR(VLOOKUP(E82,Avaluacio[],COLUMN(Avaluacio[Contingut]),FALSE),"")</f>
        <v>Sí</v>
      </c>
      <c r="J82" s="6" t="str">
        <f t="array" ref="J82">IFERROR(VLOOKUP(E82,Avaluacio[],COLUMN(Avaluacio[Actualització]),FALSE),"")</f>
        <v>Sí</v>
      </c>
      <c r="K82" s="6" t="str">
        <f t="array" ref="K82">IFERROR(VLOOKUP(E82,Avaluacio[],COLUMN(#REF!),FALSE),"")</f>
        <v/>
      </c>
      <c r="L82" t="str">
        <f t="array" ref="L82">IFERROR(VLOOKUP(E82,Avaluacio[],COLUMN(Avaluacio[Grau de compliment]),FALSE),"")</f>
        <v>Compleix totalment</v>
      </c>
      <c r="M82" s="8">
        <f t="array" ref="M82">IFERROR(VLOOKUP(E82,Avaluacio[],COLUMN(Avaluacio[% compliment]),FALSE),"")</f>
        <v>1</v>
      </c>
    </row>
    <row r="83" spans="1:13" ht="27.6" x14ac:dyDescent="0.25">
      <c r="A83" t="str">
        <f t="array" ref="A83">IFERROR(IF(VLOOKUP($E83,Avaluacio[],COLUMN(Avaluacio[Codi ítem]),FALSE)=$E83,'1_Plantejament'!$B$5,""),"")</f>
        <v>Ajuntament de Blanes</v>
      </c>
      <c r="B83">
        <f t="array" ref="B83">IFERROR(IF(VLOOKUP($E83,Avaluacio[],COLUMN(Avaluacio[Codi ítem]),FALSE)=$E83,'1_Plantejament'!$B$9,""),"")</f>
        <v>2026</v>
      </c>
      <c r="C83">
        <f t="array" ref="C83">IFERROR(IF(VLOOKUP($E83,Avaluacio[],COLUMN(Avaluacio[Codi ítem]),FALSE)=$E83,'1_Plantejament'!$B$10,""),"")</f>
        <v>46206</v>
      </c>
      <c r="D83" s="6" t="str">
        <f t="array" ref="D83">IFERROR(IF(VLOOKUP($E83,Avaluacio[],COLUMN(Avaluacio[Codi ítem]),FALSE)=$E83,'1_Plantejament'!$B$7,""),"")</f>
        <v>Fase 5</v>
      </c>
      <c r="E83" s="6" t="str">
        <f t="array" ref="E83">IFERROR(INDEX(Avaluacio[Codi ítem],(MATCH(0,INDEX(COUNTIF(E$1:E82,Avaluacio[Codi ítem]),0,0)+INDEX(Avaluacio[Avaluable]="No",0,0),0))),"")</f>
        <v>XGO083</v>
      </c>
      <c r="F83" s="45" t="str">
        <f t="array" ref="F83">IFERROR(VLOOKUP(E83,Avaluacio[],COLUMN(Avaluacio[Ítem]),FALSE),"")</f>
        <v>Modificacions de contractes</v>
      </c>
      <c r="G83" t="str">
        <f t="array" ref="G83">IFERROR(VLOOKUP(E83,Avaluacio[],COLUMN(Avaluacio[Família]),FALSE),"")</f>
        <v>Contractes, convenis i subvencions</v>
      </c>
      <c r="H83" t="str">
        <f t="array" ref="H83">IFERROR(VLOOKUP(E83,Avaluacio[],COLUMN(Avaluacio[Subfamília]),FALSE),"")</f>
        <v/>
      </c>
      <c r="I83" s="6" t="str">
        <f t="array" ref="I83">IFERROR(VLOOKUP(E83,Avaluacio[],COLUMN(Avaluacio[Contingut]),FALSE),"")</f>
        <v>Sí</v>
      </c>
      <c r="J83" s="6" t="str">
        <f t="array" ref="J83">IFERROR(VLOOKUP(E83,Avaluacio[],COLUMN(Avaluacio[Actualització]),FALSE),"")</f>
        <v>Sí</v>
      </c>
      <c r="K83" s="6" t="str">
        <f t="array" ref="K83">IFERROR(VLOOKUP(E83,Avaluacio[],COLUMN(#REF!),FALSE),"")</f>
        <v/>
      </c>
      <c r="L83" t="str">
        <f t="array" ref="L83">IFERROR(VLOOKUP(E83,Avaluacio[],COLUMN(Avaluacio[Grau de compliment]),FALSE),"")</f>
        <v>Compleix totalment</v>
      </c>
      <c r="M83" s="8">
        <f t="array" ref="M83">IFERROR(VLOOKUP(E83,Avaluacio[],COLUMN(Avaluacio[% compliment]),FALSE),"")</f>
        <v>1</v>
      </c>
    </row>
    <row r="84" spans="1:13" ht="27.6" x14ac:dyDescent="0.25">
      <c r="A84" t="str">
        <f t="array" ref="A84">IFERROR(IF(VLOOKUP($E84,Avaluacio[],COLUMN(Avaluacio[Codi ítem]),FALSE)=$E84,'1_Plantejament'!$B$5,""),"")</f>
        <v>Ajuntament de Blanes</v>
      </c>
      <c r="B84">
        <f t="array" ref="B84">IFERROR(IF(VLOOKUP($E84,Avaluacio[],COLUMN(Avaluacio[Codi ítem]),FALSE)=$E84,'1_Plantejament'!$B$9,""),"")</f>
        <v>2026</v>
      </c>
      <c r="C84">
        <f t="array" ref="C84">IFERROR(IF(VLOOKUP($E84,Avaluacio[],COLUMN(Avaluacio[Codi ítem]),FALSE)=$E84,'1_Plantejament'!$B$10,""),"")</f>
        <v>46206</v>
      </c>
      <c r="D84" s="6" t="str">
        <f t="array" ref="D84">IFERROR(IF(VLOOKUP($E84,Avaluacio[],COLUMN(Avaluacio[Codi ítem]),FALSE)=$E84,'1_Plantejament'!$B$7,""),"")</f>
        <v>Fase 5</v>
      </c>
      <c r="E84" s="6" t="str">
        <f t="array" ref="E84">IFERROR(INDEX(Avaluacio[Codi ítem],(MATCH(0,INDEX(COUNTIF(E$1:E83,Avaluacio[Codi ítem]),0,0)+INDEX(Avaluacio[Avaluable]="No",0,0),0))),"")</f>
        <v>XGO084</v>
      </c>
      <c r="F84" s="45" t="str">
        <f t="array" ref="F84">IFERROR(VLOOKUP(E84,Avaluacio[],COLUMN(Avaluacio[Ítem]),FALSE),"")</f>
        <v>Registre de factures</v>
      </c>
      <c r="G84" t="str">
        <f t="array" ref="G84">IFERROR(VLOOKUP(E84,Avaluacio[],COLUMN(Avaluacio[Família]),FALSE),"")</f>
        <v>Contractes, convenis i subvencions</v>
      </c>
      <c r="H84" t="str">
        <f t="array" ref="H84">IFERROR(VLOOKUP(E84,Avaluacio[],COLUMN(Avaluacio[Subfamília]),FALSE),"")</f>
        <v/>
      </c>
      <c r="I84" s="6" t="str">
        <f t="array" ref="I84">IFERROR(VLOOKUP(E84,Avaluacio[],COLUMN(Avaluacio[Contingut]),FALSE),"")</f>
        <v>Sí</v>
      </c>
      <c r="J84" s="6" t="str">
        <f t="array" ref="J84">IFERROR(VLOOKUP(E84,Avaluacio[],COLUMN(Avaluacio[Actualització]),FALSE),"")</f>
        <v>Sí</v>
      </c>
      <c r="K84" s="6" t="str">
        <f t="array" ref="K84">IFERROR(VLOOKUP(E84,Avaluacio[],COLUMN(#REF!),FALSE),"")</f>
        <v/>
      </c>
      <c r="L84" t="str">
        <f t="array" ref="L84">IFERROR(VLOOKUP(E84,Avaluacio[],COLUMN(Avaluacio[Grau de compliment]),FALSE),"")</f>
        <v>Compleix totalment</v>
      </c>
      <c r="M84" s="8">
        <f t="array" ref="M84">IFERROR(VLOOKUP(E84,Avaluacio[],COLUMN(Avaluacio[% compliment]),FALSE),"")</f>
        <v>1</v>
      </c>
    </row>
    <row r="85" spans="1:13" ht="41.4" x14ac:dyDescent="0.25">
      <c r="A85" t="str">
        <f t="array" ref="A85">IFERROR(IF(VLOOKUP($E85,Avaluacio[],COLUMN(Avaluacio[Codi ítem]),FALSE)=$E85,'1_Plantejament'!$B$5,""),"")</f>
        <v>Ajuntament de Blanes</v>
      </c>
      <c r="B85">
        <f t="array" ref="B85">IFERROR(IF(VLOOKUP($E85,Avaluacio[],COLUMN(Avaluacio[Codi ítem]),FALSE)=$E85,'1_Plantejament'!$B$9,""),"")</f>
        <v>2026</v>
      </c>
      <c r="C85">
        <f t="array" ref="C85">IFERROR(IF(VLOOKUP($E85,Avaluacio[],COLUMN(Avaluacio[Codi ítem]),FALSE)=$E85,'1_Plantejament'!$B$10,""),"")</f>
        <v>46206</v>
      </c>
      <c r="D85" s="6" t="str">
        <f t="array" ref="D85">IFERROR(IF(VLOOKUP($E85,Avaluacio[],COLUMN(Avaluacio[Codi ítem]),FALSE)=$E85,'1_Plantejament'!$B$7,""),"")</f>
        <v>Fase 5</v>
      </c>
      <c r="E85" s="6" t="str">
        <f t="array" ref="E85">IFERROR(INDEX(Avaluacio[Codi ítem],(MATCH(0,INDEX(COUNTIF(E$1:E84,Avaluacio[Codi ítem]),0,0)+INDEX(Avaluacio[Avaluable]="No",0,0),0))),"")</f>
        <v>XGO085</v>
      </c>
      <c r="F85" s="45" t="str">
        <f t="array" ref="F85">IFERROR(VLOOKUP(E85,Avaluacio[],COLUMN(Avaluacio[Ítem]),FALSE),"")</f>
        <v>Relació de proveïdors, adjudicataris i/o contractistes</v>
      </c>
      <c r="G85" t="str">
        <f t="array" ref="G85">IFERROR(VLOOKUP(E85,Avaluacio[],COLUMN(Avaluacio[Família]),FALSE),"")</f>
        <v>Contractes, convenis i subvencions</v>
      </c>
      <c r="H85" t="str">
        <f t="array" ref="H85">IFERROR(VLOOKUP(E85,Avaluacio[],COLUMN(Avaluacio[Subfamília]),FALSE),"")</f>
        <v/>
      </c>
      <c r="I85" s="6" t="str">
        <f t="array" ref="I85">IFERROR(VLOOKUP(E85,Avaluacio[],COLUMN(Avaluacio[Contingut]),FALSE),"")</f>
        <v>Sí</v>
      </c>
      <c r="J85" s="6" t="str">
        <f t="array" ref="J85">IFERROR(VLOOKUP(E85,Avaluacio[],COLUMN(Avaluacio[Actualització]),FALSE),"")</f>
        <v>Sí</v>
      </c>
      <c r="K85" s="6" t="str">
        <f t="array" ref="K85">IFERROR(VLOOKUP(E85,Avaluacio[],COLUMN(#REF!),FALSE),"")</f>
        <v/>
      </c>
      <c r="L85" t="str">
        <f t="array" ref="L85">IFERROR(VLOOKUP(E85,Avaluacio[],COLUMN(Avaluacio[Grau de compliment]),FALSE),"")</f>
        <v>Compleix totalment</v>
      </c>
      <c r="M85" s="8">
        <f t="array" ref="M85">IFERROR(VLOOKUP(E85,Avaluacio[],COLUMN(Avaluacio[% compliment]),FALSE),"")</f>
        <v>1</v>
      </c>
    </row>
    <row r="86" spans="1:13" ht="27.6" x14ac:dyDescent="0.25">
      <c r="A86" t="str">
        <f t="array" ref="A86">IFERROR(IF(VLOOKUP($E86,Avaluacio[],COLUMN(Avaluacio[Codi ítem]),FALSE)=$E86,'1_Plantejament'!$B$5,""),"")</f>
        <v>Ajuntament de Blanes</v>
      </c>
      <c r="B86">
        <f t="array" ref="B86">IFERROR(IF(VLOOKUP($E86,Avaluacio[],COLUMN(Avaluacio[Codi ítem]),FALSE)=$E86,'1_Plantejament'!$B$9,""),"")</f>
        <v>2026</v>
      </c>
      <c r="C86">
        <f t="array" ref="C86">IFERROR(IF(VLOOKUP($E86,Avaluacio[],COLUMN(Avaluacio[Codi ítem]),FALSE)=$E86,'1_Plantejament'!$B$10,""),"")</f>
        <v>46206</v>
      </c>
      <c r="D86" s="6" t="str">
        <f t="array" ref="D86">IFERROR(IF(VLOOKUP($E86,Avaluacio[],COLUMN(Avaluacio[Codi ítem]),FALSE)=$E86,'1_Plantejament'!$B$7,""),"")</f>
        <v>Fase 5</v>
      </c>
      <c r="E86" s="6" t="str">
        <f t="array" ref="E86">IFERROR(INDEX(Avaluacio[Codi ítem],(MATCH(0,INDEX(COUNTIF(E$1:E85,Avaluacio[Codi ítem]),0,0)+INDEX(Avaluacio[Avaluable]="No",0,0),0))),"")</f>
        <v>XGO086</v>
      </c>
      <c r="F86" s="45" t="str">
        <f t="array" ref="F86">IFERROR(VLOOKUP(E86,Avaluacio[],COLUMN(Avaluacio[Ítem]),FALSE),"")</f>
        <v>Òrgans de contractació</v>
      </c>
      <c r="G86" t="str">
        <f t="array" ref="G86">IFERROR(VLOOKUP(E86,Avaluacio[],COLUMN(Avaluacio[Família]),FALSE),"")</f>
        <v>Contractes, convenis i subvencions</v>
      </c>
      <c r="H86" t="str">
        <f t="array" ref="H86">IFERROR(VLOOKUP(E86,Avaluacio[],COLUMN(Avaluacio[Subfamília]),FALSE),"")</f>
        <v/>
      </c>
      <c r="I86" s="6" t="str">
        <f t="array" ref="I86">IFERROR(VLOOKUP(E86,Avaluacio[],COLUMN(Avaluacio[Contingut]),FALSE),"")</f>
        <v>Sí</v>
      </c>
      <c r="J86" s="6" t="str">
        <f t="array" ref="J86">IFERROR(VLOOKUP(E86,Avaluacio[],COLUMN(Avaluacio[Actualització]),FALSE),"")</f>
        <v>Sí</v>
      </c>
      <c r="K86" s="6" t="str">
        <f t="array" ref="K86">IFERROR(VLOOKUP(E86,Avaluacio[],COLUMN(#REF!),FALSE),"")</f>
        <v/>
      </c>
      <c r="L86" t="str">
        <f t="array" ref="L86">IFERROR(VLOOKUP(E86,Avaluacio[],COLUMN(Avaluacio[Grau de compliment]),FALSE),"")</f>
        <v>Compleix totalment</v>
      </c>
      <c r="M86" s="8">
        <f t="array" ref="M86">IFERROR(VLOOKUP(E86,Avaluacio[],COLUMN(Avaluacio[% compliment]),FALSE),"")</f>
        <v>1</v>
      </c>
    </row>
    <row r="87" spans="1:13" ht="27.6" x14ac:dyDescent="0.25">
      <c r="A87" t="str">
        <f t="array" ref="A87">IFERROR(IF(VLOOKUP($E87,Avaluacio[],COLUMN(Avaluacio[Codi ítem]),FALSE)=$E87,'1_Plantejament'!$B$5,""),"")</f>
        <v>Ajuntament de Blanes</v>
      </c>
      <c r="B87">
        <f t="array" ref="B87">IFERROR(IF(VLOOKUP($E87,Avaluacio[],COLUMN(Avaluacio[Codi ítem]),FALSE)=$E87,'1_Plantejament'!$B$9,""),"")</f>
        <v>2026</v>
      </c>
      <c r="C87">
        <f t="array" ref="C87">IFERROR(IF(VLOOKUP($E87,Avaluacio[],COLUMN(Avaluacio[Codi ítem]),FALSE)=$E87,'1_Plantejament'!$B$10,""),"")</f>
        <v>46206</v>
      </c>
      <c r="D87" s="6" t="str">
        <f t="array" ref="D87">IFERROR(IF(VLOOKUP($E87,Avaluacio[],COLUMN(Avaluacio[Codi ítem]),FALSE)=$E87,'1_Plantejament'!$B$7,""),"")</f>
        <v>Fase 5</v>
      </c>
      <c r="E87" s="6" t="str">
        <f t="array" ref="E87">IFERROR(INDEX(Avaluacio[Codi ítem],(MATCH(0,INDEX(COUNTIF(E$1:E86,Avaluacio[Codi ítem]),0,0)+INDEX(Avaluacio[Avaluable]="No",0,0),0))),"")</f>
        <v>XGO087</v>
      </c>
      <c r="F87" s="45" t="str">
        <f t="array" ref="F87">IFERROR(VLOOKUP(E87,Avaluacio[],COLUMN(Avaluacio[Ítem]),FALSE),"")</f>
        <v>Registre de licitadors</v>
      </c>
      <c r="G87" t="str">
        <f t="array" ref="G87">IFERROR(VLOOKUP(E87,Avaluacio[],COLUMN(Avaluacio[Família]),FALSE),"")</f>
        <v>Contractes, convenis i subvencions</v>
      </c>
      <c r="H87" t="str">
        <f t="array" ref="H87">IFERROR(VLOOKUP(E87,Avaluacio[],COLUMN(Avaluacio[Subfamília]),FALSE),"")</f>
        <v/>
      </c>
      <c r="I87" s="6" t="str">
        <f t="array" ref="I87">IFERROR(VLOOKUP(E87,Avaluacio[],COLUMN(Avaluacio[Contingut]),FALSE),"")</f>
        <v>Sí</v>
      </c>
      <c r="J87" s="6" t="str">
        <f t="array" ref="J87">IFERROR(VLOOKUP(E87,Avaluacio[],COLUMN(Avaluacio[Actualització]),FALSE),"")</f>
        <v>Sí</v>
      </c>
      <c r="K87" s="6" t="str">
        <f t="array" ref="K87">IFERROR(VLOOKUP(E87,Avaluacio[],COLUMN(#REF!),FALSE),"")</f>
        <v/>
      </c>
      <c r="L87" t="str">
        <f t="array" ref="L87">IFERROR(VLOOKUP(E87,Avaluacio[],COLUMN(Avaluacio[Grau de compliment]),FALSE),"")</f>
        <v>Compleix totalment</v>
      </c>
      <c r="M87" s="8">
        <f t="array" ref="M87">IFERROR(VLOOKUP(E87,Avaluacio[],COLUMN(Avaluacio[% compliment]),FALSE),"")</f>
        <v>1</v>
      </c>
    </row>
    <row r="88" spans="1:13" ht="27.6" x14ac:dyDescent="0.25">
      <c r="A88" t="str">
        <f t="array" ref="A88">IFERROR(IF(VLOOKUP($E88,Avaluacio[],COLUMN(Avaluacio[Codi ítem]),FALSE)=$E88,'1_Plantejament'!$B$5,""),"")</f>
        <v>Ajuntament de Blanes</v>
      </c>
      <c r="B88">
        <f t="array" ref="B88">IFERROR(IF(VLOOKUP($E88,Avaluacio[],COLUMN(Avaluacio[Codi ítem]),FALSE)=$E88,'1_Plantejament'!$B$9,""),"")</f>
        <v>2026</v>
      </c>
      <c r="C88">
        <f t="array" ref="C88">IFERROR(IF(VLOOKUP($E88,Avaluacio[],COLUMN(Avaluacio[Codi ítem]),FALSE)=$E88,'1_Plantejament'!$B$10,""),"")</f>
        <v>46206</v>
      </c>
      <c r="D88" s="6" t="str">
        <f t="array" ref="D88">IFERROR(IF(VLOOKUP($E88,Avaluacio[],COLUMN(Avaluacio[Codi ítem]),FALSE)=$E88,'1_Plantejament'!$B$7,""),"")</f>
        <v>Fase 5</v>
      </c>
      <c r="E88" s="6" t="str">
        <f t="array" ref="E88">IFERROR(INDEX(Avaluacio[Codi ítem],(MATCH(0,INDEX(COUNTIF(E$1:E87,Avaluacio[Codi ítem]),0,0)+INDEX(Avaluacio[Avaluable]="No",0,0),0))),"")</f>
        <v>XGO088</v>
      </c>
      <c r="F88" s="45" t="str">
        <f t="array" ref="F88">IFERROR(VLOOKUP(E88,Avaluacio[],COLUMN(Avaluacio[Ítem]),FALSE),"")</f>
        <v>Registre d'empreses classificades</v>
      </c>
      <c r="G88" t="str">
        <f t="array" ref="G88">IFERROR(VLOOKUP(E88,Avaluacio[],COLUMN(Avaluacio[Família]),FALSE),"")</f>
        <v>Contractes, convenis i subvencions</v>
      </c>
      <c r="H88" t="str">
        <f t="array" ref="H88">IFERROR(VLOOKUP(E88,Avaluacio[],COLUMN(Avaluacio[Subfamília]),FALSE),"")</f>
        <v/>
      </c>
      <c r="I88" s="6" t="str">
        <f t="array" ref="I88">IFERROR(VLOOKUP(E88,Avaluacio[],COLUMN(Avaluacio[Contingut]),FALSE),"")</f>
        <v>Sí</v>
      </c>
      <c r="J88" s="6" t="str">
        <f t="array" ref="J88">IFERROR(VLOOKUP(E88,Avaluacio[],COLUMN(Avaluacio[Actualització]),FALSE),"")</f>
        <v>Sí</v>
      </c>
      <c r="K88" s="6" t="str">
        <f t="array" ref="K88">IFERROR(VLOOKUP(E88,Avaluacio[],COLUMN(#REF!),FALSE),"")</f>
        <v/>
      </c>
      <c r="L88" t="str">
        <f t="array" ref="L88">IFERROR(VLOOKUP(E88,Avaluacio[],COLUMN(Avaluacio[Grau de compliment]),FALSE),"")</f>
        <v>Compleix totalment</v>
      </c>
      <c r="M88" s="8">
        <f t="array" ref="M88">IFERROR(VLOOKUP(E88,Avaluacio[],COLUMN(Avaluacio[% compliment]),FALSE),"")</f>
        <v>1</v>
      </c>
    </row>
    <row r="89" spans="1:13" ht="27.6" x14ac:dyDescent="0.25">
      <c r="A89" t="str">
        <f t="array" ref="A89">IFERROR(IF(VLOOKUP($E89,Avaluacio[],COLUMN(Avaluacio[Codi ítem]),FALSE)=$E89,'1_Plantejament'!$B$5,""),"")</f>
        <v>Ajuntament de Blanes</v>
      </c>
      <c r="B89">
        <f t="array" ref="B89">IFERROR(IF(VLOOKUP($E89,Avaluacio[],COLUMN(Avaluacio[Codi ítem]),FALSE)=$E89,'1_Plantejament'!$B$9,""),"")</f>
        <v>2026</v>
      </c>
      <c r="C89">
        <f t="array" ref="C89">IFERROR(IF(VLOOKUP($E89,Avaluacio[],COLUMN(Avaluacio[Codi ítem]),FALSE)=$E89,'1_Plantejament'!$B$10,""),"")</f>
        <v>46206</v>
      </c>
      <c r="D89" s="6" t="str">
        <f t="array" ref="D89">IFERROR(IF(VLOOKUP($E89,Avaluacio[],COLUMN(Avaluacio[Codi ítem]),FALSE)=$E89,'1_Plantejament'!$B$7,""),"")</f>
        <v>Fase 5</v>
      </c>
      <c r="E89" s="6" t="str">
        <f t="array" ref="E89">IFERROR(INDEX(Avaluacio[Codi ítem],(MATCH(0,INDEX(COUNTIF(E$1:E88,Avaluacio[Codi ítem]),0,0)+INDEX(Avaluacio[Avaluable]="No",0,0),0))),"")</f>
        <v>XGO089</v>
      </c>
      <c r="F89" s="45" t="str">
        <f t="array" ref="F89">IFERROR(VLOOKUP(E89,Avaluacio[],COLUMN(Avaluacio[Ítem]),FALSE),"")</f>
        <v>Criteris interpretatius de contractació</v>
      </c>
      <c r="G89" t="str">
        <f t="array" ref="G89">IFERROR(VLOOKUP(E89,Avaluacio[],COLUMN(Avaluacio[Família]),FALSE),"")</f>
        <v>Contractes, convenis i subvencions</v>
      </c>
      <c r="H89" t="str">
        <f t="array" ref="H89">IFERROR(VLOOKUP(E89,Avaluacio[],COLUMN(Avaluacio[Subfamília]),FALSE),"")</f>
        <v/>
      </c>
      <c r="I89" s="6" t="str">
        <f t="array" ref="I89">IFERROR(VLOOKUP(E89,Avaluacio[],COLUMN(Avaluacio[Contingut]),FALSE),"")</f>
        <v>Sí</v>
      </c>
      <c r="J89" s="6" t="str">
        <f t="array" ref="J89">IFERROR(VLOOKUP(E89,Avaluacio[],COLUMN(Avaluacio[Actualització]),FALSE),"")</f>
        <v>Sí</v>
      </c>
      <c r="K89" s="6" t="str">
        <f t="array" ref="K89">IFERROR(VLOOKUP(E89,Avaluacio[],COLUMN(#REF!),FALSE),"")</f>
        <v/>
      </c>
      <c r="L89" t="str">
        <f t="array" ref="L89">IFERROR(VLOOKUP(E89,Avaluacio[],COLUMN(Avaluacio[Grau de compliment]),FALSE),"")</f>
        <v>Compleix totalment</v>
      </c>
      <c r="M89" s="8">
        <f t="array" ref="M89">IFERROR(VLOOKUP(E89,Avaluacio[],COLUMN(Avaluacio[% compliment]),FALSE),"")</f>
        <v>1</v>
      </c>
    </row>
    <row r="90" spans="1:13" ht="27.6" x14ac:dyDescent="0.25">
      <c r="A90" t="str">
        <f t="array" ref="A90">IFERROR(IF(VLOOKUP($E90,Avaluacio[],COLUMN(Avaluacio[Codi ítem]),FALSE)=$E90,'1_Plantejament'!$B$5,""),"")</f>
        <v>Ajuntament de Blanes</v>
      </c>
      <c r="B90">
        <f t="array" ref="B90">IFERROR(IF(VLOOKUP($E90,Avaluacio[],COLUMN(Avaluacio[Codi ítem]),FALSE)=$E90,'1_Plantejament'!$B$9,""),"")</f>
        <v>2026</v>
      </c>
      <c r="C90">
        <f t="array" ref="C90">IFERROR(IF(VLOOKUP($E90,Avaluacio[],COLUMN(Avaluacio[Codi ítem]),FALSE)=$E90,'1_Plantejament'!$B$10,""),"")</f>
        <v>46206</v>
      </c>
      <c r="D90" s="6" t="str">
        <f t="array" ref="D90">IFERROR(IF(VLOOKUP($E90,Avaluacio[],COLUMN(Avaluacio[Codi ítem]),FALSE)=$E90,'1_Plantejament'!$B$7,""),"")</f>
        <v>Fase 5</v>
      </c>
      <c r="E90" s="6" t="str">
        <f t="array" ref="E90">IFERROR(INDEX(Avaluacio[Codi ítem],(MATCH(0,INDEX(COUNTIF(E$1:E89,Avaluacio[Codi ítem]),0,0)+INDEX(Avaluacio[Avaluable]="No",0,0),0))),"")</f>
        <v>XGO090</v>
      </c>
      <c r="F90" s="45" t="str">
        <f t="array" ref="F90">IFERROR(VLOOKUP(E90,Avaluacio[],COLUMN(Avaluacio[Ítem]),FALSE),"")</f>
        <v>Consultes més freqüents sobre contractació</v>
      </c>
      <c r="G90" t="str">
        <f t="array" ref="G90">IFERROR(VLOOKUP(E90,Avaluacio[],COLUMN(Avaluacio[Família]),FALSE),"")</f>
        <v>Contractes, convenis i subvencions</v>
      </c>
      <c r="H90" t="str">
        <f t="array" ref="H90">IFERROR(VLOOKUP(E90,Avaluacio[],COLUMN(Avaluacio[Subfamília]),FALSE),"")</f>
        <v/>
      </c>
      <c r="I90" s="6" t="str">
        <f t="array" ref="I90">IFERROR(VLOOKUP(E90,Avaluacio[],COLUMN(Avaluacio[Contingut]),FALSE),"")</f>
        <v>Sí</v>
      </c>
      <c r="J90" s="6" t="str">
        <f t="array" ref="J90">IFERROR(VLOOKUP(E90,Avaluacio[],COLUMN(Avaluacio[Actualització]),FALSE),"")</f>
        <v>Sí</v>
      </c>
      <c r="K90" s="6" t="str">
        <f t="array" ref="K90">IFERROR(VLOOKUP(E90,Avaluacio[],COLUMN(#REF!),FALSE),"")</f>
        <v/>
      </c>
      <c r="L90" t="str">
        <f t="array" ref="L90">IFERROR(VLOOKUP(E90,Avaluacio[],COLUMN(Avaluacio[Grau de compliment]),FALSE),"")</f>
        <v>Compleix totalment</v>
      </c>
      <c r="M90" s="8">
        <f t="array" ref="M90">IFERROR(VLOOKUP(E90,Avaluacio[],COLUMN(Avaluacio[% compliment]),FALSE),"")</f>
        <v>1</v>
      </c>
    </row>
    <row r="91" spans="1:13" ht="55.2" x14ac:dyDescent="0.25">
      <c r="A91" t="str">
        <f t="array" ref="A91">IFERROR(IF(VLOOKUP($E91,Avaluacio[],COLUMN(Avaluacio[Codi ítem]),FALSE)=$E91,'1_Plantejament'!$B$5,""),"")</f>
        <v>Ajuntament de Blanes</v>
      </c>
      <c r="B91">
        <f t="array" ref="B91">IFERROR(IF(VLOOKUP($E91,Avaluacio[],COLUMN(Avaluacio[Codi ítem]),FALSE)=$E91,'1_Plantejament'!$B$9,""),"")</f>
        <v>2026</v>
      </c>
      <c r="C91">
        <f t="array" ref="C91">IFERROR(IF(VLOOKUP($E91,Avaluacio[],COLUMN(Avaluacio[Codi ítem]),FALSE)=$E91,'1_Plantejament'!$B$10,""),"")</f>
        <v>46206</v>
      </c>
      <c r="D91" s="6" t="str">
        <f t="array" ref="D91">IFERROR(IF(VLOOKUP($E91,Avaluacio[],COLUMN(Avaluacio[Codi ítem]),FALSE)=$E91,'1_Plantejament'!$B$7,""),"")</f>
        <v>Fase 5</v>
      </c>
      <c r="E91" s="6" t="str">
        <f t="array" ref="E91">IFERROR(INDEX(Avaluacio[Codi ítem],(MATCH(0,INDEX(COUNTIF(E$1:E90,Avaluacio[Codi ítem]),0,0)+INDEX(Avaluacio[Avaluable]="No",0,0),0))),"")</f>
        <v>XGO091</v>
      </c>
      <c r="F91" s="45" t="str">
        <f t="array" ref="F91">IFERROR(VLOOKUP(E91,Avaluacio[],COLUMN(Avaluacio[Ítem]),FALSE),"")</f>
        <v>Resolucions de recursos, actes de desistiment, renúncia i resolució de contractes</v>
      </c>
      <c r="G91" t="str">
        <f t="array" ref="G91">IFERROR(VLOOKUP(E91,Avaluacio[],COLUMN(Avaluacio[Família]),FALSE),"")</f>
        <v>Contractes, convenis i subvencions</v>
      </c>
      <c r="H91" t="str">
        <f t="array" ref="H91">IFERROR(VLOOKUP(E91,Avaluacio[],COLUMN(Avaluacio[Subfamília]),FALSE),"")</f>
        <v/>
      </c>
      <c r="I91" s="6" t="str">
        <f t="array" ref="I91">IFERROR(VLOOKUP(E91,Avaluacio[],COLUMN(Avaluacio[Contingut]),FALSE),"")</f>
        <v>Sí</v>
      </c>
      <c r="J91" s="6" t="str">
        <f t="array" ref="J91">IFERROR(VLOOKUP(E91,Avaluacio[],COLUMN(Avaluacio[Actualització]),FALSE),"")</f>
        <v>Sí</v>
      </c>
      <c r="K91" s="6" t="str">
        <f t="array" ref="K91">IFERROR(VLOOKUP(E91,Avaluacio[],COLUMN(#REF!),FALSE),"")</f>
        <v/>
      </c>
      <c r="L91" t="str">
        <f t="array" ref="L91">IFERROR(VLOOKUP(E91,Avaluacio[],COLUMN(Avaluacio[Grau de compliment]),FALSE),"")</f>
        <v>Compleix totalment</v>
      </c>
      <c r="M91" s="8">
        <f t="array" ref="M91">IFERROR(VLOOKUP(E91,Avaluacio[],COLUMN(Avaluacio[% compliment]),FALSE),"")</f>
        <v>1</v>
      </c>
    </row>
    <row r="92" spans="1:13" ht="41.4" x14ac:dyDescent="0.25">
      <c r="A92" t="str">
        <f t="array" ref="A92">IFERROR(IF(VLOOKUP($E92,Avaluacio[],COLUMN(Avaluacio[Codi ítem]),FALSE)=$E92,'1_Plantejament'!$B$5,""),"")</f>
        <v>Ajuntament de Blanes</v>
      </c>
      <c r="B92">
        <f t="array" ref="B92">IFERROR(IF(VLOOKUP($E92,Avaluacio[],COLUMN(Avaluacio[Codi ítem]),FALSE)=$E92,'1_Plantejament'!$B$9,""),"")</f>
        <v>2026</v>
      </c>
      <c r="C92">
        <f t="array" ref="C92">IFERROR(IF(VLOOKUP($E92,Avaluacio[],COLUMN(Avaluacio[Codi ítem]),FALSE)=$E92,'1_Plantejament'!$B$10,""),"")</f>
        <v>46206</v>
      </c>
      <c r="D92" s="6" t="str">
        <f t="array" ref="D92">IFERROR(IF(VLOOKUP($E92,Avaluacio[],COLUMN(Avaluacio[Codi ítem]),FALSE)=$E92,'1_Plantejament'!$B$7,""),"")</f>
        <v>Fase 5</v>
      </c>
      <c r="E92" s="6" t="str">
        <f t="array" ref="E92">IFERROR(INDEX(Avaluacio[Codi ítem],(MATCH(0,INDEX(COUNTIF(E$1:E91,Avaluacio[Codi ítem]),0,0)+INDEX(Avaluacio[Avaluable]="No",0,0),0))),"")</f>
        <v>XGO092</v>
      </c>
      <c r="F92" s="45" t="str">
        <f t="array" ref="F92">IFERROR(VLOOKUP(E92,Avaluacio[],COLUMN(Avaluacio[Ítem]),FALSE),"")</f>
        <v>Informe de contractes adjudicats segons el procediment</v>
      </c>
      <c r="G92" t="str">
        <f t="array" ref="G92">IFERROR(VLOOKUP(E92,Avaluacio[],COLUMN(Avaluacio[Família]),FALSE),"")</f>
        <v>Contractes, convenis i subvencions</v>
      </c>
      <c r="H92" t="str">
        <f t="array" ref="H92">IFERROR(VLOOKUP(E92,Avaluacio[],COLUMN(Avaluacio[Subfamília]),FALSE),"")</f>
        <v/>
      </c>
      <c r="I92" s="6" t="str">
        <f t="array" ref="I92">IFERROR(VLOOKUP(E92,Avaluacio[],COLUMN(Avaluacio[Contingut]),FALSE),"")</f>
        <v>Sí</v>
      </c>
      <c r="J92" s="6" t="str">
        <f t="array" ref="J92">IFERROR(VLOOKUP(E92,Avaluacio[],COLUMN(Avaluacio[Actualització]),FALSE),"")</f>
        <v>Sí</v>
      </c>
      <c r="K92" s="6" t="str">
        <f t="array" ref="K92">IFERROR(VLOOKUP(E92,Avaluacio[],COLUMN(#REF!),FALSE),"")</f>
        <v/>
      </c>
      <c r="L92" t="str">
        <f t="array" ref="L92">IFERROR(VLOOKUP(E92,Avaluacio[],COLUMN(Avaluacio[Grau de compliment]),FALSE),"")</f>
        <v>Compleix totalment</v>
      </c>
      <c r="M92" s="8">
        <f t="array" ref="M92">IFERROR(VLOOKUP(E92,Avaluacio[],COLUMN(Avaluacio[% compliment]),FALSE),"")</f>
        <v>1</v>
      </c>
    </row>
    <row r="93" spans="1:13" ht="27.6" x14ac:dyDescent="0.25">
      <c r="A93" t="str">
        <f t="array" ref="A93">IFERROR(IF(VLOOKUP($E93,Avaluacio[],COLUMN(Avaluacio[Codi ítem]),FALSE)=$E93,'1_Plantejament'!$B$5,""),"")</f>
        <v>Ajuntament de Blanes</v>
      </c>
      <c r="B93">
        <f t="array" ref="B93">IFERROR(IF(VLOOKUP($E93,Avaluacio[],COLUMN(Avaluacio[Codi ítem]),FALSE)=$E93,'1_Plantejament'!$B$9,""),"")</f>
        <v>2026</v>
      </c>
      <c r="C93">
        <f t="array" ref="C93">IFERROR(IF(VLOOKUP($E93,Avaluacio[],COLUMN(Avaluacio[Codi ítem]),FALSE)=$E93,'1_Plantejament'!$B$10,""),"")</f>
        <v>46206</v>
      </c>
      <c r="D93" s="6" t="str">
        <f t="array" ref="D93">IFERROR(IF(VLOOKUP($E93,Avaluacio[],COLUMN(Avaluacio[Codi ítem]),FALSE)=$E93,'1_Plantejament'!$B$7,""),"")</f>
        <v>Fase 5</v>
      </c>
      <c r="E93" s="6" t="str">
        <f t="array" ref="E93">IFERROR(INDEX(Avaluacio[Codi ítem],(MATCH(0,INDEX(COUNTIF(E$1:E92,Avaluacio[Codi ítem]),0,0)+INDEX(Avaluacio[Avaluable]="No",0,0),0))),"")</f>
        <v>XGO093</v>
      </c>
      <c r="F93" s="45" t="str">
        <f t="array" ref="F93">IFERROR(VLOOKUP(E93,Avaluacio[],COLUMN(Avaluacio[Ítem]),FALSE),"")</f>
        <v>Personal adscrit pels concessionaris i retribucions</v>
      </c>
      <c r="G93" t="str">
        <f t="array" ref="G93">IFERROR(VLOOKUP(E93,Avaluacio[],COLUMN(Avaluacio[Família]),FALSE),"")</f>
        <v>Contractes, convenis i subvencions</v>
      </c>
      <c r="H93" t="str">
        <f t="array" ref="H93">IFERROR(VLOOKUP(E93,Avaluacio[],COLUMN(Avaluacio[Subfamília]),FALSE),"")</f>
        <v/>
      </c>
      <c r="I93" s="6" t="str">
        <f t="array" ref="I93">IFERROR(VLOOKUP(E93,Avaluacio[],COLUMN(Avaluacio[Contingut]),FALSE),"")</f>
        <v>Sí</v>
      </c>
      <c r="J93" s="6" t="str">
        <f t="array" ref="J93">IFERROR(VLOOKUP(E93,Avaluacio[],COLUMN(Avaluacio[Actualització]),FALSE),"")</f>
        <v>Sí</v>
      </c>
      <c r="K93" s="6" t="str">
        <f t="array" ref="K93">IFERROR(VLOOKUP(E93,Avaluacio[],COLUMN(#REF!),FALSE),"")</f>
        <v/>
      </c>
      <c r="L93" t="str">
        <f t="array" ref="L93">IFERROR(VLOOKUP(E93,Avaluacio[],COLUMN(Avaluacio[Grau de compliment]),FALSE),"")</f>
        <v>Compleix totalment</v>
      </c>
      <c r="M93" s="8">
        <f t="array" ref="M93">IFERROR(VLOOKUP(E93,Avaluacio[],COLUMN(Avaluacio[% compliment]),FALSE),"")</f>
        <v>1</v>
      </c>
    </row>
    <row r="94" spans="1:13" ht="27.6" x14ac:dyDescent="0.25">
      <c r="A94" t="str">
        <f t="array" ref="A94">IFERROR(IF(VLOOKUP($E94,Avaluacio[],COLUMN(Avaluacio[Codi ítem]),FALSE)=$E94,'1_Plantejament'!$B$5,""),"")</f>
        <v>Ajuntament de Blanes</v>
      </c>
      <c r="B94">
        <f t="array" ref="B94">IFERROR(IF(VLOOKUP($E94,Avaluacio[],COLUMN(Avaluacio[Codi ítem]),FALSE)=$E94,'1_Plantejament'!$B$9,""),"")</f>
        <v>2026</v>
      </c>
      <c r="C94">
        <f t="array" ref="C94">IFERROR(IF(VLOOKUP($E94,Avaluacio[],COLUMN(Avaluacio[Codi ítem]),FALSE)=$E94,'1_Plantejament'!$B$10,""),"")</f>
        <v>46206</v>
      </c>
      <c r="D94" s="6" t="str">
        <f t="array" ref="D94">IFERROR(IF(VLOOKUP($E94,Avaluacio[],COLUMN(Avaluacio[Codi ítem]),FALSE)=$E94,'1_Plantejament'!$B$7,""),"")</f>
        <v>Fase 5</v>
      </c>
      <c r="E94" s="6" t="str">
        <f t="array" ref="E94">IFERROR(INDEX(Avaluacio[Codi ítem],(MATCH(0,INDEX(COUNTIF(E$1:E93,Avaluacio[Codi ítem]),0,0)+INDEX(Avaluacio[Avaluable]="No",0,0),0))),"")</f>
        <v>XGO094</v>
      </c>
      <c r="F94" s="45" t="str">
        <f t="array" ref="F94">IFERROR(VLOOKUP(E94,Avaluacio[],COLUMN(Avaluacio[Ítem]),FALSE),"")</f>
        <v>Convenis de col·laboració</v>
      </c>
      <c r="G94" t="str">
        <f t="array" ref="G94">IFERROR(VLOOKUP(E94,Avaluacio[],COLUMN(Avaluacio[Família]),FALSE),"")</f>
        <v>Contractes, convenis i subvencions</v>
      </c>
      <c r="H94" t="str">
        <f t="array" ref="H94">IFERROR(VLOOKUP(E94,Avaluacio[],COLUMN(Avaluacio[Subfamília]),FALSE),"")</f>
        <v/>
      </c>
      <c r="I94" s="6" t="str">
        <f t="array" ref="I94">IFERROR(VLOOKUP(E94,Avaluacio[],COLUMN(Avaluacio[Contingut]),FALSE),"")</f>
        <v>Sí</v>
      </c>
      <c r="J94" s="6" t="str">
        <f t="array" ref="J94">IFERROR(VLOOKUP(E94,Avaluacio[],COLUMN(Avaluacio[Actualització]),FALSE),"")</f>
        <v>Sí</v>
      </c>
      <c r="K94" s="6" t="str">
        <f t="array" ref="K94">IFERROR(VLOOKUP(E94,Avaluacio[],COLUMN(#REF!),FALSE),"")</f>
        <v/>
      </c>
      <c r="L94" t="str">
        <f t="array" ref="L94">IFERROR(VLOOKUP(E94,Avaluacio[],COLUMN(Avaluacio[Grau de compliment]),FALSE),"")</f>
        <v>Compleix totalment</v>
      </c>
      <c r="M94" s="8">
        <f t="array" ref="M94">IFERROR(VLOOKUP(E94,Avaluacio[],COLUMN(Avaluacio[% compliment]),FALSE),"")</f>
        <v>1</v>
      </c>
    </row>
    <row r="95" spans="1:13" ht="27.6" x14ac:dyDescent="0.25">
      <c r="A95" t="str">
        <f t="array" ref="A95">IFERROR(IF(VLOOKUP($E95,Avaluacio[],COLUMN(Avaluacio[Codi ítem]),FALSE)=$E95,'1_Plantejament'!$B$5,""),"")</f>
        <v>Ajuntament de Blanes</v>
      </c>
      <c r="B95">
        <f t="array" ref="B95">IFERROR(IF(VLOOKUP($E95,Avaluacio[],COLUMN(Avaluacio[Codi ítem]),FALSE)=$E95,'1_Plantejament'!$B$9,""),"")</f>
        <v>2026</v>
      </c>
      <c r="C95">
        <f t="array" ref="C95">IFERROR(IF(VLOOKUP($E95,Avaluacio[],COLUMN(Avaluacio[Codi ítem]),FALSE)=$E95,'1_Plantejament'!$B$10,""),"")</f>
        <v>46206</v>
      </c>
      <c r="D95" s="6" t="str">
        <f t="array" ref="D95">IFERROR(IF(VLOOKUP($E95,Avaluacio[],COLUMN(Avaluacio[Codi ítem]),FALSE)=$E95,'1_Plantejament'!$B$7,""),"")</f>
        <v>Fase 5</v>
      </c>
      <c r="E95" s="6" t="str">
        <f t="array" ref="E95">IFERROR(INDEX(Avaluacio[Codi ítem],(MATCH(0,INDEX(COUNTIF(E$1:E94,Avaluacio[Codi ítem]),0,0)+INDEX(Avaluacio[Avaluable]="No",0,0),0))),"")</f>
        <v>XGO095</v>
      </c>
      <c r="F95" s="45" t="str">
        <f t="array" ref="F95">IFERROR(VLOOKUP(E95,Avaluacio[],COLUMN(Avaluacio[Ítem]),FALSE),"")</f>
        <v>Convenis urbanístics</v>
      </c>
      <c r="G95" t="str">
        <f t="array" ref="G95">IFERROR(VLOOKUP(E95,Avaluacio[],COLUMN(Avaluacio[Família]),FALSE),"")</f>
        <v>Contractes, convenis i subvencions</v>
      </c>
      <c r="H95" t="str">
        <f t="array" ref="H95">IFERROR(VLOOKUP(E95,Avaluacio[],COLUMN(Avaluacio[Subfamília]),FALSE),"")</f>
        <v/>
      </c>
      <c r="I95" s="6" t="str">
        <f t="array" ref="I95">IFERROR(VLOOKUP(E95,Avaluacio[],COLUMN(Avaluacio[Contingut]),FALSE),"")</f>
        <v>Sí</v>
      </c>
      <c r="J95" s="6" t="str">
        <f t="array" ref="J95">IFERROR(VLOOKUP(E95,Avaluacio[],COLUMN(Avaluacio[Actualització]),FALSE),"")</f>
        <v>Sí</v>
      </c>
      <c r="K95" s="6" t="str">
        <f t="array" ref="K95">IFERROR(VLOOKUP(E95,Avaluacio[],COLUMN(#REF!),FALSE),"")</f>
        <v/>
      </c>
      <c r="L95" t="str">
        <f t="array" ref="L95">IFERROR(VLOOKUP(E95,Avaluacio[],COLUMN(Avaluacio[Grau de compliment]),FALSE),"")</f>
        <v>Compleix totalment</v>
      </c>
      <c r="M95" s="8">
        <f t="array" ref="M95">IFERROR(VLOOKUP(E95,Avaluacio[],COLUMN(Avaluacio[% compliment]),FALSE),"")</f>
        <v>1</v>
      </c>
    </row>
    <row r="96" spans="1:13" ht="27.6" x14ac:dyDescent="0.25">
      <c r="A96" t="str">
        <f t="array" ref="A96">IFERROR(IF(VLOOKUP($E96,Avaluacio[],COLUMN(Avaluacio[Codi ítem]),FALSE)=$E96,'1_Plantejament'!$B$5,""),"")</f>
        <v>Ajuntament de Blanes</v>
      </c>
      <c r="B96">
        <f t="array" ref="B96">IFERROR(IF(VLOOKUP($E96,Avaluacio[],COLUMN(Avaluacio[Codi ítem]),FALSE)=$E96,'1_Plantejament'!$B$9,""),"")</f>
        <v>2026</v>
      </c>
      <c r="C96">
        <f t="array" ref="C96">IFERROR(IF(VLOOKUP($E96,Avaluacio[],COLUMN(Avaluacio[Codi ítem]),FALSE)=$E96,'1_Plantejament'!$B$10,""),"")</f>
        <v>46206</v>
      </c>
      <c r="D96" s="6" t="str">
        <f t="array" ref="D96">IFERROR(IF(VLOOKUP($E96,Avaluacio[],COLUMN(Avaluacio[Codi ítem]),FALSE)=$E96,'1_Plantejament'!$B$7,""),"")</f>
        <v>Fase 5</v>
      </c>
      <c r="E96" s="6" t="str">
        <f t="array" ref="E96">IFERROR(INDEX(Avaluacio[Codi ítem],(MATCH(0,INDEX(COUNTIF(E$1:E95,Avaluacio[Codi ítem]),0,0)+INDEX(Avaluacio[Avaluable]="No",0,0),0))),"")</f>
        <v>XGO096</v>
      </c>
      <c r="F96" s="45" t="str">
        <f t="array" ref="F96">IFERROR(VLOOKUP(E96,Avaluacio[],COLUMN(Avaluacio[Ítem]),FALSE),"")</f>
        <v>Informació de l'execució dels convenis</v>
      </c>
      <c r="G96" t="str">
        <f t="array" ref="G96">IFERROR(VLOOKUP(E96,Avaluacio[],COLUMN(Avaluacio[Família]),FALSE),"")</f>
        <v>Contractes, convenis i subvencions</v>
      </c>
      <c r="H96" t="str">
        <f t="array" ref="H96">IFERROR(VLOOKUP(E96,Avaluacio[],COLUMN(Avaluacio[Subfamília]),FALSE),"")</f>
        <v/>
      </c>
      <c r="I96" s="6" t="str">
        <f t="array" ref="I96">IFERROR(VLOOKUP(E96,Avaluacio[],COLUMN(Avaluacio[Contingut]),FALSE),"")</f>
        <v>Sí</v>
      </c>
      <c r="J96" s="6" t="str">
        <f t="array" ref="J96">IFERROR(VLOOKUP(E96,Avaluacio[],COLUMN(Avaluacio[Actualització]),FALSE),"")</f>
        <v>Sí</v>
      </c>
      <c r="K96" s="6" t="str">
        <f t="array" ref="K96">IFERROR(VLOOKUP(E96,Avaluacio[],COLUMN(#REF!),FALSE),"")</f>
        <v/>
      </c>
      <c r="L96" t="str">
        <f t="array" ref="L96">IFERROR(VLOOKUP(E96,Avaluacio[],COLUMN(Avaluacio[Grau de compliment]),FALSE),"")</f>
        <v>Compleix totalment</v>
      </c>
      <c r="M96" s="8">
        <f t="array" ref="M96">IFERROR(VLOOKUP(E96,Avaluacio[],COLUMN(Avaluacio[% compliment]),FALSE),"")</f>
        <v>1</v>
      </c>
    </row>
    <row r="97" spans="1:13" ht="27.6" x14ac:dyDescent="0.25">
      <c r="A97" t="str">
        <f t="array" ref="A97">IFERROR(IF(VLOOKUP($E97,Avaluacio[],COLUMN(Avaluacio[Codi ítem]),FALSE)=$E97,'1_Plantejament'!$B$5,""),"")</f>
        <v>Ajuntament de Blanes</v>
      </c>
      <c r="B97">
        <f t="array" ref="B97">IFERROR(IF(VLOOKUP($E97,Avaluacio[],COLUMN(Avaluacio[Codi ítem]),FALSE)=$E97,'1_Plantejament'!$B$9,""),"")</f>
        <v>2026</v>
      </c>
      <c r="C97">
        <f t="array" ref="C97">IFERROR(IF(VLOOKUP($E97,Avaluacio[],COLUMN(Avaluacio[Codi ítem]),FALSE)=$E97,'1_Plantejament'!$B$10,""),"")</f>
        <v>46206</v>
      </c>
      <c r="D97" s="6" t="str">
        <f t="array" ref="D97">IFERROR(IF(VLOOKUP($E97,Avaluacio[],COLUMN(Avaluacio[Codi ítem]),FALSE)=$E97,'1_Plantejament'!$B$7,""),"")</f>
        <v>Fase 5</v>
      </c>
      <c r="E97" s="6" t="str">
        <f t="array" ref="E97">IFERROR(INDEX(Avaluacio[Codi ítem],(MATCH(0,INDEX(COUNTIF(E$1:E96,Avaluacio[Codi ítem]),0,0)+INDEX(Avaluacio[Avaluable]="No",0,0),0))),"")</f>
        <v>XGO097</v>
      </c>
      <c r="F97" s="45" t="str">
        <f t="array" ref="F97">IFERROR(VLOOKUP(E97,Avaluacio[],COLUMN(Avaluacio[Ítem]),FALSE),"")</f>
        <v>Convocatòries de subvencions i ajuts</v>
      </c>
      <c r="G97" t="str">
        <f t="array" ref="G97">IFERROR(VLOOKUP(E97,Avaluacio[],COLUMN(Avaluacio[Família]),FALSE),"")</f>
        <v>Contractes, convenis i subvencions</v>
      </c>
      <c r="H97" t="str">
        <f t="array" ref="H97">IFERROR(VLOOKUP(E97,Avaluacio[],COLUMN(Avaluacio[Subfamília]),FALSE),"")</f>
        <v/>
      </c>
      <c r="I97" s="6" t="str">
        <f t="array" ref="I97">IFERROR(VLOOKUP(E97,Avaluacio[],COLUMN(Avaluacio[Contingut]),FALSE),"")</f>
        <v>Sí</v>
      </c>
      <c r="J97" s="6" t="str">
        <f t="array" ref="J97">IFERROR(VLOOKUP(E97,Avaluacio[],COLUMN(Avaluacio[Actualització]),FALSE),"")</f>
        <v>Sí</v>
      </c>
      <c r="K97" s="6" t="str">
        <f t="array" ref="K97">IFERROR(VLOOKUP(E97,Avaluacio[],COLUMN(#REF!),FALSE),"")</f>
        <v/>
      </c>
      <c r="L97" t="str">
        <f t="array" ref="L97">IFERROR(VLOOKUP(E97,Avaluacio[],COLUMN(Avaluacio[Grau de compliment]),FALSE),"")</f>
        <v>Compleix totalment</v>
      </c>
      <c r="M97" s="8">
        <f t="array" ref="M97">IFERROR(VLOOKUP(E97,Avaluacio[],COLUMN(Avaluacio[% compliment]),FALSE),"")</f>
        <v>1</v>
      </c>
    </row>
    <row r="98" spans="1:13" ht="27.6" x14ac:dyDescent="0.25">
      <c r="A98" t="str">
        <f t="array" ref="A98">IFERROR(IF(VLOOKUP($E98,Avaluacio[],COLUMN(Avaluacio[Codi ítem]),FALSE)=$E98,'1_Plantejament'!$B$5,""),"")</f>
        <v>Ajuntament de Blanes</v>
      </c>
      <c r="B98">
        <f t="array" ref="B98">IFERROR(IF(VLOOKUP($E98,Avaluacio[],COLUMN(Avaluacio[Codi ítem]),FALSE)=$E98,'1_Plantejament'!$B$9,""),"")</f>
        <v>2026</v>
      </c>
      <c r="C98">
        <f t="array" ref="C98">IFERROR(IF(VLOOKUP($E98,Avaluacio[],COLUMN(Avaluacio[Codi ítem]),FALSE)=$E98,'1_Plantejament'!$B$10,""),"")</f>
        <v>46206</v>
      </c>
      <c r="D98" s="6" t="str">
        <f t="array" ref="D98">IFERROR(IF(VLOOKUP($E98,Avaluacio[],COLUMN(Avaluacio[Codi ítem]),FALSE)=$E98,'1_Plantejament'!$B$7,""),"")</f>
        <v>Fase 5</v>
      </c>
      <c r="E98" s="6" t="str">
        <f t="array" ref="E98">IFERROR(INDEX(Avaluacio[Codi ítem],(MATCH(0,INDEX(COUNTIF(E$1:E97,Avaluacio[Codi ítem]),0,0)+INDEX(Avaluacio[Avaluable]="No",0,0),0))),"")</f>
        <v>XGO098</v>
      </c>
      <c r="F98" s="45" t="str">
        <f t="array" ref="F98">IFERROR(VLOOKUP(E98,Avaluacio[],COLUMN(Avaluacio[Ítem]),FALSE),"")</f>
        <v>Subvencions atorgades</v>
      </c>
      <c r="G98" t="str">
        <f t="array" ref="G98">IFERROR(VLOOKUP(E98,Avaluacio[],COLUMN(Avaluacio[Família]),FALSE),"")</f>
        <v>Contractes, convenis i subvencions</v>
      </c>
      <c r="H98" t="str">
        <f t="array" ref="H98">IFERROR(VLOOKUP(E98,Avaluacio[],COLUMN(Avaluacio[Subfamília]),FALSE),"")</f>
        <v/>
      </c>
      <c r="I98" s="6" t="str">
        <f t="array" ref="I98">IFERROR(VLOOKUP(E98,Avaluacio[],COLUMN(Avaluacio[Contingut]),FALSE),"")</f>
        <v>Sí</v>
      </c>
      <c r="J98" s="6" t="str">
        <f t="array" ref="J98">IFERROR(VLOOKUP(E98,Avaluacio[],COLUMN(Avaluacio[Actualització]),FALSE),"")</f>
        <v>Sí</v>
      </c>
      <c r="K98" s="6" t="str">
        <f t="array" ref="K98">IFERROR(VLOOKUP(E98,Avaluacio[],COLUMN(#REF!),FALSE),"")</f>
        <v/>
      </c>
      <c r="L98" t="str">
        <f t="array" ref="L98">IFERROR(VLOOKUP(E98,Avaluacio[],COLUMN(Avaluacio[Grau de compliment]),FALSE),"")</f>
        <v>Compleix totalment</v>
      </c>
      <c r="M98" s="8">
        <f t="array" ref="M98">IFERROR(VLOOKUP(E98,Avaluacio[],COLUMN(Avaluacio[% compliment]),FALSE),"")</f>
        <v>1</v>
      </c>
    </row>
    <row r="99" spans="1:13" ht="27.6" x14ac:dyDescent="0.25">
      <c r="A99" t="str">
        <f t="array" ref="A99">IFERROR(IF(VLOOKUP($E99,Avaluacio[],COLUMN(Avaluacio[Codi ítem]),FALSE)=$E99,'1_Plantejament'!$B$5,""),"")</f>
        <v>Ajuntament de Blanes</v>
      </c>
      <c r="B99">
        <f t="array" ref="B99">IFERROR(IF(VLOOKUP($E99,Avaluacio[],COLUMN(Avaluacio[Codi ítem]),FALSE)=$E99,'1_Plantejament'!$B$9,""),"")</f>
        <v>2026</v>
      </c>
      <c r="C99">
        <f t="array" ref="C99">IFERROR(IF(VLOOKUP($E99,Avaluacio[],COLUMN(Avaluacio[Codi ítem]),FALSE)=$E99,'1_Plantejament'!$B$10,""),"")</f>
        <v>46206</v>
      </c>
      <c r="D99" s="6" t="str">
        <f t="array" ref="D99">IFERROR(IF(VLOOKUP($E99,Avaluacio[],COLUMN(Avaluacio[Codi ítem]),FALSE)=$E99,'1_Plantejament'!$B$7,""),"")</f>
        <v>Fase 5</v>
      </c>
      <c r="E99" s="6" t="str">
        <f t="array" ref="E99">IFERROR(INDEX(Avaluacio[Codi ítem],(MATCH(0,INDEX(COUNTIF(E$1:E98,Avaluacio[Codi ítem]),0,0)+INDEX(Avaluacio[Avaluable]="No",0,0),0))),"")</f>
        <v>XGO099</v>
      </c>
      <c r="F99" s="45" t="str">
        <f t="array" ref="F99">IFERROR(VLOOKUP(E99,Avaluacio[],COLUMN(Avaluacio[Ítem]),FALSE),"")</f>
        <v>Ajuts atorgats</v>
      </c>
      <c r="G99" t="str">
        <f t="array" ref="G99">IFERROR(VLOOKUP(E99,Avaluacio[],COLUMN(Avaluacio[Família]),FALSE),"")</f>
        <v>Contractes, convenis i subvencions</v>
      </c>
      <c r="H99" t="str">
        <f t="array" ref="H99">IFERROR(VLOOKUP(E99,Avaluacio[],COLUMN(Avaluacio[Subfamília]),FALSE),"")</f>
        <v/>
      </c>
      <c r="I99" s="6" t="str">
        <f t="array" ref="I99">IFERROR(VLOOKUP(E99,Avaluacio[],COLUMN(Avaluacio[Contingut]),FALSE),"")</f>
        <v>Sí</v>
      </c>
      <c r="J99" s="6" t="str">
        <f t="array" ref="J99">IFERROR(VLOOKUP(E99,Avaluacio[],COLUMN(Avaluacio[Actualització]),FALSE),"")</f>
        <v>Sí</v>
      </c>
      <c r="K99" s="6" t="str">
        <f t="array" ref="K99">IFERROR(VLOOKUP(E99,Avaluacio[],COLUMN(#REF!),FALSE),"")</f>
        <v/>
      </c>
      <c r="L99" t="str">
        <f t="array" ref="L99">IFERROR(VLOOKUP(E99,Avaluacio[],COLUMN(Avaluacio[Grau de compliment]),FALSE),"")</f>
        <v>Compleix totalment</v>
      </c>
      <c r="M99" s="8">
        <f t="array" ref="M99">IFERROR(VLOOKUP(E99,Avaluacio[],COLUMN(Avaluacio[% compliment]),FALSE),"")</f>
        <v>1</v>
      </c>
    </row>
    <row r="100" spans="1:13" ht="27.6" x14ac:dyDescent="0.25">
      <c r="A100" t="str">
        <f t="array" ref="A100">IFERROR(IF(VLOOKUP($E100,Avaluacio[],COLUMN(Avaluacio[Codi ítem]),FALSE)=$E100,'1_Plantejament'!$B$5,""),"")</f>
        <v>Ajuntament de Blanes</v>
      </c>
      <c r="B100">
        <f t="array" ref="B100">IFERROR(IF(VLOOKUP($E100,Avaluacio[],COLUMN(Avaluacio[Codi ítem]),FALSE)=$E100,'1_Plantejament'!$B$9,""),"")</f>
        <v>2026</v>
      </c>
      <c r="C100">
        <f t="array" ref="C100">IFERROR(IF(VLOOKUP($E100,Avaluacio[],COLUMN(Avaluacio[Codi ítem]),FALSE)=$E100,'1_Plantejament'!$B$10,""),"")</f>
        <v>46206</v>
      </c>
      <c r="D100" s="6" t="str">
        <f t="array" ref="D100">IFERROR(IF(VLOOKUP($E100,Avaluacio[],COLUMN(Avaluacio[Codi ítem]),FALSE)=$E100,'1_Plantejament'!$B$7,""),"")</f>
        <v>Fase 5</v>
      </c>
      <c r="E100" s="6" t="str">
        <f t="array" ref="E100">IFERROR(INDEX(Avaluacio[Codi ítem],(MATCH(0,INDEX(COUNTIF(E$1:E99,Avaluacio[Codi ítem]),0,0)+INDEX(Avaluacio[Avaluable]="No",0,0),0))),"")</f>
        <v>XGO100</v>
      </c>
      <c r="F100" s="45" t="str">
        <f t="array" ref="F100">IFERROR(VLOOKUP(E100,Avaluacio[],COLUMN(Avaluacio[Ítem]),FALSE),"")</f>
        <v>Retribució dels directius beneficiaris de subvencions</v>
      </c>
      <c r="G100" t="str">
        <f t="array" ref="G100">IFERROR(VLOOKUP(E100,Avaluacio[],COLUMN(Avaluacio[Família]),FALSE),"")</f>
        <v>Contractes, convenis i subvencions</v>
      </c>
      <c r="H100" t="str">
        <f t="array" ref="H100">IFERROR(VLOOKUP(E100,Avaluacio[],COLUMN(Avaluacio[Subfamília]),FALSE),"")</f>
        <v/>
      </c>
      <c r="I100" s="6" t="str">
        <f t="array" ref="I100">IFERROR(VLOOKUP(E100,Avaluacio[],COLUMN(Avaluacio[Contingut]),FALSE),"")</f>
        <v>No</v>
      </c>
      <c r="J100" s="6" t="str">
        <f t="array" ref="J100">IFERROR(VLOOKUP(E100,Avaluacio[],COLUMN(Avaluacio[Actualització]),FALSE),"")</f>
        <v>No</v>
      </c>
      <c r="K100" s="6" t="str">
        <f t="array" ref="K100">IFERROR(VLOOKUP(E100,Avaluacio[],COLUMN(#REF!),FALSE),"")</f>
        <v/>
      </c>
      <c r="L100" t="str">
        <f t="array" ref="L100">IFERROR(VLOOKUP(E100,Avaluacio[],COLUMN(Avaluacio[Grau de compliment]),FALSE),"")</f>
        <v>No compleix</v>
      </c>
      <c r="M100" s="8">
        <f t="array" ref="M100">IFERROR(VLOOKUP(E100,Avaluacio[],COLUMN(Avaluacio[% compliment]),FALSE),"")</f>
        <v>0</v>
      </c>
    </row>
    <row r="101" spans="1:13" ht="27.6" x14ac:dyDescent="0.25">
      <c r="A101" t="str">
        <f t="array" ref="A101">IFERROR(IF(VLOOKUP($E101,Avaluacio[],COLUMN(Avaluacio[Codi ítem]),FALSE)=$E101,'1_Plantejament'!$B$5,""),"")</f>
        <v>Ajuntament de Blanes</v>
      </c>
      <c r="B101">
        <f t="array" ref="B101">IFERROR(IF(VLOOKUP($E101,Avaluacio[],COLUMN(Avaluacio[Codi ítem]),FALSE)=$E101,'1_Plantejament'!$B$9,""),"")</f>
        <v>2026</v>
      </c>
      <c r="C101">
        <f t="array" ref="C101">IFERROR(IF(VLOOKUP($E101,Avaluacio[],COLUMN(Avaluacio[Codi ítem]),FALSE)=$E101,'1_Plantejament'!$B$10,""),"")</f>
        <v>46206</v>
      </c>
      <c r="D101" s="6" t="str">
        <f t="array" ref="D101">IFERROR(IF(VLOOKUP($E101,Avaluacio[],COLUMN(Avaluacio[Codi ítem]),FALSE)=$E101,'1_Plantejament'!$B$7,""),"")</f>
        <v>Fase 5</v>
      </c>
      <c r="E101" s="6" t="str">
        <f t="array" ref="E101">IFERROR(INDEX(Avaluacio[Codi ítem],(MATCH(0,INDEX(COUNTIF(E$1:E100,Avaluacio[Codi ítem]),0,0)+INDEX(Avaluacio[Avaluable]="No",0,0),0))),"")</f>
        <v>XGO101</v>
      </c>
      <c r="F101" s="45" t="str">
        <f t="array" ref="F101">IFERROR(VLOOKUP(E101,Avaluacio[],COLUMN(Avaluacio[Ítem]),FALSE),"")</f>
        <v>Pressupost</v>
      </c>
      <c r="G101" t="str">
        <f t="array" ref="G101">IFERROR(VLOOKUP(E101,Avaluacio[],COLUMN(Avaluacio[Família]),FALSE),"")</f>
        <v>Gestió econòmica</v>
      </c>
      <c r="H101" t="str">
        <f t="array" ref="H101">IFERROR(VLOOKUP(E101,Avaluacio[],COLUMN(Avaluacio[Subfamília]),FALSE),"")</f>
        <v/>
      </c>
      <c r="I101" s="6" t="str">
        <f t="array" ref="I101">IFERROR(VLOOKUP(E101,Avaluacio[],COLUMN(Avaluacio[Contingut]),FALSE),"")</f>
        <v>Sí</v>
      </c>
      <c r="J101" s="6" t="str">
        <f t="array" ref="J101">IFERROR(VLOOKUP(E101,Avaluacio[],COLUMN(Avaluacio[Actualització]),FALSE),"")</f>
        <v>Sí</v>
      </c>
      <c r="K101" s="6" t="str">
        <f t="array" ref="K101">IFERROR(VLOOKUP(E101,Avaluacio[],COLUMN(#REF!),FALSE),"")</f>
        <v/>
      </c>
      <c r="L101" t="str">
        <f t="array" ref="L101">IFERROR(VLOOKUP(E101,Avaluacio[],COLUMN(Avaluacio[Grau de compliment]),FALSE),"")</f>
        <v>Compleix totalment</v>
      </c>
      <c r="M101" s="8">
        <f t="array" ref="M101">IFERROR(VLOOKUP(E101,Avaluacio[],COLUMN(Avaluacio[% compliment]),FALSE),"")</f>
        <v>1</v>
      </c>
    </row>
    <row r="102" spans="1:13" ht="27.6" x14ac:dyDescent="0.25">
      <c r="A102" t="str">
        <f t="array" ref="A102">IFERROR(IF(VLOOKUP($E102,Avaluacio[],COLUMN(Avaluacio[Codi ítem]),FALSE)=$E102,'1_Plantejament'!$B$5,""),"")</f>
        <v>Ajuntament de Blanes</v>
      </c>
      <c r="B102">
        <f t="array" ref="B102">IFERROR(IF(VLOOKUP($E102,Avaluacio[],COLUMN(Avaluacio[Codi ítem]),FALSE)=$E102,'1_Plantejament'!$B$9,""),"")</f>
        <v>2026</v>
      </c>
      <c r="C102">
        <f t="array" ref="C102">IFERROR(IF(VLOOKUP($E102,Avaluacio[],COLUMN(Avaluacio[Codi ítem]),FALSE)=$E102,'1_Plantejament'!$B$10,""),"")</f>
        <v>46206</v>
      </c>
      <c r="D102" s="6" t="str">
        <f t="array" ref="D102">IFERROR(IF(VLOOKUP($E102,Avaluacio[],COLUMN(Avaluacio[Codi ítem]),FALSE)=$E102,'1_Plantejament'!$B$7,""),"")</f>
        <v>Fase 5</v>
      </c>
      <c r="E102" s="6" t="str">
        <f t="array" ref="E102">IFERROR(INDEX(Avaluacio[Codi ítem],(MATCH(0,INDEX(COUNTIF(E$1:E101,Avaluacio[Codi ítem]),0,0)+INDEX(Avaluacio[Avaluable]="No",0,0),0))),"")</f>
        <v>XGO102</v>
      </c>
      <c r="F102" s="45" t="str">
        <f t="array" ref="F102">IFERROR(VLOOKUP(E102,Avaluacio[],COLUMN(Avaluacio[Ítem]),FALSE),"")</f>
        <v>Execució pressupostària trimestral</v>
      </c>
      <c r="G102" t="str">
        <f t="array" ref="G102">IFERROR(VLOOKUP(E102,Avaluacio[],COLUMN(Avaluacio[Família]),FALSE),"")</f>
        <v>Gestió econòmica</v>
      </c>
      <c r="H102" t="str">
        <f t="array" ref="H102">IFERROR(VLOOKUP(E102,Avaluacio[],COLUMN(Avaluacio[Subfamília]),FALSE),"")</f>
        <v/>
      </c>
      <c r="I102" s="6" t="str">
        <f t="array" ref="I102">IFERROR(VLOOKUP(E102,Avaluacio[],COLUMN(Avaluacio[Contingut]),FALSE),"")</f>
        <v>Sí</v>
      </c>
      <c r="J102" s="6" t="str">
        <f t="array" ref="J102">IFERROR(VLOOKUP(E102,Avaluacio[],COLUMN(Avaluacio[Actualització]),FALSE),"")</f>
        <v>Sí</v>
      </c>
      <c r="K102" s="6" t="str">
        <f t="array" ref="K102">IFERROR(VLOOKUP(E102,Avaluacio[],COLUMN(#REF!),FALSE),"")</f>
        <v/>
      </c>
      <c r="L102" t="str">
        <f t="array" ref="L102">IFERROR(VLOOKUP(E102,Avaluacio[],COLUMN(Avaluacio[Grau de compliment]),FALSE),"")</f>
        <v>Compleix totalment</v>
      </c>
      <c r="M102" s="8">
        <f t="array" ref="M102">IFERROR(VLOOKUP(E102,Avaluacio[],COLUMN(Avaluacio[% compliment]),FALSE),"")</f>
        <v>1</v>
      </c>
    </row>
    <row r="103" spans="1:13" ht="27.6" x14ac:dyDescent="0.25">
      <c r="A103" t="str">
        <f t="array" ref="A103">IFERROR(IF(VLOOKUP($E103,Avaluacio[],COLUMN(Avaluacio[Codi ítem]),FALSE)=$E103,'1_Plantejament'!$B$5,""),"")</f>
        <v>Ajuntament de Blanes</v>
      </c>
      <c r="B103">
        <f t="array" ref="B103">IFERROR(IF(VLOOKUP($E103,Avaluacio[],COLUMN(Avaluacio[Codi ítem]),FALSE)=$E103,'1_Plantejament'!$B$9,""),"")</f>
        <v>2026</v>
      </c>
      <c r="C103">
        <f t="array" ref="C103">IFERROR(IF(VLOOKUP($E103,Avaluacio[],COLUMN(Avaluacio[Codi ítem]),FALSE)=$E103,'1_Plantejament'!$B$10,""),"")</f>
        <v>46206</v>
      </c>
      <c r="D103" s="6" t="str">
        <f t="array" ref="D103">IFERROR(IF(VLOOKUP($E103,Avaluacio[],COLUMN(Avaluacio[Codi ítem]),FALSE)=$E103,'1_Plantejament'!$B$7,""),"")</f>
        <v>Fase 5</v>
      </c>
      <c r="E103" s="6" t="str">
        <f t="array" ref="E103">IFERROR(INDEX(Avaluacio[Codi ítem],(MATCH(0,INDEX(COUNTIF(E$1:E102,Avaluacio[Codi ítem]),0,0)+INDEX(Avaluacio[Avaluable]="No",0,0),0))),"")</f>
        <v>XGO103</v>
      </c>
      <c r="F103" s="45" t="str">
        <f t="array" ref="F103">IFERROR(VLOOKUP(E103,Avaluacio[],COLUMN(Avaluacio[Ítem]),FALSE),"")</f>
        <v>Liquidació del pressupost</v>
      </c>
      <c r="G103" t="str">
        <f t="array" ref="G103">IFERROR(VLOOKUP(E103,Avaluacio[],COLUMN(Avaluacio[Família]),FALSE),"")</f>
        <v>Gestió econòmica</v>
      </c>
      <c r="H103" t="str">
        <f t="array" ref="H103">IFERROR(VLOOKUP(E103,Avaluacio[],COLUMN(Avaluacio[Subfamília]),FALSE),"")</f>
        <v/>
      </c>
      <c r="I103" s="6" t="str">
        <f t="array" ref="I103">IFERROR(VLOOKUP(E103,Avaluacio[],COLUMN(Avaluacio[Contingut]),FALSE),"")</f>
        <v>Sí</v>
      </c>
      <c r="J103" s="6" t="str">
        <f t="array" ref="J103">IFERROR(VLOOKUP(E103,Avaluacio[],COLUMN(Avaluacio[Actualització]),FALSE),"")</f>
        <v>Sí</v>
      </c>
      <c r="K103" s="6" t="str">
        <f t="array" ref="K103">IFERROR(VLOOKUP(E103,Avaluacio[],COLUMN(#REF!),FALSE),"")</f>
        <v/>
      </c>
      <c r="L103" t="str">
        <f t="array" ref="L103">IFERROR(VLOOKUP(E103,Avaluacio[],COLUMN(Avaluacio[Grau de compliment]),FALSE),"")</f>
        <v>Compleix totalment</v>
      </c>
      <c r="M103" s="8">
        <f t="array" ref="M103">IFERROR(VLOOKUP(E103,Avaluacio[],COLUMN(Avaluacio[% compliment]),FALSE),"")</f>
        <v>1</v>
      </c>
    </row>
    <row r="104" spans="1:13" ht="27.6" x14ac:dyDescent="0.25">
      <c r="A104" t="str">
        <f t="array" ref="A104">IFERROR(IF(VLOOKUP($E104,Avaluacio[],COLUMN(Avaluacio[Codi ítem]),FALSE)=$E104,'1_Plantejament'!$B$5,""),"")</f>
        <v>Ajuntament de Blanes</v>
      </c>
      <c r="B104">
        <f t="array" ref="B104">IFERROR(IF(VLOOKUP($E104,Avaluacio[],COLUMN(Avaluacio[Codi ítem]),FALSE)=$E104,'1_Plantejament'!$B$9,""),"")</f>
        <v>2026</v>
      </c>
      <c r="C104">
        <f t="array" ref="C104">IFERROR(IF(VLOOKUP($E104,Avaluacio[],COLUMN(Avaluacio[Codi ítem]),FALSE)=$E104,'1_Plantejament'!$B$10,""),"")</f>
        <v>46206</v>
      </c>
      <c r="D104" s="6" t="str">
        <f t="array" ref="D104">IFERROR(IF(VLOOKUP($E104,Avaluacio[],COLUMN(Avaluacio[Codi ítem]),FALSE)=$E104,'1_Plantejament'!$B$7,""),"")</f>
        <v>Fase 5</v>
      </c>
      <c r="E104" s="6" t="str">
        <f t="array" ref="E104">IFERROR(INDEX(Avaluacio[Codi ítem],(MATCH(0,INDEX(COUNTIF(E$1:E103,Avaluacio[Codi ítem]),0,0)+INDEX(Avaluacio[Avaluable]="No",0,0),0))),"")</f>
        <v>XGO104</v>
      </c>
      <c r="F104" s="45" t="str">
        <f t="array" ref="F104">IFERROR(VLOOKUP(E104,Avaluacio[],COLUMN(Avaluacio[Ítem]),FALSE),"")</f>
        <v>Compte general</v>
      </c>
      <c r="G104" t="str">
        <f t="array" ref="G104">IFERROR(VLOOKUP(E104,Avaluacio[],COLUMN(Avaluacio[Família]),FALSE),"")</f>
        <v>Gestió econòmica</v>
      </c>
      <c r="H104" t="str">
        <f t="array" ref="H104">IFERROR(VLOOKUP(E104,Avaluacio[],COLUMN(Avaluacio[Subfamília]),FALSE),"")</f>
        <v/>
      </c>
      <c r="I104" s="6" t="str">
        <f t="array" ref="I104">IFERROR(VLOOKUP(E104,Avaluacio[],COLUMN(Avaluacio[Contingut]),FALSE),"")</f>
        <v>Sí</v>
      </c>
      <c r="J104" s="6" t="str">
        <f t="array" ref="J104">IFERROR(VLOOKUP(E104,Avaluacio[],COLUMN(Avaluacio[Actualització]),FALSE),"")</f>
        <v>Sí</v>
      </c>
      <c r="K104" s="6" t="str">
        <f t="array" ref="K104">IFERROR(VLOOKUP(E104,Avaluacio[],COLUMN(#REF!),FALSE),"")</f>
        <v/>
      </c>
      <c r="L104" t="str">
        <f t="array" ref="L104">IFERROR(VLOOKUP(E104,Avaluacio[],COLUMN(Avaluacio[Grau de compliment]),FALSE),"")</f>
        <v>Compleix totalment</v>
      </c>
      <c r="M104" s="8">
        <f t="array" ref="M104">IFERROR(VLOOKUP(E104,Avaluacio[],COLUMN(Avaluacio[% compliment]),FALSE),"")</f>
        <v>1</v>
      </c>
    </row>
    <row r="105" spans="1:13" ht="27.6" x14ac:dyDescent="0.25">
      <c r="A105" t="str">
        <f t="array" ref="A105">IFERROR(IF(VLOOKUP($E105,Avaluacio[],COLUMN(Avaluacio[Codi ítem]),FALSE)=$E105,'1_Plantejament'!$B$5,""),"")</f>
        <v>Ajuntament de Blanes</v>
      </c>
      <c r="B105">
        <f t="array" ref="B105">IFERROR(IF(VLOOKUP($E105,Avaluacio[],COLUMN(Avaluacio[Codi ítem]),FALSE)=$E105,'1_Plantejament'!$B$9,""),"")</f>
        <v>2026</v>
      </c>
      <c r="C105">
        <f t="array" ref="C105">IFERROR(IF(VLOOKUP($E105,Avaluacio[],COLUMN(Avaluacio[Codi ítem]),FALSE)=$E105,'1_Plantejament'!$B$10,""),"")</f>
        <v>46206</v>
      </c>
      <c r="D105" s="6" t="str">
        <f t="array" ref="D105">IFERROR(IF(VLOOKUP($E105,Avaluacio[],COLUMN(Avaluacio[Codi ítem]),FALSE)=$E105,'1_Plantejament'!$B$7,""),"")</f>
        <v>Fase 5</v>
      </c>
      <c r="E105" s="6" t="str">
        <f t="array" ref="E105">IFERROR(INDEX(Avaluacio[Codi ítem],(MATCH(0,INDEX(COUNTIF(E$1:E104,Avaluacio[Codi ítem]),0,0)+INDEX(Avaluacio[Avaluable]="No",0,0),0))),"")</f>
        <v>XGO105</v>
      </c>
      <c r="F105" s="45" t="str">
        <f t="array" ref="F105">IFERROR(VLOOKUP(E105,Avaluacio[],COLUMN(Avaluacio[Ítem]),FALSE),"")</f>
        <v>Modificació de pressupostos</v>
      </c>
      <c r="G105" t="str">
        <f t="array" ref="G105">IFERROR(VLOOKUP(E105,Avaluacio[],COLUMN(Avaluacio[Família]),FALSE),"")</f>
        <v>Gestió econòmica</v>
      </c>
      <c r="H105" t="str">
        <f t="array" ref="H105">IFERROR(VLOOKUP(E105,Avaluacio[],COLUMN(Avaluacio[Subfamília]),FALSE),"")</f>
        <v/>
      </c>
      <c r="I105" s="6" t="str">
        <f t="array" ref="I105">IFERROR(VLOOKUP(E105,Avaluacio[],COLUMN(Avaluacio[Contingut]),FALSE),"")</f>
        <v>Sí</v>
      </c>
      <c r="J105" s="6" t="str">
        <f t="array" ref="J105">IFERROR(VLOOKUP(E105,Avaluacio[],COLUMN(Avaluacio[Actualització]),FALSE),"")</f>
        <v>Sí</v>
      </c>
      <c r="K105" s="6" t="str">
        <f t="array" ref="K105">IFERROR(VLOOKUP(E105,Avaluacio[],COLUMN(#REF!),FALSE),"")</f>
        <v/>
      </c>
      <c r="L105" t="str">
        <f t="array" ref="L105">IFERROR(VLOOKUP(E105,Avaluacio[],COLUMN(Avaluacio[Grau de compliment]),FALSE),"")</f>
        <v>Compleix totalment</v>
      </c>
      <c r="M105" s="8">
        <f t="array" ref="M105">IFERROR(VLOOKUP(E105,Avaluacio[],COLUMN(Avaluacio[% compliment]),FALSE),"")</f>
        <v>1</v>
      </c>
    </row>
    <row r="106" spans="1:13" ht="27.6" x14ac:dyDescent="0.25">
      <c r="A106" t="str">
        <f t="array" ref="A106">IFERROR(IF(VLOOKUP($E106,Avaluacio[],COLUMN(Avaluacio[Codi ítem]),FALSE)=$E106,'1_Plantejament'!$B$5,""),"")</f>
        <v>Ajuntament de Blanes</v>
      </c>
      <c r="B106">
        <f t="array" ref="B106">IFERROR(IF(VLOOKUP($E106,Avaluacio[],COLUMN(Avaluacio[Codi ítem]),FALSE)=$E106,'1_Plantejament'!$B$9,""),"")</f>
        <v>2026</v>
      </c>
      <c r="C106">
        <f t="array" ref="C106">IFERROR(IF(VLOOKUP($E106,Avaluacio[],COLUMN(Avaluacio[Codi ítem]),FALSE)=$E106,'1_Plantejament'!$B$10,""),"")</f>
        <v>46206</v>
      </c>
      <c r="D106" s="6" t="str">
        <f t="array" ref="D106">IFERROR(IF(VLOOKUP($E106,Avaluacio[],COLUMN(Avaluacio[Codi ítem]),FALSE)=$E106,'1_Plantejament'!$B$7,""),"")</f>
        <v>Fase 5</v>
      </c>
      <c r="E106" s="6" t="str">
        <f t="array" ref="E106">IFERROR(INDEX(Avaluacio[Codi ítem],(MATCH(0,INDEX(COUNTIF(E$1:E105,Avaluacio[Codi ítem]),0,0)+INDEX(Avaluacio[Avaluable]="No",0,0),0))),"")</f>
        <v>XGO106</v>
      </c>
      <c r="F106" s="45" t="str">
        <f t="array" ref="F106">IFERROR(VLOOKUP(E106,Avaluacio[],COLUMN(Avaluacio[Ítem]),FALSE),"")</f>
        <v>Compliment dels objectius d’estabilitat pressupostària</v>
      </c>
      <c r="G106" t="str">
        <f t="array" ref="G106">IFERROR(VLOOKUP(E106,Avaluacio[],COLUMN(Avaluacio[Família]),FALSE),"")</f>
        <v>Gestió econòmica</v>
      </c>
      <c r="H106" t="str">
        <f t="array" ref="H106">IFERROR(VLOOKUP(E106,Avaluacio[],COLUMN(Avaluacio[Subfamília]),FALSE),"")</f>
        <v/>
      </c>
      <c r="I106" s="6" t="str">
        <f t="array" ref="I106">IFERROR(VLOOKUP(E106,Avaluacio[],COLUMN(Avaluacio[Contingut]),FALSE),"")</f>
        <v>Sí</v>
      </c>
      <c r="J106" s="6" t="str">
        <f t="array" ref="J106">IFERROR(VLOOKUP(E106,Avaluacio[],COLUMN(Avaluacio[Actualització]),FALSE),"")</f>
        <v>Sí</v>
      </c>
      <c r="K106" s="6" t="str">
        <f t="array" ref="K106">IFERROR(VLOOKUP(E106,Avaluacio[],COLUMN(#REF!),FALSE),"")</f>
        <v/>
      </c>
      <c r="L106" t="str">
        <f t="array" ref="L106">IFERROR(VLOOKUP(E106,Avaluacio[],COLUMN(Avaluacio[Grau de compliment]),FALSE),"")</f>
        <v>Compleix totalment</v>
      </c>
      <c r="M106" s="8">
        <f t="array" ref="M106">IFERROR(VLOOKUP(E106,Avaluacio[],COLUMN(Avaluacio[% compliment]),FALSE),"")</f>
        <v>1</v>
      </c>
    </row>
    <row r="107" spans="1:13" ht="27.6" x14ac:dyDescent="0.25">
      <c r="A107" t="str">
        <f t="array" ref="A107">IFERROR(IF(VLOOKUP($E107,Avaluacio[],COLUMN(Avaluacio[Codi ítem]),FALSE)=$E107,'1_Plantejament'!$B$5,""),"")</f>
        <v>Ajuntament de Blanes</v>
      </c>
      <c r="B107">
        <f t="array" ref="B107">IFERROR(IF(VLOOKUP($E107,Avaluacio[],COLUMN(Avaluacio[Codi ítem]),FALSE)=$E107,'1_Plantejament'!$B$9,""),"")</f>
        <v>2026</v>
      </c>
      <c r="C107">
        <f t="array" ref="C107">IFERROR(IF(VLOOKUP($E107,Avaluacio[],COLUMN(Avaluacio[Codi ítem]),FALSE)=$E107,'1_Plantejament'!$B$10,""),"")</f>
        <v>46206</v>
      </c>
      <c r="D107" s="6" t="str">
        <f t="array" ref="D107">IFERROR(IF(VLOOKUP($E107,Avaluacio[],COLUMN(Avaluacio[Codi ítem]),FALSE)=$E107,'1_Plantejament'!$B$7,""),"")</f>
        <v>Fase 5</v>
      </c>
      <c r="E107" s="6" t="str">
        <f t="array" ref="E107">IFERROR(INDEX(Avaluacio[Codi ítem],(MATCH(0,INDEX(COUNTIF(E$1:E106,Avaluacio[Codi ítem]),0,0)+INDEX(Avaluacio[Avaluable]="No",0,0),0))),"")</f>
        <v>XGO107</v>
      </c>
      <c r="F107" s="45" t="str">
        <f t="array" ref="F107">IFERROR(VLOOKUP(E107,Avaluacio[],COLUMN(Avaluacio[Ítem]),FALSE),"")</f>
        <v>Informació de les campanyes institucionals</v>
      </c>
      <c r="G107" t="str">
        <f t="array" ref="G107">IFERROR(VLOOKUP(E107,Avaluacio[],COLUMN(Avaluacio[Família]),FALSE),"")</f>
        <v>Gestió econòmica</v>
      </c>
      <c r="H107" t="str">
        <f t="array" ref="H107">IFERROR(VLOOKUP(E107,Avaluacio[],COLUMN(Avaluacio[Subfamília]),FALSE),"")</f>
        <v/>
      </c>
      <c r="I107" s="6" t="str">
        <f t="array" ref="I107">IFERROR(VLOOKUP(E107,Avaluacio[],COLUMN(Avaluacio[Contingut]),FALSE),"")</f>
        <v>Sí</v>
      </c>
      <c r="J107" s="6" t="str">
        <f t="array" ref="J107">IFERROR(VLOOKUP(E107,Avaluacio[],COLUMN(Avaluacio[Actualització]),FALSE),"")</f>
        <v>Sí</v>
      </c>
      <c r="K107" s="6" t="str">
        <f t="array" ref="K107">IFERROR(VLOOKUP(E107,Avaluacio[],COLUMN(#REF!),FALSE),"")</f>
        <v/>
      </c>
      <c r="L107" t="str">
        <f t="array" ref="L107">IFERROR(VLOOKUP(E107,Avaluacio[],COLUMN(Avaluacio[Grau de compliment]),FALSE),"")</f>
        <v>Compleix totalment</v>
      </c>
      <c r="M107" s="8">
        <f t="array" ref="M107">IFERROR(VLOOKUP(E107,Avaluacio[],COLUMN(Avaluacio[% compliment]),FALSE),"")</f>
        <v>1</v>
      </c>
    </row>
    <row r="108" spans="1:13" ht="27.6" x14ac:dyDescent="0.25">
      <c r="A108" t="str">
        <f t="array" ref="A108">IFERROR(IF(VLOOKUP($E108,Avaluacio[],COLUMN(Avaluacio[Codi ítem]),FALSE)=$E108,'1_Plantejament'!$B$5,""),"")</f>
        <v>Ajuntament de Blanes</v>
      </c>
      <c r="B108">
        <f t="array" ref="B108">IFERROR(IF(VLOOKUP($E108,Avaluacio[],COLUMN(Avaluacio[Codi ítem]),FALSE)=$E108,'1_Plantejament'!$B$9,""),"")</f>
        <v>2026</v>
      </c>
      <c r="C108">
        <f t="array" ref="C108">IFERROR(IF(VLOOKUP($E108,Avaluacio[],COLUMN(Avaluacio[Codi ítem]),FALSE)=$E108,'1_Plantejament'!$B$10,""),"")</f>
        <v>46206</v>
      </c>
      <c r="D108" s="6" t="str">
        <f t="array" ref="D108">IFERROR(IF(VLOOKUP($E108,Avaluacio[],COLUMN(Avaluacio[Codi ítem]),FALSE)=$E108,'1_Plantejament'!$B$7,""),"")</f>
        <v>Fase 5</v>
      </c>
      <c r="E108" s="6" t="str">
        <f t="array" ref="E108">IFERROR(INDEX(Avaluacio[Codi ítem],(MATCH(0,INDEX(COUNTIF(E$1:E107,Avaluacio[Codi ítem]),0,0)+INDEX(Avaluacio[Avaluable]="No",0,0),0))),"")</f>
        <v>XGO108</v>
      </c>
      <c r="F108" s="45" t="str">
        <f t="array" ref="F108">IFERROR(VLOOKUP(E108,Avaluacio[],COLUMN(Avaluacio[Ítem]),FALSE),"")</f>
        <v>Endeutament</v>
      </c>
      <c r="G108" t="str">
        <f t="array" ref="G108">IFERROR(VLOOKUP(E108,Avaluacio[],COLUMN(Avaluacio[Família]),FALSE),"")</f>
        <v>Gestió econòmica</v>
      </c>
      <c r="H108" t="str">
        <f t="array" ref="H108">IFERROR(VLOOKUP(E108,Avaluacio[],COLUMN(Avaluacio[Subfamília]),FALSE),"")</f>
        <v/>
      </c>
      <c r="I108" s="6" t="str">
        <f t="array" ref="I108">IFERROR(VLOOKUP(E108,Avaluacio[],COLUMN(Avaluacio[Contingut]),FALSE),"")</f>
        <v>Sí</v>
      </c>
      <c r="J108" s="6" t="str">
        <f t="array" ref="J108">IFERROR(VLOOKUP(E108,Avaluacio[],COLUMN(Avaluacio[Actualització]),FALSE),"")</f>
        <v>Sí</v>
      </c>
      <c r="K108" s="6" t="str">
        <f t="array" ref="K108">IFERROR(VLOOKUP(E108,Avaluacio[],COLUMN(#REF!),FALSE),"")</f>
        <v/>
      </c>
      <c r="L108" t="str">
        <f t="array" ref="L108">IFERROR(VLOOKUP(E108,Avaluacio[],COLUMN(Avaluacio[Grau de compliment]),FALSE),"")</f>
        <v>Compleix totalment</v>
      </c>
      <c r="M108" s="8">
        <f t="array" ref="M108">IFERROR(VLOOKUP(E108,Avaluacio[],COLUMN(Avaluacio[% compliment]),FALSE),"")</f>
        <v>1</v>
      </c>
    </row>
    <row r="109" spans="1:13" ht="27.6" x14ac:dyDescent="0.25">
      <c r="A109" t="str">
        <f t="array" ref="A109">IFERROR(IF(VLOOKUP($E109,Avaluacio[],COLUMN(Avaluacio[Codi ítem]),FALSE)=$E109,'1_Plantejament'!$B$5,""),"")</f>
        <v>Ajuntament de Blanes</v>
      </c>
      <c r="B109">
        <f t="array" ref="B109">IFERROR(IF(VLOOKUP($E109,Avaluacio[],COLUMN(Avaluacio[Codi ítem]),FALSE)=$E109,'1_Plantejament'!$B$9,""),"")</f>
        <v>2026</v>
      </c>
      <c r="C109">
        <f t="array" ref="C109">IFERROR(IF(VLOOKUP($E109,Avaluacio[],COLUMN(Avaluacio[Codi ítem]),FALSE)=$E109,'1_Plantejament'!$B$10,""),"")</f>
        <v>46206</v>
      </c>
      <c r="D109" s="6" t="str">
        <f t="array" ref="D109">IFERROR(IF(VLOOKUP($E109,Avaluacio[],COLUMN(Avaluacio[Codi ítem]),FALSE)=$E109,'1_Plantejament'!$B$7,""),"")</f>
        <v>Fase 5</v>
      </c>
      <c r="E109" s="6" t="str">
        <f t="array" ref="E109">IFERROR(INDEX(Avaluacio[Codi ítem],(MATCH(0,INDEX(COUNTIF(E$1:E108,Avaluacio[Codi ítem]),0,0)+INDEX(Avaluacio[Avaluable]="No",0,0),0))),"")</f>
        <v>XGO109</v>
      </c>
      <c r="F109" s="45" t="str">
        <f t="array" ref="F109">IFERROR(VLOOKUP(E109,Avaluacio[],COLUMN(Avaluacio[Ítem]),FALSE),"")</f>
        <v>Període mitjà de Pagament a Proveïdors (PMP)</v>
      </c>
      <c r="G109" t="str">
        <f t="array" ref="G109">IFERROR(VLOOKUP(E109,Avaluacio[],COLUMN(Avaluacio[Família]),FALSE),"")</f>
        <v>Gestió econòmica</v>
      </c>
      <c r="H109" t="str">
        <f t="array" ref="H109">IFERROR(VLOOKUP(E109,Avaluacio[],COLUMN(Avaluacio[Subfamília]),FALSE),"")</f>
        <v/>
      </c>
      <c r="I109" s="6" t="str">
        <f t="array" ref="I109">IFERROR(VLOOKUP(E109,Avaluacio[],COLUMN(Avaluacio[Contingut]),FALSE),"")</f>
        <v>Sí</v>
      </c>
      <c r="J109" s="6" t="str">
        <f t="array" ref="J109">IFERROR(VLOOKUP(E109,Avaluacio[],COLUMN(Avaluacio[Actualització]),FALSE),"")</f>
        <v>Sí</v>
      </c>
      <c r="K109" s="6" t="str">
        <f t="array" ref="K109">IFERROR(VLOOKUP(E109,Avaluacio[],COLUMN(#REF!),FALSE),"")</f>
        <v/>
      </c>
      <c r="L109" t="str">
        <f t="array" ref="L109">IFERROR(VLOOKUP(E109,Avaluacio[],COLUMN(Avaluacio[Grau de compliment]),FALSE),"")</f>
        <v>Compleix totalment</v>
      </c>
      <c r="M109" s="8">
        <f t="array" ref="M109">IFERROR(VLOOKUP(E109,Avaluacio[],COLUMN(Avaluacio[% compliment]),FALSE),"")</f>
        <v>1</v>
      </c>
    </row>
    <row r="110" spans="1:13" ht="27.6" x14ac:dyDescent="0.25">
      <c r="A110" t="str">
        <f t="array" ref="A110">IFERROR(IF(VLOOKUP($E110,Avaluacio[],COLUMN(Avaluacio[Codi ítem]),FALSE)=$E110,'1_Plantejament'!$B$5,""),"")</f>
        <v>Ajuntament de Blanes</v>
      </c>
      <c r="B110">
        <f t="array" ref="B110">IFERROR(IF(VLOOKUP($E110,Avaluacio[],COLUMN(Avaluacio[Codi ítem]),FALSE)=$E110,'1_Plantejament'!$B$9,""),"")</f>
        <v>2026</v>
      </c>
      <c r="C110">
        <f t="array" ref="C110">IFERROR(IF(VLOOKUP($E110,Avaluacio[],COLUMN(Avaluacio[Codi ítem]),FALSE)=$E110,'1_Plantejament'!$B$10,""),"")</f>
        <v>46206</v>
      </c>
      <c r="D110" s="6" t="str">
        <f t="array" ref="D110">IFERROR(IF(VLOOKUP($E110,Avaluacio[],COLUMN(Avaluacio[Codi ítem]),FALSE)=$E110,'1_Plantejament'!$B$7,""),"")</f>
        <v>Fase 5</v>
      </c>
      <c r="E110" s="6" t="str">
        <f t="array" ref="E110">IFERROR(INDEX(Avaluacio[Codi ítem],(MATCH(0,INDEX(COUNTIF(E$1:E109,Avaluacio[Codi ítem]),0,0)+INDEX(Avaluacio[Avaluable]="No",0,0),0))),"")</f>
        <v>XGO110</v>
      </c>
      <c r="F110" s="45" t="str">
        <f t="array" ref="F110">IFERROR(VLOOKUP(E110,Avaluacio[],COLUMN(Avaluacio[Ítem]),FALSE),"")</f>
        <v>Auditories de comptes</v>
      </c>
      <c r="G110" t="str">
        <f t="array" ref="G110">IFERROR(VLOOKUP(E110,Avaluacio[],COLUMN(Avaluacio[Família]),FALSE),"")</f>
        <v>Gestió econòmica</v>
      </c>
      <c r="H110" t="str">
        <f t="array" ref="H110">IFERROR(VLOOKUP(E110,Avaluacio[],COLUMN(Avaluacio[Subfamília]),FALSE),"")</f>
        <v/>
      </c>
      <c r="I110" s="6" t="str">
        <f t="array" ref="I110">IFERROR(VLOOKUP(E110,Avaluacio[],COLUMN(Avaluacio[Contingut]),FALSE),"")</f>
        <v>Sí</v>
      </c>
      <c r="J110" s="6" t="str">
        <f t="array" ref="J110">IFERROR(VLOOKUP(E110,Avaluacio[],COLUMN(Avaluacio[Actualització]),FALSE),"")</f>
        <v>Sí</v>
      </c>
      <c r="K110" s="6" t="str">
        <f t="array" ref="K110">IFERROR(VLOOKUP(E110,Avaluacio[],COLUMN(#REF!),FALSE),"")</f>
        <v/>
      </c>
      <c r="L110" t="str">
        <f t="array" ref="L110">IFERROR(VLOOKUP(E110,Avaluacio[],COLUMN(Avaluacio[Grau de compliment]),FALSE),"")</f>
        <v>Compleix totalment</v>
      </c>
      <c r="M110" s="8">
        <f t="array" ref="M110">IFERROR(VLOOKUP(E110,Avaluacio[],COLUMN(Avaluacio[% compliment]),FALSE),"")</f>
        <v>1</v>
      </c>
    </row>
    <row r="111" spans="1:13" ht="27.6" x14ac:dyDescent="0.25">
      <c r="A111" t="str">
        <f t="array" ref="A111">IFERROR(IF(VLOOKUP($E111,Avaluacio[],COLUMN(Avaluacio[Codi ítem]),FALSE)=$E111,'1_Plantejament'!$B$5,""),"")</f>
        <v>Ajuntament de Blanes</v>
      </c>
      <c r="B111">
        <f t="array" ref="B111">IFERROR(IF(VLOOKUP($E111,Avaluacio[],COLUMN(Avaluacio[Codi ítem]),FALSE)=$E111,'1_Plantejament'!$B$9,""),"")</f>
        <v>2026</v>
      </c>
      <c r="C111">
        <f t="array" ref="C111">IFERROR(IF(VLOOKUP($E111,Avaluacio[],COLUMN(Avaluacio[Codi ítem]),FALSE)=$E111,'1_Plantejament'!$B$10,""),"")</f>
        <v>46206</v>
      </c>
      <c r="D111" s="6" t="str">
        <f t="array" ref="D111">IFERROR(IF(VLOOKUP($E111,Avaluacio[],COLUMN(Avaluacio[Codi ítem]),FALSE)=$E111,'1_Plantejament'!$B$7,""),"")</f>
        <v>Fase 5</v>
      </c>
      <c r="E111" s="6" t="str">
        <f t="array" ref="E111">IFERROR(INDEX(Avaluacio[Codi ítem],(MATCH(0,INDEX(COUNTIF(E$1:E110,Avaluacio[Codi ítem]),0,0)+INDEX(Avaluacio[Avaluable]="No",0,0),0))),"")</f>
        <v>XGO111</v>
      </c>
      <c r="F111" s="45" t="str">
        <f t="array" ref="F111">IFERROR(VLOOKUP(E111,Avaluacio[],COLUMN(Avaluacio[Ítem]),FALSE),"")</f>
        <v>Indicadors de gestió econòmica</v>
      </c>
      <c r="G111" t="str">
        <f t="array" ref="G111">IFERROR(VLOOKUP(E111,Avaluacio[],COLUMN(Avaluacio[Família]),FALSE),"")</f>
        <v>Gestió econòmica</v>
      </c>
      <c r="H111" t="str">
        <f t="array" ref="H111">IFERROR(VLOOKUP(E111,Avaluacio[],COLUMN(Avaluacio[Subfamília]),FALSE),"")</f>
        <v/>
      </c>
      <c r="I111" s="6" t="str">
        <f t="array" ref="I111">IFERROR(VLOOKUP(E111,Avaluacio[],COLUMN(Avaluacio[Contingut]),FALSE),"")</f>
        <v>Sí</v>
      </c>
      <c r="J111" s="6" t="str">
        <f t="array" ref="J111">IFERROR(VLOOKUP(E111,Avaluacio[],COLUMN(Avaluacio[Actualització]),FALSE),"")</f>
        <v>Sí</v>
      </c>
      <c r="K111" s="6" t="str">
        <f t="array" ref="K111">IFERROR(VLOOKUP(E111,Avaluacio[],COLUMN(#REF!),FALSE),"")</f>
        <v/>
      </c>
      <c r="L111" t="str">
        <f t="array" ref="L111">IFERROR(VLOOKUP(E111,Avaluacio[],COLUMN(Avaluacio[Grau de compliment]),FALSE),"")</f>
        <v>Compleix totalment</v>
      </c>
      <c r="M111" s="8">
        <f t="array" ref="M111">IFERROR(VLOOKUP(E111,Avaluacio[],COLUMN(Avaluacio[% compliment]),FALSE),"")</f>
        <v>1</v>
      </c>
    </row>
    <row r="112" spans="1:13" ht="27.6" x14ac:dyDescent="0.25">
      <c r="A112" t="str">
        <f t="array" ref="A112">IFERROR(IF(VLOOKUP($E112,Avaluacio[],COLUMN(Avaluacio[Codi ítem]),FALSE)=$E112,'1_Plantejament'!$B$5,""),"")</f>
        <v>Ajuntament de Blanes</v>
      </c>
      <c r="B112">
        <f t="array" ref="B112">IFERROR(IF(VLOOKUP($E112,Avaluacio[],COLUMN(Avaluacio[Codi ítem]),FALSE)=$E112,'1_Plantejament'!$B$9,""),"")</f>
        <v>2026</v>
      </c>
      <c r="C112">
        <f t="array" ref="C112">IFERROR(IF(VLOOKUP($E112,Avaluacio[],COLUMN(Avaluacio[Codi ítem]),FALSE)=$E112,'1_Plantejament'!$B$10,""),"")</f>
        <v>46206</v>
      </c>
      <c r="D112" s="6" t="str">
        <f t="array" ref="D112">IFERROR(IF(VLOOKUP($E112,Avaluacio[],COLUMN(Avaluacio[Codi ítem]),FALSE)=$E112,'1_Plantejament'!$B$7,""),"")</f>
        <v>Fase 5</v>
      </c>
      <c r="E112" s="6" t="str">
        <f t="array" ref="E112">IFERROR(INDEX(Avaluacio[Codi ítem],(MATCH(0,INDEX(COUNTIF(E$1:E111,Avaluacio[Codi ítem]),0,0)+INDEX(Avaluacio[Avaluable]="No",0,0),0))),"")</f>
        <v>XGO112</v>
      </c>
      <c r="F112" s="45" t="str">
        <f t="array" ref="F112">IFERROR(VLOOKUP(E112,Avaluacio[],COLUMN(Avaluacio[Ítem]),FALSE),"")</f>
        <v>Cost efectiu dels serveis</v>
      </c>
      <c r="G112" t="str">
        <f t="array" ref="G112">IFERROR(VLOOKUP(E112,Avaluacio[],COLUMN(Avaluacio[Família]),FALSE),"")</f>
        <v>Gestió econòmica</v>
      </c>
      <c r="H112" t="str">
        <f t="array" ref="H112">IFERROR(VLOOKUP(E112,Avaluacio[],COLUMN(Avaluacio[Subfamília]),FALSE),"")</f>
        <v/>
      </c>
      <c r="I112" s="6" t="str">
        <f t="array" ref="I112">IFERROR(VLOOKUP(E112,Avaluacio[],COLUMN(Avaluacio[Contingut]),FALSE),"")</f>
        <v>Sí</v>
      </c>
      <c r="J112" s="6" t="str">
        <f t="array" ref="J112">IFERROR(VLOOKUP(E112,Avaluacio[],COLUMN(Avaluacio[Actualització]),FALSE),"")</f>
        <v>Sí</v>
      </c>
      <c r="K112" s="6" t="str">
        <f t="array" ref="K112">IFERROR(VLOOKUP(E112,Avaluacio[],COLUMN(#REF!),FALSE),"")</f>
        <v/>
      </c>
      <c r="L112" t="str">
        <f t="array" ref="L112">IFERROR(VLOOKUP(E112,Avaluacio[],COLUMN(Avaluacio[Grau de compliment]),FALSE),"")</f>
        <v>Compleix totalment</v>
      </c>
      <c r="M112" s="8">
        <f t="array" ref="M112">IFERROR(VLOOKUP(E112,Avaluacio[],COLUMN(Avaluacio[% compliment]),FALSE),"")</f>
        <v>1</v>
      </c>
    </row>
    <row r="113" spans="1:13" ht="27.6" x14ac:dyDescent="0.25">
      <c r="A113" t="str">
        <f t="array" ref="A113">IFERROR(IF(VLOOKUP($E113,Avaluacio[],COLUMN(Avaluacio[Codi ítem]),FALSE)=$E113,'1_Plantejament'!$B$5,""),"")</f>
        <v>Ajuntament de Blanes</v>
      </c>
      <c r="B113">
        <f t="array" ref="B113">IFERROR(IF(VLOOKUP($E113,Avaluacio[],COLUMN(Avaluacio[Codi ítem]),FALSE)=$E113,'1_Plantejament'!$B$9,""),"")</f>
        <v>2026</v>
      </c>
      <c r="C113">
        <f t="array" ref="C113">IFERROR(IF(VLOOKUP($E113,Avaluacio[],COLUMN(Avaluacio[Codi ítem]),FALSE)=$E113,'1_Plantejament'!$B$10,""),"")</f>
        <v>46206</v>
      </c>
      <c r="D113" s="6" t="str">
        <f t="array" ref="D113">IFERROR(IF(VLOOKUP($E113,Avaluacio[],COLUMN(Avaluacio[Codi ítem]),FALSE)=$E113,'1_Plantejament'!$B$7,""),"")</f>
        <v>Fase 5</v>
      </c>
      <c r="E113" s="6" t="str">
        <f t="array" ref="E113">IFERROR(INDEX(Avaluacio[Codi ítem],(MATCH(0,INDEX(COUNTIF(E$1:E112,Avaluacio[Codi ítem]),0,0)+INDEX(Avaluacio[Avaluable]="No",0,0),0))),"")</f>
        <v>XGO113</v>
      </c>
      <c r="F113" s="45" t="str">
        <f t="array" ref="F113">IFERROR(VLOOKUP(E113,Avaluacio[],COLUMN(Avaluacio[Ítem]),FALSE),"")</f>
        <v>Pla anual de control financer</v>
      </c>
      <c r="G113" t="str">
        <f t="array" ref="G113">IFERROR(VLOOKUP(E113,Avaluacio[],COLUMN(Avaluacio[Família]),FALSE),"")</f>
        <v>Gestió econòmica</v>
      </c>
      <c r="H113" t="str">
        <f t="array" ref="H113">IFERROR(VLOOKUP(E113,Avaluacio[],COLUMN(Avaluacio[Subfamília]),FALSE),"")</f>
        <v/>
      </c>
      <c r="I113" s="6" t="str">
        <f t="array" ref="I113">IFERROR(VLOOKUP(E113,Avaluacio[],COLUMN(Avaluacio[Contingut]),FALSE),"")</f>
        <v>Sí</v>
      </c>
      <c r="J113" s="6" t="str">
        <f t="array" ref="J113">IFERROR(VLOOKUP(E113,Avaluacio[],COLUMN(Avaluacio[Actualització]),FALSE),"")</f>
        <v>Sí</v>
      </c>
      <c r="K113" s="6" t="str">
        <f t="array" ref="K113">IFERROR(VLOOKUP(E113,Avaluacio[],COLUMN(#REF!),FALSE),"")</f>
        <v/>
      </c>
      <c r="L113" t="str">
        <f t="array" ref="L113">IFERROR(VLOOKUP(E113,Avaluacio[],COLUMN(Avaluacio[Grau de compliment]),FALSE),"")</f>
        <v>Compleix totalment</v>
      </c>
      <c r="M113" s="8">
        <f t="array" ref="M113">IFERROR(VLOOKUP(E113,Avaluacio[],COLUMN(Avaluacio[% compliment]),FALSE),"")</f>
        <v>1</v>
      </c>
    </row>
    <row r="114" spans="1:13" ht="27.6" x14ac:dyDescent="0.25">
      <c r="A114" t="str">
        <f t="array" ref="A114">IFERROR(IF(VLOOKUP($E114,Avaluacio[],COLUMN(Avaluacio[Codi ítem]),FALSE)=$E114,'1_Plantejament'!$B$5,""),"")</f>
        <v>Ajuntament de Blanes</v>
      </c>
      <c r="B114">
        <f t="array" ref="B114">IFERROR(IF(VLOOKUP($E114,Avaluacio[],COLUMN(Avaluacio[Codi ítem]),FALSE)=$E114,'1_Plantejament'!$B$9,""),"")</f>
        <v>2026</v>
      </c>
      <c r="C114">
        <f t="array" ref="C114">IFERROR(IF(VLOOKUP($E114,Avaluacio[],COLUMN(Avaluacio[Codi ítem]),FALSE)=$E114,'1_Plantejament'!$B$10,""),"")</f>
        <v>46206</v>
      </c>
      <c r="D114" s="6" t="str">
        <f t="array" ref="D114">IFERROR(IF(VLOOKUP($E114,Avaluacio[],COLUMN(Avaluacio[Codi ítem]),FALSE)=$E114,'1_Plantejament'!$B$7,""),"")</f>
        <v>Fase 5</v>
      </c>
      <c r="E114" s="6" t="str">
        <f t="array" ref="E114">IFERROR(INDEX(Avaluacio[Codi ítem],(MATCH(0,INDEX(COUNTIF(E$1:E113,Avaluacio[Codi ítem]),0,0)+INDEX(Avaluacio[Avaluable]="No",0,0),0))),"")</f>
        <v>XGO114</v>
      </c>
      <c r="F114" s="45" t="str">
        <f t="array" ref="F114">IFERROR(VLOOKUP(E114,Avaluacio[],COLUMN(Avaluacio[Ítem]),FALSE),"")</f>
        <v>Inventari general del patrimoni</v>
      </c>
      <c r="G114" t="str">
        <f t="array" ref="G114">IFERROR(VLOOKUP(E114,Avaluacio[],COLUMN(Avaluacio[Família]),FALSE),"")</f>
        <v>Gestió econòmica</v>
      </c>
      <c r="H114" t="str">
        <f t="array" ref="H114">IFERROR(VLOOKUP(E114,Avaluacio[],COLUMN(Avaluacio[Subfamília]),FALSE),"")</f>
        <v/>
      </c>
      <c r="I114" s="6" t="str">
        <f t="array" ref="I114">IFERROR(VLOOKUP(E114,Avaluacio[],COLUMN(Avaluacio[Contingut]),FALSE),"")</f>
        <v>Sí</v>
      </c>
      <c r="J114" s="6" t="str">
        <f t="array" ref="J114">IFERROR(VLOOKUP(E114,Avaluacio[],COLUMN(Avaluacio[Actualització]),FALSE),"")</f>
        <v>Sí</v>
      </c>
      <c r="K114" s="6" t="str">
        <f t="array" ref="K114">IFERROR(VLOOKUP(E114,Avaluacio[],COLUMN(#REF!),FALSE),"")</f>
        <v/>
      </c>
      <c r="L114" t="str">
        <f t="array" ref="L114">IFERROR(VLOOKUP(E114,Avaluacio[],COLUMN(Avaluacio[Grau de compliment]),FALSE),"")</f>
        <v>Compleix totalment</v>
      </c>
      <c r="M114" s="8">
        <f t="array" ref="M114">IFERROR(VLOOKUP(E114,Avaluacio[],COLUMN(Avaluacio[% compliment]),FALSE),"")</f>
        <v>1</v>
      </c>
    </row>
    <row r="115" spans="1:13" ht="27.6" x14ac:dyDescent="0.25">
      <c r="A115" t="str">
        <f t="array" ref="A115">IFERROR(IF(VLOOKUP($E115,Avaluacio[],COLUMN(Avaluacio[Codi ítem]),FALSE)=$E115,'1_Plantejament'!$B$5,""),"")</f>
        <v>Ajuntament de Blanes</v>
      </c>
      <c r="B115">
        <f t="array" ref="B115">IFERROR(IF(VLOOKUP($E115,Avaluacio[],COLUMN(Avaluacio[Codi ítem]),FALSE)=$E115,'1_Plantejament'!$B$9,""),"")</f>
        <v>2026</v>
      </c>
      <c r="C115">
        <f t="array" ref="C115">IFERROR(IF(VLOOKUP($E115,Avaluacio[],COLUMN(Avaluacio[Codi ítem]),FALSE)=$E115,'1_Plantejament'!$B$10,""),"")</f>
        <v>46206</v>
      </c>
      <c r="D115" s="6" t="str">
        <f t="array" ref="D115">IFERROR(IF(VLOOKUP($E115,Avaluacio[],COLUMN(Avaluacio[Codi ítem]),FALSE)=$E115,'1_Plantejament'!$B$7,""),"")</f>
        <v>Fase 5</v>
      </c>
      <c r="E115" s="6" t="str">
        <f t="array" ref="E115">IFERROR(INDEX(Avaluacio[Codi ítem],(MATCH(0,INDEX(COUNTIF(E$1:E114,Avaluacio[Codi ítem]),0,0)+INDEX(Avaluacio[Avaluable]="No",0,0),0))),"")</f>
        <v>XGO115</v>
      </c>
      <c r="F115" s="45" t="str">
        <f t="array" ref="F115">IFERROR(VLOOKUP(E115,Avaluacio[],COLUMN(Avaluacio[Ítem]),FALSE),"")</f>
        <v>Inventari de béns mobles de valor històric i artístic</v>
      </c>
      <c r="G115" t="str">
        <f t="array" ref="G115">IFERROR(VLOOKUP(E115,Avaluacio[],COLUMN(Avaluacio[Família]),FALSE),"")</f>
        <v>Gestió econòmica</v>
      </c>
      <c r="H115" t="str">
        <f t="array" ref="H115">IFERROR(VLOOKUP(E115,Avaluacio[],COLUMN(Avaluacio[Subfamília]),FALSE),"")</f>
        <v/>
      </c>
      <c r="I115" s="6" t="str">
        <f t="array" ref="I115">IFERROR(VLOOKUP(E115,Avaluacio[],COLUMN(Avaluacio[Contingut]),FALSE),"")</f>
        <v>Sí</v>
      </c>
      <c r="J115" s="6" t="str">
        <f t="array" ref="J115">IFERROR(VLOOKUP(E115,Avaluacio[],COLUMN(Avaluacio[Actualització]),FALSE),"")</f>
        <v>Sí</v>
      </c>
      <c r="K115" s="6" t="str">
        <f t="array" ref="K115">IFERROR(VLOOKUP(E115,Avaluacio[],COLUMN(#REF!),FALSE),"")</f>
        <v/>
      </c>
      <c r="L115" t="str">
        <f t="array" ref="L115">IFERROR(VLOOKUP(E115,Avaluacio[],COLUMN(Avaluacio[Grau de compliment]),FALSE),"")</f>
        <v>Compleix totalment</v>
      </c>
      <c r="M115" s="8">
        <f t="array" ref="M115">IFERROR(VLOOKUP(E115,Avaluacio[],COLUMN(Avaluacio[% compliment]),FALSE),"")</f>
        <v>1</v>
      </c>
    </row>
    <row r="116" spans="1:13" ht="27.6" x14ac:dyDescent="0.25">
      <c r="A116" t="str">
        <f t="array" ref="A116">IFERROR(IF(VLOOKUP($E116,Avaluacio[],COLUMN(Avaluacio[Codi ítem]),FALSE)=$E116,'1_Plantejament'!$B$5,""),"")</f>
        <v>Ajuntament de Blanes</v>
      </c>
      <c r="B116">
        <f t="array" ref="B116">IFERROR(IF(VLOOKUP($E116,Avaluacio[],COLUMN(Avaluacio[Codi ítem]),FALSE)=$E116,'1_Plantejament'!$B$9,""),"")</f>
        <v>2026</v>
      </c>
      <c r="C116">
        <f t="array" ref="C116">IFERROR(IF(VLOOKUP($E116,Avaluacio[],COLUMN(Avaluacio[Codi ítem]),FALSE)=$E116,'1_Plantejament'!$B$10,""),"")</f>
        <v>46206</v>
      </c>
      <c r="D116" s="6" t="str">
        <f t="array" ref="D116">IFERROR(IF(VLOOKUP($E116,Avaluacio[],COLUMN(Avaluacio[Codi ítem]),FALSE)=$E116,'1_Plantejament'!$B$7,""),"")</f>
        <v>Fase 5</v>
      </c>
      <c r="E116" s="6" t="str">
        <f t="array" ref="E116">IFERROR(INDEX(Avaluacio[Codi ítem],(MATCH(0,INDEX(COUNTIF(E$1:E115,Avaluacio[Codi ítem]),0,0)+INDEX(Avaluacio[Avaluable]="No",0,0),0))),"")</f>
        <v>XGO116</v>
      </c>
      <c r="F116" s="45" t="str">
        <f t="array" ref="F116">IFERROR(VLOOKUP(E116,Avaluacio[],COLUMN(Avaluacio[Ítem]),FALSE),"")</f>
        <v>Inventari de vehicles oficials</v>
      </c>
      <c r="G116" t="str">
        <f t="array" ref="G116">IFERROR(VLOOKUP(E116,Avaluacio[],COLUMN(Avaluacio[Família]),FALSE),"")</f>
        <v>Gestió econòmica</v>
      </c>
      <c r="H116" t="str">
        <f t="array" ref="H116">IFERROR(VLOOKUP(E116,Avaluacio[],COLUMN(Avaluacio[Subfamília]),FALSE),"")</f>
        <v/>
      </c>
      <c r="I116" s="6" t="str">
        <f t="array" ref="I116">IFERROR(VLOOKUP(E116,Avaluacio[],COLUMN(Avaluacio[Contingut]),FALSE),"")</f>
        <v>Sí</v>
      </c>
      <c r="J116" s="6" t="str">
        <f t="array" ref="J116">IFERROR(VLOOKUP(E116,Avaluacio[],COLUMN(Avaluacio[Actualització]),FALSE),"")</f>
        <v>No</v>
      </c>
      <c r="K116" s="6" t="str">
        <f t="array" ref="K116">IFERROR(VLOOKUP(E116,Avaluacio[],COLUMN(#REF!),FALSE),"")</f>
        <v/>
      </c>
      <c r="L116" t="str">
        <f t="array" ref="L116">IFERROR(VLOOKUP(E116,Avaluacio[],COLUMN(Avaluacio[Grau de compliment]),FALSE),"")</f>
        <v>Compleix parcialment</v>
      </c>
      <c r="M116" s="8">
        <f t="array" ref="M116">IFERROR(VLOOKUP(E116,Avaluacio[],COLUMN(Avaluacio[% compliment]),FALSE),"")</f>
        <v>0.5</v>
      </c>
    </row>
    <row r="117" spans="1:13" ht="27.6" x14ac:dyDescent="0.25">
      <c r="A117" t="str">
        <f t="array" ref="A117">IFERROR(IF(VLOOKUP($E117,Avaluacio[],COLUMN(Avaluacio[Codi ítem]),FALSE)=$E117,'1_Plantejament'!$B$5,""),"")</f>
        <v>Ajuntament de Blanes</v>
      </c>
      <c r="B117">
        <f t="array" ref="B117">IFERROR(IF(VLOOKUP($E117,Avaluacio[],COLUMN(Avaluacio[Codi ítem]),FALSE)=$E117,'1_Plantejament'!$B$9,""),"")</f>
        <v>2026</v>
      </c>
      <c r="C117">
        <f t="array" ref="C117">IFERROR(IF(VLOOKUP($E117,Avaluacio[],COLUMN(Avaluacio[Codi ítem]),FALSE)=$E117,'1_Plantejament'!$B$10,""),"")</f>
        <v>46206</v>
      </c>
      <c r="D117" s="6" t="str">
        <f t="array" ref="D117">IFERROR(IF(VLOOKUP($E117,Avaluacio[],COLUMN(Avaluacio[Codi ítem]),FALSE)=$E117,'1_Plantejament'!$B$7,""),"")</f>
        <v>Fase 5</v>
      </c>
      <c r="E117" s="6" t="str">
        <f t="array" ref="E117">IFERROR(INDEX(Avaluacio[Codi ítem],(MATCH(0,INDEX(COUNTIF(E$1:E116,Avaluacio[Codi ítem]),0,0)+INDEX(Avaluacio[Avaluable]="No",0,0),0))),"")</f>
        <v>XGO117</v>
      </c>
      <c r="F117" s="45" t="str">
        <f t="array" ref="F117">IFERROR(VLOOKUP(E117,Avaluacio[],COLUMN(Avaluacio[Ítem]),FALSE),"")</f>
        <v>Informació relativa a la gestió del patrimoni</v>
      </c>
      <c r="G117" t="str">
        <f t="array" ref="G117">IFERROR(VLOOKUP(E117,Avaluacio[],COLUMN(Avaluacio[Família]),FALSE),"")</f>
        <v>Gestió econòmica</v>
      </c>
      <c r="H117" t="str">
        <f t="array" ref="H117">IFERROR(VLOOKUP(E117,Avaluacio[],COLUMN(Avaluacio[Subfamília]),FALSE),"")</f>
        <v/>
      </c>
      <c r="I117" s="6" t="str">
        <f t="array" ref="I117">IFERROR(VLOOKUP(E117,Avaluacio[],COLUMN(Avaluacio[Contingut]),FALSE),"")</f>
        <v>Sí</v>
      </c>
      <c r="J117" s="6" t="str">
        <f t="array" ref="J117">IFERROR(VLOOKUP(E117,Avaluacio[],COLUMN(Avaluacio[Actualització]),FALSE),"")</f>
        <v>Sí</v>
      </c>
      <c r="K117" s="6" t="str">
        <f t="array" ref="K117">IFERROR(VLOOKUP(E117,Avaluacio[],COLUMN(#REF!),FALSE),"")</f>
        <v/>
      </c>
      <c r="L117" t="str">
        <f t="array" ref="L117">IFERROR(VLOOKUP(E117,Avaluacio[],COLUMN(Avaluacio[Grau de compliment]),FALSE),"")</f>
        <v>Compleix totalment</v>
      </c>
      <c r="M117" s="8">
        <f t="array" ref="M117">IFERROR(VLOOKUP(E117,Avaluacio[],COLUMN(Avaluacio[% compliment]),FALSE),"")</f>
        <v>1</v>
      </c>
    </row>
    <row r="118" spans="1:13" ht="27.6" x14ac:dyDescent="0.25">
      <c r="A118" t="str">
        <f t="array" ref="A118">IFERROR(IF(VLOOKUP($E118,Avaluacio[],COLUMN(Avaluacio[Codi ítem]),FALSE)=$E118,'1_Plantejament'!$B$5,""),"")</f>
        <v>Ajuntament de Blanes</v>
      </c>
      <c r="B118">
        <f t="array" ref="B118">IFERROR(IF(VLOOKUP($E118,Avaluacio[],COLUMN(Avaluacio[Codi ítem]),FALSE)=$E118,'1_Plantejament'!$B$9,""),"")</f>
        <v>2026</v>
      </c>
      <c r="C118">
        <f t="array" ref="C118">IFERROR(IF(VLOOKUP($E118,Avaluacio[],COLUMN(Avaluacio[Codi ítem]),FALSE)=$E118,'1_Plantejament'!$B$10,""),"")</f>
        <v>46206</v>
      </c>
      <c r="D118" s="6" t="str">
        <f t="array" ref="D118">IFERROR(IF(VLOOKUP($E118,Avaluacio[],COLUMN(Avaluacio[Codi ítem]),FALSE)=$E118,'1_Plantejament'!$B$7,""),"")</f>
        <v>Fase 5</v>
      </c>
      <c r="E118" s="6" t="str">
        <f t="array" ref="E118">IFERROR(INDEX(Avaluacio[Codi ítem],(MATCH(0,INDEX(COUNTIF(E$1:E117,Avaluacio[Codi ítem]),0,0)+INDEX(Avaluacio[Avaluable]="No",0,0),0))),"")</f>
        <v>XGO118</v>
      </c>
      <c r="F118" s="45" t="str">
        <f t="array" ref="F118">IFERROR(VLOOKUP(E118,Avaluacio[],COLUMN(Avaluacio[Ítem]),FALSE),"")</f>
        <v>Incidències de serveis</v>
      </c>
      <c r="G118" t="str">
        <f t="array" ref="G118">IFERROR(VLOOKUP(E118,Avaluacio[],COLUMN(Avaluacio[Família]),FALSE),"")</f>
        <v>Serveis i tràmits</v>
      </c>
      <c r="H118" t="str">
        <f t="array" ref="H118">IFERROR(VLOOKUP(E118,Avaluacio[],COLUMN(Avaluacio[Subfamília]),FALSE),"")</f>
        <v/>
      </c>
      <c r="I118" s="6" t="str">
        <f t="array" ref="I118">IFERROR(VLOOKUP(E118,Avaluacio[],COLUMN(Avaluacio[Contingut]),FALSE),"")</f>
        <v>Sí</v>
      </c>
      <c r="J118" s="6" t="str">
        <f t="array" ref="J118">IFERROR(VLOOKUP(E118,Avaluacio[],COLUMN(Avaluacio[Actualització]),FALSE),"")</f>
        <v>Sí</v>
      </c>
      <c r="K118" s="6" t="str">
        <f t="array" ref="K118">IFERROR(VLOOKUP(E118,Avaluacio[],COLUMN(#REF!),FALSE),"")</f>
        <v/>
      </c>
      <c r="L118" t="str">
        <f t="array" ref="L118">IFERROR(VLOOKUP(E118,Avaluacio[],COLUMN(Avaluacio[Grau de compliment]),FALSE),"")</f>
        <v>Compleix totalment</v>
      </c>
      <c r="M118" s="8">
        <f t="array" ref="M118">IFERROR(VLOOKUP(E118,Avaluacio[],COLUMN(Avaluacio[% compliment]),FALSE),"")</f>
        <v>1</v>
      </c>
    </row>
    <row r="119" spans="1:13" ht="27.6" x14ac:dyDescent="0.25">
      <c r="A119" t="str">
        <f t="array" ref="A119">IFERROR(IF(VLOOKUP($E119,Avaluacio[],COLUMN(Avaluacio[Codi ítem]),FALSE)=$E119,'1_Plantejament'!$B$5,""),"")</f>
        <v>Ajuntament de Blanes</v>
      </c>
      <c r="B119">
        <f t="array" ref="B119">IFERROR(IF(VLOOKUP($E119,Avaluacio[],COLUMN(Avaluacio[Codi ítem]),FALSE)=$E119,'1_Plantejament'!$B$9,""),"")</f>
        <v>2026</v>
      </c>
      <c r="C119">
        <f t="array" ref="C119">IFERROR(IF(VLOOKUP($E119,Avaluacio[],COLUMN(Avaluacio[Codi ítem]),FALSE)=$E119,'1_Plantejament'!$B$10,""),"")</f>
        <v>46206</v>
      </c>
      <c r="D119" s="6" t="str">
        <f t="array" ref="D119">IFERROR(IF(VLOOKUP($E119,Avaluacio[],COLUMN(Avaluacio[Codi ítem]),FALSE)=$E119,'1_Plantejament'!$B$7,""),"")</f>
        <v>Fase 5</v>
      </c>
      <c r="E119" s="6" t="str">
        <f t="array" ref="E119">IFERROR(INDEX(Avaluacio[Codi ítem],(MATCH(0,INDEX(COUNTIF(E$1:E118,Avaluacio[Codi ítem]),0,0)+INDEX(Avaluacio[Avaluable]="No",0,0),0))),"")</f>
        <v>XGO119</v>
      </c>
      <c r="F119" s="45" t="str">
        <f t="array" ref="F119">IFERROR(VLOOKUP(E119,Avaluacio[],COLUMN(Avaluacio[Ítem]),FALSE),"")</f>
        <v>Incidències de trànsit</v>
      </c>
      <c r="G119" t="str">
        <f t="array" ref="G119">IFERROR(VLOOKUP(E119,Avaluacio[],COLUMN(Avaluacio[Família]),FALSE),"")</f>
        <v>Serveis i tràmits</v>
      </c>
      <c r="H119" t="str">
        <f t="array" ref="H119">IFERROR(VLOOKUP(E119,Avaluacio[],COLUMN(Avaluacio[Subfamília]),FALSE),"")</f>
        <v/>
      </c>
      <c r="I119" s="6" t="str">
        <f t="array" ref="I119">IFERROR(VLOOKUP(E119,Avaluacio[],COLUMN(Avaluacio[Contingut]),FALSE),"")</f>
        <v>Sí</v>
      </c>
      <c r="J119" s="6" t="str">
        <f t="array" ref="J119">IFERROR(VLOOKUP(E119,Avaluacio[],COLUMN(Avaluacio[Actualització]),FALSE),"")</f>
        <v>Sí</v>
      </c>
      <c r="K119" s="6" t="str">
        <f t="array" ref="K119">IFERROR(VLOOKUP(E119,Avaluacio[],COLUMN(#REF!),FALSE),"")</f>
        <v/>
      </c>
      <c r="L119" t="str">
        <f t="array" ref="L119">IFERROR(VLOOKUP(E119,Avaluacio[],COLUMN(Avaluacio[Grau de compliment]),FALSE),"")</f>
        <v>Compleix totalment</v>
      </c>
      <c r="M119" s="8">
        <f t="array" ref="M119">IFERROR(VLOOKUP(E119,Avaluacio[],COLUMN(Avaluacio[% compliment]),FALSE),"")</f>
        <v>1</v>
      </c>
    </row>
    <row r="120" spans="1:13" ht="27.6" x14ac:dyDescent="0.25">
      <c r="A120" t="str">
        <f t="array" ref="A120">IFERROR(IF(VLOOKUP($E120,Avaluacio[],COLUMN(Avaluacio[Codi ítem]),FALSE)=$E120,'1_Plantejament'!$B$5,""),"")</f>
        <v>Ajuntament de Blanes</v>
      </c>
      <c r="B120">
        <f t="array" ref="B120">IFERROR(IF(VLOOKUP($E120,Avaluacio[],COLUMN(Avaluacio[Codi ítem]),FALSE)=$E120,'1_Plantejament'!$B$9,""),"")</f>
        <v>2026</v>
      </c>
      <c r="C120">
        <f t="array" ref="C120">IFERROR(IF(VLOOKUP($E120,Avaluacio[],COLUMN(Avaluacio[Codi ítem]),FALSE)=$E120,'1_Plantejament'!$B$10,""),"")</f>
        <v>46206</v>
      </c>
      <c r="D120" s="6" t="str">
        <f t="array" ref="D120">IFERROR(IF(VLOOKUP($E120,Avaluacio[],COLUMN(Avaluacio[Codi ítem]),FALSE)=$E120,'1_Plantejament'!$B$7,""),"")</f>
        <v>Fase 5</v>
      </c>
      <c r="E120" s="6" t="str">
        <f t="array" ref="E120">IFERROR(INDEX(Avaluacio[Codi ítem],(MATCH(0,INDEX(COUNTIF(E$1:E119,Avaluacio[Codi ítem]),0,0)+INDEX(Avaluacio[Avaluable]="No",0,0),0))),"")</f>
        <v>XGO120</v>
      </c>
      <c r="F120" s="45" t="str">
        <f t="array" ref="F120">IFERROR(VLOOKUP(E120,Avaluacio[],COLUMN(Avaluacio[Ítem]),FALSE),"")</f>
        <v>Informació de la contaminació de l'aire</v>
      </c>
      <c r="G120" t="str">
        <f t="array" ref="G120">IFERROR(VLOOKUP(E120,Avaluacio[],COLUMN(Avaluacio[Família]),FALSE),"")</f>
        <v>Serveis i tràmits</v>
      </c>
      <c r="H120" t="str">
        <f t="array" ref="H120">IFERROR(VLOOKUP(E120,Avaluacio[],COLUMN(Avaluacio[Subfamília]),FALSE),"")</f>
        <v/>
      </c>
      <c r="I120" s="6" t="str">
        <f t="array" ref="I120">IFERROR(VLOOKUP(E120,Avaluacio[],COLUMN(Avaluacio[Contingut]),FALSE),"")</f>
        <v>Sí</v>
      </c>
      <c r="J120" s="6" t="str">
        <f t="array" ref="J120">IFERROR(VLOOKUP(E120,Avaluacio[],COLUMN(Avaluacio[Actualització]),FALSE),"")</f>
        <v>Sí</v>
      </c>
      <c r="K120" s="6" t="str">
        <f t="array" ref="K120">IFERROR(VLOOKUP(E120,Avaluacio[],COLUMN(#REF!),FALSE),"")</f>
        <v/>
      </c>
      <c r="L120" t="str">
        <f t="array" ref="L120">IFERROR(VLOOKUP(E120,Avaluacio[],COLUMN(Avaluacio[Grau de compliment]),FALSE),"")</f>
        <v>Compleix totalment</v>
      </c>
      <c r="M120" s="8">
        <f t="array" ref="M120">IFERROR(VLOOKUP(E120,Avaluacio[],COLUMN(Avaluacio[% compliment]),FALSE),"")</f>
        <v>1</v>
      </c>
    </row>
    <row r="121" spans="1:13" ht="27.6" x14ac:dyDescent="0.25">
      <c r="A121" t="str">
        <f t="array" ref="A121">IFERROR(IF(VLOOKUP($E121,Avaluacio[],COLUMN(Avaluacio[Codi ítem]),FALSE)=$E121,'1_Plantejament'!$B$5,""),"")</f>
        <v>Ajuntament de Blanes</v>
      </c>
      <c r="B121">
        <f t="array" ref="B121">IFERROR(IF(VLOOKUP($E121,Avaluacio[],COLUMN(Avaluacio[Codi ítem]),FALSE)=$E121,'1_Plantejament'!$B$9,""),"")</f>
        <v>2026</v>
      </c>
      <c r="C121">
        <f t="array" ref="C121">IFERROR(IF(VLOOKUP($E121,Avaluacio[],COLUMN(Avaluacio[Codi ítem]),FALSE)=$E121,'1_Plantejament'!$B$10,""),"")</f>
        <v>46206</v>
      </c>
      <c r="D121" s="6" t="str">
        <f t="array" ref="D121">IFERROR(IF(VLOOKUP($E121,Avaluacio[],COLUMN(Avaluacio[Codi ítem]),FALSE)=$E121,'1_Plantejament'!$B$7,""),"")</f>
        <v>Fase 5</v>
      </c>
      <c r="E121" s="6" t="str">
        <f t="array" ref="E121">IFERROR(INDEX(Avaluacio[Codi ítem],(MATCH(0,INDEX(COUNTIF(E$1:E120,Avaluacio[Codi ítem]),0,0)+INDEX(Avaluacio[Avaluable]="No",0,0),0))),"")</f>
        <v>XGO121</v>
      </c>
      <c r="F121" s="45" t="str">
        <f t="array" ref="F121">IFERROR(VLOOKUP(E121,Avaluacio[],COLUMN(Avaluacio[Ítem]),FALSE),"")</f>
        <v>Informació de la contaminació acústica</v>
      </c>
      <c r="G121" t="str">
        <f t="array" ref="G121">IFERROR(VLOOKUP(E121,Avaluacio[],COLUMN(Avaluacio[Família]),FALSE),"")</f>
        <v>Serveis i tràmits</v>
      </c>
      <c r="H121" t="str">
        <f t="array" ref="H121">IFERROR(VLOOKUP(E121,Avaluacio[],COLUMN(Avaluacio[Subfamília]),FALSE),"")</f>
        <v/>
      </c>
      <c r="I121" s="6" t="str">
        <f t="array" ref="I121">IFERROR(VLOOKUP(E121,Avaluacio[],COLUMN(Avaluacio[Contingut]),FALSE),"")</f>
        <v>Sí</v>
      </c>
      <c r="J121" s="6" t="str">
        <f t="array" ref="J121">IFERROR(VLOOKUP(E121,Avaluacio[],COLUMN(Avaluacio[Actualització]),FALSE),"")</f>
        <v>Sí</v>
      </c>
      <c r="K121" s="6" t="str">
        <f t="array" ref="K121">IFERROR(VLOOKUP(E121,Avaluacio[],COLUMN(#REF!),FALSE),"")</f>
        <v/>
      </c>
      <c r="L121" t="str">
        <f t="array" ref="L121">IFERROR(VLOOKUP(E121,Avaluacio[],COLUMN(Avaluacio[Grau de compliment]),FALSE),"")</f>
        <v>Compleix totalment</v>
      </c>
      <c r="M121" s="8">
        <f t="array" ref="M121">IFERROR(VLOOKUP(E121,Avaluacio[],COLUMN(Avaluacio[% compliment]),FALSE),"")</f>
        <v>1</v>
      </c>
    </row>
    <row r="122" spans="1:13" ht="27.6" x14ac:dyDescent="0.25">
      <c r="A122" t="str">
        <f t="array" ref="A122">IFERROR(IF(VLOOKUP($E122,Avaluacio[],COLUMN(Avaluacio[Codi ítem]),FALSE)=$E122,'1_Plantejament'!$B$5,""),"")</f>
        <v>Ajuntament de Blanes</v>
      </c>
      <c r="B122">
        <f t="array" ref="B122">IFERROR(IF(VLOOKUP($E122,Avaluacio[],COLUMN(Avaluacio[Codi ítem]),FALSE)=$E122,'1_Plantejament'!$B$9,""),"")</f>
        <v>2026</v>
      </c>
      <c r="C122">
        <f t="array" ref="C122">IFERROR(IF(VLOOKUP($E122,Avaluacio[],COLUMN(Avaluacio[Codi ítem]),FALSE)=$E122,'1_Plantejament'!$B$10,""),"")</f>
        <v>46206</v>
      </c>
      <c r="D122" s="6" t="str">
        <f t="array" ref="D122">IFERROR(IF(VLOOKUP($E122,Avaluacio[],COLUMN(Avaluacio[Codi ítem]),FALSE)=$E122,'1_Plantejament'!$B$7,""),"")</f>
        <v>Fase 5</v>
      </c>
      <c r="E122" s="6" t="str">
        <f t="array" ref="E122">IFERROR(INDEX(Avaluacio[Codi ítem],(MATCH(0,INDEX(COUNTIF(E$1:E121,Avaluacio[Codi ítem]),0,0)+INDEX(Avaluacio[Avaluable]="No",0,0),0))),"")</f>
        <v>XGO122</v>
      </c>
      <c r="F122" s="45" t="str">
        <f t="array" ref="F122">IFERROR(VLOOKUP(E122,Avaluacio[],COLUMN(Avaluacio[Ítem]),FALSE),"")</f>
        <v>Avaluacions de les polítiques públiques</v>
      </c>
      <c r="G122" t="str">
        <f t="array" ref="G122">IFERROR(VLOOKUP(E122,Avaluacio[],COLUMN(Avaluacio[Família]),FALSE),"")</f>
        <v>Serveis i tràmits</v>
      </c>
      <c r="H122" t="str">
        <f t="array" ref="H122">IFERROR(VLOOKUP(E122,Avaluacio[],COLUMN(Avaluacio[Subfamília]),FALSE),"")</f>
        <v/>
      </c>
      <c r="I122" s="6" t="str">
        <f t="array" ref="I122">IFERROR(VLOOKUP(E122,Avaluacio[],COLUMN(Avaluacio[Contingut]),FALSE),"")</f>
        <v>No</v>
      </c>
      <c r="J122" s="6" t="str">
        <f t="array" ref="J122">IFERROR(VLOOKUP(E122,Avaluacio[],COLUMN(Avaluacio[Actualització]),FALSE),"")</f>
        <v>No</v>
      </c>
      <c r="K122" s="6" t="str">
        <f t="array" ref="K122">IFERROR(VLOOKUP(E122,Avaluacio[],COLUMN(#REF!),FALSE),"")</f>
        <v/>
      </c>
      <c r="L122" t="str">
        <f t="array" ref="L122">IFERROR(VLOOKUP(E122,Avaluacio[],COLUMN(Avaluacio[Grau de compliment]),FALSE),"")</f>
        <v>No compleix</v>
      </c>
      <c r="M122" s="8">
        <f t="array" ref="M122">IFERROR(VLOOKUP(E122,Avaluacio[],COLUMN(Avaluacio[% compliment]),FALSE),"")</f>
        <v>0</v>
      </c>
    </row>
    <row r="123" spans="1:13" ht="27.6" x14ac:dyDescent="0.25">
      <c r="A123" t="str">
        <f t="array" ref="A123">IFERROR(IF(VLOOKUP($E123,Avaluacio[],COLUMN(Avaluacio[Codi ítem]),FALSE)=$E123,'1_Plantejament'!$B$5,""),"")</f>
        <v>Ajuntament de Blanes</v>
      </c>
      <c r="B123">
        <f t="array" ref="B123">IFERROR(IF(VLOOKUP($E123,Avaluacio[],COLUMN(Avaluacio[Codi ítem]),FALSE)=$E123,'1_Plantejament'!$B$9,""),"")</f>
        <v>2026</v>
      </c>
      <c r="C123">
        <f t="array" ref="C123">IFERROR(IF(VLOOKUP($E123,Avaluacio[],COLUMN(Avaluacio[Codi ítem]),FALSE)=$E123,'1_Plantejament'!$B$10,""),"")</f>
        <v>46206</v>
      </c>
      <c r="D123" s="6" t="str">
        <f t="array" ref="D123">IFERROR(IF(VLOOKUP($E123,Avaluacio[],COLUMN(Avaluacio[Codi ítem]),FALSE)=$E123,'1_Plantejament'!$B$7,""),"")</f>
        <v>Fase 5</v>
      </c>
      <c r="E123" s="6" t="str">
        <f t="array" ref="E123">IFERROR(INDEX(Avaluacio[Codi ítem],(MATCH(0,INDEX(COUNTIF(E$1:E122,Avaluacio[Codi ítem]),0,0)+INDEX(Avaluacio[Avaluable]="No",0,0),0))),"")</f>
        <v>XGO123</v>
      </c>
      <c r="F123" s="45" t="str">
        <f t="array" ref="F123">IFERROR(VLOOKUP(E123,Avaluacio[],COLUMN(Avaluacio[Ítem]),FALSE),"")</f>
        <v>Avaluacions de qualitat dels serveis públics</v>
      </c>
      <c r="G123" t="str">
        <f t="array" ref="G123">IFERROR(VLOOKUP(E123,Avaluacio[],COLUMN(Avaluacio[Família]),FALSE),"")</f>
        <v>Serveis i tràmits</v>
      </c>
      <c r="H123" t="str">
        <f t="array" ref="H123">IFERROR(VLOOKUP(E123,Avaluacio[],COLUMN(Avaluacio[Subfamília]),FALSE),"")</f>
        <v/>
      </c>
      <c r="I123" s="6" t="str">
        <f t="array" ref="I123">IFERROR(VLOOKUP(E123,Avaluacio[],COLUMN(Avaluacio[Contingut]),FALSE),"")</f>
        <v>Sí</v>
      </c>
      <c r="J123" s="6" t="str">
        <f t="array" ref="J123">IFERROR(VLOOKUP(E123,Avaluacio[],COLUMN(Avaluacio[Actualització]),FALSE),"")</f>
        <v>No</v>
      </c>
      <c r="K123" s="6" t="str">
        <f t="array" ref="K123">IFERROR(VLOOKUP(E123,Avaluacio[],COLUMN(#REF!),FALSE),"")</f>
        <v/>
      </c>
      <c r="L123" t="str">
        <f t="array" ref="L123">IFERROR(VLOOKUP(E123,Avaluacio[],COLUMN(Avaluacio[Grau de compliment]),FALSE),"")</f>
        <v>Compleix parcialment</v>
      </c>
      <c r="M123" s="8">
        <f t="array" ref="M123">IFERROR(VLOOKUP(E123,Avaluacio[],COLUMN(Avaluacio[% compliment]),FALSE),"")</f>
        <v>0.5</v>
      </c>
    </row>
    <row r="124" spans="1:13" ht="27.6" x14ac:dyDescent="0.25">
      <c r="A124" t="str">
        <f t="array" ref="A124">IFERROR(IF(VLOOKUP($E124,Avaluacio[],COLUMN(Avaluacio[Codi ítem]),FALSE)=$E124,'1_Plantejament'!$B$5,""),"")</f>
        <v>Ajuntament de Blanes</v>
      </c>
      <c r="B124">
        <f t="array" ref="B124">IFERROR(IF(VLOOKUP($E124,Avaluacio[],COLUMN(Avaluacio[Codi ítem]),FALSE)=$E124,'1_Plantejament'!$B$9,""),"")</f>
        <v>2026</v>
      </c>
      <c r="C124">
        <f t="array" ref="C124">IFERROR(IF(VLOOKUP($E124,Avaluacio[],COLUMN(Avaluacio[Codi ítem]),FALSE)=$E124,'1_Plantejament'!$B$10,""),"")</f>
        <v>46206</v>
      </c>
      <c r="D124" s="6" t="str">
        <f t="array" ref="D124">IFERROR(IF(VLOOKUP($E124,Avaluacio[],COLUMN(Avaluacio[Codi ítem]),FALSE)=$E124,'1_Plantejament'!$B$7,""),"")</f>
        <v>Fase 5</v>
      </c>
      <c r="E124" s="6" t="str">
        <f t="array" ref="E124">IFERROR(INDEX(Avaluacio[Codi ítem],(MATCH(0,INDEX(COUNTIF(E$1:E123,Avaluacio[Codi ítem]),0,0)+INDEX(Avaluacio[Avaluable]="No",0,0),0))),"")</f>
        <v>XGO124</v>
      </c>
      <c r="F124" s="45" t="str">
        <f t="array" ref="F124">IFERROR(VLOOKUP(E124,Avaluacio[],COLUMN(Avaluacio[Ítem]),FALSE),"")</f>
        <v>Indicadors de transparència</v>
      </c>
      <c r="G124" t="str">
        <f t="array" ref="G124">IFERROR(VLOOKUP(E124,Avaluacio[],COLUMN(Avaluacio[Família]),FALSE),"")</f>
        <v>Serveis i tràmits</v>
      </c>
      <c r="H124" t="str">
        <f t="array" ref="H124">IFERROR(VLOOKUP(E124,Avaluacio[],COLUMN(Avaluacio[Subfamília]),FALSE),"")</f>
        <v/>
      </c>
      <c r="I124" s="6" t="str">
        <f t="array" ref="I124">IFERROR(VLOOKUP(E124,Avaluacio[],COLUMN(Avaluacio[Contingut]),FALSE),"")</f>
        <v>Sí</v>
      </c>
      <c r="J124" s="6" t="str">
        <f t="array" ref="J124">IFERROR(VLOOKUP(E124,Avaluacio[],COLUMN(Avaluacio[Actualització]),FALSE),"")</f>
        <v>Sí</v>
      </c>
      <c r="K124" s="6" t="str">
        <f t="array" ref="K124">IFERROR(VLOOKUP(E124,Avaluacio[],COLUMN(#REF!),FALSE),"")</f>
        <v/>
      </c>
      <c r="L124" t="str">
        <f t="array" ref="L124">IFERROR(VLOOKUP(E124,Avaluacio[],COLUMN(Avaluacio[Grau de compliment]),FALSE),"")</f>
        <v>Compleix totalment</v>
      </c>
      <c r="M124" s="8">
        <f t="array" ref="M124">IFERROR(VLOOKUP(E124,Avaluacio[],COLUMN(Avaluacio[% compliment]),FALSE),"")</f>
        <v>1</v>
      </c>
    </row>
    <row r="125" spans="1:13" ht="27.6" x14ac:dyDescent="0.25">
      <c r="A125" t="str">
        <f t="array" ref="A125">IFERROR(IF(VLOOKUP($E125,Avaluacio[],COLUMN(Avaluacio[Codi ítem]),FALSE)=$E125,'1_Plantejament'!$B$5,""),"")</f>
        <v>Ajuntament de Blanes</v>
      </c>
      <c r="B125">
        <f t="array" ref="B125">IFERROR(IF(VLOOKUP($E125,Avaluacio[],COLUMN(Avaluacio[Codi ítem]),FALSE)=$E125,'1_Plantejament'!$B$9,""),"")</f>
        <v>2026</v>
      </c>
      <c r="C125">
        <f t="array" ref="C125">IFERROR(IF(VLOOKUP($E125,Avaluacio[],COLUMN(Avaluacio[Codi ítem]),FALSE)=$E125,'1_Plantejament'!$B$10,""),"")</f>
        <v>46206</v>
      </c>
      <c r="D125" s="6" t="str">
        <f t="array" ref="D125">IFERROR(IF(VLOOKUP($E125,Avaluacio[],COLUMN(Avaluacio[Codi ítem]),FALSE)=$E125,'1_Plantejament'!$B$7,""),"")</f>
        <v>Fase 5</v>
      </c>
      <c r="E125" s="6" t="str">
        <f t="array" ref="E125">IFERROR(INDEX(Avaluacio[Codi ítem],(MATCH(0,INDEX(COUNTIF(E$1:E124,Avaluacio[Codi ítem]),0,0)+INDEX(Avaluacio[Avaluable]="No",0,0),0))),"")</f>
        <v>XGO125</v>
      </c>
      <c r="F125" s="45" t="str">
        <f t="array" ref="F125">IFERROR(VLOOKUP(E125,Avaluacio[],COLUMN(Avaluacio[Ítem]),FALSE),"")</f>
        <v>Atenció ciutadana</v>
      </c>
      <c r="G125" t="str">
        <f t="array" ref="G125">IFERROR(VLOOKUP(E125,Avaluacio[],COLUMN(Avaluacio[Família]),FALSE),"")</f>
        <v>Serveis i tràmits</v>
      </c>
      <c r="H125" t="str">
        <f t="array" ref="H125">IFERROR(VLOOKUP(E125,Avaluacio[],COLUMN(Avaluacio[Subfamília]),FALSE),"")</f>
        <v/>
      </c>
      <c r="I125" s="6" t="str">
        <f t="array" ref="I125">IFERROR(VLOOKUP(E125,Avaluacio[],COLUMN(Avaluacio[Contingut]),FALSE),"")</f>
        <v>Sí</v>
      </c>
      <c r="J125" s="6" t="str">
        <f t="array" ref="J125">IFERROR(VLOOKUP(E125,Avaluacio[],COLUMN(Avaluacio[Actualització]),FALSE),"")</f>
        <v>Sí</v>
      </c>
      <c r="K125" s="6" t="str">
        <f t="array" ref="K125">IFERROR(VLOOKUP(E125,Avaluacio[],COLUMN(#REF!),FALSE),"")</f>
        <v/>
      </c>
      <c r="L125" t="str">
        <f t="array" ref="L125">IFERROR(VLOOKUP(E125,Avaluacio[],COLUMN(Avaluacio[Grau de compliment]),FALSE),"")</f>
        <v>Compleix totalment</v>
      </c>
      <c r="M125" s="8">
        <f t="array" ref="M125">IFERROR(VLOOKUP(E125,Avaluacio[],COLUMN(Avaluacio[% compliment]),FALSE),"")</f>
        <v>1</v>
      </c>
    </row>
    <row r="126" spans="1:13" ht="27.6" x14ac:dyDescent="0.25">
      <c r="A126" t="str">
        <f t="array" ref="A126">IFERROR(IF(VLOOKUP($E126,Avaluacio[],COLUMN(Avaluacio[Codi ítem]),FALSE)=$E126,'1_Plantejament'!$B$5,""),"")</f>
        <v>Ajuntament de Blanes</v>
      </c>
      <c r="B126">
        <f t="array" ref="B126">IFERROR(IF(VLOOKUP($E126,Avaluacio[],COLUMN(Avaluacio[Codi ítem]),FALSE)=$E126,'1_Plantejament'!$B$9,""),"")</f>
        <v>2026</v>
      </c>
      <c r="C126">
        <f t="array" ref="C126">IFERROR(IF(VLOOKUP($E126,Avaluacio[],COLUMN(Avaluacio[Codi ítem]),FALSE)=$E126,'1_Plantejament'!$B$10,""),"")</f>
        <v>46206</v>
      </c>
      <c r="D126" s="6" t="str">
        <f t="array" ref="D126">IFERROR(IF(VLOOKUP($E126,Avaluacio[],COLUMN(Avaluacio[Codi ítem]),FALSE)=$E126,'1_Plantejament'!$B$7,""),"")</f>
        <v>Fase 5</v>
      </c>
      <c r="E126" s="6" t="str">
        <f t="array" ref="E126">IFERROR(INDEX(Avaluacio[Codi ítem],(MATCH(0,INDEX(COUNTIF(E$1:E125,Avaluacio[Codi ítem]),0,0)+INDEX(Avaluacio[Avaluable]="No",0,0),0))),"")</f>
        <v>XGO126</v>
      </c>
      <c r="F126" s="45" t="str">
        <f t="array" ref="F126">IFERROR(VLOOKUP(E126,Avaluacio[],COLUMN(Avaluacio[Ítem]),FALSE),"")</f>
        <v>Calendari dies inhàbils</v>
      </c>
      <c r="G126" t="str">
        <f t="array" ref="G126">IFERROR(VLOOKUP(E126,Avaluacio[],COLUMN(Avaluacio[Família]),FALSE),"")</f>
        <v>Serveis i tràmits</v>
      </c>
      <c r="H126" t="str">
        <f t="array" ref="H126">IFERROR(VLOOKUP(E126,Avaluacio[],COLUMN(Avaluacio[Subfamília]),FALSE),"")</f>
        <v/>
      </c>
      <c r="I126" s="6" t="str">
        <f t="array" ref="I126">IFERROR(VLOOKUP(E126,Avaluacio[],COLUMN(Avaluacio[Contingut]),FALSE),"")</f>
        <v>Sí</v>
      </c>
      <c r="J126" s="6" t="str">
        <f t="array" ref="J126">IFERROR(VLOOKUP(E126,Avaluacio[],COLUMN(Avaluacio[Actualització]),FALSE),"")</f>
        <v>Sí</v>
      </c>
      <c r="K126" s="6" t="str">
        <f t="array" ref="K126">IFERROR(VLOOKUP(E126,Avaluacio[],COLUMN(#REF!),FALSE),"")</f>
        <v/>
      </c>
      <c r="L126" t="str">
        <f t="array" ref="L126">IFERROR(VLOOKUP(E126,Avaluacio[],COLUMN(Avaluacio[Grau de compliment]),FALSE),"")</f>
        <v>Compleix totalment</v>
      </c>
      <c r="M126" s="8">
        <f t="array" ref="M126">IFERROR(VLOOKUP(E126,Avaluacio[],COLUMN(Avaluacio[% compliment]),FALSE),"")</f>
        <v>1</v>
      </c>
    </row>
    <row r="127" spans="1:13" ht="27.6" x14ac:dyDescent="0.25">
      <c r="A127" t="str">
        <f t="array" ref="A127">IFERROR(IF(VLOOKUP($E127,Avaluacio[],COLUMN(Avaluacio[Codi ítem]),FALSE)=$E127,'1_Plantejament'!$B$5,""),"")</f>
        <v>Ajuntament de Blanes</v>
      </c>
      <c r="B127">
        <f t="array" ref="B127">IFERROR(IF(VLOOKUP($E127,Avaluacio[],COLUMN(Avaluacio[Codi ítem]),FALSE)=$E127,'1_Plantejament'!$B$9,""),"")</f>
        <v>2026</v>
      </c>
      <c r="C127">
        <f t="array" ref="C127">IFERROR(IF(VLOOKUP($E127,Avaluacio[],COLUMN(Avaluacio[Codi ítem]),FALSE)=$E127,'1_Plantejament'!$B$10,""),"")</f>
        <v>46206</v>
      </c>
      <c r="D127" s="6" t="str">
        <f t="array" ref="D127">IFERROR(IF(VLOOKUP($E127,Avaluacio[],COLUMN(Avaluacio[Codi ítem]),FALSE)=$E127,'1_Plantejament'!$B$7,""),"")</f>
        <v>Fase 5</v>
      </c>
      <c r="E127" s="6" t="str">
        <f t="array" ref="E127">IFERROR(INDEX(Avaluacio[Codi ítem],(MATCH(0,INDEX(COUNTIF(E$1:E126,Avaluacio[Codi ítem]),0,0)+INDEX(Avaluacio[Avaluable]="No",0,0),0))),"")</f>
        <v>XGO127</v>
      </c>
      <c r="F127" s="45" t="str">
        <f t="array" ref="F127">IFERROR(VLOOKUP(E127,Avaluacio[],COLUMN(Avaluacio[Ítem]),FALSE),"")</f>
        <v>Catàleg i cartes de serveis</v>
      </c>
      <c r="G127" t="str">
        <f t="array" ref="G127">IFERROR(VLOOKUP(E127,Avaluacio[],COLUMN(Avaluacio[Família]),FALSE),"")</f>
        <v>Serveis i tràmits</v>
      </c>
      <c r="H127" t="str">
        <f t="array" ref="H127">IFERROR(VLOOKUP(E127,Avaluacio[],COLUMN(Avaluacio[Subfamília]),FALSE),"")</f>
        <v/>
      </c>
      <c r="I127" s="6" t="str">
        <f t="array" ref="I127">IFERROR(VLOOKUP(E127,Avaluacio[],COLUMN(Avaluacio[Contingut]),FALSE),"")</f>
        <v>Sí</v>
      </c>
      <c r="J127" s="6" t="str">
        <f t="array" ref="J127">IFERROR(VLOOKUP(E127,Avaluacio[],COLUMN(Avaluacio[Actualització]),FALSE),"")</f>
        <v>Sí</v>
      </c>
      <c r="K127" s="6" t="str">
        <f t="array" ref="K127">IFERROR(VLOOKUP(E127,Avaluacio[],COLUMN(#REF!),FALSE),"")</f>
        <v/>
      </c>
      <c r="L127" t="str">
        <f t="array" ref="L127">IFERROR(VLOOKUP(E127,Avaluacio[],COLUMN(Avaluacio[Grau de compliment]),FALSE),"")</f>
        <v>Compleix totalment</v>
      </c>
      <c r="M127" s="8">
        <f t="array" ref="M127">IFERROR(VLOOKUP(E127,Avaluacio[],COLUMN(Avaluacio[% compliment]),FALSE),"")</f>
        <v>1</v>
      </c>
    </row>
    <row r="128" spans="1:13" x14ac:dyDescent="0.25">
      <c r="A128" t="str">
        <f t="array" ref="A128">IFERROR(IF(VLOOKUP($E128,Avaluacio[],COLUMN(Avaluacio[Codi ítem]),FALSE)=$E128,'1_Plantejament'!$B$5,""),"")</f>
        <v>Ajuntament de Blanes</v>
      </c>
      <c r="B128">
        <f t="array" ref="B128">IFERROR(IF(VLOOKUP($E128,Avaluacio[],COLUMN(Avaluacio[Codi ítem]),FALSE)=$E128,'1_Plantejament'!$B$9,""),"")</f>
        <v>2026</v>
      </c>
      <c r="C128">
        <f t="array" ref="C128">IFERROR(IF(VLOOKUP($E128,Avaluacio[],COLUMN(Avaluacio[Codi ítem]),FALSE)=$E128,'1_Plantejament'!$B$10,""),"")</f>
        <v>46206</v>
      </c>
      <c r="D128" s="6" t="str">
        <f t="array" ref="D128">IFERROR(IF(VLOOKUP($E128,Avaluacio[],COLUMN(Avaluacio[Codi ítem]),FALSE)=$E128,'1_Plantejament'!$B$7,""),"")</f>
        <v>Fase 5</v>
      </c>
      <c r="E128" s="6" t="str">
        <f t="array" ref="E128">IFERROR(INDEX(Avaluacio[Codi ítem],(MATCH(0,INDEX(COUNTIF(E$1:E127,Avaluacio[Codi ítem]),0,0)+INDEX(Avaluacio[Avaluable]="No",0,0),0))),"")</f>
        <v>XGO128</v>
      </c>
      <c r="F128" s="45" t="str">
        <f t="array" ref="F128">IFERROR(VLOOKUP(E128,Avaluacio[],COLUMN(Avaluacio[Ítem]),FALSE),"")</f>
        <v>Equipaments municipals</v>
      </c>
      <c r="G128" t="str">
        <f t="array" ref="G128">IFERROR(VLOOKUP(E128,Avaluacio[],COLUMN(Avaluacio[Família]),FALSE),"")</f>
        <v>Serveis i tràmits</v>
      </c>
      <c r="H128" t="str">
        <f t="array" ref="H128">IFERROR(VLOOKUP(E128,Avaluacio[],COLUMN(Avaluacio[Subfamília]),FALSE),"")</f>
        <v/>
      </c>
      <c r="I128" s="6" t="str">
        <f t="array" ref="I128">IFERROR(VLOOKUP(E128,Avaluacio[],COLUMN(Avaluacio[Contingut]),FALSE),"")</f>
        <v>No</v>
      </c>
      <c r="J128" s="6" t="str">
        <f t="array" ref="J128">IFERROR(VLOOKUP(E128,Avaluacio[],COLUMN(Avaluacio[Actualització]),FALSE),"")</f>
        <v>No</v>
      </c>
      <c r="K128" s="6" t="str">
        <f t="array" ref="K128">IFERROR(VLOOKUP(E128,Avaluacio[],COLUMN(#REF!),FALSE),"")</f>
        <v/>
      </c>
      <c r="L128" t="str">
        <f t="array" ref="L128">IFERROR(VLOOKUP(E128,Avaluacio[],COLUMN(Avaluacio[Grau de compliment]),FALSE),"")</f>
        <v>No compleix</v>
      </c>
      <c r="M128" s="8">
        <f t="array" ref="M128">IFERROR(VLOOKUP(E128,Avaluacio[],COLUMN(Avaluacio[% compliment]),FALSE),"")</f>
        <v>0</v>
      </c>
    </row>
    <row r="129" spans="1:13" ht="27.6" x14ac:dyDescent="0.25">
      <c r="A129" t="str">
        <f t="array" ref="A129">IFERROR(IF(VLOOKUP($E129,Avaluacio[],COLUMN(Avaluacio[Codi ítem]),FALSE)=$E129,'1_Plantejament'!$B$5,""),"")</f>
        <v>Ajuntament de Blanes</v>
      </c>
      <c r="B129">
        <f t="array" ref="B129">IFERROR(IF(VLOOKUP($E129,Avaluacio[],COLUMN(Avaluacio[Codi ítem]),FALSE)=$E129,'1_Plantejament'!$B$9,""),"")</f>
        <v>2026</v>
      </c>
      <c r="C129">
        <f t="array" ref="C129">IFERROR(IF(VLOOKUP($E129,Avaluacio[],COLUMN(Avaluacio[Codi ítem]),FALSE)=$E129,'1_Plantejament'!$B$10,""),"")</f>
        <v>46206</v>
      </c>
      <c r="D129" s="6" t="str">
        <f t="array" ref="D129">IFERROR(IF(VLOOKUP($E129,Avaluacio[],COLUMN(Avaluacio[Codi ítem]),FALSE)=$E129,'1_Plantejament'!$B$7,""),"")</f>
        <v>Fase 5</v>
      </c>
      <c r="E129" s="6" t="str">
        <f t="array" ref="E129">IFERROR(INDEX(Avaluacio[Codi ítem],(MATCH(0,INDEX(COUNTIF(E$1:E128,Avaluacio[Codi ítem]),0,0)+INDEX(Avaluacio[Avaluable]="No",0,0),0))),"")</f>
        <v>XGO129</v>
      </c>
      <c r="F129" s="45" t="str">
        <f t="array" ref="F129">IFERROR(VLOOKUP(E129,Avaluacio[],COLUMN(Avaluacio[Ítem]),FALSE),"")</f>
        <v>Instància genèrica</v>
      </c>
      <c r="G129" t="str">
        <f t="array" ref="G129">IFERROR(VLOOKUP(E129,Avaluacio[],COLUMN(Avaluacio[Família]),FALSE),"")</f>
        <v>Serveis i tràmits</v>
      </c>
      <c r="H129" t="str">
        <f t="array" ref="H129">IFERROR(VLOOKUP(E129,Avaluacio[],COLUMN(Avaluacio[Subfamília]),FALSE),"")</f>
        <v/>
      </c>
      <c r="I129" s="6" t="str">
        <f t="array" ref="I129">IFERROR(VLOOKUP(E129,Avaluacio[],COLUMN(Avaluacio[Contingut]),FALSE),"")</f>
        <v>Sí</v>
      </c>
      <c r="J129" s="6" t="str">
        <f t="array" ref="J129">IFERROR(VLOOKUP(E129,Avaluacio[],COLUMN(Avaluacio[Actualització]),FALSE),"")</f>
        <v>Sí</v>
      </c>
      <c r="K129" s="6" t="str">
        <f t="array" ref="K129">IFERROR(VLOOKUP(E129,Avaluacio[],COLUMN(#REF!),FALSE),"")</f>
        <v/>
      </c>
      <c r="L129" t="str">
        <f t="array" ref="L129">IFERROR(VLOOKUP(E129,Avaluacio[],COLUMN(Avaluacio[Grau de compliment]),FALSE),"")</f>
        <v>Compleix totalment</v>
      </c>
      <c r="M129" s="8">
        <f t="array" ref="M129">IFERROR(VLOOKUP(E129,Avaluacio[],COLUMN(Avaluacio[% compliment]),FALSE),"")</f>
        <v>1</v>
      </c>
    </row>
    <row r="130" spans="1:13" ht="27.6" x14ac:dyDescent="0.25">
      <c r="A130" t="str">
        <f t="array" ref="A130">IFERROR(IF(VLOOKUP($E130,Avaluacio[],COLUMN(Avaluacio[Codi ítem]),FALSE)=$E130,'1_Plantejament'!$B$5,""),"")</f>
        <v>Ajuntament de Blanes</v>
      </c>
      <c r="B130">
        <f t="array" ref="B130">IFERROR(IF(VLOOKUP($E130,Avaluacio[],COLUMN(Avaluacio[Codi ítem]),FALSE)=$E130,'1_Plantejament'!$B$9,""),"")</f>
        <v>2026</v>
      </c>
      <c r="C130">
        <f t="array" ref="C130">IFERROR(IF(VLOOKUP($E130,Avaluacio[],COLUMN(Avaluacio[Codi ítem]),FALSE)=$E130,'1_Plantejament'!$B$10,""),"")</f>
        <v>46206</v>
      </c>
      <c r="D130" s="6" t="str">
        <f t="array" ref="D130">IFERROR(IF(VLOOKUP($E130,Avaluacio[],COLUMN(Avaluacio[Codi ítem]),FALSE)=$E130,'1_Plantejament'!$B$7,""),"")</f>
        <v>Fase 5</v>
      </c>
      <c r="E130" s="6" t="str">
        <f t="array" ref="E130">IFERROR(INDEX(Avaluacio[Codi ítem],(MATCH(0,INDEX(COUNTIF(E$1:E129,Avaluacio[Codi ítem]),0,0)+INDEX(Avaluacio[Avaluable]="No",0,0),0))),"")</f>
        <v>XGO130</v>
      </c>
      <c r="F130" s="45" t="str">
        <f t="array" ref="F130">IFERROR(VLOOKUP(E130,Avaluacio[],COLUMN(Avaluacio[Ítem]),FALSE),"")</f>
        <v>Gestió tributària</v>
      </c>
      <c r="G130" t="str">
        <f t="array" ref="G130">IFERROR(VLOOKUP(E130,Avaluacio[],COLUMN(Avaluacio[Família]),FALSE),"")</f>
        <v>Serveis i tràmits</v>
      </c>
      <c r="H130" t="str">
        <f t="array" ref="H130">IFERROR(VLOOKUP(E130,Avaluacio[],COLUMN(Avaluacio[Subfamília]),FALSE),"")</f>
        <v/>
      </c>
      <c r="I130" s="6" t="str">
        <f t="array" ref="I130">IFERROR(VLOOKUP(E130,Avaluacio[],COLUMN(Avaluacio[Contingut]),FALSE),"")</f>
        <v>Sí</v>
      </c>
      <c r="J130" s="6" t="str">
        <f t="array" ref="J130">IFERROR(VLOOKUP(E130,Avaluacio[],COLUMN(Avaluacio[Actualització]),FALSE),"")</f>
        <v>Sí</v>
      </c>
      <c r="K130" s="6" t="str">
        <f t="array" ref="K130">IFERROR(VLOOKUP(E130,Avaluacio[],COLUMN(#REF!),FALSE),"")</f>
        <v/>
      </c>
      <c r="L130" t="str">
        <f t="array" ref="L130">IFERROR(VLOOKUP(E130,Avaluacio[],COLUMN(Avaluacio[Grau de compliment]),FALSE),"")</f>
        <v>Compleix totalment</v>
      </c>
      <c r="M130" s="8">
        <f t="array" ref="M130">IFERROR(VLOOKUP(E130,Avaluacio[],COLUMN(Avaluacio[% compliment]),FALSE),"")</f>
        <v>1</v>
      </c>
    </row>
    <row r="131" spans="1:13" ht="27.6" x14ac:dyDescent="0.25">
      <c r="A131" t="str">
        <f t="array" ref="A131">IFERROR(IF(VLOOKUP($E131,Avaluacio[],COLUMN(Avaluacio[Codi ítem]),FALSE)=$E131,'1_Plantejament'!$B$5,""),"")</f>
        <v>Ajuntament de Blanes</v>
      </c>
      <c r="B131">
        <f t="array" ref="B131">IFERROR(IF(VLOOKUP($E131,Avaluacio[],COLUMN(Avaluacio[Codi ítem]),FALSE)=$E131,'1_Plantejament'!$B$9,""),"")</f>
        <v>2026</v>
      </c>
      <c r="C131">
        <f t="array" ref="C131">IFERROR(IF(VLOOKUP($E131,Avaluacio[],COLUMN(Avaluacio[Codi ítem]),FALSE)=$E131,'1_Plantejament'!$B$10,""),"")</f>
        <v>46206</v>
      </c>
      <c r="D131" s="6" t="str">
        <f t="array" ref="D131">IFERROR(IF(VLOOKUP($E131,Avaluacio[],COLUMN(Avaluacio[Codi ítem]),FALSE)=$E131,'1_Plantejament'!$B$7,""),"")</f>
        <v>Fase 5</v>
      </c>
      <c r="E131" s="6" t="str">
        <f t="array" ref="E131">IFERROR(INDEX(Avaluacio[Codi ítem],(MATCH(0,INDEX(COUNTIF(E$1:E130,Avaluacio[Codi ítem]),0,0)+INDEX(Avaluacio[Avaluable]="No",0,0),0))),"")</f>
        <v>XGO131</v>
      </c>
      <c r="F131" s="45" t="str">
        <f t="array" ref="F131">IFERROR(VLOOKUP(E131,Avaluacio[],COLUMN(Avaluacio[Ítem]),FALSE),"")</f>
        <v>Notificacions electròniques</v>
      </c>
      <c r="G131" t="str">
        <f t="array" ref="G131">IFERROR(VLOOKUP(E131,Avaluacio[],COLUMN(Avaluacio[Família]),FALSE),"")</f>
        <v>Serveis i tràmits</v>
      </c>
      <c r="H131" t="str">
        <f t="array" ref="H131">IFERROR(VLOOKUP(E131,Avaluacio[],COLUMN(Avaluacio[Subfamília]),FALSE),"")</f>
        <v/>
      </c>
      <c r="I131" s="6" t="str">
        <f t="array" ref="I131">IFERROR(VLOOKUP(E131,Avaluacio[],COLUMN(Avaluacio[Contingut]),FALSE),"")</f>
        <v>Sí</v>
      </c>
      <c r="J131" s="6" t="str">
        <f t="array" ref="J131">IFERROR(VLOOKUP(E131,Avaluacio[],COLUMN(Avaluacio[Actualització]),FALSE),"")</f>
        <v>Sí</v>
      </c>
      <c r="K131" s="6" t="str">
        <f t="array" ref="K131">IFERROR(VLOOKUP(E131,Avaluacio[],COLUMN(#REF!),FALSE),"")</f>
        <v/>
      </c>
      <c r="L131" t="str">
        <f t="array" ref="L131">IFERROR(VLOOKUP(E131,Avaluacio[],COLUMN(Avaluacio[Grau de compliment]),FALSE),"")</f>
        <v>Compleix totalment</v>
      </c>
      <c r="M131" s="8">
        <f t="array" ref="M131">IFERROR(VLOOKUP(E131,Avaluacio[],COLUMN(Avaluacio[% compliment]),FALSE),"")</f>
        <v>1</v>
      </c>
    </row>
    <row r="132" spans="1:13" ht="27.6" x14ac:dyDescent="0.25">
      <c r="A132" t="str">
        <f t="array" ref="A132">IFERROR(IF(VLOOKUP($E132,Avaluacio[],COLUMN(Avaluacio[Codi ítem]),FALSE)=$E132,'1_Plantejament'!$B$5,""),"")</f>
        <v>Ajuntament de Blanes</v>
      </c>
      <c r="B132">
        <f t="array" ref="B132">IFERROR(IF(VLOOKUP($E132,Avaluacio[],COLUMN(Avaluacio[Codi ítem]),FALSE)=$E132,'1_Plantejament'!$B$9,""),"")</f>
        <v>2026</v>
      </c>
      <c r="C132">
        <f t="array" ref="C132">IFERROR(IF(VLOOKUP($E132,Avaluacio[],COLUMN(Avaluacio[Codi ítem]),FALSE)=$E132,'1_Plantejament'!$B$10,""),"")</f>
        <v>46206</v>
      </c>
      <c r="D132" s="6" t="str">
        <f t="array" ref="D132">IFERROR(IF(VLOOKUP($E132,Avaluacio[],COLUMN(Avaluacio[Codi ítem]),FALSE)=$E132,'1_Plantejament'!$B$7,""),"")</f>
        <v>Fase 5</v>
      </c>
      <c r="E132" s="6" t="str">
        <f t="array" ref="E132">IFERROR(INDEX(Avaluacio[Codi ítem],(MATCH(0,INDEX(COUNTIF(E$1:E131,Avaluacio[Codi ítem]),0,0)+INDEX(Avaluacio[Avaluable]="No",0,0),0))),"")</f>
        <v>XGO132</v>
      </c>
      <c r="F132" s="45" t="str">
        <f t="array" ref="F132">IFERROR(VLOOKUP(E132,Avaluacio[],COLUMN(Avaluacio[Ítem]),FALSE),"")</f>
        <v>Factures electròniques</v>
      </c>
      <c r="G132" t="str">
        <f t="array" ref="G132">IFERROR(VLOOKUP(E132,Avaluacio[],COLUMN(Avaluacio[Família]),FALSE),"")</f>
        <v>Serveis i tràmits</v>
      </c>
      <c r="H132" t="str">
        <f t="array" ref="H132">IFERROR(VLOOKUP(E132,Avaluacio[],COLUMN(Avaluacio[Subfamília]),FALSE),"")</f>
        <v/>
      </c>
      <c r="I132" s="6" t="str">
        <f t="array" ref="I132">IFERROR(VLOOKUP(E132,Avaluacio[],COLUMN(Avaluacio[Contingut]),FALSE),"")</f>
        <v>Sí</v>
      </c>
      <c r="J132" s="6" t="str">
        <f t="array" ref="J132">IFERROR(VLOOKUP(E132,Avaluacio[],COLUMN(Avaluacio[Actualització]),FALSE),"")</f>
        <v>Sí</v>
      </c>
      <c r="K132" s="6" t="str">
        <f t="array" ref="K132">IFERROR(VLOOKUP(E132,Avaluacio[],COLUMN(#REF!),FALSE),"")</f>
        <v/>
      </c>
      <c r="L132" t="str">
        <f t="array" ref="L132">IFERROR(VLOOKUP(E132,Avaluacio[],COLUMN(Avaluacio[Grau de compliment]),FALSE),"")</f>
        <v>Compleix totalment</v>
      </c>
      <c r="M132" s="8">
        <f t="array" ref="M132">IFERROR(VLOOKUP(E132,Avaluacio[],COLUMN(Avaluacio[% compliment]),FALSE),"")</f>
        <v>1</v>
      </c>
    </row>
    <row r="133" spans="1:13" ht="27.6" x14ac:dyDescent="0.25">
      <c r="A133" t="str">
        <f t="array" ref="A133">IFERROR(IF(VLOOKUP($E133,Avaluacio[],COLUMN(Avaluacio[Codi ítem]),FALSE)=$E133,'1_Plantejament'!$B$5,""),"")</f>
        <v>Ajuntament de Blanes</v>
      </c>
      <c r="B133">
        <f t="array" ref="B133">IFERROR(IF(VLOOKUP($E133,Avaluacio[],COLUMN(Avaluacio[Codi ítem]),FALSE)=$E133,'1_Plantejament'!$B$9,""),"")</f>
        <v>2026</v>
      </c>
      <c r="C133">
        <f t="array" ref="C133">IFERROR(IF(VLOOKUP($E133,Avaluacio[],COLUMN(Avaluacio[Codi ítem]),FALSE)=$E133,'1_Plantejament'!$B$10,""),"")</f>
        <v>46206</v>
      </c>
      <c r="D133" s="6" t="str">
        <f t="array" ref="D133">IFERROR(IF(VLOOKUP($E133,Avaluacio[],COLUMN(Avaluacio[Codi ítem]),FALSE)=$E133,'1_Plantejament'!$B$7,""),"")</f>
        <v>Fase 5</v>
      </c>
      <c r="E133" s="6" t="str">
        <f t="array" ref="E133">IFERROR(INDEX(Avaluacio[Codi ítem],(MATCH(0,INDEX(COUNTIF(E$1:E132,Avaluacio[Codi ítem]),0,0)+INDEX(Avaluacio[Avaluable]="No",0,0),0))),"")</f>
        <v>XGO133</v>
      </c>
      <c r="F133" s="45" t="str">
        <f t="array" ref="F133">IFERROR(VLOOKUP(E133,Avaluacio[],COLUMN(Avaluacio[Ítem]),FALSE),"")</f>
        <v>Sol·licitud d'accés a la informació pública</v>
      </c>
      <c r="G133" t="str">
        <f t="array" ref="G133">IFERROR(VLOOKUP(E133,Avaluacio[],COLUMN(Avaluacio[Família]),FALSE),"")</f>
        <v>Serveis i tràmits</v>
      </c>
      <c r="H133" t="str">
        <f t="array" ref="H133">IFERROR(VLOOKUP(E133,Avaluacio[],COLUMN(Avaluacio[Subfamília]),FALSE),"")</f>
        <v/>
      </c>
      <c r="I133" s="6" t="str">
        <f t="array" ref="I133">IFERROR(VLOOKUP(E133,Avaluacio[],COLUMN(Avaluacio[Contingut]),FALSE),"")</f>
        <v>Sí</v>
      </c>
      <c r="J133" s="6" t="str">
        <f t="array" ref="J133">IFERROR(VLOOKUP(E133,Avaluacio[],COLUMN(Avaluacio[Actualització]),FALSE),"")</f>
        <v>Sí</v>
      </c>
      <c r="K133" s="6" t="str">
        <f t="array" ref="K133">IFERROR(VLOOKUP(E133,Avaluacio[],COLUMN(#REF!),FALSE),"")</f>
        <v/>
      </c>
      <c r="L133" t="str">
        <f t="array" ref="L133">IFERROR(VLOOKUP(E133,Avaluacio[],COLUMN(Avaluacio[Grau de compliment]),FALSE),"")</f>
        <v>Compleix totalment</v>
      </c>
      <c r="M133" s="8">
        <f t="array" ref="M133">IFERROR(VLOOKUP(E133,Avaluacio[],COLUMN(Avaluacio[% compliment]),FALSE),"")</f>
        <v>1</v>
      </c>
    </row>
    <row r="134" spans="1:13" ht="27.6" x14ac:dyDescent="0.25">
      <c r="A134" t="str">
        <f t="array" ref="A134">IFERROR(IF(VLOOKUP($E134,Avaluacio[],COLUMN(Avaluacio[Codi ítem]),FALSE)=$E134,'1_Plantejament'!$B$5,""),"")</f>
        <v>Ajuntament de Blanes</v>
      </c>
      <c r="B134">
        <f t="array" ref="B134">IFERROR(IF(VLOOKUP($E134,Avaluacio[],COLUMN(Avaluacio[Codi ítem]),FALSE)=$E134,'1_Plantejament'!$B$9,""),"")</f>
        <v>2026</v>
      </c>
      <c r="C134">
        <f t="array" ref="C134">IFERROR(IF(VLOOKUP($E134,Avaluacio[],COLUMN(Avaluacio[Codi ítem]),FALSE)=$E134,'1_Plantejament'!$B$10,""),"")</f>
        <v>46206</v>
      </c>
      <c r="D134" s="6" t="str">
        <f t="array" ref="D134">IFERROR(IF(VLOOKUP($E134,Avaluacio[],COLUMN(Avaluacio[Codi ítem]),FALSE)=$E134,'1_Plantejament'!$B$7,""),"")</f>
        <v>Fase 5</v>
      </c>
      <c r="E134" s="6" t="str">
        <f t="array" ref="E134">IFERROR(INDEX(Avaluacio[Codi ítem],(MATCH(0,INDEX(COUNTIF(E$1:E133,Avaluacio[Codi ítem]),0,0)+INDEX(Avaluacio[Avaluable]="No",0,0),0))),"")</f>
        <v>XGO134</v>
      </c>
      <c r="F134" s="45" t="str">
        <f t="array" ref="F134">IFERROR(VLOOKUP(E134,Avaluacio[],COLUMN(Avaluacio[Ítem]),FALSE),"")</f>
        <v>Suggeriments, queixes i propostes</v>
      </c>
      <c r="G134" t="str">
        <f t="array" ref="G134">IFERROR(VLOOKUP(E134,Avaluacio[],COLUMN(Avaluacio[Família]),FALSE),"")</f>
        <v>Serveis i tràmits</v>
      </c>
      <c r="H134" t="str">
        <f t="array" ref="H134">IFERROR(VLOOKUP(E134,Avaluacio[],COLUMN(Avaluacio[Subfamília]),FALSE),"")</f>
        <v/>
      </c>
      <c r="I134" s="6" t="str">
        <f t="array" ref="I134">IFERROR(VLOOKUP(E134,Avaluacio[],COLUMN(Avaluacio[Contingut]),FALSE),"")</f>
        <v>Sí</v>
      </c>
      <c r="J134" s="6" t="str">
        <f t="array" ref="J134">IFERROR(VLOOKUP(E134,Avaluacio[],COLUMN(Avaluacio[Actualització]),FALSE),"")</f>
        <v>Sí</v>
      </c>
      <c r="K134" s="6" t="str">
        <f t="array" ref="K134">IFERROR(VLOOKUP(E134,Avaluacio[],COLUMN(#REF!),FALSE),"")</f>
        <v/>
      </c>
      <c r="L134" t="str">
        <f t="array" ref="L134">IFERROR(VLOOKUP(E134,Avaluacio[],COLUMN(Avaluacio[Grau de compliment]),FALSE),"")</f>
        <v>Compleix totalment</v>
      </c>
      <c r="M134" s="8">
        <f t="array" ref="M134">IFERROR(VLOOKUP(E134,Avaluacio[],COLUMN(Avaluacio[% compliment]),FALSE),"")</f>
        <v>1</v>
      </c>
    </row>
    <row r="135" spans="1:13" ht="27.6" x14ac:dyDescent="0.25">
      <c r="A135" t="str">
        <f t="array" ref="A135">IFERROR(IF(VLOOKUP($E135,Avaluacio[],COLUMN(Avaluacio[Codi ítem]),FALSE)=$E135,'1_Plantejament'!$B$5,""),"")</f>
        <v>Ajuntament de Blanes</v>
      </c>
      <c r="B135">
        <f t="array" ref="B135">IFERROR(IF(VLOOKUP($E135,Avaluacio[],COLUMN(Avaluacio[Codi ítem]),FALSE)=$E135,'1_Plantejament'!$B$9,""),"")</f>
        <v>2026</v>
      </c>
      <c r="C135">
        <f t="array" ref="C135">IFERROR(IF(VLOOKUP($E135,Avaluacio[],COLUMN(Avaluacio[Codi ítem]),FALSE)=$E135,'1_Plantejament'!$B$10,""),"")</f>
        <v>46206</v>
      </c>
      <c r="D135" s="6" t="str">
        <f t="array" ref="D135">IFERROR(IF(VLOOKUP($E135,Avaluacio[],COLUMN(Avaluacio[Codi ítem]),FALSE)=$E135,'1_Plantejament'!$B$7,""),"")</f>
        <v>Fase 5</v>
      </c>
      <c r="E135" s="6" t="str">
        <f t="array" ref="E135">IFERROR(INDEX(Avaluacio[Codi ítem],(MATCH(0,INDEX(COUNTIF(E$1:E134,Avaluacio[Codi ítem]),0,0)+INDEX(Avaluacio[Avaluable]="No",0,0),0))),"")</f>
        <v>XGO135</v>
      </c>
      <c r="F135" s="45" t="str">
        <f t="array" ref="F135">IFERROR(VLOOKUP(E135,Avaluacio[],COLUMN(Avaluacio[Ítem]),FALSE),"")</f>
        <v xml:space="preserve">El meu espai personal </v>
      </c>
      <c r="G135" t="str">
        <f t="array" ref="G135">IFERROR(VLOOKUP(E135,Avaluacio[],COLUMN(Avaluacio[Família]),FALSE),"")</f>
        <v>Serveis i tràmits</v>
      </c>
      <c r="H135" t="str">
        <f t="array" ref="H135">IFERROR(VLOOKUP(E135,Avaluacio[],COLUMN(Avaluacio[Subfamília]),FALSE),"")</f>
        <v/>
      </c>
      <c r="I135" s="6" t="str">
        <f t="array" ref="I135">IFERROR(VLOOKUP(E135,Avaluacio[],COLUMN(Avaluacio[Contingut]),FALSE),"")</f>
        <v>Sí</v>
      </c>
      <c r="J135" s="6" t="str">
        <f t="array" ref="J135">IFERROR(VLOOKUP(E135,Avaluacio[],COLUMN(Avaluacio[Actualització]),FALSE),"")</f>
        <v>Sí</v>
      </c>
      <c r="K135" s="6" t="str">
        <f t="array" ref="K135">IFERROR(VLOOKUP(E135,Avaluacio[],COLUMN(#REF!),FALSE),"")</f>
        <v/>
      </c>
      <c r="L135" t="str">
        <f t="array" ref="L135">IFERROR(VLOOKUP(E135,Avaluacio[],COLUMN(Avaluacio[Grau de compliment]),FALSE),"")</f>
        <v>Compleix totalment</v>
      </c>
      <c r="M135" s="8">
        <f t="array" ref="M135">IFERROR(VLOOKUP(E135,Avaluacio[],COLUMN(Avaluacio[% compliment]),FALSE),"")</f>
        <v>1</v>
      </c>
    </row>
    <row r="136" spans="1:13" ht="27.6" x14ac:dyDescent="0.25">
      <c r="A136" t="str">
        <f t="array" ref="A136">IFERROR(IF(VLOOKUP($E136,Avaluacio[],COLUMN(Avaluacio[Codi ítem]),FALSE)=$E136,'1_Plantejament'!$B$5,""),"")</f>
        <v>Ajuntament de Blanes</v>
      </c>
      <c r="B136">
        <f t="array" ref="B136">IFERROR(IF(VLOOKUP($E136,Avaluacio[],COLUMN(Avaluacio[Codi ítem]),FALSE)=$E136,'1_Plantejament'!$B$9,""),"")</f>
        <v>2026</v>
      </c>
      <c r="C136">
        <f t="array" ref="C136">IFERROR(IF(VLOOKUP($E136,Avaluacio[],COLUMN(Avaluacio[Codi ítem]),FALSE)=$E136,'1_Plantejament'!$B$10,""),"")</f>
        <v>46206</v>
      </c>
      <c r="D136" s="6" t="str">
        <f t="array" ref="D136">IFERROR(IF(VLOOKUP($E136,Avaluacio[],COLUMN(Avaluacio[Codi ítem]),FALSE)=$E136,'1_Plantejament'!$B$7,""),"")</f>
        <v>Fase 5</v>
      </c>
      <c r="E136" s="6" t="str">
        <f t="array" ref="E136">IFERROR(INDEX(Avaluacio[Codi ítem],(MATCH(0,INDEX(COUNTIF(E$1:E135,Avaluacio[Codi ítem]),0,0)+INDEX(Avaluacio[Avaluable]="No",0,0),0))),"")</f>
        <v>XGO136</v>
      </c>
      <c r="F136" s="45" t="str">
        <f t="array" ref="F136">IFERROR(VLOOKUP(E136,Avaluacio[],COLUMN(Avaluacio[Ítem]),FALSE),"")</f>
        <v>Catàleg de tràmits i procediments</v>
      </c>
      <c r="G136" t="str">
        <f t="array" ref="G136">IFERROR(VLOOKUP(E136,Avaluacio[],COLUMN(Avaluacio[Família]),FALSE),"")</f>
        <v>Serveis i tràmits</v>
      </c>
      <c r="H136" t="str">
        <f t="array" ref="H136">IFERROR(VLOOKUP(E136,Avaluacio[],COLUMN(Avaluacio[Subfamília]),FALSE),"")</f>
        <v/>
      </c>
      <c r="I136" s="6" t="str">
        <f t="array" ref="I136">IFERROR(VLOOKUP(E136,Avaluacio[],COLUMN(Avaluacio[Contingut]),FALSE),"")</f>
        <v>Sí</v>
      </c>
      <c r="J136" s="6" t="str">
        <f t="array" ref="J136">IFERROR(VLOOKUP(E136,Avaluacio[],COLUMN(Avaluacio[Actualització]),FALSE),"")</f>
        <v>Sí</v>
      </c>
      <c r="K136" s="6" t="str">
        <f t="array" ref="K136">IFERROR(VLOOKUP(E136,Avaluacio[],COLUMN(#REF!),FALSE),"")</f>
        <v/>
      </c>
      <c r="L136" t="str">
        <f t="array" ref="L136">IFERROR(VLOOKUP(E136,Avaluacio[],COLUMN(Avaluacio[Grau de compliment]),FALSE),"")</f>
        <v>Compleix totalment</v>
      </c>
      <c r="M136" s="8">
        <f t="array" ref="M136">IFERROR(VLOOKUP(E136,Avaluacio[],COLUMN(Avaluacio[% compliment]),FALSE),"")</f>
        <v>1</v>
      </c>
    </row>
    <row r="137" spans="1:13" ht="27.6" x14ac:dyDescent="0.25">
      <c r="A137" t="str">
        <f t="array" ref="A137">IFERROR(IF(VLOOKUP($E137,Avaluacio[],COLUMN(Avaluacio[Codi ítem]),FALSE)=$E137,'1_Plantejament'!$B$5,""),"")</f>
        <v>Ajuntament de Blanes</v>
      </c>
      <c r="B137">
        <f t="array" ref="B137">IFERROR(IF(VLOOKUP($E137,Avaluacio[],COLUMN(Avaluacio[Codi ítem]),FALSE)=$E137,'1_Plantejament'!$B$9,""),"")</f>
        <v>2026</v>
      </c>
      <c r="C137">
        <f t="array" ref="C137">IFERROR(IF(VLOOKUP($E137,Avaluacio[],COLUMN(Avaluacio[Codi ítem]),FALSE)=$E137,'1_Plantejament'!$B$10,""),"")</f>
        <v>46206</v>
      </c>
      <c r="D137" s="6" t="str">
        <f t="array" ref="D137">IFERROR(IF(VLOOKUP($E137,Avaluacio[],COLUMN(Avaluacio[Codi ítem]),FALSE)=$E137,'1_Plantejament'!$B$7,""),"")</f>
        <v>Fase 5</v>
      </c>
      <c r="E137" s="6" t="str">
        <f t="array" ref="E137">IFERROR(INDEX(Avaluacio[Codi ítem],(MATCH(0,INDEX(COUNTIF(E$1:E136,Avaluacio[Codi ítem]),0,0)+INDEX(Avaluacio[Avaluable]="No",0,0),0))),"")</f>
        <v>XGO137</v>
      </c>
      <c r="F137" s="45" t="str">
        <f t="array" ref="F137">IFERROR(VLOOKUP(E137,Avaluacio[],COLUMN(Avaluacio[Ítem]),FALSE),"")</f>
        <v>Catàleg de dades i documents interoperables</v>
      </c>
      <c r="G137" t="str">
        <f t="array" ref="G137">IFERROR(VLOOKUP(E137,Avaluacio[],COLUMN(Avaluacio[Família]),FALSE),"")</f>
        <v>Serveis i tràmits</v>
      </c>
      <c r="H137" t="str">
        <f t="array" ref="H137">IFERROR(VLOOKUP(E137,Avaluacio[],COLUMN(Avaluacio[Subfamília]),FALSE),"")</f>
        <v/>
      </c>
      <c r="I137" s="6" t="str">
        <f t="array" ref="I137">IFERROR(VLOOKUP(E137,Avaluacio[],COLUMN(Avaluacio[Contingut]),FALSE),"")</f>
        <v>Sí</v>
      </c>
      <c r="J137" s="6" t="str">
        <f t="array" ref="J137">IFERROR(VLOOKUP(E137,Avaluacio[],COLUMN(Avaluacio[Actualització]),FALSE),"")</f>
        <v>Sí</v>
      </c>
      <c r="K137" s="6" t="str">
        <f t="array" ref="K137">IFERROR(VLOOKUP(E137,Avaluacio[],COLUMN(#REF!),FALSE),"")</f>
        <v/>
      </c>
      <c r="L137" t="str">
        <f t="array" ref="L137">IFERROR(VLOOKUP(E137,Avaluacio[],COLUMN(Avaluacio[Grau de compliment]),FALSE),"")</f>
        <v>Compleix totalment</v>
      </c>
      <c r="M137" s="8">
        <f t="array" ref="M137">IFERROR(VLOOKUP(E137,Avaluacio[],COLUMN(Avaluacio[% compliment]),FALSE),"")</f>
        <v>1</v>
      </c>
    </row>
    <row r="138" spans="1:13" ht="27.6" x14ac:dyDescent="0.25">
      <c r="A138" t="str">
        <f t="array" ref="A138">IFERROR(IF(VLOOKUP($E138,Avaluacio[],COLUMN(Avaluacio[Codi ítem]),FALSE)=$E138,'1_Plantejament'!$B$5,""),"")</f>
        <v>Ajuntament de Blanes</v>
      </c>
      <c r="B138">
        <f t="array" ref="B138">IFERROR(IF(VLOOKUP($E138,Avaluacio[],COLUMN(Avaluacio[Codi ítem]),FALSE)=$E138,'1_Plantejament'!$B$9,""),"")</f>
        <v>2026</v>
      </c>
      <c r="C138">
        <f t="array" ref="C138">IFERROR(IF(VLOOKUP($E138,Avaluacio[],COLUMN(Avaluacio[Codi ítem]),FALSE)=$E138,'1_Plantejament'!$B$10,""),"")</f>
        <v>46206</v>
      </c>
      <c r="D138" s="6" t="str">
        <f t="array" ref="D138">IFERROR(IF(VLOOKUP($E138,Avaluacio[],COLUMN(Avaluacio[Codi ítem]),FALSE)=$E138,'1_Plantejament'!$B$7,""),"")</f>
        <v>Fase 5</v>
      </c>
      <c r="E138" s="6" t="str">
        <f t="array" ref="E138">IFERROR(INDEX(Avaluacio[Codi ítem],(MATCH(0,INDEX(COUNTIF(E$1:E137,Avaluacio[Codi ítem]),0,0)+INDEX(Avaluacio[Avaluable]="No",0,0),0))),"")</f>
        <v>XGO138</v>
      </c>
      <c r="F138" s="45" t="str">
        <f t="array" ref="F138">IFERROR(VLOOKUP(E138,Avaluacio[],COLUMN(Avaluacio[Ítem]),FALSE),"")</f>
        <v>Gestor de representacions</v>
      </c>
      <c r="G138" t="str">
        <f t="array" ref="G138">IFERROR(VLOOKUP(E138,Avaluacio[],COLUMN(Avaluacio[Família]),FALSE),"")</f>
        <v>Serveis i tràmits</v>
      </c>
      <c r="H138" t="str">
        <f t="array" ref="H138">IFERROR(VLOOKUP(E138,Avaluacio[],COLUMN(Avaluacio[Subfamília]),FALSE),"")</f>
        <v/>
      </c>
      <c r="I138" s="6" t="str">
        <f t="array" ref="I138">IFERROR(VLOOKUP(E138,Avaluacio[],COLUMN(Avaluacio[Contingut]),FALSE),"")</f>
        <v>Sí</v>
      </c>
      <c r="J138" s="6" t="str">
        <f t="array" ref="J138">IFERROR(VLOOKUP(E138,Avaluacio[],COLUMN(Avaluacio[Actualització]),FALSE),"")</f>
        <v>Sí</v>
      </c>
      <c r="K138" s="6" t="str">
        <f t="array" ref="K138">IFERROR(VLOOKUP(E138,Avaluacio[],COLUMN(#REF!),FALSE),"")</f>
        <v/>
      </c>
      <c r="L138" t="str">
        <f t="array" ref="L138">IFERROR(VLOOKUP(E138,Avaluacio[],COLUMN(Avaluacio[Grau de compliment]),FALSE),"")</f>
        <v>Compleix totalment</v>
      </c>
      <c r="M138" s="8">
        <f t="array" ref="M138">IFERROR(VLOOKUP(E138,Avaluacio[],COLUMN(Avaluacio[% compliment]),FALSE),"")</f>
        <v>1</v>
      </c>
    </row>
    <row r="139" spans="1:13" ht="27.6" x14ac:dyDescent="0.25">
      <c r="A139" t="str">
        <f t="array" ref="A139">IFERROR(IF(VLOOKUP($E139,Avaluacio[],COLUMN(Avaluacio[Codi ítem]),FALSE)=$E139,'1_Plantejament'!$B$5,""),"")</f>
        <v>Ajuntament de Blanes</v>
      </c>
      <c r="B139">
        <f t="array" ref="B139">IFERROR(IF(VLOOKUP($E139,Avaluacio[],COLUMN(Avaluacio[Codi ítem]),FALSE)=$E139,'1_Plantejament'!$B$9,""),"")</f>
        <v>2026</v>
      </c>
      <c r="C139">
        <f t="array" ref="C139">IFERROR(IF(VLOOKUP($E139,Avaluacio[],COLUMN(Avaluacio[Codi ítem]),FALSE)=$E139,'1_Plantejament'!$B$10,""),"")</f>
        <v>46206</v>
      </c>
      <c r="D139" s="6" t="str">
        <f t="array" ref="D139">IFERROR(IF(VLOOKUP($E139,Avaluacio[],COLUMN(Avaluacio[Codi ítem]),FALSE)=$E139,'1_Plantejament'!$B$7,""),"")</f>
        <v>Fase 5</v>
      </c>
      <c r="E139" s="6" t="str">
        <f t="array" ref="E139">IFERROR(INDEX(Avaluacio[Codi ítem],(MATCH(0,INDEX(COUNTIF(E$1:E138,Avaluacio[Codi ítem]),0,0)+INDEX(Avaluacio[Avaluable]="No",0,0),0))),"")</f>
        <v>XGO139</v>
      </c>
      <c r="F139" s="45" t="str">
        <f t="array" ref="F139">IFERROR(VLOOKUP(E139,Avaluacio[],COLUMN(Avaluacio[Ítem]),FALSE),"")</f>
        <v>Finestra única empresarial (FUE)</v>
      </c>
      <c r="G139" t="str">
        <f t="array" ref="G139">IFERROR(VLOOKUP(E139,Avaluacio[],COLUMN(Avaluacio[Família]),FALSE),"")</f>
        <v>Serveis i tràmits</v>
      </c>
      <c r="H139" t="str">
        <f t="array" ref="H139">IFERROR(VLOOKUP(E139,Avaluacio[],COLUMN(Avaluacio[Subfamília]),FALSE),"")</f>
        <v/>
      </c>
      <c r="I139" s="6" t="str">
        <f t="array" ref="I139">IFERROR(VLOOKUP(E139,Avaluacio[],COLUMN(Avaluacio[Contingut]),FALSE),"")</f>
        <v>Sí</v>
      </c>
      <c r="J139" s="6" t="str">
        <f t="array" ref="J139">IFERROR(VLOOKUP(E139,Avaluacio[],COLUMN(Avaluacio[Actualització]),FALSE),"")</f>
        <v>Sí</v>
      </c>
      <c r="K139" s="6" t="str">
        <f t="array" ref="K139">IFERROR(VLOOKUP(E139,Avaluacio[],COLUMN(#REF!),FALSE),"")</f>
        <v/>
      </c>
      <c r="L139" t="str">
        <f t="array" ref="L139">IFERROR(VLOOKUP(E139,Avaluacio[],COLUMN(Avaluacio[Grau de compliment]),FALSE),"")</f>
        <v>Compleix totalment</v>
      </c>
      <c r="M139" s="8">
        <f t="array" ref="M139">IFERROR(VLOOKUP(E139,Avaluacio[],COLUMN(Avaluacio[% compliment]),FALSE),"")</f>
        <v>1</v>
      </c>
    </row>
    <row r="140" spans="1:13" ht="41.4" x14ac:dyDescent="0.25">
      <c r="A140" t="str">
        <f t="array" ref="A140">IFERROR(IF(VLOOKUP($E140,Avaluacio[],COLUMN(Avaluacio[Codi ítem]),FALSE)=$E140,'1_Plantejament'!$B$5,""),"")</f>
        <v>Ajuntament de Blanes</v>
      </c>
      <c r="B140">
        <f t="array" ref="B140">IFERROR(IF(VLOOKUP($E140,Avaluacio[],COLUMN(Avaluacio[Codi ítem]),FALSE)=$E140,'1_Plantejament'!$B$9,""),"")</f>
        <v>2026</v>
      </c>
      <c r="C140">
        <f t="array" ref="C140">IFERROR(IF(VLOOKUP($E140,Avaluacio[],COLUMN(Avaluacio[Codi ítem]),FALSE)=$E140,'1_Plantejament'!$B$10,""),"")</f>
        <v>46206</v>
      </c>
      <c r="D140" s="6" t="str">
        <f t="array" ref="D140">IFERROR(IF(VLOOKUP($E140,Avaluacio[],COLUMN(Avaluacio[Codi ítem]),FALSE)=$E140,'1_Plantejament'!$B$7,""),"")</f>
        <v>Fase 5</v>
      </c>
      <c r="E140" s="6" t="str">
        <f t="array" ref="E140">IFERROR(INDEX(Avaluacio[Codi ítem],(MATCH(0,INDEX(COUNTIF(E$1:E139,Avaluacio[Codi ítem]),0,0)+INDEX(Avaluacio[Avaluable]="No",0,0),0))),"")</f>
        <v>XGO140</v>
      </c>
      <c r="F140" s="45" t="str">
        <f t="array" ref="F140">IFERROR(VLOOKUP(E140,Avaluacio[],COLUMN(Avaluacio[Ítem]),FALSE),"")</f>
        <v>Verificació de documents mitjançant Codi Segur de Verificació (CSV)</v>
      </c>
      <c r="G140" t="str">
        <f t="array" ref="G140">IFERROR(VLOOKUP(E140,Avaluacio[],COLUMN(Avaluacio[Família]),FALSE),"")</f>
        <v>Serveis i tràmits</v>
      </c>
      <c r="H140" t="str">
        <f t="array" ref="H140">IFERROR(VLOOKUP(E140,Avaluacio[],COLUMN(Avaluacio[Subfamília]),FALSE),"")</f>
        <v/>
      </c>
      <c r="I140" s="6" t="str">
        <f t="array" ref="I140">IFERROR(VLOOKUP(E140,Avaluacio[],COLUMN(Avaluacio[Contingut]),FALSE),"")</f>
        <v>Sí</v>
      </c>
      <c r="J140" s="6" t="str">
        <f t="array" ref="J140">IFERROR(VLOOKUP(E140,Avaluacio[],COLUMN(Avaluacio[Actualització]),FALSE),"")</f>
        <v>Sí</v>
      </c>
      <c r="K140" s="6" t="str">
        <f t="array" ref="K140">IFERROR(VLOOKUP(E140,Avaluacio[],COLUMN(#REF!),FALSE),"")</f>
        <v/>
      </c>
      <c r="L140" t="str">
        <f t="array" ref="L140">IFERROR(VLOOKUP(E140,Avaluacio[],COLUMN(Avaluacio[Grau de compliment]),FALSE),"")</f>
        <v>Compleix totalment</v>
      </c>
      <c r="M140" s="8">
        <f t="array" ref="M140">IFERROR(VLOOKUP(E140,Avaluacio[],COLUMN(Avaluacio[% compliment]),FALSE),"")</f>
        <v>1</v>
      </c>
    </row>
    <row r="141" spans="1:13" ht="27.6" x14ac:dyDescent="0.25">
      <c r="A141" t="str">
        <f t="array" ref="A141">IFERROR(IF(VLOOKUP($E141,Avaluacio[],COLUMN(Avaluacio[Codi ítem]),FALSE)=$E141,'1_Plantejament'!$B$5,""),"")</f>
        <v>Ajuntament de Blanes</v>
      </c>
      <c r="B141">
        <f t="array" ref="B141">IFERROR(IF(VLOOKUP($E141,Avaluacio[],COLUMN(Avaluacio[Codi ítem]),FALSE)=$E141,'1_Plantejament'!$B$9,""),"")</f>
        <v>2026</v>
      </c>
      <c r="C141">
        <f t="array" ref="C141">IFERROR(IF(VLOOKUP($E141,Avaluacio[],COLUMN(Avaluacio[Codi ítem]),FALSE)=$E141,'1_Plantejament'!$B$10,""),"")</f>
        <v>46206</v>
      </c>
      <c r="D141" s="6" t="str">
        <f t="array" ref="D141">IFERROR(IF(VLOOKUP($E141,Avaluacio[],COLUMN(Avaluacio[Codi ítem]),FALSE)=$E141,'1_Plantejament'!$B$7,""),"")</f>
        <v>Fase 5</v>
      </c>
      <c r="E141" s="6" t="str">
        <f t="array" ref="E141">IFERROR(INDEX(Avaluacio[Codi ítem],(MATCH(0,INDEX(COUNTIF(E$1:E140,Avaluacio[Codi ítem]),0,0)+INDEX(Avaluacio[Avaluable]="No",0,0),0))),"")</f>
        <v>XGO141</v>
      </c>
      <c r="F141" s="45" t="str">
        <f t="array" ref="F141">IFERROR(VLOOKUP(E141,Avaluacio[],COLUMN(Avaluacio[Ítem]),FALSE),"")</f>
        <v>Espais de participació ciutadana</v>
      </c>
      <c r="G141" t="str">
        <f t="array" ref="G141">IFERROR(VLOOKUP(E141,Avaluacio[],COLUMN(Avaluacio[Família]),FALSE),"")</f>
        <v>Participació</v>
      </c>
      <c r="H141" t="str">
        <f t="array" ref="H141">IFERROR(VLOOKUP(E141,Avaluacio[],COLUMN(Avaluacio[Subfamília]),FALSE),"")</f>
        <v/>
      </c>
      <c r="I141" s="6" t="str">
        <f t="array" ref="I141">IFERROR(VLOOKUP(E141,Avaluacio[],COLUMN(Avaluacio[Contingut]),FALSE),"")</f>
        <v>Sí</v>
      </c>
      <c r="J141" s="6" t="str">
        <f t="array" ref="J141">IFERROR(VLOOKUP(E141,Avaluacio[],COLUMN(Avaluacio[Actualització]),FALSE),"")</f>
        <v>Sí</v>
      </c>
      <c r="K141" s="6" t="str">
        <f t="array" ref="K141">IFERROR(VLOOKUP(E141,Avaluacio[],COLUMN(#REF!),FALSE),"")</f>
        <v/>
      </c>
      <c r="L141" t="str">
        <f t="array" ref="L141">IFERROR(VLOOKUP(E141,Avaluacio[],COLUMN(Avaluacio[Grau de compliment]),FALSE),"")</f>
        <v>Compleix totalment</v>
      </c>
      <c r="M141" s="8">
        <f t="array" ref="M141">IFERROR(VLOOKUP(E141,Avaluacio[],COLUMN(Avaluacio[% compliment]),FALSE),"")</f>
        <v>1</v>
      </c>
    </row>
    <row r="142" spans="1:13" ht="27.6" x14ac:dyDescent="0.25">
      <c r="A142" t="str">
        <f t="array" ref="A142">IFERROR(IF(VLOOKUP($E142,Avaluacio[],COLUMN(Avaluacio[Codi ítem]),FALSE)=$E142,'1_Plantejament'!$B$5,""),"")</f>
        <v>Ajuntament de Blanes</v>
      </c>
      <c r="B142">
        <f t="array" ref="B142">IFERROR(IF(VLOOKUP($E142,Avaluacio[],COLUMN(Avaluacio[Codi ítem]),FALSE)=$E142,'1_Plantejament'!$B$9,""),"")</f>
        <v>2026</v>
      </c>
      <c r="C142">
        <f t="array" ref="C142">IFERROR(IF(VLOOKUP($E142,Avaluacio[],COLUMN(Avaluacio[Codi ítem]),FALSE)=$E142,'1_Plantejament'!$B$10,""),"")</f>
        <v>46206</v>
      </c>
      <c r="D142" s="6" t="str">
        <f t="array" ref="D142">IFERROR(IF(VLOOKUP($E142,Avaluacio[],COLUMN(Avaluacio[Codi ítem]),FALSE)=$E142,'1_Plantejament'!$B$7,""),"")</f>
        <v>Fase 5</v>
      </c>
      <c r="E142" s="6" t="str">
        <f t="array" ref="E142">IFERROR(INDEX(Avaluacio[Codi ítem],(MATCH(0,INDEX(COUNTIF(E$1:E141,Avaluacio[Codi ítem]),0,0)+INDEX(Avaluacio[Avaluable]="No",0,0),0))),"")</f>
        <v>XGO142</v>
      </c>
      <c r="F142" s="45" t="str">
        <f t="array" ref="F142">IFERROR(VLOOKUP(E142,Avaluacio[],COLUMN(Avaluacio[Ítem]),FALSE),"")</f>
        <v>Xarxes socials</v>
      </c>
      <c r="G142" t="str">
        <f t="array" ref="G142">IFERROR(VLOOKUP(E142,Avaluacio[],COLUMN(Avaluacio[Família]),FALSE),"")</f>
        <v>Participació</v>
      </c>
      <c r="H142" t="str">
        <f t="array" ref="H142">IFERROR(VLOOKUP(E142,Avaluacio[],COLUMN(Avaluacio[Subfamília]),FALSE),"")</f>
        <v/>
      </c>
      <c r="I142" s="6" t="str">
        <f t="array" ref="I142">IFERROR(VLOOKUP(E142,Avaluacio[],COLUMN(Avaluacio[Contingut]),FALSE),"")</f>
        <v>Sí</v>
      </c>
      <c r="J142" s="6" t="str">
        <f t="array" ref="J142">IFERROR(VLOOKUP(E142,Avaluacio[],COLUMN(Avaluacio[Actualització]),FALSE),"")</f>
        <v>Sí</v>
      </c>
      <c r="K142" s="6" t="str">
        <f t="array" ref="K142">IFERROR(VLOOKUP(E142,Avaluacio[],COLUMN(#REF!),FALSE),"")</f>
        <v/>
      </c>
      <c r="L142" t="str">
        <f t="array" ref="L142">IFERROR(VLOOKUP(E142,Avaluacio[],COLUMN(Avaluacio[Grau de compliment]),FALSE),"")</f>
        <v>Compleix totalment</v>
      </c>
      <c r="M142" s="8">
        <f t="array" ref="M142">IFERROR(VLOOKUP(E142,Avaluacio[],COLUMN(Avaluacio[% compliment]),FALSE),"")</f>
        <v>1</v>
      </c>
    </row>
    <row r="143" spans="1:13" ht="27.6" x14ac:dyDescent="0.25">
      <c r="A143" t="str">
        <f t="array" ref="A143">IFERROR(IF(VLOOKUP($E143,Avaluacio[],COLUMN(Avaluacio[Codi ítem]),FALSE)=$E143,'1_Plantejament'!$B$5,""),"")</f>
        <v>Ajuntament de Blanes</v>
      </c>
      <c r="B143">
        <f t="array" ref="B143">IFERROR(IF(VLOOKUP($E143,Avaluacio[],COLUMN(Avaluacio[Codi ítem]),FALSE)=$E143,'1_Plantejament'!$B$9,""),"")</f>
        <v>2026</v>
      </c>
      <c r="C143">
        <f t="array" ref="C143">IFERROR(IF(VLOOKUP($E143,Avaluacio[],COLUMN(Avaluacio[Codi ítem]),FALSE)=$E143,'1_Plantejament'!$B$10,""),"")</f>
        <v>46206</v>
      </c>
      <c r="D143" s="6" t="str">
        <f t="array" ref="D143">IFERROR(IF(VLOOKUP($E143,Avaluacio[],COLUMN(Avaluacio[Codi ítem]),FALSE)=$E143,'1_Plantejament'!$B$7,""),"")</f>
        <v>Fase 5</v>
      </c>
      <c r="E143" s="6" t="str">
        <f t="array" ref="E143">IFERROR(INDEX(Avaluacio[Codi ítem],(MATCH(0,INDEX(COUNTIF(E$1:E142,Avaluacio[Codi ítem]),0,0)+INDEX(Avaluacio[Avaluable]="No",0,0),0))),"")</f>
        <v>XGO143</v>
      </c>
      <c r="F143" s="45" t="str">
        <f t="array" ref="F143">IFERROR(VLOOKUP(E143,Avaluacio[],COLUMN(Avaluacio[Ítem]),FALSE),"")</f>
        <v>Processos participatius en tràmit</v>
      </c>
      <c r="G143" t="str">
        <f t="array" ref="G143">IFERROR(VLOOKUP(E143,Avaluacio[],COLUMN(Avaluacio[Família]),FALSE),"")</f>
        <v>Participació</v>
      </c>
      <c r="H143" t="str">
        <f t="array" ref="H143">IFERROR(VLOOKUP(E143,Avaluacio[],COLUMN(Avaluacio[Subfamília]),FALSE),"")</f>
        <v/>
      </c>
      <c r="I143" s="6" t="str">
        <f t="array" ref="I143">IFERROR(VLOOKUP(E143,Avaluacio[],COLUMN(Avaluacio[Contingut]),FALSE),"")</f>
        <v>Sí</v>
      </c>
      <c r="J143" s="6" t="str">
        <f t="array" ref="J143">IFERROR(VLOOKUP(E143,Avaluacio[],COLUMN(Avaluacio[Actualització]),FALSE),"")</f>
        <v>Sí</v>
      </c>
      <c r="K143" s="6" t="str">
        <f t="array" ref="K143">IFERROR(VLOOKUP(E143,Avaluacio[],COLUMN(#REF!),FALSE),"")</f>
        <v/>
      </c>
      <c r="L143" t="str">
        <f t="array" ref="L143">IFERROR(VLOOKUP(E143,Avaluacio[],COLUMN(Avaluacio[Grau de compliment]),FALSE),"")</f>
        <v>Compleix totalment</v>
      </c>
      <c r="M143" s="8">
        <f t="array" ref="M143">IFERROR(VLOOKUP(E143,Avaluacio[],COLUMN(Avaluacio[% compliment]),FALSE),"")</f>
        <v>1</v>
      </c>
    </row>
    <row r="144" spans="1:13" ht="41.4" x14ac:dyDescent="0.25">
      <c r="A144" t="str">
        <f t="array" ref="A144">IFERROR(IF(VLOOKUP($E144,Avaluacio[],COLUMN(Avaluacio[Codi ítem]),FALSE)=$E144,'1_Plantejament'!$B$5,""),"")</f>
        <v>Ajuntament de Blanes</v>
      </c>
      <c r="B144">
        <f t="array" ref="B144">IFERROR(IF(VLOOKUP($E144,Avaluacio[],COLUMN(Avaluacio[Codi ítem]),FALSE)=$E144,'1_Plantejament'!$B$9,""),"")</f>
        <v>2026</v>
      </c>
      <c r="C144">
        <f t="array" ref="C144">IFERROR(IF(VLOOKUP($E144,Avaluacio[],COLUMN(Avaluacio[Codi ítem]),FALSE)=$E144,'1_Plantejament'!$B$10,""),"")</f>
        <v>46206</v>
      </c>
      <c r="D144" s="6" t="str">
        <f t="array" ref="D144">IFERROR(IF(VLOOKUP($E144,Avaluacio[],COLUMN(Avaluacio[Codi ítem]),FALSE)=$E144,'1_Plantejament'!$B$7,""),"")</f>
        <v>Fase 5</v>
      </c>
      <c r="E144" s="6" t="str">
        <f t="array" ref="E144">IFERROR(INDEX(Avaluacio[Codi ítem],(MATCH(0,INDEX(COUNTIF(E$1:E143,Avaluacio[Codi ítem]),0,0)+INDEX(Avaluacio[Avaluable]="No",0,0),0))),"")</f>
        <v>XGO144</v>
      </c>
      <c r="F144" s="45" t="str">
        <f t="array" ref="F144">IFERROR(VLOOKUP(E144,Avaluacio[],COLUMN(Avaluacio[Ítem]),FALSE),"")</f>
        <v>Consultes més freqüents rebudes pels ciutadans o organitzacions</v>
      </c>
      <c r="G144" t="str">
        <f t="array" ref="G144">IFERROR(VLOOKUP(E144,Avaluacio[],COLUMN(Avaluacio[Família]),FALSE),"")</f>
        <v>Participació</v>
      </c>
      <c r="H144" t="str">
        <f t="array" ref="H144">IFERROR(VLOOKUP(E144,Avaluacio[],COLUMN(Avaluacio[Subfamília]),FALSE),"")</f>
        <v/>
      </c>
      <c r="I144" s="6" t="str">
        <f t="array" ref="I144">IFERROR(VLOOKUP(E144,Avaluacio[],COLUMN(Avaluacio[Contingut]),FALSE),"")</f>
        <v>Sí</v>
      </c>
      <c r="J144" s="6" t="str">
        <f t="array" ref="J144">IFERROR(VLOOKUP(E144,Avaluacio[],COLUMN(Avaluacio[Actualització]),FALSE),"")</f>
        <v>Sí</v>
      </c>
      <c r="K144" s="6" t="str">
        <f t="array" ref="K144">IFERROR(VLOOKUP(E144,Avaluacio[],COLUMN(#REF!),FALSE),"")</f>
        <v/>
      </c>
      <c r="L144" t="str">
        <f t="array" ref="L144">IFERROR(VLOOKUP(E144,Avaluacio[],COLUMN(Avaluacio[Grau de compliment]),FALSE),"")</f>
        <v>Compleix totalment</v>
      </c>
      <c r="M144" s="8">
        <f t="array" ref="M144">IFERROR(VLOOKUP(E144,Avaluacio[],COLUMN(Avaluacio[% compliment]),FALSE),"")</f>
        <v>1</v>
      </c>
    </row>
    <row r="145" spans="1:13" ht="27.6" x14ac:dyDescent="0.25">
      <c r="A145" t="str">
        <f t="array" ref="A145">IFERROR(IF(VLOOKUP($E145,Avaluacio[],COLUMN(Avaluacio[Codi ítem]),FALSE)=$E145,'1_Plantejament'!$B$5,""),"")</f>
        <v>Ajuntament de Blanes</v>
      </c>
      <c r="B145">
        <f t="array" ref="B145">IFERROR(IF(VLOOKUP($E145,Avaluacio[],COLUMN(Avaluacio[Codi ítem]),FALSE)=$E145,'1_Plantejament'!$B$9,""),"")</f>
        <v>2026</v>
      </c>
      <c r="C145">
        <f t="array" ref="C145">IFERROR(IF(VLOOKUP($E145,Avaluacio[],COLUMN(Avaluacio[Codi ítem]),FALSE)=$E145,'1_Plantejament'!$B$10,""),"")</f>
        <v>46206</v>
      </c>
      <c r="D145" s="6" t="str">
        <f t="array" ref="D145">IFERROR(IF(VLOOKUP($E145,Avaluacio[],COLUMN(Avaluacio[Codi ítem]),FALSE)=$E145,'1_Plantejament'!$B$7,""),"")</f>
        <v>Fase 5</v>
      </c>
      <c r="E145" s="6" t="str">
        <f t="array" ref="E145">IFERROR(INDEX(Avaluacio[Codi ítem],(MATCH(0,INDEX(COUNTIF(E$1:E144,Avaluacio[Codi ítem]),0,0)+INDEX(Avaluacio[Avaluable]="No",0,0),0))),"")</f>
        <v>XGO145</v>
      </c>
      <c r="F145" s="45" t="str">
        <f t="array" ref="F145">IFERROR(VLOOKUP(E145,Avaluacio[],COLUMN(Avaluacio[Ítem]),FALSE),"")</f>
        <v>Directori d'associacions i entitats</v>
      </c>
      <c r="G145" t="str">
        <f t="array" ref="G145">IFERROR(VLOOKUP(E145,Avaluacio[],COLUMN(Avaluacio[Família]),FALSE),"")</f>
        <v>Participació</v>
      </c>
      <c r="H145" t="str">
        <f t="array" ref="H145">IFERROR(VLOOKUP(E145,Avaluacio[],COLUMN(Avaluacio[Subfamília]),FALSE),"")</f>
        <v/>
      </c>
      <c r="I145" s="6" t="str">
        <f t="array" ref="I145">IFERROR(VLOOKUP(E145,Avaluacio[],COLUMN(Avaluacio[Contingut]),FALSE),"")</f>
        <v>Sí</v>
      </c>
      <c r="J145" s="6" t="str">
        <f t="array" ref="J145">IFERROR(VLOOKUP(E145,Avaluacio[],COLUMN(Avaluacio[Actualització]),FALSE),"")</f>
        <v>Sí</v>
      </c>
      <c r="K145" s="6" t="str">
        <f t="array" ref="K145">IFERROR(VLOOKUP(E145,Avaluacio[],COLUMN(#REF!),FALSE),"")</f>
        <v/>
      </c>
      <c r="L145" t="str">
        <f t="array" ref="L145">IFERROR(VLOOKUP(E145,Avaluacio[],COLUMN(Avaluacio[Grau de compliment]),FALSE),"")</f>
        <v>Compleix totalment</v>
      </c>
      <c r="M145" s="8">
        <f t="array" ref="M145">IFERROR(VLOOKUP(E145,Avaluacio[],COLUMN(Avaluacio[% compliment]),FALSE),"")</f>
        <v>1</v>
      </c>
    </row>
    <row r="146" spans="1:13" ht="41.4" x14ac:dyDescent="0.25">
      <c r="A146" t="str">
        <f t="array" ref="A146">IFERROR(IF(VLOOKUP($E146,Avaluacio[],COLUMN(Avaluacio[Codi ítem]),FALSE)=$E146,'1_Plantejament'!$B$5,""),"")</f>
        <v>Ajuntament de Blanes</v>
      </c>
      <c r="B146">
        <f t="array" ref="B146">IFERROR(IF(VLOOKUP($E146,Avaluacio[],COLUMN(Avaluacio[Codi ítem]),FALSE)=$E146,'1_Plantejament'!$B$9,""),"")</f>
        <v>2026</v>
      </c>
      <c r="C146">
        <f t="array" ref="C146">IFERROR(IF(VLOOKUP($E146,Avaluacio[],COLUMN(Avaluacio[Codi ítem]),FALSE)=$E146,'1_Plantejament'!$B$10,""),"")</f>
        <v>46206</v>
      </c>
      <c r="D146" s="6" t="str">
        <f t="array" ref="D146">IFERROR(IF(VLOOKUP($E146,Avaluacio[],COLUMN(Avaluacio[Codi ítem]),FALSE)=$E146,'1_Plantejament'!$B$7,""),"")</f>
        <v>Fase 5</v>
      </c>
      <c r="E146" s="6" t="str">
        <f t="array" ref="E146">IFERROR(INDEX(Avaluacio[Codi ítem],(MATCH(0,INDEX(COUNTIF(E$1:E145,Avaluacio[Codi ítem]),0,0)+INDEX(Avaluacio[Avaluable]="No",0,0),0))),"")</f>
        <v>XGO146</v>
      </c>
      <c r="F146" s="45" t="str">
        <f t="array" ref="F146">IFERROR(VLOOKUP(E146,Avaluacio[],COLUMN(Avaluacio[Ítem]),FALSE),"")</f>
        <v>Normativa, reglaments i directrius de participació ciutadana</v>
      </c>
      <c r="G146" t="str">
        <f t="array" ref="G146">IFERROR(VLOOKUP(E146,Avaluacio[],COLUMN(Avaluacio[Família]),FALSE),"")</f>
        <v>Participació</v>
      </c>
      <c r="H146" t="str">
        <f t="array" ref="H146">IFERROR(VLOOKUP(E146,Avaluacio[],COLUMN(Avaluacio[Subfamília]),FALSE),"")</f>
        <v/>
      </c>
      <c r="I146" s="6" t="str">
        <f t="array" ref="I146">IFERROR(VLOOKUP(E146,Avaluacio[],COLUMN(Avaluacio[Contingut]),FALSE),"")</f>
        <v>Sí</v>
      </c>
      <c r="J146" s="6" t="str">
        <f t="array" ref="J146">IFERROR(VLOOKUP(E146,Avaluacio[],COLUMN(Avaluacio[Actualització]),FALSE),"")</f>
        <v>Sí</v>
      </c>
      <c r="K146" s="6" t="str">
        <f t="array" ref="K146">IFERROR(VLOOKUP(E146,Avaluacio[],COLUMN(#REF!),FALSE),"")</f>
        <v/>
      </c>
      <c r="L146" t="str">
        <f t="array" ref="L146">IFERROR(VLOOKUP(E146,Avaluacio[],COLUMN(Avaluacio[Grau de compliment]),FALSE),"")</f>
        <v>Compleix totalment</v>
      </c>
      <c r="M146" s="8">
        <f t="array" ref="M146">IFERROR(VLOOKUP(E146,Avaluacio[],COLUMN(Avaluacio[% compliment]),FALSE),"")</f>
        <v>1</v>
      </c>
    </row>
    <row r="147" spans="1:13" ht="27.6" x14ac:dyDescent="0.25">
      <c r="A147" t="str">
        <f t="array" ref="A147">IFERROR(IF(VLOOKUP($E147,Avaluacio[],COLUMN(Avaluacio[Codi ítem]),FALSE)=$E147,'1_Plantejament'!$B$5,""),"")</f>
        <v>Ajuntament de Blanes</v>
      </c>
      <c r="B147">
        <f t="array" ref="B147">IFERROR(IF(VLOOKUP($E147,Avaluacio[],COLUMN(Avaluacio[Codi ítem]),FALSE)=$E147,'1_Plantejament'!$B$9,""),"")</f>
        <v>2026</v>
      </c>
      <c r="C147">
        <f t="array" ref="C147">IFERROR(IF(VLOOKUP($E147,Avaluacio[],COLUMN(Avaluacio[Codi ítem]),FALSE)=$E147,'1_Plantejament'!$B$10,""),"")</f>
        <v>46206</v>
      </c>
      <c r="D147" s="6" t="str">
        <f t="array" ref="D147">IFERROR(IF(VLOOKUP($E147,Avaluacio[],COLUMN(Avaluacio[Codi ítem]),FALSE)=$E147,'1_Plantejament'!$B$7,""),"")</f>
        <v>Fase 5</v>
      </c>
      <c r="E147" s="6" t="str">
        <f t="array" ref="E147">IFERROR(INDEX(Avaluacio[Codi ítem],(MATCH(0,INDEX(COUNTIF(E$1:E146,Avaluacio[Codi ítem]),0,0)+INDEX(Avaluacio[Avaluable]="No",0,0),0))),"")</f>
        <v>XGO147</v>
      </c>
      <c r="F147" s="45" t="str">
        <f t="array" ref="F147">IFERROR(VLOOKUP(E147,Avaluacio[],COLUMN(Avaluacio[Ítem]),FALSE),"")</f>
        <v>Agenda i activitats de les associacions</v>
      </c>
      <c r="G147" t="str">
        <f t="array" ref="G147">IFERROR(VLOOKUP(E147,Avaluacio[],COLUMN(Avaluacio[Família]),FALSE),"")</f>
        <v>Participació</v>
      </c>
      <c r="H147" t="str">
        <f t="array" ref="H147">IFERROR(VLOOKUP(E147,Avaluacio[],COLUMN(Avaluacio[Subfamília]),FALSE),"")</f>
        <v/>
      </c>
      <c r="I147" s="6" t="str">
        <f t="array" ref="I147">IFERROR(VLOOKUP(E147,Avaluacio[],COLUMN(Avaluacio[Contingut]),FALSE),"")</f>
        <v>Sí</v>
      </c>
      <c r="J147" s="6" t="str">
        <f t="array" ref="J147">IFERROR(VLOOKUP(E147,Avaluacio[],COLUMN(Avaluacio[Actualització]),FALSE),"")</f>
        <v>Sí</v>
      </c>
      <c r="K147" s="6" t="str">
        <f t="array" ref="K147">IFERROR(VLOOKUP(E147,Avaluacio[],COLUMN(#REF!),FALSE),"")</f>
        <v/>
      </c>
      <c r="L147" t="str">
        <f t="array" ref="L147">IFERROR(VLOOKUP(E147,Avaluacio[],COLUMN(Avaluacio[Grau de compliment]),FALSE),"")</f>
        <v>Compleix totalment</v>
      </c>
      <c r="M147" s="8">
        <f t="array" ref="M147">IFERROR(VLOOKUP(E147,Avaluacio[],COLUMN(Avaluacio[% compliment]),FALSE),"")</f>
        <v>1</v>
      </c>
    </row>
    <row r="148" spans="1:13" x14ac:dyDescent="0.25">
      <c r="A148" t="str">
        <f t="array" ref="A148">IFERROR(IF(VLOOKUP($E148,Avaluacio[],COLUMN(Avaluacio[Codi ítem]),FALSE)=$E148,'1_Plantejament'!$B$5,""),"")</f>
        <v/>
      </c>
      <c r="B148" t="str">
        <f t="array" ref="B148">IFERROR(IF(VLOOKUP($E148,Avaluacio[],COLUMN(Avaluacio[Codi ítem]),FALSE)=$E148,'1_Plantejament'!$B$9,""),"")</f>
        <v/>
      </c>
      <c r="C148" t="str">
        <f t="array" ref="C148">IFERROR(IF(VLOOKUP($E148,Avaluacio[],COLUMN(Avaluacio[Codi ítem]),FALSE)=$E148,'1_Plantejament'!$B$10,""),"")</f>
        <v/>
      </c>
      <c r="D148" s="6" t="str">
        <f t="array" ref="D148">IFERROR(IF(VLOOKUP($E148,Avaluacio[],COLUMN(Avaluacio[Codi ítem]),FALSE)=$E148,'1_Plantejament'!$B$7,""),"")</f>
        <v/>
      </c>
      <c r="E148" s="6" t="str">
        <f t="array" ref="E148">IFERROR(INDEX(Avaluacio[Codi ítem],(MATCH(0,INDEX(COUNTIF(E$1:E147,Avaluacio[Codi ítem]),0,0)+INDEX(Avaluacio[Avaluable]="No",0,0),0))),"")</f>
        <v/>
      </c>
      <c r="F148" s="45" t="str">
        <f t="array" ref="F148">IFERROR(VLOOKUP(E148,Avaluacio[],COLUMN(Avaluacio[Ítem]),FALSE),"")</f>
        <v/>
      </c>
      <c r="G148" t="str">
        <f t="array" ref="G148">IFERROR(VLOOKUP(E148,Avaluacio[],COLUMN(Avaluacio[Família]),FALSE),"")</f>
        <v/>
      </c>
      <c r="H148" t="str">
        <f t="array" ref="H148">IFERROR(VLOOKUP(E148,Avaluacio[],COLUMN(Avaluacio[Subfamília]),FALSE),"")</f>
        <v/>
      </c>
      <c r="I148" s="6" t="str">
        <f t="array" ref="I148">IFERROR(VLOOKUP(E148,Avaluacio[],COLUMN(Avaluacio[Contingut]),FALSE),"")</f>
        <v/>
      </c>
      <c r="J148" s="6" t="str">
        <f t="array" ref="J148">IFERROR(VLOOKUP(E148,Avaluacio[],COLUMN(Avaluacio[Actualització]),FALSE),"")</f>
        <v/>
      </c>
      <c r="K148" s="6" t="str">
        <f t="array" ref="K148">IFERROR(VLOOKUP(E148,Avaluacio[],COLUMN(#REF!),FALSE),"")</f>
        <v/>
      </c>
      <c r="L148" t="str">
        <f t="array" ref="L148">IFERROR(VLOOKUP(E148,Avaluacio[],COLUMN(Avaluacio[Grau de compliment]),FALSE),"")</f>
        <v/>
      </c>
      <c r="M148" s="8" t="str">
        <f t="array" ref="M148">IFERROR(VLOOKUP(E148,Avaluacio[],COLUMN(Avaluacio[% compliment]),FALSE),"")</f>
        <v/>
      </c>
    </row>
  </sheetData>
  <sheetProtection algorithmName="SHA-512" hashValue="tlhV5k4FntM+tEKcpX8lh2JStm9mek6wwe2MevaTkcyYuzcVRlpDvUQfuEtNuPfA3ielxwPN+iVWbGOAXGzdvg==" saltValue="aBKXtmSQuO+HaZuncxojeQ==" spinCount="100000" sheet="1" objects="1" scenarios="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9"/>
  <sheetViews>
    <sheetView zoomScaleNormal="100" workbookViewId="0"/>
  </sheetViews>
  <sheetFormatPr baseColWidth="10" defaultColWidth="28.5" defaultRowHeight="10.199999999999999" x14ac:dyDescent="0.25"/>
  <cols>
    <col min="1" max="1" width="7.5" style="4" bestFit="1" customWidth="1"/>
    <col min="2" max="2" width="5.69921875" style="33" bestFit="1" customWidth="1"/>
    <col min="3" max="4" width="16.5" style="2" customWidth="1"/>
    <col min="5" max="5" width="20.5" style="2" customWidth="1"/>
    <col min="6" max="6" width="7.5" style="30" customWidth="1"/>
    <col min="7" max="8" width="17.3984375" style="2" customWidth="1"/>
    <col min="9" max="9" width="8.19921875" style="5" customWidth="1"/>
    <col min="10" max="10" width="28.5" style="3" customWidth="1"/>
    <col min="11" max="11" width="10.3984375" style="5" customWidth="1"/>
    <col min="12" max="13" width="10.3984375" style="4" customWidth="1"/>
    <col min="14" max="14" width="10.3984375" style="3" customWidth="1"/>
    <col min="15" max="15" width="7.69921875" style="3" bestFit="1" customWidth="1"/>
    <col min="16" max="16" width="32.19921875" style="3" customWidth="1"/>
    <col min="17" max="17" width="32.19921875" style="2" customWidth="1"/>
    <col min="18" max="20" width="20.69921875" style="3" customWidth="1"/>
    <col min="21" max="21" width="32.19921875" style="2" customWidth="1"/>
    <col min="22" max="22" width="47.19921875" style="3" customWidth="1"/>
    <col min="23" max="30" width="9.59765625" style="4" customWidth="1"/>
    <col min="31" max="34" width="28.5" style="25" customWidth="1"/>
    <col min="35" max="16384" width="28.5" style="3"/>
  </cols>
  <sheetData>
    <row r="1" spans="1:34" s="24" customFormat="1" ht="30.6" x14ac:dyDescent="0.25">
      <c r="A1" s="34" t="s">
        <v>649</v>
      </c>
      <c r="B1" s="34" t="s">
        <v>933</v>
      </c>
      <c r="C1" s="35" t="s">
        <v>651</v>
      </c>
      <c r="D1" s="35" t="s">
        <v>652</v>
      </c>
      <c r="E1" s="35" t="s">
        <v>887</v>
      </c>
      <c r="F1" s="28" t="s">
        <v>946</v>
      </c>
      <c r="G1" s="35" t="s">
        <v>949</v>
      </c>
      <c r="H1" s="26" t="s">
        <v>888</v>
      </c>
      <c r="I1" s="34" t="s">
        <v>940</v>
      </c>
      <c r="J1" s="26" t="s">
        <v>560</v>
      </c>
      <c r="K1" s="34" t="s">
        <v>619</v>
      </c>
      <c r="L1" s="34" t="s">
        <v>952</v>
      </c>
      <c r="M1" s="34" t="s">
        <v>951</v>
      </c>
      <c r="N1" s="35" t="s">
        <v>943</v>
      </c>
      <c r="O1" s="34" t="s">
        <v>1223</v>
      </c>
      <c r="P1" s="26" t="s">
        <v>1208</v>
      </c>
      <c r="Q1" s="26" t="s">
        <v>1209</v>
      </c>
      <c r="R1" s="26" t="s">
        <v>1210</v>
      </c>
      <c r="S1" s="26" t="s">
        <v>1211</v>
      </c>
      <c r="T1" s="26" t="s">
        <v>0</v>
      </c>
      <c r="U1" s="26" t="s">
        <v>1</v>
      </c>
      <c r="V1" s="35" t="s">
        <v>950</v>
      </c>
      <c r="W1" s="34" t="s">
        <v>656</v>
      </c>
      <c r="X1" s="34" t="s">
        <v>657</v>
      </c>
      <c r="Y1" s="34" t="s">
        <v>658</v>
      </c>
      <c r="Z1" s="34" t="s">
        <v>659</v>
      </c>
      <c r="AA1" s="34" t="s">
        <v>660</v>
      </c>
      <c r="AB1" s="34" t="s">
        <v>661</v>
      </c>
      <c r="AC1" s="34" t="s">
        <v>662</v>
      </c>
      <c r="AD1" s="34" t="s">
        <v>663</v>
      </c>
      <c r="AE1" s="27" t="s">
        <v>953</v>
      </c>
      <c r="AF1" s="27" t="s">
        <v>954</v>
      </c>
      <c r="AG1" s="27" t="s">
        <v>955</v>
      </c>
      <c r="AH1" s="27" t="s">
        <v>956</v>
      </c>
    </row>
    <row r="2" spans="1:34" ht="40.799999999999997" x14ac:dyDescent="0.25">
      <c r="A2" s="28" t="s">
        <v>957</v>
      </c>
      <c r="B2" s="31" t="s">
        <v>624</v>
      </c>
      <c r="C2" s="26" t="s">
        <v>28</v>
      </c>
      <c r="D2" s="26" t="s">
        <v>29</v>
      </c>
      <c r="E2" s="29" t="s">
        <v>129</v>
      </c>
      <c r="F2" s="28" t="s">
        <v>130</v>
      </c>
      <c r="G2" s="26" t="s">
        <v>24</v>
      </c>
      <c r="H2" s="26" t="s">
        <v>889</v>
      </c>
      <c r="I2" s="32">
        <f>(Metodologia[[#This Row],[Visites]]*0.15)/MAX(Metodologia[Visites])</f>
        <v>7.0557712971515817E-3</v>
      </c>
      <c r="J2" s="26" t="s">
        <v>561</v>
      </c>
      <c r="K2" s="28" t="s">
        <v>620</v>
      </c>
      <c r="L2" s="28" t="s">
        <v>620</v>
      </c>
      <c r="M2" s="28" t="s">
        <v>621</v>
      </c>
      <c r="N2" s="26" t="s">
        <v>644</v>
      </c>
      <c r="O2" s="47">
        <v>19962</v>
      </c>
      <c r="P2" s="26"/>
      <c r="Q2" s="26" t="s">
        <v>54</v>
      </c>
      <c r="R2" s="26" t="s">
        <v>131</v>
      </c>
      <c r="S2" s="26" t="s">
        <v>1121</v>
      </c>
      <c r="T2" s="26" t="s">
        <v>1122</v>
      </c>
      <c r="U2" s="26"/>
      <c r="V2" s="26" t="s">
        <v>132</v>
      </c>
      <c r="W2" s="28" t="s">
        <v>620</v>
      </c>
      <c r="X2" s="28" t="s">
        <v>620</v>
      </c>
      <c r="Y2" s="28" t="s">
        <v>620</v>
      </c>
      <c r="Z2" s="28" t="s">
        <v>620</v>
      </c>
      <c r="AA2" s="28" t="s">
        <v>620</v>
      </c>
      <c r="AB2" s="28" t="s">
        <v>620</v>
      </c>
      <c r="AC2" s="28" t="s">
        <v>620</v>
      </c>
      <c r="AD2" s="28" t="s">
        <v>620</v>
      </c>
      <c r="AE2" s="27" t="s">
        <v>664</v>
      </c>
      <c r="AF2" s="27" t="s">
        <v>665</v>
      </c>
      <c r="AG2" s="27" t="s">
        <v>666</v>
      </c>
      <c r="AH2" s="27" t="s">
        <v>631</v>
      </c>
    </row>
    <row r="3" spans="1:34" ht="40.799999999999997" x14ac:dyDescent="0.25">
      <c r="A3" s="28" t="s">
        <v>958</v>
      </c>
      <c r="B3" s="31" t="s">
        <v>624</v>
      </c>
      <c r="C3" s="26" t="s">
        <v>28</v>
      </c>
      <c r="D3" s="26" t="s">
        <v>29</v>
      </c>
      <c r="E3" s="29" t="s">
        <v>385</v>
      </c>
      <c r="F3" s="28" t="s">
        <v>386</v>
      </c>
      <c r="G3" s="26" t="s">
        <v>24</v>
      </c>
      <c r="H3" s="26" t="s">
        <v>889</v>
      </c>
      <c r="I3" s="32">
        <f>(Metodologia[[#This Row],[Visites]]*0.15)/MAX(Metodologia[Visites])</f>
        <v>1.5185707957094651E-2</v>
      </c>
      <c r="J3" s="26" t="s">
        <v>561</v>
      </c>
      <c r="K3" s="28" t="s">
        <v>620</v>
      </c>
      <c r="L3" s="28" t="s">
        <v>620</v>
      </c>
      <c r="M3" s="28" t="s">
        <v>620</v>
      </c>
      <c r="N3" s="26" t="s">
        <v>644</v>
      </c>
      <c r="O3" s="47">
        <v>42963</v>
      </c>
      <c r="P3" s="26"/>
      <c r="Q3" s="26" t="s">
        <v>54</v>
      </c>
      <c r="R3" s="26" t="s">
        <v>109</v>
      </c>
      <c r="S3" s="26" t="s">
        <v>1121</v>
      </c>
      <c r="T3" s="26" t="s">
        <v>1122</v>
      </c>
      <c r="U3" s="26"/>
      <c r="V3" s="26" t="s">
        <v>387</v>
      </c>
      <c r="W3" s="28" t="s">
        <v>620</v>
      </c>
      <c r="X3" s="28" t="s">
        <v>620</v>
      </c>
      <c r="Y3" s="28" t="s">
        <v>620</v>
      </c>
      <c r="Z3" s="28" t="s">
        <v>620</v>
      </c>
      <c r="AA3" s="28" t="s">
        <v>620</v>
      </c>
      <c r="AB3" s="28" t="s">
        <v>620</v>
      </c>
      <c r="AC3" s="28" t="s">
        <v>620</v>
      </c>
      <c r="AD3" s="28" t="s">
        <v>620</v>
      </c>
      <c r="AE3" s="27" t="s">
        <v>667</v>
      </c>
      <c r="AF3" s="27" t="s">
        <v>668</v>
      </c>
      <c r="AG3" s="27" t="s">
        <v>669</v>
      </c>
      <c r="AH3" s="27" t="s">
        <v>631</v>
      </c>
    </row>
    <row r="4" spans="1:34" ht="40.799999999999997" x14ac:dyDescent="0.25">
      <c r="A4" s="28" t="s">
        <v>959</v>
      </c>
      <c r="B4" s="31" t="s">
        <v>622</v>
      </c>
      <c r="C4" s="26" t="s">
        <v>28</v>
      </c>
      <c r="D4" s="26" t="s">
        <v>29</v>
      </c>
      <c r="E4" s="29" t="s">
        <v>392</v>
      </c>
      <c r="F4" s="28" t="s">
        <v>389</v>
      </c>
      <c r="G4" s="26" t="s">
        <v>20</v>
      </c>
      <c r="H4" s="26" t="s">
        <v>947</v>
      </c>
      <c r="I4" s="32">
        <f>(Metodologia[[#This Row],[Visites]]*0.15)/MAX(Metodologia[Visites])</f>
        <v>1.5700699379795275E-3</v>
      </c>
      <c r="J4" s="26" t="s">
        <v>562</v>
      </c>
      <c r="K4" s="28" t="s">
        <v>620</v>
      </c>
      <c r="L4" s="28" t="s">
        <v>621</v>
      </c>
      <c r="M4" s="28" t="s">
        <v>620</v>
      </c>
      <c r="N4" s="26" t="s">
        <v>644</v>
      </c>
      <c r="O4" s="47">
        <v>4442</v>
      </c>
      <c r="P4" s="26" t="s">
        <v>1123</v>
      </c>
      <c r="Q4" s="26" t="s">
        <v>54</v>
      </c>
      <c r="R4" s="26" t="s">
        <v>109</v>
      </c>
      <c r="S4" s="26" t="s">
        <v>1121</v>
      </c>
      <c r="T4" s="26" t="s">
        <v>1124</v>
      </c>
      <c r="U4" s="26"/>
      <c r="V4" s="26" t="s">
        <v>391</v>
      </c>
      <c r="W4" s="28" t="s">
        <v>620</v>
      </c>
      <c r="X4" s="28" t="s">
        <v>620</v>
      </c>
      <c r="Y4" s="28" t="s">
        <v>620</v>
      </c>
      <c r="Z4" s="28" t="s">
        <v>621</v>
      </c>
      <c r="AA4" s="28" t="s">
        <v>621</v>
      </c>
      <c r="AB4" s="28" t="s">
        <v>621</v>
      </c>
      <c r="AC4" s="28" t="s">
        <v>621</v>
      </c>
      <c r="AD4" s="28" t="s">
        <v>621</v>
      </c>
      <c r="AE4" s="27" t="s">
        <v>670</v>
      </c>
      <c r="AF4" s="27" t="s">
        <v>671</v>
      </c>
      <c r="AG4" s="27" t="s">
        <v>672</v>
      </c>
      <c r="AH4" s="27" t="s">
        <v>633</v>
      </c>
    </row>
    <row r="5" spans="1:34" ht="40.799999999999997" x14ac:dyDescent="0.25">
      <c r="A5" s="28" t="s">
        <v>960</v>
      </c>
      <c r="B5" s="31" t="s">
        <v>622</v>
      </c>
      <c r="C5" s="26" t="s">
        <v>28</v>
      </c>
      <c r="D5" s="26" t="s">
        <v>29</v>
      </c>
      <c r="E5" s="29" t="s">
        <v>388</v>
      </c>
      <c r="F5" s="28" t="s">
        <v>389</v>
      </c>
      <c r="G5" s="26" t="s">
        <v>20</v>
      </c>
      <c r="H5" s="26" t="s">
        <v>890</v>
      </c>
      <c r="I5" s="32">
        <f>(Metodologia[[#This Row],[Visites]]*0.15)/MAX(Metodologia[Visites])</f>
        <v>1.0345778272098328E-3</v>
      </c>
      <c r="J5" s="26"/>
      <c r="K5" s="28" t="s">
        <v>620</v>
      </c>
      <c r="L5" s="28" t="s">
        <v>620</v>
      </c>
      <c r="M5" s="28" t="s">
        <v>620</v>
      </c>
      <c r="N5" s="26" t="s">
        <v>644</v>
      </c>
      <c r="O5" s="47">
        <v>2927</v>
      </c>
      <c r="P5" s="26" t="s">
        <v>1123</v>
      </c>
      <c r="Q5" s="26" t="s">
        <v>54</v>
      </c>
      <c r="R5" s="26" t="s">
        <v>390</v>
      </c>
      <c r="S5" s="26" t="s">
        <v>1121</v>
      </c>
      <c r="T5" s="26" t="s">
        <v>1124</v>
      </c>
      <c r="U5" s="26"/>
      <c r="V5" s="26" t="s">
        <v>391</v>
      </c>
      <c r="W5" s="28" t="s">
        <v>620</v>
      </c>
      <c r="X5" s="28" t="s">
        <v>620</v>
      </c>
      <c r="Y5" s="28" t="s">
        <v>620</v>
      </c>
      <c r="Z5" s="28" t="s">
        <v>620</v>
      </c>
      <c r="AA5" s="28" t="s">
        <v>620</v>
      </c>
      <c r="AB5" s="28" t="s">
        <v>620</v>
      </c>
      <c r="AC5" s="28" t="s">
        <v>620</v>
      </c>
      <c r="AD5" s="28" t="s">
        <v>620</v>
      </c>
      <c r="AE5" s="27" t="s">
        <v>670</v>
      </c>
      <c r="AF5" s="27" t="s">
        <v>671</v>
      </c>
      <c r="AG5" s="27" t="s">
        <v>672</v>
      </c>
      <c r="AH5" s="27" t="s">
        <v>633</v>
      </c>
    </row>
    <row r="6" spans="1:34" ht="40.799999999999997" x14ac:dyDescent="0.25">
      <c r="A6" s="28" t="s">
        <v>961</v>
      </c>
      <c r="B6" s="31" t="s">
        <v>622</v>
      </c>
      <c r="C6" s="26" t="s">
        <v>28</v>
      </c>
      <c r="D6" s="26" t="s">
        <v>29</v>
      </c>
      <c r="E6" s="29" t="s">
        <v>393</v>
      </c>
      <c r="F6" s="28" t="s">
        <v>389</v>
      </c>
      <c r="G6" s="26" t="s">
        <v>20</v>
      </c>
      <c r="H6" s="26" t="s">
        <v>891</v>
      </c>
      <c r="I6" s="32">
        <f>(Metodologia[[#This Row],[Visites]]*0.15)/MAX(Metodologia[Visites])</f>
        <v>1.0939591305823139E-3</v>
      </c>
      <c r="J6" s="26" t="s">
        <v>561</v>
      </c>
      <c r="K6" s="28" t="s">
        <v>620</v>
      </c>
      <c r="L6" s="28" t="s">
        <v>621</v>
      </c>
      <c r="M6" s="28" t="s">
        <v>621</v>
      </c>
      <c r="N6" s="26" t="s">
        <v>644</v>
      </c>
      <c r="O6" s="47">
        <v>3095</v>
      </c>
      <c r="P6" s="26" t="s">
        <v>1123</v>
      </c>
      <c r="Q6" s="26" t="s">
        <v>54</v>
      </c>
      <c r="R6" s="26" t="s">
        <v>394</v>
      </c>
      <c r="S6" s="26" t="s">
        <v>1121</v>
      </c>
      <c r="T6" s="26" t="s">
        <v>1124</v>
      </c>
      <c r="U6" s="26"/>
      <c r="V6" s="26" t="s">
        <v>391</v>
      </c>
      <c r="W6" s="28" t="s">
        <v>621</v>
      </c>
      <c r="X6" s="28" t="s">
        <v>621</v>
      </c>
      <c r="Y6" s="28" t="s">
        <v>621</v>
      </c>
      <c r="Z6" s="28" t="s">
        <v>620</v>
      </c>
      <c r="AA6" s="28" t="s">
        <v>620</v>
      </c>
      <c r="AB6" s="28" t="s">
        <v>620</v>
      </c>
      <c r="AC6" s="28" t="s">
        <v>620</v>
      </c>
      <c r="AD6" s="28" t="s">
        <v>620</v>
      </c>
      <c r="AE6" s="27" t="s">
        <v>670</v>
      </c>
      <c r="AF6" s="27" t="s">
        <v>671</v>
      </c>
      <c r="AG6" s="27" t="s">
        <v>672</v>
      </c>
      <c r="AH6" s="27" t="s">
        <v>633</v>
      </c>
    </row>
    <row r="7" spans="1:34" ht="20.399999999999999" x14ac:dyDescent="0.25">
      <c r="A7" s="28" t="s">
        <v>963</v>
      </c>
      <c r="B7" s="31" t="s">
        <v>625</v>
      </c>
      <c r="C7" s="26" t="s">
        <v>28</v>
      </c>
      <c r="D7" s="26" t="s">
        <v>29</v>
      </c>
      <c r="E7" s="29" t="s">
        <v>40</v>
      </c>
      <c r="F7" s="28" t="s">
        <v>41</v>
      </c>
      <c r="G7" s="26" t="s">
        <v>6</v>
      </c>
      <c r="H7" s="26" t="s">
        <v>889</v>
      </c>
      <c r="I7" s="32">
        <f>(Metodologia[[#This Row],[Visites]]*0.15)/MAX(Metodologia[Visites])</f>
        <v>2.6841762964917902E-3</v>
      </c>
      <c r="J7" s="26"/>
      <c r="K7" s="28" t="s">
        <v>620</v>
      </c>
      <c r="L7" s="28" t="s">
        <v>620</v>
      </c>
      <c r="M7" s="28" t="s">
        <v>621</v>
      </c>
      <c r="N7" s="26" t="s">
        <v>634</v>
      </c>
      <c r="O7" s="47">
        <v>7594</v>
      </c>
      <c r="P7" s="26"/>
      <c r="Q7" s="26" t="s">
        <v>42</v>
      </c>
      <c r="R7" s="26" t="s">
        <v>43</v>
      </c>
      <c r="S7" s="26"/>
      <c r="T7" s="26" t="s">
        <v>44</v>
      </c>
      <c r="U7" s="26"/>
      <c r="V7" s="26" t="s">
        <v>1230</v>
      </c>
      <c r="W7" s="28" t="s">
        <v>620</v>
      </c>
      <c r="X7" s="28" t="s">
        <v>620</v>
      </c>
      <c r="Y7" s="28" t="s">
        <v>620</v>
      </c>
      <c r="Z7" s="28" t="s">
        <v>620</v>
      </c>
      <c r="AA7" s="28" t="s">
        <v>620</v>
      </c>
      <c r="AB7" s="28" t="s">
        <v>620</v>
      </c>
      <c r="AC7" s="28" t="s">
        <v>620</v>
      </c>
      <c r="AD7" s="28" t="s">
        <v>620</v>
      </c>
      <c r="AE7" s="27" t="s">
        <v>676</v>
      </c>
      <c r="AF7" s="27" t="s">
        <v>677</v>
      </c>
      <c r="AG7" s="27" t="s">
        <v>678</v>
      </c>
      <c r="AH7" s="27" t="s">
        <v>631</v>
      </c>
    </row>
    <row r="8" spans="1:34" ht="20.399999999999999" x14ac:dyDescent="0.25">
      <c r="A8" s="28" t="s">
        <v>964</v>
      </c>
      <c r="B8" s="31" t="s">
        <v>625</v>
      </c>
      <c r="C8" s="26" t="s">
        <v>28</v>
      </c>
      <c r="D8" s="26" t="s">
        <v>29</v>
      </c>
      <c r="E8" s="29" t="s">
        <v>490</v>
      </c>
      <c r="F8" s="28" t="s">
        <v>41</v>
      </c>
      <c r="G8" s="26" t="s">
        <v>6</v>
      </c>
      <c r="H8" s="26" t="s">
        <v>889</v>
      </c>
      <c r="I8" s="32">
        <f>(Metodologia[[#This Row],[Visites]]*0.15)/MAX(Metodologia[Visites])</f>
        <v>2.1094501102795634E-3</v>
      </c>
      <c r="J8" s="26"/>
      <c r="K8" s="28" t="s">
        <v>620</v>
      </c>
      <c r="L8" s="28" t="s">
        <v>620</v>
      </c>
      <c r="M8" s="28" t="s">
        <v>621</v>
      </c>
      <c r="N8" s="26" t="s">
        <v>634</v>
      </c>
      <c r="O8" s="47">
        <v>5968</v>
      </c>
      <c r="P8" s="26"/>
      <c r="Q8" s="26" t="s">
        <v>42</v>
      </c>
      <c r="R8" s="26" t="s">
        <v>1128</v>
      </c>
      <c r="S8" s="26"/>
      <c r="T8" s="26" t="s">
        <v>44</v>
      </c>
      <c r="U8" s="26"/>
      <c r="V8" s="26" t="s">
        <v>1129</v>
      </c>
      <c r="W8" s="28" t="s">
        <v>620</v>
      </c>
      <c r="X8" s="28" t="s">
        <v>620</v>
      </c>
      <c r="Y8" s="28" t="s">
        <v>620</v>
      </c>
      <c r="Z8" s="28" t="s">
        <v>620</v>
      </c>
      <c r="AA8" s="28" t="s">
        <v>620</v>
      </c>
      <c r="AB8" s="28" t="s">
        <v>620</v>
      </c>
      <c r="AC8" s="28" t="s">
        <v>620</v>
      </c>
      <c r="AD8" s="28" t="s">
        <v>620</v>
      </c>
      <c r="AE8" s="27" t="s">
        <v>679</v>
      </c>
      <c r="AF8" s="27" t="s">
        <v>680</v>
      </c>
      <c r="AG8" s="27" t="s">
        <v>681</v>
      </c>
      <c r="AH8" s="27" t="s">
        <v>631</v>
      </c>
    </row>
    <row r="9" spans="1:34" ht="20.399999999999999" x14ac:dyDescent="0.25">
      <c r="A9" s="28" t="s">
        <v>965</v>
      </c>
      <c r="B9" s="31" t="s">
        <v>625</v>
      </c>
      <c r="C9" s="26" t="s">
        <v>28</v>
      </c>
      <c r="D9" s="26" t="s">
        <v>29</v>
      </c>
      <c r="E9" s="29" t="s">
        <v>489</v>
      </c>
      <c r="F9" s="28" t="s">
        <v>41</v>
      </c>
      <c r="G9" s="26" t="s">
        <v>6</v>
      </c>
      <c r="H9" s="26" t="s">
        <v>889</v>
      </c>
      <c r="I9" s="32">
        <f>(Metodologia[[#This Row],[Visites]]*0.15)/MAX(Metodologia[Visites])</f>
        <v>3.170537447923539E-4</v>
      </c>
      <c r="J9" s="26"/>
      <c r="K9" s="28" t="s">
        <v>620</v>
      </c>
      <c r="L9" s="28" t="s">
        <v>621</v>
      </c>
      <c r="M9" s="28" t="s">
        <v>621</v>
      </c>
      <c r="N9" s="26" t="s">
        <v>634</v>
      </c>
      <c r="O9" s="47">
        <v>897</v>
      </c>
      <c r="P9" s="26"/>
      <c r="Q9" s="26" t="s">
        <v>42</v>
      </c>
      <c r="R9" s="26" t="s">
        <v>1128</v>
      </c>
      <c r="S9" s="26"/>
      <c r="T9" s="26" t="s">
        <v>44</v>
      </c>
      <c r="U9" s="26"/>
      <c r="V9" s="26" t="s">
        <v>1129</v>
      </c>
      <c r="W9" s="28" t="s">
        <v>620</v>
      </c>
      <c r="X9" s="28" t="s">
        <v>620</v>
      </c>
      <c r="Y9" s="28" t="s">
        <v>620</v>
      </c>
      <c r="Z9" s="28" t="s">
        <v>620</v>
      </c>
      <c r="AA9" s="28" t="s">
        <v>620</v>
      </c>
      <c r="AB9" s="28" t="s">
        <v>620</v>
      </c>
      <c r="AC9" s="28" t="s">
        <v>620</v>
      </c>
      <c r="AD9" s="28" t="s">
        <v>620</v>
      </c>
      <c r="AE9" s="27" t="s">
        <v>682</v>
      </c>
      <c r="AF9" s="27" t="s">
        <v>683</v>
      </c>
      <c r="AG9" s="27" t="s">
        <v>684</v>
      </c>
      <c r="AH9" s="27" t="s">
        <v>631</v>
      </c>
    </row>
    <row r="10" spans="1:34" ht="20.399999999999999" x14ac:dyDescent="0.25">
      <c r="A10" s="28" t="s">
        <v>966</v>
      </c>
      <c r="B10" s="31" t="s">
        <v>626</v>
      </c>
      <c r="C10" s="26" t="s">
        <v>28</v>
      </c>
      <c r="D10" s="26" t="s">
        <v>29</v>
      </c>
      <c r="E10" s="29" t="s">
        <v>30</v>
      </c>
      <c r="F10" s="28" t="s">
        <v>31</v>
      </c>
      <c r="G10" s="26" t="s">
        <v>24</v>
      </c>
      <c r="H10" s="26"/>
      <c r="I10" s="32">
        <f>(Metodologia[[#This Row],[Visites]]*0.15)/MAX(Metodologia[Visites])</f>
        <v>6.9069645785812582E-3</v>
      </c>
      <c r="J10" s="26"/>
      <c r="K10" s="28" t="s">
        <v>621</v>
      </c>
      <c r="L10" s="28" t="s">
        <v>621</v>
      </c>
      <c r="M10" s="28" t="s">
        <v>621</v>
      </c>
      <c r="N10" s="26" t="s">
        <v>632</v>
      </c>
      <c r="O10" s="47">
        <v>19541</v>
      </c>
      <c r="P10" s="26"/>
      <c r="Q10" s="26" t="s">
        <v>32</v>
      </c>
      <c r="R10" s="26"/>
      <c r="S10" s="26"/>
      <c r="T10" s="26"/>
      <c r="U10" s="26" t="s">
        <v>33</v>
      </c>
      <c r="V10" s="26" t="s">
        <v>34</v>
      </c>
      <c r="W10" s="28" t="s">
        <v>620</v>
      </c>
      <c r="X10" s="28" t="s">
        <v>1227</v>
      </c>
      <c r="Y10" s="28" t="s">
        <v>1227</v>
      </c>
      <c r="Z10" s="28" t="s">
        <v>1227</v>
      </c>
      <c r="AA10" s="28" t="s">
        <v>1227</v>
      </c>
      <c r="AB10" s="28" t="s">
        <v>1227</v>
      </c>
      <c r="AC10" s="28" t="s">
        <v>620</v>
      </c>
      <c r="AD10" s="28" t="s">
        <v>620</v>
      </c>
      <c r="AE10" s="27" t="s">
        <v>685</v>
      </c>
      <c r="AF10" s="27" t="s">
        <v>686</v>
      </c>
      <c r="AG10" s="27" t="s">
        <v>687</v>
      </c>
      <c r="AH10" s="27" t="s">
        <v>646</v>
      </c>
    </row>
    <row r="11" spans="1:34" ht="20.399999999999999" x14ac:dyDescent="0.25">
      <c r="A11" s="28" t="s">
        <v>967</v>
      </c>
      <c r="B11" s="31" t="s">
        <v>622</v>
      </c>
      <c r="C11" s="26" t="s">
        <v>28</v>
      </c>
      <c r="D11" s="26" t="s">
        <v>29</v>
      </c>
      <c r="E11" s="29" t="s">
        <v>196</v>
      </c>
      <c r="F11" s="28" t="s">
        <v>197</v>
      </c>
      <c r="G11" s="26" t="s">
        <v>20</v>
      </c>
      <c r="H11" s="26" t="s">
        <v>889</v>
      </c>
      <c r="I11" s="32">
        <f>(Metodologia[[#This Row],[Visites]]*0.15)/MAX(Metodologia[Visites])</f>
        <v>6.7740635662714198E-3</v>
      </c>
      <c r="J11" s="26"/>
      <c r="K11" s="28" t="s">
        <v>620</v>
      </c>
      <c r="L11" s="28" t="s">
        <v>621</v>
      </c>
      <c r="M11" s="28" t="s">
        <v>621</v>
      </c>
      <c r="N11" s="26" t="s">
        <v>632</v>
      </c>
      <c r="O11" s="47">
        <v>19165</v>
      </c>
      <c r="P11" s="26" t="s">
        <v>1123</v>
      </c>
      <c r="Q11" s="26" t="s">
        <v>54</v>
      </c>
      <c r="R11" s="26" t="s">
        <v>198</v>
      </c>
      <c r="S11" s="26"/>
      <c r="T11" s="26"/>
      <c r="U11" s="26"/>
      <c r="V11" s="26" t="s">
        <v>199</v>
      </c>
      <c r="W11" s="28" t="s">
        <v>620</v>
      </c>
      <c r="X11" s="28" t="s">
        <v>620</v>
      </c>
      <c r="Y11" s="28" t="s">
        <v>620</v>
      </c>
      <c r="Z11" s="28" t="s">
        <v>620</v>
      </c>
      <c r="AA11" s="28" t="s">
        <v>620</v>
      </c>
      <c r="AB11" s="28" t="s">
        <v>620</v>
      </c>
      <c r="AC11" s="28" t="s">
        <v>620</v>
      </c>
      <c r="AD11" s="28" t="s">
        <v>620</v>
      </c>
      <c r="AE11" s="27" t="s">
        <v>688</v>
      </c>
      <c r="AF11" s="27" t="s">
        <v>689</v>
      </c>
      <c r="AG11" s="27" t="s">
        <v>672</v>
      </c>
      <c r="AH11" s="27" t="s">
        <v>631</v>
      </c>
    </row>
    <row r="12" spans="1:34" ht="20.399999999999999" x14ac:dyDescent="0.25">
      <c r="A12" s="28" t="s">
        <v>968</v>
      </c>
      <c r="B12" s="31" t="s">
        <v>626</v>
      </c>
      <c r="C12" s="26" t="s">
        <v>28</v>
      </c>
      <c r="D12" s="26" t="s">
        <v>29</v>
      </c>
      <c r="E12" s="29" t="s">
        <v>299</v>
      </c>
      <c r="F12" s="28" t="s">
        <v>300</v>
      </c>
      <c r="G12" s="26" t="s">
        <v>24</v>
      </c>
      <c r="H12" s="26"/>
      <c r="I12" s="32">
        <f>(Metodologia[[#This Row],[Visites]]*0.15)/MAX(Metodologia[Visites])</f>
        <v>2.118993534035855E-3</v>
      </c>
      <c r="J12" s="26"/>
      <c r="K12" s="28" t="s">
        <v>621</v>
      </c>
      <c r="L12" s="28" t="s">
        <v>620</v>
      </c>
      <c r="M12" s="28" t="s">
        <v>621</v>
      </c>
      <c r="N12" s="26" t="s">
        <v>632</v>
      </c>
      <c r="O12" s="47">
        <v>5995</v>
      </c>
      <c r="P12" s="26"/>
      <c r="Q12" s="26" t="s">
        <v>54</v>
      </c>
      <c r="R12" s="26"/>
      <c r="S12" s="26"/>
      <c r="T12" s="26"/>
      <c r="U12" s="26" t="s">
        <v>33</v>
      </c>
      <c r="V12" s="26" t="s">
        <v>301</v>
      </c>
      <c r="W12" s="28" t="s">
        <v>620</v>
      </c>
      <c r="X12" s="28" t="s">
        <v>1227</v>
      </c>
      <c r="Y12" s="28" t="s">
        <v>1227</v>
      </c>
      <c r="Z12" s="28" t="s">
        <v>621</v>
      </c>
      <c r="AA12" s="28" t="s">
        <v>621</v>
      </c>
      <c r="AB12" s="28" t="s">
        <v>621</v>
      </c>
      <c r="AC12" s="28" t="s">
        <v>621</v>
      </c>
      <c r="AD12" s="28" t="s">
        <v>621</v>
      </c>
      <c r="AE12" s="27" t="s">
        <v>690</v>
      </c>
      <c r="AF12" s="27" t="s">
        <v>691</v>
      </c>
      <c r="AG12" s="27" t="s">
        <v>687</v>
      </c>
      <c r="AH12" s="27" t="s">
        <v>646</v>
      </c>
    </row>
    <row r="13" spans="1:34" ht="20.399999999999999" x14ac:dyDescent="0.25">
      <c r="A13" s="28" t="s">
        <v>969</v>
      </c>
      <c r="B13" s="31" t="s">
        <v>622</v>
      </c>
      <c r="C13" s="26" t="s">
        <v>28</v>
      </c>
      <c r="D13" s="26" t="s">
        <v>29</v>
      </c>
      <c r="E13" s="29" t="s">
        <v>291</v>
      </c>
      <c r="F13" s="28" t="s">
        <v>292</v>
      </c>
      <c r="G13" s="26" t="s">
        <v>20</v>
      </c>
      <c r="H13" s="26" t="s">
        <v>889</v>
      </c>
      <c r="I13" s="32">
        <f>(Metodologia[[#This Row],[Visites]]*0.15)/MAX(Metodologia[Visites])</f>
        <v>3.3228787678850828E-3</v>
      </c>
      <c r="J13" s="26"/>
      <c r="K13" s="28" t="s">
        <v>620</v>
      </c>
      <c r="L13" s="28" t="s">
        <v>620</v>
      </c>
      <c r="M13" s="28" t="s">
        <v>620</v>
      </c>
      <c r="N13" s="26" t="s">
        <v>632</v>
      </c>
      <c r="O13" s="47">
        <v>9401</v>
      </c>
      <c r="P13" s="26" t="s">
        <v>1123</v>
      </c>
      <c r="Q13" s="26" t="s">
        <v>54</v>
      </c>
      <c r="R13" s="26" t="s">
        <v>293</v>
      </c>
      <c r="S13" s="26"/>
      <c r="T13" s="26"/>
      <c r="U13" s="26"/>
      <c r="V13" s="26" t="s">
        <v>294</v>
      </c>
      <c r="W13" s="28" t="s">
        <v>620</v>
      </c>
      <c r="X13" s="28" t="s">
        <v>621</v>
      </c>
      <c r="Y13" s="28" t="s">
        <v>621</v>
      </c>
      <c r="Z13" s="28" t="s">
        <v>621</v>
      </c>
      <c r="AA13" s="28" t="s">
        <v>621</v>
      </c>
      <c r="AB13" s="28" t="s">
        <v>621</v>
      </c>
      <c r="AC13" s="28" t="s">
        <v>621</v>
      </c>
      <c r="AD13" s="28" t="s">
        <v>621</v>
      </c>
      <c r="AE13" s="27" t="s">
        <v>688</v>
      </c>
      <c r="AF13" s="27" t="s">
        <v>689</v>
      </c>
      <c r="AG13" s="27" t="s">
        <v>672</v>
      </c>
      <c r="AH13" s="27" t="s">
        <v>631</v>
      </c>
    </row>
    <row r="14" spans="1:34" ht="20.399999999999999" x14ac:dyDescent="0.25">
      <c r="A14" s="28" t="s">
        <v>970</v>
      </c>
      <c r="B14" s="31" t="s">
        <v>622</v>
      </c>
      <c r="C14" s="26" t="s">
        <v>28</v>
      </c>
      <c r="D14" s="26" t="s">
        <v>29</v>
      </c>
      <c r="E14" s="29" t="s">
        <v>192</v>
      </c>
      <c r="F14" s="28" t="s">
        <v>193</v>
      </c>
      <c r="G14" s="26" t="s">
        <v>96</v>
      </c>
      <c r="H14" s="26" t="s">
        <v>889</v>
      </c>
      <c r="I14" s="32">
        <f>(Metodologia[[#This Row],[Visites]]*0.15)/MAX(Metodologia[Visites])</f>
        <v>1.6425292664995193E-3</v>
      </c>
      <c r="J14" s="26"/>
      <c r="K14" s="28" t="s">
        <v>620</v>
      </c>
      <c r="L14" s="28" t="s">
        <v>621</v>
      </c>
      <c r="M14" s="28" t="s">
        <v>620</v>
      </c>
      <c r="N14" s="26" t="s">
        <v>632</v>
      </c>
      <c r="O14" s="47">
        <v>4647</v>
      </c>
      <c r="P14" s="26" t="s">
        <v>1130</v>
      </c>
      <c r="Q14" s="26" t="s">
        <v>7</v>
      </c>
      <c r="R14" s="26" t="s">
        <v>194</v>
      </c>
      <c r="S14" s="26" t="s">
        <v>1131</v>
      </c>
      <c r="T14" s="26"/>
      <c r="U14" s="26"/>
      <c r="V14" s="26" t="s">
        <v>195</v>
      </c>
      <c r="W14" s="28" t="s">
        <v>620</v>
      </c>
      <c r="X14" s="28" t="s">
        <v>620</v>
      </c>
      <c r="Y14" s="28" t="s">
        <v>620</v>
      </c>
      <c r="Z14" s="28" t="s">
        <v>620</v>
      </c>
      <c r="AA14" s="28" t="s">
        <v>620</v>
      </c>
      <c r="AB14" s="28" t="s">
        <v>620</v>
      </c>
      <c r="AC14" s="28" t="s">
        <v>620</v>
      </c>
      <c r="AD14" s="28" t="s">
        <v>620</v>
      </c>
      <c r="AE14" s="27" t="s">
        <v>688</v>
      </c>
      <c r="AF14" s="27" t="s">
        <v>689</v>
      </c>
      <c r="AG14" s="27" t="s">
        <v>672</v>
      </c>
      <c r="AH14" s="27" t="s">
        <v>631</v>
      </c>
    </row>
    <row r="15" spans="1:34" ht="30.6" x14ac:dyDescent="0.25">
      <c r="A15" s="28" t="s">
        <v>971</v>
      </c>
      <c r="B15" s="31" t="s">
        <v>626</v>
      </c>
      <c r="C15" s="26" t="s">
        <v>28</v>
      </c>
      <c r="D15" s="26" t="s">
        <v>29</v>
      </c>
      <c r="E15" s="29" t="s">
        <v>450</v>
      </c>
      <c r="F15" s="28" t="s">
        <v>451</v>
      </c>
      <c r="G15" s="26" t="s">
        <v>20</v>
      </c>
      <c r="H15" s="26" t="s">
        <v>892</v>
      </c>
      <c r="I15" s="32">
        <f>(Metodologia[[#This Row],[Visites]]*0.15)/MAX(Metodologia[Visites])</f>
        <v>8.4724395347522013E-4</v>
      </c>
      <c r="J15" s="26" t="s">
        <v>564</v>
      </c>
      <c r="K15" s="28" t="s">
        <v>621</v>
      </c>
      <c r="L15" s="28" t="s">
        <v>620</v>
      </c>
      <c r="M15" s="28" t="s">
        <v>621</v>
      </c>
      <c r="N15" s="26" t="s">
        <v>632</v>
      </c>
      <c r="O15" s="47">
        <v>2397</v>
      </c>
      <c r="P15" s="26" t="s">
        <v>1132</v>
      </c>
      <c r="Q15" s="26" t="s">
        <v>54</v>
      </c>
      <c r="R15" s="26"/>
      <c r="S15" s="26"/>
      <c r="T15" s="26"/>
      <c r="U15" s="26" t="s">
        <v>452</v>
      </c>
      <c r="V15" s="26" t="s">
        <v>453</v>
      </c>
      <c r="W15" s="28" t="s">
        <v>620</v>
      </c>
      <c r="X15" s="28" t="s">
        <v>621</v>
      </c>
      <c r="Y15" s="28" t="s">
        <v>621</v>
      </c>
      <c r="Z15" s="28" t="s">
        <v>621</v>
      </c>
      <c r="AA15" s="28" t="s">
        <v>621</v>
      </c>
      <c r="AB15" s="28" t="s">
        <v>621</v>
      </c>
      <c r="AC15" s="28" t="s">
        <v>621</v>
      </c>
      <c r="AD15" s="28" t="s">
        <v>620</v>
      </c>
      <c r="AE15" s="27" t="s">
        <v>670</v>
      </c>
      <c r="AF15" s="27" t="s">
        <v>692</v>
      </c>
      <c r="AG15" s="27" t="s">
        <v>672</v>
      </c>
      <c r="AH15" s="27" t="s">
        <v>631</v>
      </c>
    </row>
    <row r="16" spans="1:34" ht="51" x14ac:dyDescent="0.25">
      <c r="A16" s="28" t="s">
        <v>972</v>
      </c>
      <c r="B16" s="31" t="s">
        <v>624</v>
      </c>
      <c r="C16" s="26" t="s">
        <v>28</v>
      </c>
      <c r="D16" s="26" t="s">
        <v>29</v>
      </c>
      <c r="E16" s="29" t="s">
        <v>302</v>
      </c>
      <c r="F16" s="28" t="s">
        <v>303</v>
      </c>
      <c r="G16" s="26" t="s">
        <v>24</v>
      </c>
      <c r="H16" s="26" t="s">
        <v>893</v>
      </c>
      <c r="I16" s="32">
        <f>(Metodologia[[#This Row],[Visites]]*0.15)/MAX(Metodologia[Visites])</f>
        <v>3.1033800214903763E-4</v>
      </c>
      <c r="J16" s="26"/>
      <c r="K16" s="28" t="s">
        <v>620</v>
      </c>
      <c r="L16" s="28" t="s">
        <v>621</v>
      </c>
      <c r="M16" s="28" t="s">
        <v>621</v>
      </c>
      <c r="N16" s="26" t="s">
        <v>632</v>
      </c>
      <c r="O16" s="47">
        <v>878</v>
      </c>
      <c r="P16" s="26"/>
      <c r="Q16" s="26" t="s">
        <v>54</v>
      </c>
      <c r="R16" s="26" t="s">
        <v>1133</v>
      </c>
      <c r="S16" s="26"/>
      <c r="T16" s="26" t="s">
        <v>304</v>
      </c>
      <c r="U16" s="26"/>
      <c r="V16" s="26" t="s">
        <v>305</v>
      </c>
      <c r="W16" s="28" t="s">
        <v>620</v>
      </c>
      <c r="X16" s="28" t="s">
        <v>621</v>
      </c>
      <c r="Y16" s="28" t="s">
        <v>621</v>
      </c>
      <c r="Z16" s="28" t="s">
        <v>621</v>
      </c>
      <c r="AA16" s="28" t="s">
        <v>621</v>
      </c>
      <c r="AB16" s="28" t="s">
        <v>621</v>
      </c>
      <c r="AC16" s="28" t="s">
        <v>621</v>
      </c>
      <c r="AD16" s="28" t="s">
        <v>621</v>
      </c>
      <c r="AE16" s="27" t="s">
        <v>693</v>
      </c>
      <c r="AF16" s="27" t="s">
        <v>694</v>
      </c>
      <c r="AG16" s="27" t="s">
        <v>669</v>
      </c>
      <c r="AH16" s="27" t="s">
        <v>633</v>
      </c>
    </row>
    <row r="17" spans="1:34" ht="30.6" x14ac:dyDescent="0.25">
      <c r="A17" s="28" t="s">
        <v>973</v>
      </c>
      <c r="B17" s="31" t="s">
        <v>622</v>
      </c>
      <c r="C17" s="26" t="s">
        <v>28</v>
      </c>
      <c r="D17" s="26" t="s">
        <v>58</v>
      </c>
      <c r="E17" s="29" t="s">
        <v>107</v>
      </c>
      <c r="F17" s="28" t="s">
        <v>108</v>
      </c>
      <c r="G17" s="26" t="s">
        <v>1106</v>
      </c>
      <c r="H17" s="26" t="s">
        <v>889</v>
      </c>
      <c r="I17" s="32">
        <f>(Metodologia[[#This Row],[Visites]]*0.15)/MAX(Metodologia[Visites])</f>
        <v>3.6570399834109368E-2</v>
      </c>
      <c r="J17" s="26" t="s">
        <v>561</v>
      </c>
      <c r="K17" s="28" t="s">
        <v>620</v>
      </c>
      <c r="L17" s="28" t="s">
        <v>620</v>
      </c>
      <c r="M17" s="28" t="s">
        <v>620</v>
      </c>
      <c r="N17" s="26" t="s">
        <v>632</v>
      </c>
      <c r="O17" s="47">
        <v>103464</v>
      </c>
      <c r="P17" s="26" t="s">
        <v>1134</v>
      </c>
      <c r="Q17" s="26" t="s">
        <v>54</v>
      </c>
      <c r="R17" s="26" t="s">
        <v>109</v>
      </c>
      <c r="S17" s="26" t="s">
        <v>1121</v>
      </c>
      <c r="T17" s="26"/>
      <c r="U17" s="26"/>
      <c r="V17" s="26" t="s">
        <v>110</v>
      </c>
      <c r="W17" s="28" t="s">
        <v>620</v>
      </c>
      <c r="X17" s="28" t="s">
        <v>621</v>
      </c>
      <c r="Y17" s="28" t="s">
        <v>621</v>
      </c>
      <c r="Z17" s="28" t="s">
        <v>621</v>
      </c>
      <c r="AA17" s="28" t="s">
        <v>621</v>
      </c>
      <c r="AB17" s="28" t="s">
        <v>621</v>
      </c>
      <c r="AC17" s="28" t="s">
        <v>621</v>
      </c>
      <c r="AD17" s="28" t="s">
        <v>620</v>
      </c>
      <c r="AE17" s="27" t="s">
        <v>695</v>
      </c>
      <c r="AF17" s="27" t="s">
        <v>696</v>
      </c>
      <c r="AG17" s="27" t="s">
        <v>672</v>
      </c>
      <c r="AH17" s="27" t="s">
        <v>631</v>
      </c>
    </row>
    <row r="18" spans="1:34" ht="40.799999999999997" x14ac:dyDescent="0.25">
      <c r="A18" s="28" t="s">
        <v>974</v>
      </c>
      <c r="B18" s="31" t="s">
        <v>622</v>
      </c>
      <c r="C18" s="26" t="s">
        <v>28</v>
      </c>
      <c r="D18" s="26" t="s">
        <v>58</v>
      </c>
      <c r="E18" s="29" t="s">
        <v>102</v>
      </c>
      <c r="F18" s="28" t="s">
        <v>103</v>
      </c>
      <c r="G18" s="26" t="s">
        <v>20</v>
      </c>
      <c r="H18" s="26" t="s">
        <v>889</v>
      </c>
      <c r="I18" s="32">
        <f>(Metodologia[[#This Row],[Visites]]*0.15)/MAX(Metodologia[Visites])</f>
        <v>0.10378932833147962</v>
      </c>
      <c r="J18" s="26" t="s">
        <v>561</v>
      </c>
      <c r="K18" s="28" t="s">
        <v>620</v>
      </c>
      <c r="L18" s="28" t="s">
        <v>620</v>
      </c>
      <c r="M18" s="28" t="s">
        <v>620</v>
      </c>
      <c r="N18" s="26" t="s">
        <v>644</v>
      </c>
      <c r="O18" s="47">
        <v>293638</v>
      </c>
      <c r="P18" s="26" t="s">
        <v>1134</v>
      </c>
      <c r="Q18" s="26" t="s">
        <v>54</v>
      </c>
      <c r="R18" s="26" t="s">
        <v>104</v>
      </c>
      <c r="S18" s="26" t="s">
        <v>1121</v>
      </c>
      <c r="T18" s="26" t="s">
        <v>105</v>
      </c>
      <c r="U18" s="26"/>
      <c r="V18" s="26" t="s">
        <v>106</v>
      </c>
      <c r="W18" s="28" t="s">
        <v>620</v>
      </c>
      <c r="X18" s="28" t="s">
        <v>621</v>
      </c>
      <c r="Y18" s="28" t="s">
        <v>621</v>
      </c>
      <c r="Z18" s="28" t="s">
        <v>621</v>
      </c>
      <c r="AA18" s="28" t="s">
        <v>621</v>
      </c>
      <c r="AB18" s="28" t="s">
        <v>621</v>
      </c>
      <c r="AC18" s="28" t="s">
        <v>621</v>
      </c>
      <c r="AD18" s="28" t="s">
        <v>621</v>
      </c>
      <c r="AE18" s="27" t="s">
        <v>697</v>
      </c>
      <c r="AF18" s="27" t="s">
        <v>698</v>
      </c>
      <c r="AG18" s="27" t="s">
        <v>699</v>
      </c>
      <c r="AH18" s="27" t="s">
        <v>631</v>
      </c>
    </row>
    <row r="19" spans="1:34" ht="30.6" x14ac:dyDescent="0.25">
      <c r="A19" s="28" t="s">
        <v>975</v>
      </c>
      <c r="B19" s="31" t="s">
        <v>622</v>
      </c>
      <c r="C19" s="26" t="s">
        <v>28</v>
      </c>
      <c r="D19" s="26" t="s">
        <v>58</v>
      </c>
      <c r="E19" s="29" t="s">
        <v>257</v>
      </c>
      <c r="F19" s="28" t="s">
        <v>258</v>
      </c>
      <c r="G19" s="26" t="s">
        <v>20</v>
      </c>
      <c r="H19" s="26" t="s">
        <v>894</v>
      </c>
      <c r="I19" s="32">
        <f>(Metodologia[[#This Row],[Visites]]*0.15)/MAX(Metodologia[Visites])</f>
        <v>1.911653816426942E-2</v>
      </c>
      <c r="J19" s="26" t="s">
        <v>565</v>
      </c>
      <c r="K19" s="28" t="s">
        <v>620</v>
      </c>
      <c r="L19" s="28" t="s">
        <v>620</v>
      </c>
      <c r="M19" s="28" t="s">
        <v>621</v>
      </c>
      <c r="N19" s="26" t="s">
        <v>632</v>
      </c>
      <c r="O19" s="47">
        <v>54084</v>
      </c>
      <c r="P19" s="26" t="s">
        <v>1134</v>
      </c>
      <c r="Q19" s="26" t="s">
        <v>54</v>
      </c>
      <c r="R19" s="26" t="s">
        <v>259</v>
      </c>
      <c r="S19" s="26" t="s">
        <v>1121</v>
      </c>
      <c r="T19" s="26"/>
      <c r="U19" s="26"/>
      <c r="V19" s="26" t="s">
        <v>260</v>
      </c>
      <c r="W19" s="28" t="s">
        <v>620</v>
      </c>
      <c r="X19" s="28" t="s">
        <v>621</v>
      </c>
      <c r="Y19" s="28" t="s">
        <v>621</v>
      </c>
      <c r="Z19" s="28" t="s">
        <v>621</v>
      </c>
      <c r="AA19" s="28" t="s">
        <v>621</v>
      </c>
      <c r="AB19" s="28" t="s">
        <v>621</v>
      </c>
      <c r="AC19" s="28" t="s">
        <v>621</v>
      </c>
      <c r="AD19" s="28" t="s">
        <v>621</v>
      </c>
      <c r="AE19" s="27" t="s">
        <v>700</v>
      </c>
      <c r="AF19" s="27" t="s">
        <v>701</v>
      </c>
      <c r="AG19" s="27" t="s">
        <v>702</v>
      </c>
      <c r="AH19" s="27" t="s">
        <v>631</v>
      </c>
    </row>
    <row r="20" spans="1:34" ht="40.799999999999997" x14ac:dyDescent="0.25">
      <c r="A20" s="28" t="s">
        <v>976</v>
      </c>
      <c r="B20" s="31" t="s">
        <v>623</v>
      </c>
      <c r="C20" s="26" t="s">
        <v>28</v>
      </c>
      <c r="D20" s="26" t="s">
        <v>58</v>
      </c>
      <c r="E20" s="29" t="s">
        <v>400</v>
      </c>
      <c r="F20" s="28" t="s">
        <v>401</v>
      </c>
      <c r="G20" s="26" t="s">
        <v>6</v>
      </c>
      <c r="H20" s="26" t="s">
        <v>889</v>
      </c>
      <c r="I20" s="32">
        <f>(Metodologia[[#This Row],[Visites]]*0.15)/MAX(Metodologia[Visites])</f>
        <v>1.6333039568684374E-2</v>
      </c>
      <c r="J20" s="26"/>
      <c r="K20" s="28" t="s">
        <v>620</v>
      </c>
      <c r="L20" s="28" t="s">
        <v>620</v>
      </c>
      <c r="M20" s="28" t="s">
        <v>620</v>
      </c>
      <c r="N20" s="26" t="s">
        <v>644</v>
      </c>
      <c r="O20" s="47">
        <v>46209</v>
      </c>
      <c r="P20" s="26" t="s">
        <v>1134</v>
      </c>
      <c r="Q20" s="26" t="s">
        <v>54</v>
      </c>
      <c r="R20" s="26" t="s">
        <v>203</v>
      </c>
      <c r="S20" s="26" t="s">
        <v>1121</v>
      </c>
      <c r="T20" s="26" t="s">
        <v>1122</v>
      </c>
      <c r="U20" s="26"/>
      <c r="V20" s="26" t="s">
        <v>402</v>
      </c>
      <c r="W20" s="28" t="s">
        <v>620</v>
      </c>
      <c r="X20" s="28" t="s">
        <v>620</v>
      </c>
      <c r="Y20" s="28" t="s">
        <v>620</v>
      </c>
      <c r="Z20" s="28" t="s">
        <v>620</v>
      </c>
      <c r="AA20" s="28" t="s">
        <v>620</v>
      </c>
      <c r="AB20" s="28" t="s">
        <v>620</v>
      </c>
      <c r="AC20" s="28" t="s">
        <v>620</v>
      </c>
      <c r="AD20" s="28" t="s">
        <v>620</v>
      </c>
      <c r="AE20" s="27" t="s">
        <v>703</v>
      </c>
      <c r="AF20" s="27" t="s">
        <v>704</v>
      </c>
      <c r="AG20" s="27" t="s">
        <v>705</v>
      </c>
      <c r="AH20" s="27" t="s">
        <v>631</v>
      </c>
    </row>
    <row r="21" spans="1:34" ht="153" x14ac:dyDescent="0.25">
      <c r="A21" s="28" t="s">
        <v>977</v>
      </c>
      <c r="B21" s="31" t="s">
        <v>623</v>
      </c>
      <c r="C21" s="26" t="s">
        <v>28</v>
      </c>
      <c r="D21" s="26" t="s">
        <v>58</v>
      </c>
      <c r="E21" s="29" t="s">
        <v>59</v>
      </c>
      <c r="F21" s="28" t="s">
        <v>60</v>
      </c>
      <c r="G21" s="26" t="s">
        <v>6</v>
      </c>
      <c r="H21" s="26" t="s">
        <v>948</v>
      </c>
      <c r="I21" s="32">
        <f>(Metodologia[[#This Row],[Visites]]*0.15)/MAX(Metodologia[Visites])</f>
        <v>9.9221562953607179E-2</v>
      </c>
      <c r="J21" s="26" t="s">
        <v>566</v>
      </c>
      <c r="K21" s="28" t="s">
        <v>620</v>
      </c>
      <c r="L21" s="28" t="s">
        <v>620</v>
      </c>
      <c r="M21" s="28" t="s">
        <v>620</v>
      </c>
      <c r="N21" s="26" t="s">
        <v>635</v>
      </c>
      <c r="O21" s="47">
        <v>280715</v>
      </c>
      <c r="P21" s="26" t="s">
        <v>1134</v>
      </c>
      <c r="Q21" s="26" t="s">
        <v>54</v>
      </c>
      <c r="R21" s="26" t="s">
        <v>61</v>
      </c>
      <c r="S21" s="26" t="s">
        <v>1135</v>
      </c>
      <c r="T21" s="26" t="s">
        <v>62</v>
      </c>
      <c r="U21" s="26"/>
      <c r="V21" s="26" t="s">
        <v>63</v>
      </c>
      <c r="W21" s="28" t="s">
        <v>620</v>
      </c>
      <c r="X21" s="28" t="s">
        <v>620</v>
      </c>
      <c r="Y21" s="28" t="s">
        <v>620</v>
      </c>
      <c r="Z21" s="28" t="s">
        <v>620</v>
      </c>
      <c r="AA21" s="28" t="s">
        <v>620</v>
      </c>
      <c r="AB21" s="28" t="s">
        <v>620</v>
      </c>
      <c r="AC21" s="28" t="s">
        <v>620</v>
      </c>
      <c r="AD21" s="28" t="s">
        <v>620</v>
      </c>
      <c r="AE21" s="27" t="s">
        <v>706</v>
      </c>
      <c r="AF21" s="27" t="s">
        <v>707</v>
      </c>
      <c r="AG21" s="27" t="s">
        <v>705</v>
      </c>
      <c r="AH21" s="27" t="s">
        <v>631</v>
      </c>
    </row>
    <row r="22" spans="1:34" ht="51" x14ac:dyDescent="0.25">
      <c r="A22" s="28" t="s">
        <v>978</v>
      </c>
      <c r="B22" s="31" t="s">
        <v>623</v>
      </c>
      <c r="C22" s="26" t="s">
        <v>28</v>
      </c>
      <c r="D22" s="26" t="s">
        <v>58</v>
      </c>
      <c r="E22" s="29" t="s">
        <v>507</v>
      </c>
      <c r="F22" s="28" t="s">
        <v>508</v>
      </c>
      <c r="G22" s="26" t="s">
        <v>6</v>
      </c>
      <c r="H22" s="26" t="s">
        <v>889</v>
      </c>
      <c r="I22" s="32">
        <f>(Metodologia[[#This Row],[Visites]]*0.15)/MAX(Metodologia[Visites])</f>
        <v>3.6063537994608557E-3</v>
      </c>
      <c r="J22" s="26" t="s">
        <v>567</v>
      </c>
      <c r="K22" s="28" t="s">
        <v>620</v>
      </c>
      <c r="L22" s="28" t="s">
        <v>620</v>
      </c>
      <c r="M22" s="28" t="s">
        <v>620</v>
      </c>
      <c r="N22" s="26" t="s">
        <v>632</v>
      </c>
      <c r="O22" s="47">
        <v>10203</v>
      </c>
      <c r="P22" s="26"/>
      <c r="Q22" s="26" t="s">
        <v>54</v>
      </c>
      <c r="R22" s="26" t="s">
        <v>509</v>
      </c>
      <c r="S22" s="26" t="s">
        <v>1136</v>
      </c>
      <c r="T22" s="26" t="s">
        <v>510</v>
      </c>
      <c r="U22" s="26"/>
      <c r="V22" s="26" t="s">
        <v>511</v>
      </c>
      <c r="W22" s="28" t="s">
        <v>620</v>
      </c>
      <c r="X22" s="28" t="s">
        <v>620</v>
      </c>
      <c r="Y22" s="28" t="s">
        <v>620</v>
      </c>
      <c r="Z22" s="28" t="s">
        <v>620</v>
      </c>
      <c r="AA22" s="28" t="s">
        <v>620</v>
      </c>
      <c r="AB22" s="28" t="s">
        <v>620</v>
      </c>
      <c r="AC22" s="28" t="s">
        <v>620</v>
      </c>
      <c r="AD22" s="28" t="s">
        <v>620</v>
      </c>
      <c r="AE22" s="27" t="s">
        <v>708</v>
      </c>
      <c r="AF22" s="27" t="s">
        <v>709</v>
      </c>
      <c r="AG22" s="27" t="s">
        <v>710</v>
      </c>
      <c r="AH22" s="27" t="s">
        <v>631</v>
      </c>
    </row>
    <row r="23" spans="1:34" ht="30.6" x14ac:dyDescent="0.25">
      <c r="A23" s="28" t="s">
        <v>979</v>
      </c>
      <c r="B23" s="31" t="s">
        <v>623</v>
      </c>
      <c r="C23" s="26" t="s">
        <v>28</v>
      </c>
      <c r="D23" s="26" t="s">
        <v>58</v>
      </c>
      <c r="E23" s="29" t="s">
        <v>512</v>
      </c>
      <c r="F23" s="28" t="s">
        <v>513</v>
      </c>
      <c r="G23" s="26" t="s">
        <v>6</v>
      </c>
      <c r="H23" s="26" t="s">
        <v>889</v>
      </c>
      <c r="I23" s="32">
        <f>(Metodologia[[#This Row],[Visites]]*0.15)/MAX(Metodologia[Visites])</f>
        <v>5.5387203800403412E-4</v>
      </c>
      <c r="J23" s="26" t="s">
        <v>568</v>
      </c>
      <c r="K23" s="28" t="s">
        <v>620</v>
      </c>
      <c r="L23" s="28" t="s">
        <v>620</v>
      </c>
      <c r="M23" s="28" t="s">
        <v>620</v>
      </c>
      <c r="N23" s="26" t="s">
        <v>648</v>
      </c>
      <c r="O23" s="47">
        <v>1567</v>
      </c>
      <c r="P23" s="26"/>
      <c r="Q23" s="26" t="s">
        <v>54</v>
      </c>
      <c r="R23" s="26" t="s">
        <v>514</v>
      </c>
      <c r="S23" s="26" t="s">
        <v>1136</v>
      </c>
      <c r="T23" s="26" t="s">
        <v>515</v>
      </c>
      <c r="U23" s="26"/>
      <c r="V23" s="26" t="s">
        <v>516</v>
      </c>
      <c r="W23" s="28" t="s">
        <v>620</v>
      </c>
      <c r="X23" s="28" t="s">
        <v>620</v>
      </c>
      <c r="Y23" s="28" t="s">
        <v>620</v>
      </c>
      <c r="Z23" s="28" t="s">
        <v>620</v>
      </c>
      <c r="AA23" s="28" t="s">
        <v>620</v>
      </c>
      <c r="AB23" s="28" t="s">
        <v>620</v>
      </c>
      <c r="AC23" s="28" t="s">
        <v>620</v>
      </c>
      <c r="AD23" s="28" t="s">
        <v>620</v>
      </c>
      <c r="AE23" s="27" t="s">
        <v>711</v>
      </c>
      <c r="AF23" s="27" t="s">
        <v>712</v>
      </c>
      <c r="AG23" s="27" t="s">
        <v>713</v>
      </c>
      <c r="AH23" s="27" t="s">
        <v>631</v>
      </c>
    </row>
    <row r="24" spans="1:34" ht="20.399999999999999" x14ac:dyDescent="0.25">
      <c r="A24" s="28" t="s">
        <v>980</v>
      </c>
      <c r="B24" s="31" t="s">
        <v>622</v>
      </c>
      <c r="C24" s="26" t="s">
        <v>28</v>
      </c>
      <c r="D24" s="26" t="s">
        <v>51</v>
      </c>
      <c r="E24" s="29" t="s">
        <v>430</v>
      </c>
      <c r="F24" s="28" t="s">
        <v>431</v>
      </c>
      <c r="G24" s="26" t="s">
        <v>20</v>
      </c>
      <c r="H24" s="26" t="s">
        <v>889</v>
      </c>
      <c r="I24" s="32">
        <f>(Metodologia[[#This Row],[Visites]]*0.15)/MAX(Metodologia[Visites])</f>
        <v>9.9106688408392551E-3</v>
      </c>
      <c r="J24" s="26" t="s">
        <v>569</v>
      </c>
      <c r="K24" s="28" t="s">
        <v>620</v>
      </c>
      <c r="L24" s="28" t="s">
        <v>621</v>
      </c>
      <c r="M24" s="28" t="s">
        <v>620</v>
      </c>
      <c r="N24" s="26" t="s">
        <v>632</v>
      </c>
      <c r="O24" s="47">
        <v>28039</v>
      </c>
      <c r="P24" s="26" t="s">
        <v>1137</v>
      </c>
      <c r="Q24" s="26" t="s">
        <v>54</v>
      </c>
      <c r="R24" s="26" t="s">
        <v>432</v>
      </c>
      <c r="S24" s="26"/>
      <c r="T24" s="26" t="s">
        <v>433</v>
      </c>
      <c r="U24" s="26"/>
      <c r="V24" s="26" t="s">
        <v>434</v>
      </c>
      <c r="W24" s="28" t="s">
        <v>620</v>
      </c>
      <c r="X24" s="28" t="s">
        <v>620</v>
      </c>
      <c r="Y24" s="28" t="s">
        <v>621</v>
      </c>
      <c r="Z24" s="28" t="s">
        <v>1227</v>
      </c>
      <c r="AA24" s="28" t="s">
        <v>1227</v>
      </c>
      <c r="AB24" s="28" t="s">
        <v>620</v>
      </c>
      <c r="AC24" s="28" t="s">
        <v>1227</v>
      </c>
      <c r="AD24" s="28" t="s">
        <v>620</v>
      </c>
      <c r="AE24" s="27" t="s">
        <v>714</v>
      </c>
      <c r="AF24" s="27" t="s">
        <v>692</v>
      </c>
      <c r="AG24" s="27" t="s">
        <v>672</v>
      </c>
      <c r="AH24" s="27" t="s">
        <v>636</v>
      </c>
    </row>
    <row r="25" spans="1:34" ht="20.399999999999999" x14ac:dyDescent="0.25">
      <c r="A25" s="28" t="s">
        <v>981</v>
      </c>
      <c r="B25" s="31" t="s">
        <v>622</v>
      </c>
      <c r="C25" s="26" t="s">
        <v>28</v>
      </c>
      <c r="D25" s="26" t="s">
        <v>51</v>
      </c>
      <c r="E25" s="29" t="s">
        <v>481</v>
      </c>
      <c r="F25" s="28" t="s">
        <v>482</v>
      </c>
      <c r="G25" s="26" t="s">
        <v>20</v>
      </c>
      <c r="H25" s="26" t="s">
        <v>889</v>
      </c>
      <c r="I25" s="32">
        <f>(Metodologia[[#This Row],[Visites]]*0.15)/MAX(Metodologia[Visites])</f>
        <v>1.4336696702923821E-2</v>
      </c>
      <c r="J25" s="26" t="s">
        <v>570</v>
      </c>
      <c r="K25" s="28" t="s">
        <v>620</v>
      </c>
      <c r="L25" s="28" t="s">
        <v>621</v>
      </c>
      <c r="M25" s="28" t="s">
        <v>620</v>
      </c>
      <c r="N25" s="26" t="s">
        <v>632</v>
      </c>
      <c r="O25" s="47">
        <v>40561</v>
      </c>
      <c r="P25" s="26" t="s">
        <v>1137</v>
      </c>
      <c r="Q25" s="26" t="s">
        <v>54</v>
      </c>
      <c r="R25" s="26" t="s">
        <v>432</v>
      </c>
      <c r="S25" s="26"/>
      <c r="T25" s="26" t="s">
        <v>483</v>
      </c>
      <c r="U25" s="26"/>
      <c r="V25" s="26" t="s">
        <v>484</v>
      </c>
      <c r="W25" s="28" t="s">
        <v>620</v>
      </c>
      <c r="X25" s="28" t="s">
        <v>620</v>
      </c>
      <c r="Y25" s="28" t="s">
        <v>620</v>
      </c>
      <c r="Z25" s="28" t="s">
        <v>1227</v>
      </c>
      <c r="AA25" s="28" t="s">
        <v>1227</v>
      </c>
      <c r="AB25" s="28" t="s">
        <v>620</v>
      </c>
      <c r="AC25" s="28" t="s">
        <v>1227</v>
      </c>
      <c r="AD25" s="28" t="s">
        <v>620</v>
      </c>
      <c r="AE25" s="27" t="s">
        <v>714</v>
      </c>
      <c r="AF25" s="27" t="s">
        <v>692</v>
      </c>
      <c r="AG25" s="27" t="s">
        <v>672</v>
      </c>
      <c r="AH25" s="27" t="s">
        <v>631</v>
      </c>
    </row>
    <row r="26" spans="1:34" ht="30.6" x14ac:dyDescent="0.25">
      <c r="A26" s="28" t="s">
        <v>982</v>
      </c>
      <c r="B26" s="31" t="s">
        <v>626</v>
      </c>
      <c r="C26" s="26" t="s">
        <v>28</v>
      </c>
      <c r="D26" s="26" t="s">
        <v>51</v>
      </c>
      <c r="E26" s="29" t="s">
        <v>550</v>
      </c>
      <c r="F26" s="28" t="s">
        <v>551</v>
      </c>
      <c r="G26" s="26" t="s">
        <v>96</v>
      </c>
      <c r="H26" s="26"/>
      <c r="I26" s="32">
        <f>(Metodologia[[#This Row],[Visites]]*0.15)/MAX(Metodologia[Visites])</f>
        <v>2.3876232397685073E-3</v>
      </c>
      <c r="J26" s="26" t="s">
        <v>571</v>
      </c>
      <c r="K26" s="28" t="s">
        <v>621</v>
      </c>
      <c r="L26" s="28" t="s">
        <v>621</v>
      </c>
      <c r="M26" s="28" t="s">
        <v>621</v>
      </c>
      <c r="N26" s="26" t="s">
        <v>632</v>
      </c>
      <c r="O26" s="47">
        <v>6755</v>
      </c>
      <c r="P26" s="26" t="s">
        <v>1138</v>
      </c>
      <c r="Q26" s="26" t="s">
        <v>54</v>
      </c>
      <c r="R26" s="26"/>
      <c r="S26" s="26"/>
      <c r="T26" s="26"/>
      <c r="U26" s="26" t="s">
        <v>33</v>
      </c>
      <c r="V26" s="26" t="s">
        <v>552</v>
      </c>
      <c r="W26" s="28" t="s">
        <v>620</v>
      </c>
      <c r="X26" s="28" t="s">
        <v>1227</v>
      </c>
      <c r="Y26" s="28" t="s">
        <v>1227</v>
      </c>
      <c r="Z26" s="28" t="s">
        <v>1227</v>
      </c>
      <c r="AA26" s="28" t="s">
        <v>1227</v>
      </c>
      <c r="AB26" s="28" t="s">
        <v>1227</v>
      </c>
      <c r="AC26" s="28" t="s">
        <v>1227</v>
      </c>
      <c r="AD26" s="28" t="s">
        <v>1227</v>
      </c>
      <c r="AE26" s="27" t="s">
        <v>715</v>
      </c>
      <c r="AF26" s="27" t="s">
        <v>716</v>
      </c>
      <c r="AG26" s="27" t="s">
        <v>717</v>
      </c>
      <c r="AH26" s="27" t="s">
        <v>646</v>
      </c>
    </row>
    <row r="27" spans="1:34" ht="20.399999999999999" x14ac:dyDescent="0.25">
      <c r="A27" s="28" t="s">
        <v>983</v>
      </c>
      <c r="B27" s="31" t="s">
        <v>626</v>
      </c>
      <c r="C27" s="26" t="s">
        <v>28</v>
      </c>
      <c r="D27" s="26" t="s">
        <v>51</v>
      </c>
      <c r="E27" s="29" t="s">
        <v>521</v>
      </c>
      <c r="F27" s="28" t="s">
        <v>522</v>
      </c>
      <c r="G27" s="26" t="s">
        <v>6</v>
      </c>
      <c r="H27" s="26"/>
      <c r="I27" s="32">
        <f>(Metodologia[[#This Row],[Visites]]*0.15)/MAX(Metodologia[Visites])</f>
        <v>3.4398740739344353E-3</v>
      </c>
      <c r="J27" s="26"/>
      <c r="K27" s="28" t="s">
        <v>621</v>
      </c>
      <c r="L27" s="28" t="s">
        <v>620</v>
      </c>
      <c r="M27" s="28" t="s">
        <v>621</v>
      </c>
      <c r="N27" s="26" t="s">
        <v>632</v>
      </c>
      <c r="O27" s="47">
        <v>9732</v>
      </c>
      <c r="P27" s="26"/>
      <c r="Q27" s="26" t="s">
        <v>54</v>
      </c>
      <c r="R27" s="26"/>
      <c r="S27" s="26"/>
      <c r="T27" s="26"/>
      <c r="U27" s="26" t="s">
        <v>33</v>
      </c>
      <c r="V27" s="26" t="s">
        <v>523</v>
      </c>
      <c r="W27" s="28" t="s">
        <v>620</v>
      </c>
      <c r="X27" s="28" t="s">
        <v>1227</v>
      </c>
      <c r="Y27" s="28" t="s">
        <v>1227</v>
      </c>
      <c r="Z27" s="28" t="s">
        <v>1227</v>
      </c>
      <c r="AA27" s="28" t="s">
        <v>1227</v>
      </c>
      <c r="AB27" s="28" t="s">
        <v>1227</v>
      </c>
      <c r="AC27" s="28" t="s">
        <v>1227</v>
      </c>
      <c r="AD27" s="28" t="s">
        <v>1227</v>
      </c>
      <c r="AE27" s="27" t="s">
        <v>718</v>
      </c>
      <c r="AF27" s="27" t="s">
        <v>719</v>
      </c>
      <c r="AG27" s="27" t="s">
        <v>720</v>
      </c>
      <c r="AH27" s="27" t="s">
        <v>646</v>
      </c>
    </row>
    <row r="28" spans="1:34" ht="20.399999999999999" x14ac:dyDescent="0.25">
      <c r="A28" s="28" t="s">
        <v>984</v>
      </c>
      <c r="B28" s="31" t="s">
        <v>625</v>
      </c>
      <c r="C28" s="26" t="s">
        <v>28</v>
      </c>
      <c r="D28" s="26" t="s">
        <v>51</v>
      </c>
      <c r="E28" s="29" t="s">
        <v>477</v>
      </c>
      <c r="F28" s="28" t="s">
        <v>478</v>
      </c>
      <c r="G28" s="26" t="s">
        <v>6</v>
      </c>
      <c r="H28" s="26" t="s">
        <v>889</v>
      </c>
      <c r="I28" s="32">
        <f>(Metodologia[[#This Row],[Visites]]*0.15)/MAX(Metodologia[Visites])</f>
        <v>1.8447084660772523E-3</v>
      </c>
      <c r="J28" s="26"/>
      <c r="K28" s="28" t="s">
        <v>620</v>
      </c>
      <c r="L28" s="28" t="s">
        <v>620</v>
      </c>
      <c r="M28" s="28" t="s">
        <v>621</v>
      </c>
      <c r="N28" s="26" t="s">
        <v>632</v>
      </c>
      <c r="O28" s="47">
        <v>5219</v>
      </c>
      <c r="P28" s="26"/>
      <c r="Q28" s="26" t="s">
        <v>54</v>
      </c>
      <c r="R28" s="26" t="s">
        <v>432</v>
      </c>
      <c r="S28" s="26"/>
      <c r="T28" s="26" t="s">
        <v>479</v>
      </c>
      <c r="U28" s="26"/>
      <c r="V28" s="26" t="s">
        <v>480</v>
      </c>
      <c r="W28" s="28" t="s">
        <v>620</v>
      </c>
      <c r="X28" s="28" t="s">
        <v>620</v>
      </c>
      <c r="Y28" s="28" t="s">
        <v>620</v>
      </c>
      <c r="Z28" s="28" t="s">
        <v>1227</v>
      </c>
      <c r="AA28" s="28" t="s">
        <v>1227</v>
      </c>
      <c r="AB28" s="28" t="s">
        <v>620</v>
      </c>
      <c r="AC28" s="28" t="s">
        <v>1227</v>
      </c>
      <c r="AD28" s="28" t="s">
        <v>620</v>
      </c>
      <c r="AE28" s="27" t="s">
        <v>721</v>
      </c>
      <c r="AF28" s="27" t="s">
        <v>722</v>
      </c>
      <c r="AG28" s="27" t="s">
        <v>713</v>
      </c>
      <c r="AH28" s="27" t="s">
        <v>631</v>
      </c>
    </row>
    <row r="29" spans="1:34" ht="20.399999999999999" x14ac:dyDescent="0.25">
      <c r="A29" s="28" t="s">
        <v>985</v>
      </c>
      <c r="B29" s="31" t="s">
        <v>623</v>
      </c>
      <c r="C29" s="26" t="s">
        <v>28</v>
      </c>
      <c r="D29" s="26" t="s">
        <v>51</v>
      </c>
      <c r="E29" s="29" t="s">
        <v>531</v>
      </c>
      <c r="F29" s="28" t="s">
        <v>532</v>
      </c>
      <c r="G29" s="26" t="s">
        <v>6</v>
      </c>
      <c r="H29" s="26" t="s">
        <v>889</v>
      </c>
      <c r="I29" s="32">
        <f>(Metodologia[[#This Row],[Visites]]*0.15)/MAX(Metodologia[Visites])</f>
        <v>2.5368187644918657E-2</v>
      </c>
      <c r="J29" s="26"/>
      <c r="K29" s="28" t="s">
        <v>620</v>
      </c>
      <c r="L29" s="28" t="s">
        <v>620</v>
      </c>
      <c r="M29" s="28" t="s">
        <v>620</v>
      </c>
      <c r="N29" s="26" t="s">
        <v>632</v>
      </c>
      <c r="O29" s="47">
        <v>71771</v>
      </c>
      <c r="P29" s="26"/>
      <c r="Q29" s="26" t="s">
        <v>54</v>
      </c>
      <c r="R29" s="26" t="s">
        <v>533</v>
      </c>
      <c r="S29" s="26"/>
      <c r="T29" s="26" t="s">
        <v>534</v>
      </c>
      <c r="U29" s="26"/>
      <c r="V29" s="26" t="s">
        <v>535</v>
      </c>
      <c r="W29" s="28" t="s">
        <v>620</v>
      </c>
      <c r="X29" s="28" t="s">
        <v>620</v>
      </c>
      <c r="Y29" s="28" t="s">
        <v>620</v>
      </c>
      <c r="Z29" s="28" t="s">
        <v>620</v>
      </c>
      <c r="AA29" s="28" t="s">
        <v>620</v>
      </c>
      <c r="AB29" s="28" t="s">
        <v>620</v>
      </c>
      <c r="AC29" s="28" t="s">
        <v>620</v>
      </c>
      <c r="AD29" s="28" t="s">
        <v>620</v>
      </c>
      <c r="AE29" s="27" t="s">
        <v>723</v>
      </c>
      <c r="AF29" s="27" t="s">
        <v>724</v>
      </c>
      <c r="AG29" s="27" t="s">
        <v>725</v>
      </c>
      <c r="AH29" s="27" t="s">
        <v>631</v>
      </c>
    </row>
    <row r="30" spans="1:34" ht="20.399999999999999" x14ac:dyDescent="0.25">
      <c r="A30" s="28" t="s">
        <v>986</v>
      </c>
      <c r="B30" s="31" t="s">
        <v>622</v>
      </c>
      <c r="C30" s="26" t="s">
        <v>28</v>
      </c>
      <c r="D30" s="26" t="s">
        <v>51</v>
      </c>
      <c r="E30" s="29" t="s">
        <v>172</v>
      </c>
      <c r="F30" s="28" t="s">
        <v>173</v>
      </c>
      <c r="G30" s="26" t="s">
        <v>20</v>
      </c>
      <c r="H30" s="26" t="s">
        <v>889</v>
      </c>
      <c r="I30" s="32">
        <f>(Metodologia[[#This Row],[Visites]]*0.15)/MAX(Metodologia[Visites])</f>
        <v>0.1449670810790431</v>
      </c>
      <c r="J30" s="26" t="s">
        <v>572</v>
      </c>
      <c r="K30" s="28" t="s">
        <v>620</v>
      </c>
      <c r="L30" s="28" t="s">
        <v>620</v>
      </c>
      <c r="M30" s="28" t="s">
        <v>620</v>
      </c>
      <c r="N30" s="26" t="s">
        <v>632</v>
      </c>
      <c r="O30" s="47">
        <v>410137</v>
      </c>
      <c r="P30" s="26" t="s">
        <v>1137</v>
      </c>
      <c r="Q30" s="26" t="s">
        <v>54</v>
      </c>
      <c r="R30" s="26" t="s">
        <v>174</v>
      </c>
      <c r="S30" s="26"/>
      <c r="T30" s="26"/>
      <c r="U30" s="26"/>
      <c r="V30" s="26" t="s">
        <v>175</v>
      </c>
      <c r="W30" s="28" t="s">
        <v>620</v>
      </c>
      <c r="X30" s="28" t="s">
        <v>620</v>
      </c>
      <c r="Y30" s="28" t="s">
        <v>620</v>
      </c>
      <c r="Z30" s="28" t="s">
        <v>620</v>
      </c>
      <c r="AA30" s="28" t="s">
        <v>620</v>
      </c>
      <c r="AB30" s="28" t="s">
        <v>620</v>
      </c>
      <c r="AC30" s="28" t="s">
        <v>620</v>
      </c>
      <c r="AD30" s="28" t="s">
        <v>620</v>
      </c>
      <c r="AE30" s="27" t="s">
        <v>670</v>
      </c>
      <c r="AF30" s="27" t="s">
        <v>671</v>
      </c>
      <c r="AG30" s="27" t="s">
        <v>726</v>
      </c>
      <c r="AH30" s="27" t="s">
        <v>636</v>
      </c>
    </row>
    <row r="31" spans="1:34" ht="20.399999999999999" x14ac:dyDescent="0.25">
      <c r="A31" s="28" t="s">
        <v>987</v>
      </c>
      <c r="B31" s="31" t="s">
        <v>622</v>
      </c>
      <c r="C31" s="26" t="s">
        <v>28</v>
      </c>
      <c r="D31" s="26" t="s">
        <v>51</v>
      </c>
      <c r="E31" s="29" t="s">
        <v>524</v>
      </c>
      <c r="F31" s="28" t="s">
        <v>525</v>
      </c>
      <c r="G31" s="26" t="s">
        <v>20</v>
      </c>
      <c r="H31" s="26" t="s">
        <v>889</v>
      </c>
      <c r="I31" s="32">
        <f>(Metodologia[[#This Row],[Visites]]*0.15)/MAX(Metodologia[Visites])</f>
        <v>1.149098912285332E-2</v>
      </c>
      <c r="J31" s="26" t="s">
        <v>572</v>
      </c>
      <c r="K31" s="28" t="s">
        <v>620</v>
      </c>
      <c r="L31" s="28" t="s">
        <v>621</v>
      </c>
      <c r="M31" s="28" t="s">
        <v>620</v>
      </c>
      <c r="N31" s="26" t="s">
        <v>632</v>
      </c>
      <c r="O31" s="47">
        <v>32510</v>
      </c>
      <c r="P31" s="26" t="s">
        <v>1137</v>
      </c>
      <c r="Q31" s="26" t="s">
        <v>54</v>
      </c>
      <c r="R31" s="26" t="s">
        <v>174</v>
      </c>
      <c r="S31" s="26"/>
      <c r="T31" s="26" t="s">
        <v>526</v>
      </c>
      <c r="U31" s="26"/>
      <c r="V31" s="26" t="s">
        <v>527</v>
      </c>
      <c r="W31" s="28" t="s">
        <v>620</v>
      </c>
      <c r="X31" s="28" t="s">
        <v>620</v>
      </c>
      <c r="Y31" s="28" t="s">
        <v>620</v>
      </c>
      <c r="Z31" s="28" t="s">
        <v>620</v>
      </c>
      <c r="AA31" s="28" t="s">
        <v>620</v>
      </c>
      <c r="AB31" s="28" t="s">
        <v>620</v>
      </c>
      <c r="AC31" s="28" t="s">
        <v>620</v>
      </c>
      <c r="AD31" s="28" t="s">
        <v>620</v>
      </c>
      <c r="AE31" s="27" t="s">
        <v>670</v>
      </c>
      <c r="AF31" s="27" t="s">
        <v>671</v>
      </c>
      <c r="AG31" s="27"/>
      <c r="AH31" s="27" t="s">
        <v>631</v>
      </c>
    </row>
    <row r="32" spans="1:34" ht="30.6" x14ac:dyDescent="0.25">
      <c r="A32" s="28" t="s">
        <v>988</v>
      </c>
      <c r="B32" s="31" t="s">
        <v>625</v>
      </c>
      <c r="C32" s="26" t="s">
        <v>28</v>
      </c>
      <c r="D32" s="26" t="s">
        <v>51</v>
      </c>
      <c r="E32" s="29" t="s">
        <v>345</v>
      </c>
      <c r="F32" s="28" t="s">
        <v>346</v>
      </c>
      <c r="G32" s="26" t="s">
        <v>6</v>
      </c>
      <c r="H32" s="26" t="s">
        <v>895</v>
      </c>
      <c r="I32" s="32">
        <f>(Metodologia[[#This Row],[Visites]]*0.15)/MAX(Metodologia[Visites])</f>
        <v>1.0872433879389974E-3</v>
      </c>
      <c r="J32" s="26" t="s">
        <v>572</v>
      </c>
      <c r="K32" s="28" t="s">
        <v>620</v>
      </c>
      <c r="L32" s="28" t="s">
        <v>621</v>
      </c>
      <c r="M32" s="28" t="s">
        <v>621</v>
      </c>
      <c r="N32" s="26" t="s">
        <v>632</v>
      </c>
      <c r="O32" s="47">
        <v>3076</v>
      </c>
      <c r="P32" s="26"/>
      <c r="Q32" s="26" t="s">
        <v>54</v>
      </c>
      <c r="R32" s="26" t="s">
        <v>347</v>
      </c>
      <c r="S32" s="26"/>
      <c r="T32" s="26"/>
      <c r="U32" s="26"/>
      <c r="V32" s="26" t="s">
        <v>348</v>
      </c>
      <c r="W32" s="28" t="s">
        <v>620</v>
      </c>
      <c r="X32" s="28" t="s">
        <v>620</v>
      </c>
      <c r="Y32" s="28" t="s">
        <v>620</v>
      </c>
      <c r="Z32" s="28" t="s">
        <v>620</v>
      </c>
      <c r="AA32" s="28" t="s">
        <v>620</v>
      </c>
      <c r="AB32" s="28" t="s">
        <v>620</v>
      </c>
      <c r="AC32" s="28" t="s">
        <v>620</v>
      </c>
      <c r="AD32" s="28" t="s">
        <v>620</v>
      </c>
      <c r="AE32" s="27" t="s">
        <v>727</v>
      </c>
      <c r="AF32" s="27" t="s">
        <v>728</v>
      </c>
      <c r="AG32" s="27" t="s">
        <v>729</v>
      </c>
      <c r="AH32" s="27" t="s">
        <v>631</v>
      </c>
    </row>
    <row r="33" spans="1:34" ht="30.6" x14ac:dyDescent="0.25">
      <c r="A33" s="28" t="s">
        <v>989</v>
      </c>
      <c r="B33" s="31" t="s">
        <v>622</v>
      </c>
      <c r="C33" s="26" t="s">
        <v>28</v>
      </c>
      <c r="D33" s="26" t="s">
        <v>51</v>
      </c>
      <c r="E33" s="29" t="s">
        <v>167</v>
      </c>
      <c r="F33" s="28" t="s">
        <v>168</v>
      </c>
      <c r="G33" s="26" t="s">
        <v>20</v>
      </c>
      <c r="H33" s="26" t="s">
        <v>889</v>
      </c>
      <c r="I33" s="32">
        <f>(Metodologia[[#This Row],[Visites]]*0.15)/MAX(Metodologia[Visites])</f>
        <v>5.0452900258261537E-3</v>
      </c>
      <c r="J33" s="26" t="s">
        <v>573</v>
      </c>
      <c r="K33" s="28" t="s">
        <v>620</v>
      </c>
      <c r="L33" s="28" t="s">
        <v>620</v>
      </c>
      <c r="M33" s="28" t="s">
        <v>620</v>
      </c>
      <c r="N33" s="26" t="s">
        <v>645</v>
      </c>
      <c r="O33" s="47">
        <v>14274</v>
      </c>
      <c r="P33" s="26" t="s">
        <v>1137</v>
      </c>
      <c r="Q33" s="26" t="s">
        <v>54</v>
      </c>
      <c r="R33" s="26" t="s">
        <v>169</v>
      </c>
      <c r="S33" s="26"/>
      <c r="T33" s="26" t="s">
        <v>170</v>
      </c>
      <c r="U33" s="26"/>
      <c r="V33" s="26" t="s">
        <v>171</v>
      </c>
      <c r="W33" s="28" t="s">
        <v>620</v>
      </c>
      <c r="X33" s="28" t="s">
        <v>620</v>
      </c>
      <c r="Y33" s="28" t="s">
        <v>620</v>
      </c>
      <c r="Z33" s="28" t="s">
        <v>620</v>
      </c>
      <c r="AA33" s="28" t="s">
        <v>620</v>
      </c>
      <c r="AB33" s="28" t="s">
        <v>620</v>
      </c>
      <c r="AC33" s="28" t="s">
        <v>620</v>
      </c>
      <c r="AD33" s="28" t="s">
        <v>620</v>
      </c>
      <c r="AE33" s="27" t="s">
        <v>670</v>
      </c>
      <c r="AF33" s="27" t="s">
        <v>671</v>
      </c>
      <c r="AG33" s="27" t="s">
        <v>730</v>
      </c>
      <c r="AH33" s="27" t="s">
        <v>636</v>
      </c>
    </row>
    <row r="34" spans="1:34" ht="112.2" x14ac:dyDescent="0.25">
      <c r="A34" s="28" t="s">
        <v>990</v>
      </c>
      <c r="B34" s="31" t="s">
        <v>623</v>
      </c>
      <c r="C34" s="26" t="s">
        <v>28</v>
      </c>
      <c r="D34" s="26" t="s">
        <v>51</v>
      </c>
      <c r="E34" s="29" t="s">
        <v>52</v>
      </c>
      <c r="F34" s="28" t="s">
        <v>53</v>
      </c>
      <c r="G34" s="26" t="s">
        <v>6</v>
      </c>
      <c r="H34" s="26" t="s">
        <v>896</v>
      </c>
      <c r="I34" s="32">
        <f>(Metodologia[[#This Row],[Visites]]*0.15)/MAX(Metodologia[Visites])</f>
        <v>4.139018229117575E-4</v>
      </c>
      <c r="J34" s="26" t="s">
        <v>574</v>
      </c>
      <c r="K34" s="28" t="s">
        <v>620</v>
      </c>
      <c r="L34" s="28" t="s">
        <v>621</v>
      </c>
      <c r="M34" s="28" t="s">
        <v>620</v>
      </c>
      <c r="N34" s="26" t="s">
        <v>632</v>
      </c>
      <c r="O34" s="47">
        <v>1171</v>
      </c>
      <c r="P34" s="26"/>
      <c r="Q34" s="26" t="s">
        <v>54</v>
      </c>
      <c r="R34" s="26" t="s">
        <v>55</v>
      </c>
      <c r="S34" s="26"/>
      <c r="T34" s="26" t="s">
        <v>56</v>
      </c>
      <c r="U34" s="26"/>
      <c r="V34" s="26" t="s">
        <v>57</v>
      </c>
      <c r="W34" s="28" t="s">
        <v>620</v>
      </c>
      <c r="X34" s="28" t="s">
        <v>620</v>
      </c>
      <c r="Y34" s="28" t="s">
        <v>620</v>
      </c>
      <c r="Z34" s="28" t="s">
        <v>620</v>
      </c>
      <c r="AA34" s="28" t="s">
        <v>620</v>
      </c>
      <c r="AB34" s="28" t="s">
        <v>620</v>
      </c>
      <c r="AC34" s="28" t="s">
        <v>620</v>
      </c>
      <c r="AD34" s="28" t="s">
        <v>620</v>
      </c>
      <c r="AE34" s="27" t="s">
        <v>731</v>
      </c>
      <c r="AF34" s="27" t="s">
        <v>732</v>
      </c>
      <c r="AG34" s="27" t="s">
        <v>713</v>
      </c>
      <c r="AH34" s="27" t="s">
        <v>631</v>
      </c>
    </row>
    <row r="35" spans="1:34" ht="30.6" x14ac:dyDescent="0.25">
      <c r="A35" s="28" t="s">
        <v>991</v>
      </c>
      <c r="B35" s="31" t="s">
        <v>625</v>
      </c>
      <c r="C35" s="26" t="s">
        <v>28</v>
      </c>
      <c r="D35" s="26" t="s">
        <v>51</v>
      </c>
      <c r="E35" s="29" t="s">
        <v>517</v>
      </c>
      <c r="F35" s="28" t="s">
        <v>518</v>
      </c>
      <c r="G35" s="26" t="s">
        <v>6</v>
      </c>
      <c r="H35" s="26" t="s">
        <v>889</v>
      </c>
      <c r="I35" s="32">
        <f>(Metodologia[[#This Row],[Visites]]*0.15)/MAX(Metodologia[Visites])</f>
        <v>1.4149009369050086E-3</v>
      </c>
      <c r="J35" s="26" t="s">
        <v>575</v>
      </c>
      <c r="K35" s="28" t="s">
        <v>620</v>
      </c>
      <c r="L35" s="28" t="s">
        <v>620</v>
      </c>
      <c r="M35" s="28" t="s">
        <v>621</v>
      </c>
      <c r="N35" s="26" t="s">
        <v>648</v>
      </c>
      <c r="O35" s="47">
        <v>4003</v>
      </c>
      <c r="P35" s="26"/>
      <c r="Q35" s="26" t="s">
        <v>54</v>
      </c>
      <c r="R35" s="26" t="s">
        <v>514</v>
      </c>
      <c r="S35" s="26" t="s">
        <v>1136</v>
      </c>
      <c r="T35" s="26" t="s">
        <v>519</v>
      </c>
      <c r="U35" s="26"/>
      <c r="V35" s="26" t="s">
        <v>520</v>
      </c>
      <c r="W35" s="28" t="s">
        <v>620</v>
      </c>
      <c r="X35" s="28" t="s">
        <v>620</v>
      </c>
      <c r="Y35" s="28" t="s">
        <v>620</v>
      </c>
      <c r="Z35" s="28" t="s">
        <v>621</v>
      </c>
      <c r="AA35" s="28" t="s">
        <v>621</v>
      </c>
      <c r="AB35" s="28" t="s">
        <v>620</v>
      </c>
      <c r="AC35" s="28" t="s">
        <v>621</v>
      </c>
      <c r="AD35" s="28" t="s">
        <v>620</v>
      </c>
      <c r="AE35" s="27" t="s">
        <v>733</v>
      </c>
      <c r="AF35" s="27" t="s">
        <v>734</v>
      </c>
      <c r="AG35" s="27" t="s">
        <v>713</v>
      </c>
      <c r="AH35" s="27" t="s">
        <v>631</v>
      </c>
    </row>
    <row r="36" spans="1:34" ht="20.399999999999999" x14ac:dyDescent="0.25">
      <c r="A36" s="28" t="s">
        <v>992</v>
      </c>
      <c r="B36" s="31" t="s">
        <v>625</v>
      </c>
      <c r="C36" s="26" t="s">
        <v>28</v>
      </c>
      <c r="D36" s="26" t="s">
        <v>200</v>
      </c>
      <c r="E36" s="29" t="s">
        <v>201</v>
      </c>
      <c r="F36" s="28" t="s">
        <v>202</v>
      </c>
      <c r="G36" s="26" t="s">
        <v>6</v>
      </c>
      <c r="H36" s="26" t="s">
        <v>889</v>
      </c>
      <c r="I36" s="32">
        <f>(Metodologia[[#This Row],[Visites]]*0.15)/MAX(Metodologia[Visites])</f>
        <v>8.3487284860595326E-4</v>
      </c>
      <c r="J36" s="26" t="s">
        <v>576</v>
      </c>
      <c r="K36" s="28" t="s">
        <v>620</v>
      </c>
      <c r="L36" s="28" t="s">
        <v>621</v>
      </c>
      <c r="M36" s="28" t="s">
        <v>621</v>
      </c>
      <c r="N36" s="26" t="s">
        <v>632</v>
      </c>
      <c r="O36" s="47">
        <v>2362</v>
      </c>
      <c r="P36" s="26"/>
      <c r="Q36" s="26" t="s">
        <v>54</v>
      </c>
      <c r="R36" s="26" t="s">
        <v>203</v>
      </c>
      <c r="S36" s="26"/>
      <c r="T36" s="26"/>
      <c r="U36" s="26" t="s">
        <v>1139</v>
      </c>
      <c r="V36" s="26" t="s">
        <v>204</v>
      </c>
      <c r="W36" s="28" t="s">
        <v>620</v>
      </c>
      <c r="X36" s="28" t="s">
        <v>620</v>
      </c>
      <c r="Y36" s="28" t="s">
        <v>620</v>
      </c>
      <c r="Z36" s="28" t="s">
        <v>620</v>
      </c>
      <c r="AA36" s="28" t="s">
        <v>620</v>
      </c>
      <c r="AB36" s="28" t="s">
        <v>620</v>
      </c>
      <c r="AC36" s="28" t="s">
        <v>620</v>
      </c>
      <c r="AD36" s="28" t="s">
        <v>620</v>
      </c>
      <c r="AE36" s="27" t="s">
        <v>735</v>
      </c>
      <c r="AF36" s="27" t="s">
        <v>736</v>
      </c>
      <c r="AG36" s="27" t="s">
        <v>725</v>
      </c>
      <c r="AH36" s="27" t="s">
        <v>631</v>
      </c>
    </row>
    <row r="37" spans="1:34" ht="30.6" x14ac:dyDescent="0.25">
      <c r="A37" s="28" t="s">
        <v>993</v>
      </c>
      <c r="B37" s="31" t="s">
        <v>626</v>
      </c>
      <c r="C37" s="26" t="s">
        <v>28</v>
      </c>
      <c r="D37" s="26" t="s">
        <v>200</v>
      </c>
      <c r="E37" s="29" t="s">
        <v>241</v>
      </c>
      <c r="F37" s="28" t="s">
        <v>242</v>
      </c>
      <c r="G37" s="26" t="s">
        <v>6</v>
      </c>
      <c r="H37" s="26"/>
      <c r="I37" s="32">
        <f>(Metodologia[[#This Row],[Visites]]*0.15)/MAX(Metodologia[Visites])</f>
        <v>1.6100109337003035E-3</v>
      </c>
      <c r="J37" s="26" t="s">
        <v>577</v>
      </c>
      <c r="K37" s="28" t="s">
        <v>621</v>
      </c>
      <c r="L37" s="28" t="s">
        <v>621</v>
      </c>
      <c r="M37" s="28" t="s">
        <v>621</v>
      </c>
      <c r="N37" s="26" t="s">
        <v>632</v>
      </c>
      <c r="O37" s="47">
        <v>4555</v>
      </c>
      <c r="P37" s="26"/>
      <c r="Q37" s="26" t="s">
        <v>54</v>
      </c>
      <c r="R37" s="26"/>
      <c r="S37" s="26"/>
      <c r="T37" s="26"/>
      <c r="U37" s="26" t="s">
        <v>1140</v>
      </c>
      <c r="V37" s="26" t="s">
        <v>243</v>
      </c>
      <c r="W37" s="28" t="s">
        <v>620</v>
      </c>
      <c r="X37" s="28" t="s">
        <v>620</v>
      </c>
      <c r="Y37" s="28" t="s">
        <v>620</v>
      </c>
      <c r="Z37" s="28" t="s">
        <v>620</v>
      </c>
      <c r="AA37" s="28" t="s">
        <v>620</v>
      </c>
      <c r="AB37" s="28" t="s">
        <v>620</v>
      </c>
      <c r="AC37" s="28" t="s">
        <v>620</v>
      </c>
      <c r="AD37" s="28" t="s">
        <v>620</v>
      </c>
      <c r="AE37" s="27" t="s">
        <v>737</v>
      </c>
      <c r="AF37" s="27" t="s">
        <v>738</v>
      </c>
      <c r="AG37" s="27" t="s">
        <v>725</v>
      </c>
      <c r="AH37" s="27" t="s">
        <v>631</v>
      </c>
    </row>
    <row r="38" spans="1:34" ht="20.399999999999999" x14ac:dyDescent="0.25">
      <c r="A38" s="28" t="s">
        <v>994</v>
      </c>
      <c r="B38" s="31" t="s">
        <v>624</v>
      </c>
      <c r="C38" s="26" t="s">
        <v>28</v>
      </c>
      <c r="D38" s="26" t="s">
        <v>200</v>
      </c>
      <c r="E38" s="29" t="s">
        <v>455</v>
      </c>
      <c r="F38" s="28" t="s">
        <v>456</v>
      </c>
      <c r="G38" s="26" t="s">
        <v>24</v>
      </c>
      <c r="H38" s="26" t="s">
        <v>889</v>
      </c>
      <c r="I38" s="32">
        <f>(Metodologia[[#This Row],[Visites]]*0.15)/MAX(Metodologia[Visites])</f>
        <v>1.0151375195581278E-3</v>
      </c>
      <c r="J38" s="26" t="s">
        <v>578</v>
      </c>
      <c r="K38" s="28" t="s">
        <v>620</v>
      </c>
      <c r="L38" s="28" t="s">
        <v>621</v>
      </c>
      <c r="M38" s="28" t="s">
        <v>621</v>
      </c>
      <c r="N38" s="26" t="s">
        <v>632</v>
      </c>
      <c r="O38" s="47">
        <v>2872</v>
      </c>
      <c r="P38" s="26"/>
      <c r="Q38" s="26" t="s">
        <v>54</v>
      </c>
      <c r="R38" s="26"/>
      <c r="S38" s="26" t="s">
        <v>457</v>
      </c>
      <c r="T38" s="26"/>
      <c r="U38" s="26"/>
      <c r="V38" s="26" t="s">
        <v>458</v>
      </c>
      <c r="W38" s="28" t="s">
        <v>620</v>
      </c>
      <c r="X38" s="28" t="s">
        <v>620</v>
      </c>
      <c r="Y38" s="28" t="s">
        <v>620</v>
      </c>
      <c r="Z38" s="28" t="s">
        <v>620</v>
      </c>
      <c r="AA38" s="28" t="s">
        <v>620</v>
      </c>
      <c r="AB38" s="28" t="s">
        <v>620</v>
      </c>
      <c r="AC38" s="28" t="s">
        <v>620</v>
      </c>
      <c r="AD38" s="28" t="s">
        <v>620</v>
      </c>
      <c r="AE38" s="27" t="s">
        <v>739</v>
      </c>
      <c r="AF38" s="27" t="s">
        <v>740</v>
      </c>
      <c r="AG38" s="27" t="s">
        <v>669</v>
      </c>
      <c r="AH38" s="27" t="s">
        <v>631</v>
      </c>
    </row>
    <row r="39" spans="1:34" ht="20.399999999999999" x14ac:dyDescent="0.25">
      <c r="A39" s="28" t="s">
        <v>1098</v>
      </c>
      <c r="B39" s="31" t="s">
        <v>626</v>
      </c>
      <c r="C39" s="26" t="s">
        <v>28</v>
      </c>
      <c r="D39" s="26" t="s">
        <v>1104</v>
      </c>
      <c r="E39" s="29" t="s">
        <v>1110</v>
      </c>
      <c r="F39" s="28" t="s">
        <v>1111</v>
      </c>
      <c r="G39" s="26" t="s">
        <v>24</v>
      </c>
      <c r="H39" s="26"/>
      <c r="I39" s="32">
        <f>(Metodologia[[#This Row],[Visites]]*0.15)/MAX(Metodologia[Visites])</f>
        <v>0</v>
      </c>
      <c r="J39" s="26"/>
      <c r="K39" s="28" t="s">
        <v>621</v>
      </c>
      <c r="L39" s="28" t="s">
        <v>621</v>
      </c>
      <c r="M39" s="28" t="s">
        <v>621</v>
      </c>
      <c r="N39" s="26" t="s">
        <v>632</v>
      </c>
      <c r="O39" s="47">
        <v>0</v>
      </c>
      <c r="P39" s="26"/>
      <c r="Q39" s="26" t="s">
        <v>54</v>
      </c>
      <c r="R39" s="26"/>
      <c r="S39" s="26"/>
      <c r="T39" s="26"/>
      <c r="U39" s="26" t="s">
        <v>33</v>
      </c>
      <c r="V39" s="26" t="s">
        <v>1197</v>
      </c>
      <c r="W39" s="28" t="s">
        <v>620</v>
      </c>
      <c r="X39" s="28" t="s">
        <v>1227</v>
      </c>
      <c r="Y39" s="28" t="s">
        <v>1227</v>
      </c>
      <c r="Z39" s="28" t="s">
        <v>1227</v>
      </c>
      <c r="AA39" s="28" t="s">
        <v>1227</v>
      </c>
      <c r="AB39" s="28" t="s">
        <v>1227</v>
      </c>
      <c r="AC39" s="28" t="s">
        <v>1227</v>
      </c>
      <c r="AD39" s="28" t="s">
        <v>1227</v>
      </c>
      <c r="AE39" s="27"/>
      <c r="AF39" s="27"/>
      <c r="AG39" s="27"/>
      <c r="AH39" s="27"/>
    </row>
    <row r="40" spans="1:34" ht="40.799999999999997" x14ac:dyDescent="0.25">
      <c r="A40" s="28" t="s">
        <v>1099</v>
      </c>
      <c r="B40" s="31" t="s">
        <v>622</v>
      </c>
      <c r="C40" s="26" t="s">
        <v>28</v>
      </c>
      <c r="D40" s="26" t="s">
        <v>1104</v>
      </c>
      <c r="E40" s="29" t="s">
        <v>1112</v>
      </c>
      <c r="F40" s="28" t="s">
        <v>1113</v>
      </c>
      <c r="G40" s="26" t="s">
        <v>20</v>
      </c>
      <c r="H40" s="26"/>
      <c r="I40" s="32">
        <f>(Metodologia[[#This Row],[Visites]]*0.15)/MAX(Metodologia[Visites])</f>
        <v>0</v>
      </c>
      <c r="J40" s="26"/>
      <c r="K40" s="28" t="s">
        <v>621</v>
      </c>
      <c r="L40" s="28" t="s">
        <v>620</v>
      </c>
      <c r="M40" s="28" t="s">
        <v>621</v>
      </c>
      <c r="N40" s="26" t="s">
        <v>632</v>
      </c>
      <c r="O40" s="47">
        <v>0</v>
      </c>
      <c r="P40" s="26" t="s">
        <v>1125</v>
      </c>
      <c r="Q40" s="26" t="s">
        <v>54</v>
      </c>
      <c r="R40" s="26"/>
      <c r="S40" s="26"/>
      <c r="T40" s="26"/>
      <c r="U40" s="26" t="s">
        <v>1198</v>
      </c>
      <c r="V40" s="26" t="s">
        <v>1199</v>
      </c>
      <c r="W40" s="28" t="s">
        <v>620</v>
      </c>
      <c r="X40" s="28" t="s">
        <v>620</v>
      </c>
      <c r="Y40" s="28" t="s">
        <v>620</v>
      </c>
      <c r="Z40" s="28" t="s">
        <v>620</v>
      </c>
      <c r="AA40" s="28" t="s">
        <v>620</v>
      </c>
      <c r="AB40" s="28" t="s">
        <v>620</v>
      </c>
      <c r="AC40" s="28" t="s">
        <v>620</v>
      </c>
      <c r="AD40" s="28" t="s">
        <v>620</v>
      </c>
      <c r="AE40" s="27"/>
      <c r="AF40" s="27"/>
      <c r="AG40" s="27"/>
      <c r="AH40" s="27"/>
    </row>
    <row r="41" spans="1:34" ht="91.8" x14ac:dyDescent="0.25">
      <c r="A41" s="28" t="s">
        <v>1100</v>
      </c>
      <c r="B41" s="31" t="s">
        <v>626</v>
      </c>
      <c r="C41" s="26" t="s">
        <v>28</v>
      </c>
      <c r="D41" s="26" t="s">
        <v>1104</v>
      </c>
      <c r="E41" s="29" t="s">
        <v>1114</v>
      </c>
      <c r="F41" s="28" t="s">
        <v>1115</v>
      </c>
      <c r="G41" s="26" t="s">
        <v>24</v>
      </c>
      <c r="H41" s="26"/>
      <c r="I41" s="32">
        <f>(Metodologia[[#This Row],[Visites]]*0.15)/MAX(Metodologia[Visites])</f>
        <v>0</v>
      </c>
      <c r="J41" s="26"/>
      <c r="K41" s="28" t="s">
        <v>621</v>
      </c>
      <c r="L41" s="28" t="s">
        <v>621</v>
      </c>
      <c r="M41" s="28" t="s">
        <v>621</v>
      </c>
      <c r="N41" s="26" t="s">
        <v>632</v>
      </c>
      <c r="O41" s="47">
        <v>0</v>
      </c>
      <c r="P41" s="26"/>
      <c r="Q41" s="26" t="s">
        <v>54</v>
      </c>
      <c r="R41" s="26"/>
      <c r="S41" s="26"/>
      <c r="T41" s="26"/>
      <c r="U41" s="26" t="s">
        <v>1200</v>
      </c>
      <c r="V41" s="26" t="s">
        <v>1201</v>
      </c>
      <c r="W41" s="28" t="s">
        <v>620</v>
      </c>
      <c r="X41" s="28" t="s">
        <v>1227</v>
      </c>
      <c r="Y41" s="28" t="s">
        <v>1227</v>
      </c>
      <c r="Z41" s="28" t="s">
        <v>1227</v>
      </c>
      <c r="AA41" s="28" t="s">
        <v>1227</v>
      </c>
      <c r="AB41" s="28" t="s">
        <v>1227</v>
      </c>
      <c r="AC41" s="28" t="s">
        <v>1227</v>
      </c>
      <c r="AD41" s="28" t="s">
        <v>1227</v>
      </c>
      <c r="AE41" s="27"/>
      <c r="AF41" s="27"/>
      <c r="AG41" s="27"/>
      <c r="AH41" s="27"/>
    </row>
    <row r="42" spans="1:34" ht="71.400000000000006" x14ac:dyDescent="0.25">
      <c r="A42" s="28" t="s">
        <v>1101</v>
      </c>
      <c r="B42" s="31" t="s">
        <v>622</v>
      </c>
      <c r="C42" s="26" t="s">
        <v>28</v>
      </c>
      <c r="D42" s="26" t="s">
        <v>1104</v>
      </c>
      <c r="E42" s="29" t="s">
        <v>1116</v>
      </c>
      <c r="F42" s="28" t="s">
        <v>1117</v>
      </c>
      <c r="G42" s="26" t="s">
        <v>20</v>
      </c>
      <c r="H42" s="26"/>
      <c r="I42" s="32">
        <f>(Metodologia[[#This Row],[Visites]]*0.15)/MAX(Metodologia[Visites])</f>
        <v>0</v>
      </c>
      <c r="J42" s="26"/>
      <c r="K42" s="28" t="s">
        <v>621</v>
      </c>
      <c r="L42" s="28" t="s">
        <v>620</v>
      </c>
      <c r="M42" s="28" t="s">
        <v>1222</v>
      </c>
      <c r="N42" s="26" t="s">
        <v>632</v>
      </c>
      <c r="O42" s="47">
        <v>0</v>
      </c>
      <c r="P42" s="26" t="s">
        <v>1202</v>
      </c>
      <c r="Q42" s="26" t="s">
        <v>54</v>
      </c>
      <c r="R42" s="26"/>
      <c r="S42" s="26"/>
      <c r="T42" s="26"/>
      <c r="U42" s="26" t="s">
        <v>1203</v>
      </c>
      <c r="V42" s="26" t="s">
        <v>1204</v>
      </c>
      <c r="W42" s="28" t="s">
        <v>620</v>
      </c>
      <c r="X42" s="28" t="s">
        <v>620</v>
      </c>
      <c r="Y42" s="28" t="s">
        <v>620</v>
      </c>
      <c r="Z42" s="28" t="s">
        <v>620</v>
      </c>
      <c r="AA42" s="28" t="s">
        <v>620</v>
      </c>
      <c r="AB42" s="28" t="s">
        <v>620</v>
      </c>
      <c r="AC42" s="28" t="s">
        <v>620</v>
      </c>
      <c r="AD42" s="28" t="s">
        <v>620</v>
      </c>
      <c r="AE42" s="27"/>
      <c r="AF42" s="27"/>
      <c r="AG42" s="27"/>
      <c r="AH42" s="27"/>
    </row>
    <row r="43" spans="1:34" ht="20.399999999999999" x14ac:dyDescent="0.25">
      <c r="A43" s="28" t="s">
        <v>1094</v>
      </c>
      <c r="B43" s="31" t="s">
        <v>622</v>
      </c>
      <c r="C43" s="26" t="s">
        <v>28</v>
      </c>
      <c r="D43" s="26" t="s">
        <v>1104</v>
      </c>
      <c r="E43" s="29" t="s">
        <v>454</v>
      </c>
      <c r="F43" s="28" t="s">
        <v>1109</v>
      </c>
      <c r="G43" s="26" t="s">
        <v>96</v>
      </c>
      <c r="H43" s="26" t="s">
        <v>889</v>
      </c>
      <c r="I43" s="32">
        <f>(Metodologia[[#This Row],[Visites]]*0.15)/MAX(Metodologia[Visites])</f>
        <v>4.8777499198823684E-4</v>
      </c>
      <c r="J43" s="26"/>
      <c r="K43" s="28" t="s">
        <v>620</v>
      </c>
      <c r="L43" s="28" t="s">
        <v>621</v>
      </c>
      <c r="M43" s="28" t="s">
        <v>620</v>
      </c>
      <c r="N43" s="26" t="s">
        <v>635</v>
      </c>
      <c r="O43" s="47">
        <v>1380</v>
      </c>
      <c r="P43" s="26" t="s">
        <v>1192</v>
      </c>
      <c r="Q43" s="26" t="s">
        <v>32</v>
      </c>
      <c r="R43" s="26" t="s">
        <v>1193</v>
      </c>
      <c r="S43" s="26"/>
      <c r="T43" s="26"/>
      <c r="U43" s="26"/>
      <c r="V43" s="26" t="s">
        <v>1194</v>
      </c>
      <c r="W43" s="28" t="s">
        <v>620</v>
      </c>
      <c r="X43" s="28" t="s">
        <v>620</v>
      </c>
      <c r="Y43" s="28" t="s">
        <v>620</v>
      </c>
      <c r="Z43" s="28" t="s">
        <v>620</v>
      </c>
      <c r="AA43" s="28" t="s">
        <v>620</v>
      </c>
      <c r="AB43" s="28" t="s">
        <v>620</v>
      </c>
      <c r="AC43" s="28" t="s">
        <v>620</v>
      </c>
      <c r="AD43" s="28" t="s">
        <v>620</v>
      </c>
      <c r="AE43" s="27" t="s">
        <v>715</v>
      </c>
      <c r="AF43" s="27" t="s">
        <v>716</v>
      </c>
      <c r="AG43" s="27" t="s">
        <v>717</v>
      </c>
      <c r="AH43" s="27" t="s">
        <v>633</v>
      </c>
    </row>
    <row r="44" spans="1:34" ht="30.6" x14ac:dyDescent="0.25">
      <c r="A44" s="28" t="s">
        <v>1097</v>
      </c>
      <c r="B44" s="31" t="s">
        <v>622</v>
      </c>
      <c r="C44" s="26" t="s">
        <v>28</v>
      </c>
      <c r="D44" s="26" t="s">
        <v>1104</v>
      </c>
      <c r="E44" s="29" t="s">
        <v>126</v>
      </c>
      <c r="F44" s="28" t="s">
        <v>1109</v>
      </c>
      <c r="G44" s="26" t="s">
        <v>96</v>
      </c>
      <c r="H44" s="26" t="s">
        <v>889</v>
      </c>
      <c r="I44" s="32">
        <f>(Metodologia[[#This Row],[Visites]]*0.15)/MAX(Metodologia[Visites])</f>
        <v>1.5410862065715308E-4</v>
      </c>
      <c r="J44" s="26"/>
      <c r="K44" s="28" t="s">
        <v>620</v>
      </c>
      <c r="L44" s="28" t="s">
        <v>621</v>
      </c>
      <c r="M44" s="28" t="s">
        <v>621</v>
      </c>
      <c r="N44" s="26" t="s">
        <v>632</v>
      </c>
      <c r="O44" s="47">
        <v>436</v>
      </c>
      <c r="P44" s="26" t="s">
        <v>1196</v>
      </c>
      <c r="Q44" s="26" t="s">
        <v>54</v>
      </c>
      <c r="R44" s="26" t="s">
        <v>127</v>
      </c>
      <c r="S44" s="26"/>
      <c r="T44" s="26"/>
      <c r="U44" s="26" t="s">
        <v>128</v>
      </c>
      <c r="V44" s="26" t="s">
        <v>1194</v>
      </c>
      <c r="W44" s="28" t="s">
        <v>620</v>
      </c>
      <c r="X44" s="28" t="s">
        <v>620</v>
      </c>
      <c r="Y44" s="28" t="s">
        <v>620</v>
      </c>
      <c r="Z44" s="28" t="s">
        <v>620</v>
      </c>
      <c r="AA44" s="28" t="s">
        <v>620</v>
      </c>
      <c r="AB44" s="28" t="s">
        <v>620</v>
      </c>
      <c r="AC44" s="28" t="s">
        <v>621</v>
      </c>
      <c r="AD44" s="28" t="s">
        <v>620</v>
      </c>
      <c r="AE44" s="27" t="s">
        <v>715</v>
      </c>
      <c r="AF44" s="27" t="s">
        <v>716</v>
      </c>
      <c r="AG44" s="27" t="s">
        <v>717</v>
      </c>
      <c r="AH44" s="27" t="s">
        <v>633</v>
      </c>
    </row>
    <row r="45" spans="1:34" ht="61.2" x14ac:dyDescent="0.25">
      <c r="A45" s="28" t="s">
        <v>1102</v>
      </c>
      <c r="B45" s="31" t="s">
        <v>626</v>
      </c>
      <c r="C45" s="26" t="s">
        <v>28</v>
      </c>
      <c r="D45" s="26" t="s">
        <v>1104</v>
      </c>
      <c r="E45" s="29" t="s">
        <v>1118</v>
      </c>
      <c r="F45" s="28" t="s">
        <v>1119</v>
      </c>
      <c r="G45" s="26" t="s">
        <v>24</v>
      </c>
      <c r="H45" s="26"/>
      <c r="I45" s="32">
        <f>(Metodologia[[#This Row],[Visites]]*0.15)/MAX(Metodologia[Visites])</f>
        <v>0</v>
      </c>
      <c r="J45" s="26"/>
      <c r="K45" s="28" t="s">
        <v>621</v>
      </c>
      <c r="L45" s="28" t="s">
        <v>621</v>
      </c>
      <c r="M45" s="28" t="s">
        <v>621</v>
      </c>
      <c r="N45" s="26" t="s">
        <v>632</v>
      </c>
      <c r="O45" s="47">
        <v>0</v>
      </c>
      <c r="P45" s="26"/>
      <c r="Q45" s="26" t="s">
        <v>54</v>
      </c>
      <c r="R45" s="26"/>
      <c r="S45" s="26"/>
      <c r="T45" s="26"/>
      <c r="U45" s="26" t="s">
        <v>1205</v>
      </c>
      <c r="V45" s="26" t="s">
        <v>1206</v>
      </c>
      <c r="W45" s="28" t="s">
        <v>620</v>
      </c>
      <c r="X45" s="28" t="s">
        <v>1227</v>
      </c>
      <c r="Y45" s="28" t="s">
        <v>1227</v>
      </c>
      <c r="Z45" s="28" t="s">
        <v>1227</v>
      </c>
      <c r="AA45" s="28" t="s">
        <v>1227</v>
      </c>
      <c r="AB45" s="28" t="s">
        <v>1227</v>
      </c>
      <c r="AC45" s="28" t="s">
        <v>1227</v>
      </c>
      <c r="AD45" s="28" t="s">
        <v>1227</v>
      </c>
      <c r="AE45" s="27"/>
      <c r="AF45" s="27"/>
      <c r="AG45" s="27"/>
      <c r="AH45" s="27"/>
    </row>
    <row r="46" spans="1:34" ht="51" x14ac:dyDescent="0.25">
      <c r="A46" s="28" t="s">
        <v>962</v>
      </c>
      <c r="B46" s="31" t="s">
        <v>622</v>
      </c>
      <c r="C46" s="26" t="s">
        <v>28</v>
      </c>
      <c r="D46" s="26" t="s">
        <v>1104</v>
      </c>
      <c r="E46" s="29" t="s">
        <v>124</v>
      </c>
      <c r="F46" s="28" t="s">
        <v>1105</v>
      </c>
      <c r="G46" s="26" t="s">
        <v>20</v>
      </c>
      <c r="H46" s="26" t="s">
        <v>889</v>
      </c>
      <c r="I46" s="32">
        <f>(Metodologia[[#This Row],[Visites]]*0.15)/MAX(Metodologia[Visites])</f>
        <v>2.0133089524384034E-3</v>
      </c>
      <c r="J46" s="26" t="s">
        <v>563</v>
      </c>
      <c r="K46" s="28" t="s">
        <v>620</v>
      </c>
      <c r="L46" s="28" t="s">
        <v>620</v>
      </c>
      <c r="M46" s="28" t="s">
        <v>620</v>
      </c>
      <c r="N46" s="26" t="s">
        <v>632</v>
      </c>
      <c r="O46" s="47">
        <v>5696</v>
      </c>
      <c r="P46" s="26" t="s">
        <v>1125</v>
      </c>
      <c r="Q46" s="26" t="s">
        <v>54</v>
      </c>
      <c r="R46" s="26" t="s">
        <v>125</v>
      </c>
      <c r="S46" s="26"/>
      <c r="T46" s="26"/>
      <c r="U46" s="26" t="s">
        <v>1126</v>
      </c>
      <c r="V46" s="26" t="s">
        <v>1127</v>
      </c>
      <c r="W46" s="28" t="s">
        <v>620</v>
      </c>
      <c r="X46" s="28" t="s">
        <v>620</v>
      </c>
      <c r="Y46" s="28" t="s">
        <v>620</v>
      </c>
      <c r="Z46" s="28" t="s">
        <v>620</v>
      </c>
      <c r="AA46" s="28" t="s">
        <v>620</v>
      </c>
      <c r="AB46" s="28" t="s">
        <v>620</v>
      </c>
      <c r="AC46" s="28" t="s">
        <v>620</v>
      </c>
      <c r="AD46" s="28" t="s">
        <v>620</v>
      </c>
      <c r="AE46" s="27" t="s">
        <v>673</v>
      </c>
      <c r="AF46" s="27" t="s">
        <v>674</v>
      </c>
      <c r="AG46" s="27" t="s">
        <v>675</v>
      </c>
      <c r="AH46" s="27" t="s">
        <v>631</v>
      </c>
    </row>
    <row r="47" spans="1:34" ht="71.400000000000006" x14ac:dyDescent="0.25">
      <c r="A47" s="28" t="s">
        <v>1056</v>
      </c>
      <c r="B47" s="31" t="s">
        <v>622</v>
      </c>
      <c r="C47" s="26" t="s">
        <v>2</v>
      </c>
      <c r="D47" s="26" t="s">
        <v>3</v>
      </c>
      <c r="E47" s="29" t="s">
        <v>18</v>
      </c>
      <c r="F47" s="28" t="s">
        <v>19</v>
      </c>
      <c r="G47" s="26" t="s">
        <v>20</v>
      </c>
      <c r="H47" s="26" t="s">
        <v>889</v>
      </c>
      <c r="I47" s="32">
        <f>(Metodologia[[#This Row],[Visites]]*0.15)/MAX(Metodologia[Visites])</f>
        <v>3.4144249439176582E-4</v>
      </c>
      <c r="J47" s="26" t="s">
        <v>607</v>
      </c>
      <c r="K47" s="28" t="s">
        <v>620</v>
      </c>
      <c r="L47" s="28" t="s">
        <v>621</v>
      </c>
      <c r="M47" s="28" t="s">
        <v>621</v>
      </c>
      <c r="N47" s="26" t="s">
        <v>942</v>
      </c>
      <c r="O47" s="47">
        <v>966</v>
      </c>
      <c r="P47" s="26" t="s">
        <v>1181</v>
      </c>
      <c r="Q47" s="26" t="s">
        <v>7</v>
      </c>
      <c r="R47" s="26" t="s">
        <v>8</v>
      </c>
      <c r="S47" s="26"/>
      <c r="T47" s="26" t="s">
        <v>9</v>
      </c>
      <c r="U47" s="26"/>
      <c r="V47" s="26" t="s">
        <v>21</v>
      </c>
      <c r="W47" s="28" t="s">
        <v>620</v>
      </c>
      <c r="X47" s="28" t="s">
        <v>621</v>
      </c>
      <c r="Y47" s="28" t="s">
        <v>621</v>
      </c>
      <c r="Z47" s="28" t="s">
        <v>621</v>
      </c>
      <c r="AA47" s="28" t="s">
        <v>621</v>
      </c>
      <c r="AB47" s="28" t="s">
        <v>621</v>
      </c>
      <c r="AC47" s="28" t="s">
        <v>621</v>
      </c>
      <c r="AD47" s="28" t="s">
        <v>620</v>
      </c>
      <c r="AE47" s="27" t="s">
        <v>813</v>
      </c>
      <c r="AF47" s="27" t="s">
        <v>759</v>
      </c>
      <c r="AG47" s="27" t="s">
        <v>672</v>
      </c>
      <c r="AH47" s="27" t="s">
        <v>631</v>
      </c>
    </row>
    <row r="48" spans="1:34" ht="40.799999999999997" x14ac:dyDescent="0.25">
      <c r="A48" s="28" t="s">
        <v>1057</v>
      </c>
      <c r="B48" s="31" t="s">
        <v>625</v>
      </c>
      <c r="C48" s="26" t="s">
        <v>2</v>
      </c>
      <c r="D48" s="26" t="s">
        <v>3</v>
      </c>
      <c r="E48" s="29" t="s">
        <v>4</v>
      </c>
      <c r="F48" s="28" t="s">
        <v>5</v>
      </c>
      <c r="G48" s="26" t="s">
        <v>6</v>
      </c>
      <c r="H48" s="26" t="s">
        <v>904</v>
      </c>
      <c r="I48" s="32">
        <f>(Metodologia[[#This Row],[Visites]]*0.15)/MAX(Metodologia[Visites])</f>
        <v>1.6860048636115142E-4</v>
      </c>
      <c r="J48" s="26" t="s">
        <v>607</v>
      </c>
      <c r="K48" s="28" t="s">
        <v>620</v>
      </c>
      <c r="L48" s="28" t="s">
        <v>620</v>
      </c>
      <c r="M48" s="28" t="s">
        <v>621</v>
      </c>
      <c r="N48" s="26" t="s">
        <v>632</v>
      </c>
      <c r="O48" s="47">
        <v>477</v>
      </c>
      <c r="P48" s="26"/>
      <c r="Q48" s="26" t="s">
        <v>7</v>
      </c>
      <c r="R48" s="26" t="s">
        <v>8</v>
      </c>
      <c r="S48" s="26" t="s">
        <v>1150</v>
      </c>
      <c r="T48" s="26" t="s">
        <v>9</v>
      </c>
      <c r="U48" s="26"/>
      <c r="V48" s="26" t="s">
        <v>10</v>
      </c>
      <c r="W48" s="28" t="s">
        <v>620</v>
      </c>
      <c r="X48" s="28" t="s">
        <v>621</v>
      </c>
      <c r="Y48" s="28" t="s">
        <v>621</v>
      </c>
      <c r="Z48" s="28" t="s">
        <v>621</v>
      </c>
      <c r="AA48" s="28" t="s">
        <v>621</v>
      </c>
      <c r="AB48" s="28" t="s">
        <v>621</v>
      </c>
      <c r="AC48" s="28" t="s">
        <v>621</v>
      </c>
      <c r="AD48" s="28" t="s">
        <v>620</v>
      </c>
      <c r="AE48" s="27" t="s">
        <v>814</v>
      </c>
      <c r="AF48" s="27" t="s">
        <v>815</v>
      </c>
      <c r="AG48" s="27" t="s">
        <v>710</v>
      </c>
      <c r="AH48" s="27" t="s">
        <v>631</v>
      </c>
    </row>
    <row r="49" spans="1:34" ht="20.399999999999999" x14ac:dyDescent="0.25">
      <c r="A49" s="28" t="s">
        <v>1058</v>
      </c>
      <c r="B49" s="31" t="s">
        <v>625</v>
      </c>
      <c r="C49" s="26" t="s">
        <v>2</v>
      </c>
      <c r="D49" s="26" t="s">
        <v>3</v>
      </c>
      <c r="E49" s="29" t="s">
        <v>11</v>
      </c>
      <c r="F49" s="28" t="s">
        <v>5</v>
      </c>
      <c r="G49" s="26" t="s">
        <v>6</v>
      </c>
      <c r="H49" s="26" t="s">
        <v>889</v>
      </c>
      <c r="I49" s="32">
        <f>(Metodologia[[#This Row],[Visites]]*0.15)/MAX(Metodologia[Visites])</f>
        <v>4.2627292778102437E-4</v>
      </c>
      <c r="J49" s="26" t="s">
        <v>607</v>
      </c>
      <c r="K49" s="28" t="s">
        <v>620</v>
      </c>
      <c r="L49" s="28" t="s">
        <v>621</v>
      </c>
      <c r="M49" s="28" t="s">
        <v>621</v>
      </c>
      <c r="N49" s="26" t="s">
        <v>632</v>
      </c>
      <c r="O49" s="47">
        <v>1206</v>
      </c>
      <c r="P49" s="26"/>
      <c r="Q49" s="26" t="s">
        <v>7</v>
      </c>
      <c r="R49" s="26" t="s">
        <v>8</v>
      </c>
      <c r="S49" s="26" t="s">
        <v>1150</v>
      </c>
      <c r="T49" s="26"/>
      <c r="U49" s="26"/>
      <c r="V49" s="26" t="s">
        <v>12</v>
      </c>
      <c r="W49" s="28" t="s">
        <v>620</v>
      </c>
      <c r="X49" s="28" t="s">
        <v>620</v>
      </c>
      <c r="Y49" s="28" t="s">
        <v>620</v>
      </c>
      <c r="Z49" s="28" t="s">
        <v>620</v>
      </c>
      <c r="AA49" s="28" t="s">
        <v>620</v>
      </c>
      <c r="AB49" s="28" t="s">
        <v>620</v>
      </c>
      <c r="AC49" s="28" t="s">
        <v>620</v>
      </c>
      <c r="AD49" s="28" t="s">
        <v>620</v>
      </c>
      <c r="AE49" s="27" t="s">
        <v>816</v>
      </c>
      <c r="AF49" s="27" t="s">
        <v>817</v>
      </c>
      <c r="AG49" s="27" t="s">
        <v>713</v>
      </c>
      <c r="AH49" s="27" t="s">
        <v>631</v>
      </c>
    </row>
    <row r="50" spans="1:34" ht="20.399999999999999" x14ac:dyDescent="0.25">
      <c r="A50" s="28" t="s">
        <v>1059</v>
      </c>
      <c r="B50" s="31" t="s">
        <v>624</v>
      </c>
      <c r="C50" s="26" t="s">
        <v>2</v>
      </c>
      <c r="D50" s="26" t="s">
        <v>3</v>
      </c>
      <c r="E50" s="29" t="s">
        <v>504</v>
      </c>
      <c r="F50" s="28" t="s">
        <v>505</v>
      </c>
      <c r="G50" s="26" t="s">
        <v>24</v>
      </c>
      <c r="H50" s="26" t="s">
        <v>889</v>
      </c>
      <c r="I50" s="32">
        <f>(Metodologia[[#This Row],[Visites]]*0.15)/MAX(Metodologia[Visites])</f>
        <v>3.921993703696721E-3</v>
      </c>
      <c r="J50" s="26" t="s">
        <v>607</v>
      </c>
      <c r="K50" s="28" t="s">
        <v>620</v>
      </c>
      <c r="L50" s="28" t="s">
        <v>620</v>
      </c>
      <c r="M50" s="28" t="s">
        <v>621</v>
      </c>
      <c r="N50" s="26" t="s">
        <v>632</v>
      </c>
      <c r="O50" s="47">
        <v>11096</v>
      </c>
      <c r="P50" s="26"/>
      <c r="Q50" s="26" t="s">
        <v>7</v>
      </c>
      <c r="R50" s="26" t="s">
        <v>8</v>
      </c>
      <c r="S50" s="26"/>
      <c r="T50" s="26"/>
      <c r="U50" s="26"/>
      <c r="V50" s="26" t="s">
        <v>506</v>
      </c>
      <c r="W50" s="28" t="s">
        <v>620</v>
      </c>
      <c r="X50" s="28" t="s">
        <v>621</v>
      </c>
      <c r="Y50" s="28" t="s">
        <v>621</v>
      </c>
      <c r="Z50" s="28" t="s">
        <v>621</v>
      </c>
      <c r="AA50" s="28" t="s">
        <v>621</v>
      </c>
      <c r="AB50" s="28" t="s">
        <v>621</v>
      </c>
      <c r="AC50" s="28" t="s">
        <v>621</v>
      </c>
      <c r="AD50" s="28" t="s">
        <v>620</v>
      </c>
      <c r="AE50" s="27" t="s">
        <v>818</v>
      </c>
      <c r="AF50" s="27" t="s">
        <v>819</v>
      </c>
      <c r="AG50" s="27" t="s">
        <v>669</v>
      </c>
      <c r="AH50" s="27" t="s">
        <v>631</v>
      </c>
    </row>
    <row r="51" spans="1:34" ht="20.399999999999999" x14ac:dyDescent="0.25">
      <c r="A51" s="28" t="s">
        <v>1060</v>
      </c>
      <c r="B51" s="31" t="s">
        <v>622</v>
      </c>
      <c r="C51" s="26" t="s">
        <v>2</v>
      </c>
      <c r="D51" s="26" t="s">
        <v>3</v>
      </c>
      <c r="E51" s="29" t="s">
        <v>546</v>
      </c>
      <c r="F51" s="28" t="s">
        <v>547</v>
      </c>
      <c r="G51" s="26" t="s">
        <v>96</v>
      </c>
      <c r="H51" s="26" t="s">
        <v>889</v>
      </c>
      <c r="I51" s="32">
        <f>(Metodologia[[#This Row],[Visites]]*0.15)/MAX(Metodologia[Visites])</f>
        <v>5.2770184930344785E-2</v>
      </c>
      <c r="J51" s="26" t="s">
        <v>604</v>
      </c>
      <c r="K51" s="28" t="s">
        <v>620</v>
      </c>
      <c r="L51" s="28" t="s">
        <v>620</v>
      </c>
      <c r="M51" s="28" t="s">
        <v>621</v>
      </c>
      <c r="N51" s="26" t="s">
        <v>632</v>
      </c>
      <c r="O51" s="47">
        <v>149296</v>
      </c>
      <c r="P51" s="26" t="s">
        <v>1182</v>
      </c>
      <c r="Q51" s="26" t="s">
        <v>32</v>
      </c>
      <c r="R51" s="26" t="s">
        <v>548</v>
      </c>
      <c r="S51" s="26" t="s">
        <v>1183</v>
      </c>
      <c r="T51" s="26"/>
      <c r="U51" s="26"/>
      <c r="V51" s="26" t="s">
        <v>549</v>
      </c>
      <c r="W51" s="28" t="s">
        <v>620</v>
      </c>
      <c r="X51" s="28" t="s">
        <v>1227</v>
      </c>
      <c r="Y51" s="28" t="s">
        <v>1227</v>
      </c>
      <c r="Z51" s="28" t="s">
        <v>1227</v>
      </c>
      <c r="AA51" s="28" t="s">
        <v>1227</v>
      </c>
      <c r="AB51" s="28" t="s">
        <v>1227</v>
      </c>
      <c r="AC51" s="28" t="s">
        <v>1227</v>
      </c>
      <c r="AD51" s="28" t="s">
        <v>1227</v>
      </c>
      <c r="AE51" s="27" t="s">
        <v>715</v>
      </c>
      <c r="AF51" s="27" t="s">
        <v>716</v>
      </c>
      <c r="AG51" s="27" t="s">
        <v>717</v>
      </c>
      <c r="AH51" s="27" t="s">
        <v>638</v>
      </c>
    </row>
    <row r="52" spans="1:34" ht="20.399999999999999" x14ac:dyDescent="0.25">
      <c r="A52" s="28" t="s">
        <v>1061</v>
      </c>
      <c r="B52" s="31" t="s">
        <v>625</v>
      </c>
      <c r="C52" s="26" t="s">
        <v>2</v>
      </c>
      <c r="D52" s="26" t="s">
        <v>3</v>
      </c>
      <c r="E52" s="29" t="s">
        <v>176</v>
      </c>
      <c r="F52" s="28" t="s">
        <v>177</v>
      </c>
      <c r="G52" s="26" t="s">
        <v>6</v>
      </c>
      <c r="H52" s="26" t="s">
        <v>889</v>
      </c>
      <c r="I52" s="32">
        <f>(Metodologia[[#This Row],[Visites]]*0.15)/MAX(Metodologia[Visites])</f>
        <v>2.1207608347314645E-4</v>
      </c>
      <c r="J52" s="26" t="s">
        <v>608</v>
      </c>
      <c r="K52" s="28" t="s">
        <v>620</v>
      </c>
      <c r="L52" s="28" t="s">
        <v>620</v>
      </c>
      <c r="M52" s="28" t="s">
        <v>621</v>
      </c>
      <c r="N52" s="26" t="s">
        <v>632</v>
      </c>
      <c r="O52" s="47">
        <v>600</v>
      </c>
      <c r="P52" s="26"/>
      <c r="Q52" s="26" t="s">
        <v>7</v>
      </c>
      <c r="R52" s="26" t="s">
        <v>8</v>
      </c>
      <c r="S52" s="26"/>
      <c r="T52" s="26"/>
      <c r="U52" s="26"/>
      <c r="V52" s="26" t="s">
        <v>178</v>
      </c>
      <c r="W52" s="28" t="s">
        <v>620</v>
      </c>
      <c r="X52" s="28" t="s">
        <v>621</v>
      </c>
      <c r="Y52" s="28" t="s">
        <v>621</v>
      </c>
      <c r="Z52" s="28" t="s">
        <v>621</v>
      </c>
      <c r="AA52" s="28" t="s">
        <v>621</v>
      </c>
      <c r="AB52" s="28" t="s">
        <v>621</v>
      </c>
      <c r="AC52" s="28" t="s">
        <v>621</v>
      </c>
      <c r="AD52" s="28" t="s">
        <v>620</v>
      </c>
      <c r="AE52" s="27" t="s">
        <v>820</v>
      </c>
      <c r="AF52" s="27" t="s">
        <v>821</v>
      </c>
      <c r="AG52" s="27" t="s">
        <v>725</v>
      </c>
      <c r="AH52" s="27" t="s">
        <v>631</v>
      </c>
    </row>
    <row r="53" spans="1:34" ht="30.6" x14ac:dyDescent="0.25">
      <c r="A53" s="28" t="s">
        <v>1062</v>
      </c>
      <c r="B53" s="31" t="s">
        <v>625</v>
      </c>
      <c r="C53" s="26" t="s">
        <v>2</v>
      </c>
      <c r="D53" s="26" t="s">
        <v>3</v>
      </c>
      <c r="E53" s="29" t="s">
        <v>13</v>
      </c>
      <c r="F53" s="28" t="s">
        <v>14</v>
      </c>
      <c r="G53" s="26" t="s">
        <v>6</v>
      </c>
      <c r="H53" s="26" t="s">
        <v>889</v>
      </c>
      <c r="I53" s="32">
        <f>(Metodologia[[#This Row],[Visites]]*0.15)/MAX(Metodologia[Visites])</f>
        <v>5.7260542537749539E-4</v>
      </c>
      <c r="J53" s="26" t="s">
        <v>607</v>
      </c>
      <c r="K53" s="28" t="s">
        <v>620</v>
      </c>
      <c r="L53" s="28" t="s">
        <v>620</v>
      </c>
      <c r="M53" s="28" t="s">
        <v>621</v>
      </c>
      <c r="N53" s="26" t="s">
        <v>632</v>
      </c>
      <c r="O53" s="47">
        <v>1620</v>
      </c>
      <c r="P53" s="26"/>
      <c r="Q53" s="26" t="s">
        <v>7</v>
      </c>
      <c r="R53" s="26" t="s">
        <v>15</v>
      </c>
      <c r="S53" s="26"/>
      <c r="T53" s="26" t="s">
        <v>16</v>
      </c>
      <c r="U53" s="26"/>
      <c r="V53" s="26" t="s">
        <v>17</v>
      </c>
      <c r="W53" s="28" t="s">
        <v>620</v>
      </c>
      <c r="X53" s="28" t="s">
        <v>621</v>
      </c>
      <c r="Y53" s="28" t="s">
        <v>621</v>
      </c>
      <c r="Z53" s="28" t="s">
        <v>621</v>
      </c>
      <c r="AA53" s="28" t="s">
        <v>621</v>
      </c>
      <c r="AB53" s="28" t="s">
        <v>621</v>
      </c>
      <c r="AC53" s="28" t="s">
        <v>621</v>
      </c>
      <c r="AD53" s="28" t="s">
        <v>620</v>
      </c>
      <c r="AE53" s="27" t="s">
        <v>822</v>
      </c>
      <c r="AF53" s="27" t="s">
        <v>823</v>
      </c>
      <c r="AG53" s="27" t="s">
        <v>710</v>
      </c>
      <c r="AH53" s="27" t="s">
        <v>631</v>
      </c>
    </row>
    <row r="54" spans="1:34" ht="20.399999999999999" x14ac:dyDescent="0.25">
      <c r="A54" s="28" t="s">
        <v>1063</v>
      </c>
      <c r="B54" s="31" t="s">
        <v>624</v>
      </c>
      <c r="C54" s="26" t="s">
        <v>2</v>
      </c>
      <c r="D54" s="26" t="s">
        <v>3</v>
      </c>
      <c r="E54" s="29" t="s">
        <v>22</v>
      </c>
      <c r="F54" s="28" t="s">
        <v>23</v>
      </c>
      <c r="G54" s="26" t="s">
        <v>24</v>
      </c>
      <c r="H54" s="26" t="s">
        <v>889</v>
      </c>
      <c r="I54" s="32">
        <f>(Metodologia[[#This Row],[Visites]]*0.15)/MAX(Metodologia[Visites])</f>
        <v>2.7569890851509042E-4</v>
      </c>
      <c r="J54" s="26" t="s">
        <v>607</v>
      </c>
      <c r="K54" s="28" t="s">
        <v>620</v>
      </c>
      <c r="L54" s="28" t="s">
        <v>621</v>
      </c>
      <c r="M54" s="28" t="s">
        <v>621</v>
      </c>
      <c r="N54" s="26" t="s">
        <v>632</v>
      </c>
      <c r="O54" s="47">
        <v>780</v>
      </c>
      <c r="P54" s="26"/>
      <c r="Q54" s="26" t="s">
        <v>7</v>
      </c>
      <c r="R54" s="26" t="s">
        <v>25</v>
      </c>
      <c r="S54" s="26"/>
      <c r="T54" s="26" t="s">
        <v>26</v>
      </c>
      <c r="U54" s="26"/>
      <c r="V54" s="26" t="s">
        <v>27</v>
      </c>
      <c r="W54" s="28" t="s">
        <v>620</v>
      </c>
      <c r="X54" s="28" t="s">
        <v>621</v>
      </c>
      <c r="Y54" s="28" t="s">
        <v>621</v>
      </c>
      <c r="Z54" s="28" t="s">
        <v>621</v>
      </c>
      <c r="AA54" s="28" t="s">
        <v>621</v>
      </c>
      <c r="AB54" s="28" t="s">
        <v>621</v>
      </c>
      <c r="AC54" s="28" t="s">
        <v>621</v>
      </c>
      <c r="AD54" s="28" t="s">
        <v>620</v>
      </c>
      <c r="AE54" s="27" t="s">
        <v>824</v>
      </c>
      <c r="AF54" s="27" t="s">
        <v>825</v>
      </c>
      <c r="AG54" s="27" t="s">
        <v>669</v>
      </c>
      <c r="AH54" s="27" t="s">
        <v>631</v>
      </c>
    </row>
    <row r="55" spans="1:34" ht="20.399999999999999" x14ac:dyDescent="0.25">
      <c r="A55" s="28" t="s">
        <v>1064</v>
      </c>
      <c r="B55" s="31" t="s">
        <v>625</v>
      </c>
      <c r="C55" s="26" t="s">
        <v>2</v>
      </c>
      <c r="D55" s="26" t="s">
        <v>3</v>
      </c>
      <c r="E55" s="29" t="s">
        <v>491</v>
      </c>
      <c r="F55" s="28" t="s">
        <v>492</v>
      </c>
      <c r="G55" s="26" t="s">
        <v>6</v>
      </c>
      <c r="H55" s="26" t="s">
        <v>889</v>
      </c>
      <c r="I55" s="32">
        <f>(Metodologia[[#This Row],[Visites]]*0.15)/MAX(Metodologia[Visites])</f>
        <v>1.5587592135276264E-3</v>
      </c>
      <c r="J55" s="26" t="s">
        <v>607</v>
      </c>
      <c r="K55" s="28" t="s">
        <v>620</v>
      </c>
      <c r="L55" s="28" t="s">
        <v>621</v>
      </c>
      <c r="M55" s="28" t="s">
        <v>621</v>
      </c>
      <c r="N55" s="26" t="s">
        <v>632</v>
      </c>
      <c r="O55" s="47">
        <v>4410</v>
      </c>
      <c r="P55" s="26"/>
      <c r="Q55" s="26" t="s">
        <v>7</v>
      </c>
      <c r="R55" s="26" t="s">
        <v>493</v>
      </c>
      <c r="S55" s="26"/>
      <c r="T55" s="26" t="s">
        <v>494</v>
      </c>
      <c r="U55" s="26"/>
      <c r="V55" s="26" t="s">
        <v>495</v>
      </c>
      <c r="W55" s="28" t="s">
        <v>620</v>
      </c>
      <c r="X55" s="28" t="s">
        <v>620</v>
      </c>
      <c r="Y55" s="28" t="s">
        <v>620</v>
      </c>
      <c r="Z55" s="28" t="s">
        <v>620</v>
      </c>
      <c r="AA55" s="28" t="s">
        <v>620</v>
      </c>
      <c r="AB55" s="28" t="s">
        <v>620</v>
      </c>
      <c r="AC55" s="28" t="s">
        <v>620</v>
      </c>
      <c r="AD55" s="28" t="s">
        <v>620</v>
      </c>
      <c r="AE55" s="27" t="s">
        <v>826</v>
      </c>
      <c r="AF55" s="27" t="s">
        <v>827</v>
      </c>
      <c r="AG55" s="27" t="s">
        <v>710</v>
      </c>
      <c r="AH55" s="27" t="s">
        <v>631</v>
      </c>
    </row>
    <row r="56" spans="1:34" ht="30.6" x14ac:dyDescent="0.25">
      <c r="A56" s="28" t="s">
        <v>1065</v>
      </c>
      <c r="B56" s="31" t="s">
        <v>622</v>
      </c>
      <c r="C56" s="26" t="s">
        <v>2</v>
      </c>
      <c r="D56" s="26" t="s">
        <v>3</v>
      </c>
      <c r="E56" s="29" t="s">
        <v>205</v>
      </c>
      <c r="F56" s="28" t="s">
        <v>206</v>
      </c>
      <c r="G56" s="26" t="s">
        <v>96</v>
      </c>
      <c r="H56" s="26" t="s">
        <v>889</v>
      </c>
      <c r="I56" s="32">
        <f>(Metodologia[[#This Row],[Visites]]*0.15)/MAX(Metodologia[Visites])</f>
        <v>5.0650837936169811E-4</v>
      </c>
      <c r="J56" s="26" t="s">
        <v>609</v>
      </c>
      <c r="K56" s="28" t="s">
        <v>620</v>
      </c>
      <c r="L56" s="28" t="s">
        <v>621</v>
      </c>
      <c r="M56" s="28" t="s">
        <v>621</v>
      </c>
      <c r="N56" s="26" t="s">
        <v>632</v>
      </c>
      <c r="O56" s="47">
        <v>1433</v>
      </c>
      <c r="P56" s="26" t="s">
        <v>1184</v>
      </c>
      <c r="Q56" s="26" t="s">
        <v>7</v>
      </c>
      <c r="R56" s="26" t="s">
        <v>207</v>
      </c>
      <c r="S56" s="26"/>
      <c r="T56" s="26" t="s">
        <v>208</v>
      </c>
      <c r="U56" s="26"/>
      <c r="V56" s="26" t="s">
        <v>209</v>
      </c>
      <c r="W56" s="28" t="s">
        <v>620</v>
      </c>
      <c r="X56" s="28" t="s">
        <v>620</v>
      </c>
      <c r="Y56" s="28" t="s">
        <v>620</v>
      </c>
      <c r="Z56" s="28" t="s">
        <v>620</v>
      </c>
      <c r="AA56" s="28" t="s">
        <v>620</v>
      </c>
      <c r="AB56" s="28" t="s">
        <v>620</v>
      </c>
      <c r="AC56" s="28" t="s">
        <v>620</v>
      </c>
      <c r="AD56" s="28" t="s">
        <v>620</v>
      </c>
      <c r="AE56" s="27" t="s">
        <v>715</v>
      </c>
      <c r="AF56" s="27" t="s">
        <v>716</v>
      </c>
      <c r="AG56" s="27" t="s">
        <v>717</v>
      </c>
      <c r="AH56" s="27" t="s">
        <v>638</v>
      </c>
    </row>
    <row r="57" spans="1:34" ht="30.6" x14ac:dyDescent="0.25">
      <c r="A57" s="28" t="s">
        <v>1066</v>
      </c>
      <c r="B57" s="31" t="s">
        <v>626</v>
      </c>
      <c r="C57" s="26" t="s">
        <v>2</v>
      </c>
      <c r="D57" s="26" t="s">
        <v>3</v>
      </c>
      <c r="E57" s="29" t="s">
        <v>369</v>
      </c>
      <c r="F57" s="28" t="s">
        <v>370</v>
      </c>
      <c r="G57" s="26" t="s">
        <v>6</v>
      </c>
      <c r="H57" s="26"/>
      <c r="I57" s="32">
        <f>(Metodologia[[#This Row],[Visites]]*0.15)/MAX(Metodologia[Visites])</f>
        <v>7.4155937187776874E-4</v>
      </c>
      <c r="J57" s="26"/>
      <c r="K57" s="28" t="s">
        <v>621</v>
      </c>
      <c r="L57" s="28" t="s">
        <v>620</v>
      </c>
      <c r="M57" s="28" t="s">
        <v>621</v>
      </c>
      <c r="N57" s="26" t="s">
        <v>632</v>
      </c>
      <c r="O57" s="47">
        <v>2098</v>
      </c>
      <c r="P57" s="26"/>
      <c r="Q57" s="26" t="s">
        <v>7</v>
      </c>
      <c r="R57" s="26"/>
      <c r="S57" s="26"/>
      <c r="T57" s="26"/>
      <c r="U57" s="26" t="s">
        <v>371</v>
      </c>
      <c r="V57" s="26" t="s">
        <v>372</v>
      </c>
      <c r="W57" s="28" t="s">
        <v>620</v>
      </c>
      <c r="X57" s="28" t="s">
        <v>621</v>
      </c>
      <c r="Y57" s="28" t="s">
        <v>621</v>
      </c>
      <c r="Z57" s="28" t="s">
        <v>621</v>
      </c>
      <c r="AA57" s="28" t="s">
        <v>621</v>
      </c>
      <c r="AB57" s="28" t="s">
        <v>621</v>
      </c>
      <c r="AC57" s="28" t="s">
        <v>621</v>
      </c>
      <c r="AD57" s="28" t="s">
        <v>621</v>
      </c>
      <c r="AE57" s="27" t="s">
        <v>828</v>
      </c>
      <c r="AF57" s="27" t="s">
        <v>829</v>
      </c>
      <c r="AG57" s="27" t="s">
        <v>830</v>
      </c>
      <c r="AH57" s="27" t="s">
        <v>646</v>
      </c>
    </row>
    <row r="58" spans="1:34" ht="20.399999999999999" x14ac:dyDescent="0.25">
      <c r="A58" s="28" t="s">
        <v>1067</v>
      </c>
      <c r="B58" s="31" t="s">
        <v>626</v>
      </c>
      <c r="C58" s="26" t="s">
        <v>2</v>
      </c>
      <c r="D58" s="26" t="s">
        <v>3</v>
      </c>
      <c r="E58" s="29" t="s">
        <v>376</v>
      </c>
      <c r="F58" s="28" t="s">
        <v>377</v>
      </c>
      <c r="G58" s="26" t="s">
        <v>6</v>
      </c>
      <c r="H58" s="26"/>
      <c r="I58" s="32">
        <f>(Metodologia[[#This Row],[Visites]]*0.15)/MAX(Metodologia[Visites])</f>
        <v>1.0791138047391935E-3</v>
      </c>
      <c r="J58" s="26"/>
      <c r="K58" s="28" t="s">
        <v>621</v>
      </c>
      <c r="L58" s="28" t="s">
        <v>620</v>
      </c>
      <c r="M58" s="28" t="s">
        <v>621</v>
      </c>
      <c r="N58" s="26" t="s">
        <v>632</v>
      </c>
      <c r="O58" s="47">
        <v>3053</v>
      </c>
      <c r="P58" s="26"/>
      <c r="Q58" s="26" t="s">
        <v>7</v>
      </c>
      <c r="R58" s="26"/>
      <c r="S58" s="26"/>
      <c r="T58" s="26"/>
      <c r="U58" s="26" t="s">
        <v>33</v>
      </c>
      <c r="V58" s="26" t="s">
        <v>378</v>
      </c>
      <c r="W58" s="28" t="s">
        <v>620</v>
      </c>
      <c r="X58" s="28" t="s">
        <v>621</v>
      </c>
      <c r="Y58" s="28" t="s">
        <v>621</v>
      </c>
      <c r="Z58" s="28" t="s">
        <v>621</v>
      </c>
      <c r="AA58" s="28" t="s">
        <v>621</v>
      </c>
      <c r="AB58" s="28" t="s">
        <v>621</v>
      </c>
      <c r="AC58" s="28" t="s">
        <v>621</v>
      </c>
      <c r="AD58" s="28" t="s">
        <v>621</v>
      </c>
      <c r="AE58" s="27" t="s">
        <v>831</v>
      </c>
      <c r="AF58" s="27" t="s">
        <v>832</v>
      </c>
      <c r="AG58" s="27" t="s">
        <v>713</v>
      </c>
      <c r="AH58" s="27" t="s">
        <v>646</v>
      </c>
    </row>
    <row r="59" spans="1:34" ht="30.6" x14ac:dyDescent="0.25">
      <c r="A59" s="28" t="s">
        <v>1068</v>
      </c>
      <c r="B59" s="31" t="s">
        <v>624</v>
      </c>
      <c r="C59" s="26" t="s">
        <v>2</v>
      </c>
      <c r="D59" s="26" t="s">
        <v>3</v>
      </c>
      <c r="E59" s="29" t="s">
        <v>610</v>
      </c>
      <c r="F59" s="28" t="s">
        <v>496</v>
      </c>
      <c r="G59" s="26" t="s">
        <v>24</v>
      </c>
      <c r="H59" s="26" t="s">
        <v>889</v>
      </c>
      <c r="I59" s="32">
        <f>(Metodologia[[#This Row],[Visites]]*0.15)/MAX(Metodologia[Visites])</f>
        <v>1.1144598186513847E-3</v>
      </c>
      <c r="J59" s="26"/>
      <c r="K59" s="28" t="s">
        <v>620</v>
      </c>
      <c r="L59" s="28" t="s">
        <v>620</v>
      </c>
      <c r="M59" s="28" t="s">
        <v>621</v>
      </c>
      <c r="N59" s="26" t="s">
        <v>632</v>
      </c>
      <c r="O59" s="47">
        <v>3153</v>
      </c>
      <c r="P59" s="26"/>
      <c r="Q59" s="26" t="s">
        <v>7</v>
      </c>
      <c r="R59" s="26"/>
      <c r="S59" s="26" t="s">
        <v>497</v>
      </c>
      <c r="T59" s="26"/>
      <c r="U59" s="26"/>
      <c r="V59" s="26" t="s">
        <v>498</v>
      </c>
      <c r="W59" s="28" t="s">
        <v>620</v>
      </c>
      <c r="X59" s="28" t="s">
        <v>620</v>
      </c>
      <c r="Y59" s="28" t="s">
        <v>620</v>
      </c>
      <c r="Z59" s="28" t="s">
        <v>620</v>
      </c>
      <c r="AA59" s="28" t="s">
        <v>620</v>
      </c>
      <c r="AB59" s="28" t="s">
        <v>620</v>
      </c>
      <c r="AC59" s="28" t="s">
        <v>620</v>
      </c>
      <c r="AD59" s="28" t="s">
        <v>620</v>
      </c>
      <c r="AE59" s="27" t="s">
        <v>833</v>
      </c>
      <c r="AF59" s="27" t="s">
        <v>834</v>
      </c>
      <c r="AG59" s="27" t="s">
        <v>669</v>
      </c>
      <c r="AH59" s="27" t="s">
        <v>631</v>
      </c>
    </row>
    <row r="60" spans="1:34" ht="153" x14ac:dyDescent="0.25">
      <c r="A60" s="28" t="s">
        <v>1069</v>
      </c>
      <c r="B60" s="31" t="s">
        <v>622</v>
      </c>
      <c r="C60" s="26" t="s">
        <v>2</v>
      </c>
      <c r="D60" s="26" t="s">
        <v>75</v>
      </c>
      <c r="E60" s="29" t="s">
        <v>230</v>
      </c>
      <c r="F60" s="28" t="s">
        <v>231</v>
      </c>
      <c r="G60" s="26" t="s">
        <v>20</v>
      </c>
      <c r="H60" s="26" t="s">
        <v>905</v>
      </c>
      <c r="I60" s="32">
        <f>(Metodologia[[#This Row],[Visites]]*0.15)/MAX(Metodologia[Visites])</f>
        <v>1.1738411220238655E-3</v>
      </c>
      <c r="J60" s="26" t="s">
        <v>611</v>
      </c>
      <c r="K60" s="28" t="s">
        <v>620</v>
      </c>
      <c r="L60" s="28" t="s">
        <v>620</v>
      </c>
      <c r="M60" s="28" t="s">
        <v>621</v>
      </c>
      <c r="N60" s="26" t="s">
        <v>632</v>
      </c>
      <c r="O60" s="47">
        <v>3321</v>
      </c>
      <c r="P60" s="26" t="s">
        <v>1137</v>
      </c>
      <c r="Q60" s="26" t="s">
        <v>54</v>
      </c>
      <c r="R60" s="26" t="s">
        <v>8</v>
      </c>
      <c r="S60" s="26" t="s">
        <v>1121</v>
      </c>
      <c r="T60" s="26"/>
      <c r="U60" s="26"/>
      <c r="V60" s="26" t="s">
        <v>232</v>
      </c>
      <c r="W60" s="28" t="s">
        <v>620</v>
      </c>
      <c r="X60" s="28" t="s">
        <v>620</v>
      </c>
      <c r="Y60" s="28" t="s">
        <v>620</v>
      </c>
      <c r="Z60" s="28" t="s">
        <v>620</v>
      </c>
      <c r="AA60" s="28" t="s">
        <v>620</v>
      </c>
      <c r="AB60" s="28" t="s">
        <v>620</v>
      </c>
      <c r="AC60" s="28" t="s">
        <v>620</v>
      </c>
      <c r="AD60" s="28" t="s">
        <v>620</v>
      </c>
      <c r="AE60" s="27" t="s">
        <v>670</v>
      </c>
      <c r="AF60" s="27" t="s">
        <v>692</v>
      </c>
      <c r="AG60" s="27" t="s">
        <v>672</v>
      </c>
      <c r="AH60" s="27" t="s">
        <v>631</v>
      </c>
    </row>
    <row r="61" spans="1:34" ht="20.399999999999999" x14ac:dyDescent="0.25">
      <c r="A61" s="28" t="s">
        <v>1070</v>
      </c>
      <c r="B61" s="31" t="s">
        <v>622</v>
      </c>
      <c r="C61" s="26" t="s">
        <v>2</v>
      </c>
      <c r="D61" s="26" t="s">
        <v>75</v>
      </c>
      <c r="E61" s="29" t="s">
        <v>382</v>
      </c>
      <c r="F61" s="28" t="s">
        <v>383</v>
      </c>
      <c r="G61" s="26" t="s">
        <v>20</v>
      </c>
      <c r="H61" s="26" t="s">
        <v>889</v>
      </c>
      <c r="I61" s="32">
        <f>(Metodologia[[#This Row],[Visites]]*0.15)/MAX(Metodologia[Visites])</f>
        <v>2.7418256451825739E-2</v>
      </c>
      <c r="J61" s="26" t="s">
        <v>612</v>
      </c>
      <c r="K61" s="28" t="s">
        <v>620</v>
      </c>
      <c r="L61" s="28" t="s">
        <v>621</v>
      </c>
      <c r="M61" s="28" t="s">
        <v>620</v>
      </c>
      <c r="N61" s="26" t="s">
        <v>632</v>
      </c>
      <c r="O61" s="47">
        <v>77571</v>
      </c>
      <c r="P61" s="26" t="s">
        <v>1137</v>
      </c>
      <c r="Q61" s="26" t="s">
        <v>7</v>
      </c>
      <c r="R61" s="26" t="s">
        <v>8</v>
      </c>
      <c r="S61" s="26" t="s">
        <v>1185</v>
      </c>
      <c r="T61" s="26"/>
      <c r="U61" s="26"/>
      <c r="V61" s="26" t="s">
        <v>384</v>
      </c>
      <c r="W61" s="28" t="s">
        <v>620</v>
      </c>
      <c r="X61" s="28" t="s">
        <v>621</v>
      </c>
      <c r="Y61" s="28" t="s">
        <v>621</v>
      </c>
      <c r="Z61" s="28" t="s">
        <v>621</v>
      </c>
      <c r="AA61" s="28" t="s">
        <v>621</v>
      </c>
      <c r="AB61" s="28" t="s">
        <v>621</v>
      </c>
      <c r="AC61" s="28" t="s">
        <v>621</v>
      </c>
      <c r="AD61" s="28" t="s">
        <v>620</v>
      </c>
      <c r="AE61" s="27" t="s">
        <v>688</v>
      </c>
      <c r="AF61" s="27" t="s">
        <v>835</v>
      </c>
      <c r="AG61" s="27" t="s">
        <v>672</v>
      </c>
      <c r="AH61" s="27" t="s">
        <v>631</v>
      </c>
    </row>
    <row r="62" spans="1:34" ht="20.399999999999999" x14ac:dyDescent="0.25">
      <c r="A62" s="28" t="s">
        <v>1071</v>
      </c>
      <c r="B62" s="31" t="s">
        <v>622</v>
      </c>
      <c r="C62" s="26" t="s">
        <v>2</v>
      </c>
      <c r="D62" s="26" t="s">
        <v>75</v>
      </c>
      <c r="E62" s="29" t="s">
        <v>379</v>
      </c>
      <c r="F62" s="28" t="s">
        <v>380</v>
      </c>
      <c r="G62" s="26" t="s">
        <v>20</v>
      </c>
      <c r="H62" s="26" t="s">
        <v>889</v>
      </c>
      <c r="I62" s="32">
        <f>(Metodologia[[#This Row],[Visites]]*0.15)/MAX(Metodologia[Visites])</f>
        <v>2.6388980526702736E-2</v>
      </c>
      <c r="J62" s="26" t="s">
        <v>613</v>
      </c>
      <c r="K62" s="28" t="s">
        <v>620</v>
      </c>
      <c r="L62" s="28" t="s">
        <v>621</v>
      </c>
      <c r="M62" s="28" t="s">
        <v>621</v>
      </c>
      <c r="N62" s="26" t="s">
        <v>632</v>
      </c>
      <c r="O62" s="47">
        <v>74659</v>
      </c>
      <c r="P62" s="26" t="s">
        <v>1137</v>
      </c>
      <c r="Q62" s="26" t="s">
        <v>54</v>
      </c>
      <c r="R62" s="26" t="s">
        <v>8</v>
      </c>
      <c r="S62" s="26" t="s">
        <v>1185</v>
      </c>
      <c r="T62" s="26"/>
      <c r="U62" s="26"/>
      <c r="V62" s="26" t="s">
        <v>381</v>
      </c>
      <c r="W62" s="28" t="s">
        <v>620</v>
      </c>
      <c r="X62" s="28" t="s">
        <v>621</v>
      </c>
      <c r="Y62" s="28" t="s">
        <v>621</v>
      </c>
      <c r="Z62" s="28" t="s">
        <v>621</v>
      </c>
      <c r="AA62" s="28" t="s">
        <v>621</v>
      </c>
      <c r="AB62" s="28" t="s">
        <v>621</v>
      </c>
      <c r="AC62" s="28" t="s">
        <v>621</v>
      </c>
      <c r="AD62" s="28" t="s">
        <v>620</v>
      </c>
      <c r="AE62" s="27" t="s">
        <v>688</v>
      </c>
      <c r="AF62" s="27" t="s">
        <v>835</v>
      </c>
      <c r="AG62" s="27" t="s">
        <v>672</v>
      </c>
      <c r="AH62" s="27" t="s">
        <v>631</v>
      </c>
    </row>
    <row r="63" spans="1:34" ht="40.799999999999997" x14ac:dyDescent="0.25">
      <c r="A63" s="28" t="s">
        <v>1072</v>
      </c>
      <c r="B63" s="31" t="s">
        <v>622</v>
      </c>
      <c r="C63" s="26" t="s">
        <v>2</v>
      </c>
      <c r="D63" s="26" t="s">
        <v>75</v>
      </c>
      <c r="E63" s="29" t="s">
        <v>435</v>
      </c>
      <c r="F63" s="28" t="s">
        <v>436</v>
      </c>
      <c r="G63" s="26" t="s">
        <v>20</v>
      </c>
      <c r="H63" s="26" t="s">
        <v>906</v>
      </c>
      <c r="I63" s="32">
        <f>(Metodologia[[#This Row],[Visites]]*0.15)/MAX(Metodologia[Visites])</f>
        <v>4.4147171376326651E-4</v>
      </c>
      <c r="J63" s="26"/>
      <c r="K63" s="28" t="s">
        <v>620</v>
      </c>
      <c r="L63" s="28" t="s">
        <v>620</v>
      </c>
      <c r="M63" s="28" t="s">
        <v>620</v>
      </c>
      <c r="N63" s="26" t="s">
        <v>632</v>
      </c>
      <c r="O63" s="47">
        <v>1249</v>
      </c>
      <c r="P63" s="26" t="s">
        <v>1137</v>
      </c>
      <c r="Q63" s="26" t="s">
        <v>54</v>
      </c>
      <c r="R63" s="26" t="s">
        <v>8</v>
      </c>
      <c r="S63" s="26"/>
      <c r="T63" s="26"/>
      <c r="U63" s="26"/>
      <c r="V63" s="26" t="s">
        <v>437</v>
      </c>
      <c r="W63" s="28" t="s">
        <v>620</v>
      </c>
      <c r="X63" s="28" t="s">
        <v>620</v>
      </c>
      <c r="Y63" s="28" t="s">
        <v>620</v>
      </c>
      <c r="Z63" s="28" t="s">
        <v>621</v>
      </c>
      <c r="AA63" s="28" t="s">
        <v>621</v>
      </c>
      <c r="AB63" s="28" t="s">
        <v>620</v>
      </c>
      <c r="AC63" s="28" t="s">
        <v>621</v>
      </c>
      <c r="AD63" s="28" t="s">
        <v>620</v>
      </c>
      <c r="AE63" s="27" t="s">
        <v>688</v>
      </c>
      <c r="AF63" s="27" t="s">
        <v>835</v>
      </c>
      <c r="AG63" s="27" t="s">
        <v>672</v>
      </c>
      <c r="AH63" s="27" t="s">
        <v>631</v>
      </c>
    </row>
    <row r="64" spans="1:34" ht="30.6" x14ac:dyDescent="0.25">
      <c r="A64" s="28" t="s">
        <v>1075</v>
      </c>
      <c r="B64" s="31" t="s">
        <v>623</v>
      </c>
      <c r="C64" s="26" t="s">
        <v>2</v>
      </c>
      <c r="D64" s="26" t="s">
        <v>75</v>
      </c>
      <c r="E64" s="29" t="s">
        <v>210</v>
      </c>
      <c r="F64" s="28" t="s">
        <v>211</v>
      </c>
      <c r="G64" s="26" t="s">
        <v>6</v>
      </c>
      <c r="H64" s="26" t="s">
        <v>889</v>
      </c>
      <c r="I64" s="32">
        <f>(Metodologia[[#This Row],[Visites]]*0.15)/MAX(Metodologia[Visites])</f>
        <v>5.2524176673515938E-4</v>
      </c>
      <c r="J64" s="26"/>
      <c r="K64" s="28" t="s">
        <v>620</v>
      </c>
      <c r="L64" s="28" t="s">
        <v>621</v>
      </c>
      <c r="M64" s="28" t="s">
        <v>620</v>
      </c>
      <c r="N64" s="26" t="s">
        <v>632</v>
      </c>
      <c r="O64" s="47">
        <v>1486</v>
      </c>
      <c r="P64" s="26"/>
      <c r="Q64" s="26" t="s">
        <v>54</v>
      </c>
      <c r="R64" s="26" t="s">
        <v>212</v>
      </c>
      <c r="S64" s="26" t="s">
        <v>1150</v>
      </c>
      <c r="T64" s="26" t="s">
        <v>213</v>
      </c>
      <c r="U64" s="26"/>
      <c r="V64" s="26" t="s">
        <v>214</v>
      </c>
      <c r="W64" s="28" t="s">
        <v>620</v>
      </c>
      <c r="X64" s="28" t="s">
        <v>620</v>
      </c>
      <c r="Y64" s="28" t="s">
        <v>621</v>
      </c>
      <c r="Z64" s="28" t="s">
        <v>621</v>
      </c>
      <c r="AA64" s="28" t="s">
        <v>621</v>
      </c>
      <c r="AB64" s="28" t="s">
        <v>620</v>
      </c>
      <c r="AC64" s="28" t="s">
        <v>621</v>
      </c>
      <c r="AD64" s="28" t="s">
        <v>620</v>
      </c>
      <c r="AE64" s="27" t="s">
        <v>836</v>
      </c>
      <c r="AF64" s="27" t="s">
        <v>837</v>
      </c>
      <c r="AG64" s="27" t="s">
        <v>838</v>
      </c>
      <c r="AH64" s="27" t="s">
        <v>631</v>
      </c>
    </row>
    <row r="65" spans="1:34" ht="20.399999999999999" x14ac:dyDescent="0.25">
      <c r="A65" s="28" t="s">
        <v>1076</v>
      </c>
      <c r="B65" s="31" t="s">
        <v>623</v>
      </c>
      <c r="C65" s="26" t="s">
        <v>2</v>
      </c>
      <c r="D65" s="26" t="s">
        <v>75</v>
      </c>
      <c r="E65" s="29" t="s">
        <v>349</v>
      </c>
      <c r="F65" s="28" t="s">
        <v>350</v>
      </c>
      <c r="G65" s="26" t="s">
        <v>6</v>
      </c>
      <c r="H65" s="26" t="s">
        <v>889</v>
      </c>
      <c r="I65" s="32">
        <f>(Metodologia[[#This Row],[Visites]]*0.15)/MAX(Metodologia[Visites])</f>
        <v>2.3017324259618829E-3</v>
      </c>
      <c r="J65" s="26"/>
      <c r="K65" s="28" t="s">
        <v>620</v>
      </c>
      <c r="L65" s="28" t="s">
        <v>620</v>
      </c>
      <c r="M65" s="28" t="s">
        <v>620</v>
      </c>
      <c r="N65" s="26" t="s">
        <v>632</v>
      </c>
      <c r="O65" s="47">
        <v>6512</v>
      </c>
      <c r="P65" s="26"/>
      <c r="Q65" s="26" t="s">
        <v>32</v>
      </c>
      <c r="R65" s="26" t="s">
        <v>351</v>
      </c>
      <c r="S65" s="26" t="s">
        <v>1186</v>
      </c>
      <c r="T65" s="26" t="s">
        <v>352</v>
      </c>
      <c r="U65" s="26"/>
      <c r="V65" s="26" t="s">
        <v>353</v>
      </c>
      <c r="W65" s="28" t="s">
        <v>620</v>
      </c>
      <c r="X65" s="28" t="s">
        <v>621</v>
      </c>
      <c r="Y65" s="28" t="s">
        <v>621</v>
      </c>
      <c r="Z65" s="28" t="s">
        <v>621</v>
      </c>
      <c r="AA65" s="28" t="s">
        <v>621</v>
      </c>
      <c r="AB65" s="28" t="s">
        <v>621</v>
      </c>
      <c r="AC65" s="28" t="s">
        <v>621</v>
      </c>
      <c r="AD65" s="28" t="s">
        <v>620</v>
      </c>
      <c r="AE65" s="27" t="s">
        <v>839</v>
      </c>
      <c r="AF65" s="27" t="s">
        <v>840</v>
      </c>
      <c r="AG65" s="27" t="s">
        <v>841</v>
      </c>
      <c r="AH65" s="27" t="s">
        <v>631</v>
      </c>
    </row>
    <row r="66" spans="1:34" ht="20.399999999999999" x14ac:dyDescent="0.25">
      <c r="A66" s="28" t="s">
        <v>1077</v>
      </c>
      <c r="B66" s="31" t="s">
        <v>625</v>
      </c>
      <c r="C66" s="26" t="s">
        <v>2</v>
      </c>
      <c r="D66" s="26" t="s">
        <v>75</v>
      </c>
      <c r="E66" s="29" t="s">
        <v>76</v>
      </c>
      <c r="F66" s="28" t="s">
        <v>77</v>
      </c>
      <c r="G66" s="26" t="s">
        <v>6</v>
      </c>
      <c r="H66" s="26" t="s">
        <v>889</v>
      </c>
      <c r="I66" s="32">
        <f>(Metodologia[[#This Row],[Visites]]*0.15)/MAX(Metodologia[Visites])</f>
        <v>2.0041189888212339E-4</v>
      </c>
      <c r="J66" s="26"/>
      <c r="K66" s="28" t="s">
        <v>620</v>
      </c>
      <c r="L66" s="28" t="s">
        <v>621</v>
      </c>
      <c r="M66" s="28" t="s">
        <v>621</v>
      </c>
      <c r="N66" s="26" t="s">
        <v>632</v>
      </c>
      <c r="O66" s="47">
        <v>567</v>
      </c>
      <c r="P66" s="26"/>
      <c r="Q66" s="26" t="s">
        <v>7</v>
      </c>
      <c r="R66" s="26" t="s">
        <v>8</v>
      </c>
      <c r="S66" s="26"/>
      <c r="T66" s="26"/>
      <c r="U66" s="26"/>
      <c r="V66" s="26" t="s">
        <v>78</v>
      </c>
      <c r="W66" s="28" t="s">
        <v>620</v>
      </c>
      <c r="X66" s="28" t="s">
        <v>621</v>
      </c>
      <c r="Y66" s="28" t="s">
        <v>621</v>
      </c>
      <c r="Z66" s="28" t="s">
        <v>621</v>
      </c>
      <c r="AA66" s="28" t="s">
        <v>621</v>
      </c>
      <c r="AB66" s="28" t="s">
        <v>621</v>
      </c>
      <c r="AC66" s="28" t="s">
        <v>621</v>
      </c>
      <c r="AD66" s="28" t="s">
        <v>620</v>
      </c>
      <c r="AE66" s="27" t="s">
        <v>842</v>
      </c>
      <c r="AF66" s="27" t="s">
        <v>843</v>
      </c>
      <c r="AG66" s="27" t="s">
        <v>713</v>
      </c>
      <c r="AH66" s="27" t="s">
        <v>631</v>
      </c>
    </row>
    <row r="67" spans="1:34" ht="20.399999999999999" x14ac:dyDescent="0.25">
      <c r="A67" s="28" t="s">
        <v>1078</v>
      </c>
      <c r="B67" s="31" t="s">
        <v>623</v>
      </c>
      <c r="C67" s="26" t="s">
        <v>2</v>
      </c>
      <c r="D67" s="26" t="s">
        <v>75</v>
      </c>
      <c r="E67" s="29" t="s">
        <v>422</v>
      </c>
      <c r="F67" s="28" t="s">
        <v>423</v>
      </c>
      <c r="G67" s="26" t="s">
        <v>6</v>
      </c>
      <c r="H67" s="26" t="s">
        <v>889</v>
      </c>
      <c r="I67" s="32">
        <f>(Metodologia[[#This Row],[Visites]]*0.15)/MAX(Metodologia[Visites])</f>
        <v>2.9414952777725412E-3</v>
      </c>
      <c r="J67" s="26"/>
      <c r="K67" s="28" t="s">
        <v>620</v>
      </c>
      <c r="L67" s="28" t="s">
        <v>621</v>
      </c>
      <c r="M67" s="28" t="s">
        <v>620</v>
      </c>
      <c r="N67" s="26" t="s">
        <v>632</v>
      </c>
      <c r="O67" s="47">
        <v>8322</v>
      </c>
      <c r="P67" s="26"/>
      <c r="Q67" s="26" t="s">
        <v>7</v>
      </c>
      <c r="R67" s="26" t="s">
        <v>87</v>
      </c>
      <c r="S67" s="26" t="s">
        <v>1168</v>
      </c>
      <c r="T67" s="26"/>
      <c r="U67" s="26"/>
      <c r="V67" s="26" t="s">
        <v>424</v>
      </c>
      <c r="W67" s="28" t="s">
        <v>620</v>
      </c>
      <c r="X67" s="28" t="s">
        <v>620</v>
      </c>
      <c r="Y67" s="28" t="s">
        <v>620</v>
      </c>
      <c r="Z67" s="28" t="s">
        <v>620</v>
      </c>
      <c r="AA67" s="28" t="s">
        <v>620</v>
      </c>
      <c r="AB67" s="28" t="s">
        <v>620</v>
      </c>
      <c r="AC67" s="28" t="s">
        <v>620</v>
      </c>
      <c r="AD67" s="28" t="s">
        <v>620</v>
      </c>
      <c r="AE67" s="27" t="s">
        <v>844</v>
      </c>
      <c r="AF67" s="27" t="s">
        <v>845</v>
      </c>
      <c r="AG67" s="27" t="s">
        <v>846</v>
      </c>
      <c r="AH67" s="27" t="s">
        <v>631</v>
      </c>
    </row>
    <row r="68" spans="1:34" ht="30.6" x14ac:dyDescent="0.25">
      <c r="A68" s="28" t="s">
        <v>1079</v>
      </c>
      <c r="B68" s="31" t="s">
        <v>626</v>
      </c>
      <c r="C68" s="26" t="s">
        <v>2</v>
      </c>
      <c r="D68" s="26" t="s">
        <v>75</v>
      </c>
      <c r="E68" s="29" t="s">
        <v>415</v>
      </c>
      <c r="F68" s="28" t="s">
        <v>416</v>
      </c>
      <c r="G68" s="26" t="s">
        <v>6</v>
      </c>
      <c r="H68" s="26" t="s">
        <v>907</v>
      </c>
      <c r="I68" s="32">
        <f>(Metodologia[[#This Row],[Visites]]*0.15)/MAX(Metodologia[Visites])</f>
        <v>4.3107998567308231E-3</v>
      </c>
      <c r="J68" s="26" t="s">
        <v>614</v>
      </c>
      <c r="K68" s="28" t="s">
        <v>621</v>
      </c>
      <c r="L68" s="28" t="s">
        <v>620</v>
      </c>
      <c r="M68" s="28" t="s">
        <v>620</v>
      </c>
      <c r="N68" s="26" t="s">
        <v>632</v>
      </c>
      <c r="O68" s="47">
        <v>12196</v>
      </c>
      <c r="P68" s="26"/>
      <c r="Q68" s="26" t="s">
        <v>54</v>
      </c>
      <c r="R68" s="26"/>
      <c r="S68" s="26"/>
      <c r="T68" s="26"/>
      <c r="U68" s="26" t="s">
        <v>417</v>
      </c>
      <c r="V68" s="26" t="s">
        <v>418</v>
      </c>
      <c r="W68" s="28" t="s">
        <v>620</v>
      </c>
      <c r="X68" s="28" t="s">
        <v>621</v>
      </c>
      <c r="Y68" s="28" t="s">
        <v>621</v>
      </c>
      <c r="Z68" s="28" t="s">
        <v>621</v>
      </c>
      <c r="AA68" s="28" t="s">
        <v>621</v>
      </c>
      <c r="AB68" s="28" t="s">
        <v>621</v>
      </c>
      <c r="AC68" s="28" t="s">
        <v>621</v>
      </c>
      <c r="AD68" s="28" t="s">
        <v>1227</v>
      </c>
      <c r="AE68" s="27" t="s">
        <v>847</v>
      </c>
      <c r="AF68" s="27" t="s">
        <v>848</v>
      </c>
      <c r="AG68" s="27" t="s">
        <v>725</v>
      </c>
      <c r="AH68" s="27" t="s">
        <v>631</v>
      </c>
    </row>
    <row r="69" spans="1:34" ht="20.399999999999999" x14ac:dyDescent="0.25">
      <c r="A69" s="28" t="s">
        <v>1073</v>
      </c>
      <c r="B69" s="31" t="s">
        <v>626</v>
      </c>
      <c r="C69" s="26" t="s">
        <v>2</v>
      </c>
      <c r="D69" s="26" t="s">
        <v>75</v>
      </c>
      <c r="E69" s="29" t="s">
        <v>99</v>
      </c>
      <c r="F69" s="28" t="s">
        <v>100</v>
      </c>
      <c r="G69" s="26" t="s">
        <v>20</v>
      </c>
      <c r="H69" s="26"/>
      <c r="I69" s="32">
        <f>(Metodologia[[#This Row],[Visites]]*0.15)/MAX(Metodologia[Visites])</f>
        <v>6.2714432484400617E-3</v>
      </c>
      <c r="J69" s="26"/>
      <c r="K69" s="28" t="s">
        <v>621</v>
      </c>
      <c r="L69" s="28" t="s">
        <v>621</v>
      </c>
      <c r="M69" s="28" t="s">
        <v>621</v>
      </c>
      <c r="N69" s="26" t="s">
        <v>632</v>
      </c>
      <c r="O69" s="47">
        <v>17743</v>
      </c>
      <c r="P69" s="26" t="s">
        <v>1137</v>
      </c>
      <c r="Q69" s="26" t="s">
        <v>54</v>
      </c>
      <c r="R69" s="26" t="s">
        <v>8</v>
      </c>
      <c r="S69" s="26"/>
      <c r="T69" s="26"/>
      <c r="U69" s="26"/>
      <c r="V69" s="26" t="s">
        <v>101</v>
      </c>
      <c r="W69" s="28" t="s">
        <v>620</v>
      </c>
      <c r="X69" s="28" t="s">
        <v>621</v>
      </c>
      <c r="Y69" s="28" t="s">
        <v>621</v>
      </c>
      <c r="Z69" s="28" t="s">
        <v>621</v>
      </c>
      <c r="AA69" s="28" t="s">
        <v>621</v>
      </c>
      <c r="AB69" s="28" t="s">
        <v>621</v>
      </c>
      <c r="AC69" s="28" t="s">
        <v>621</v>
      </c>
      <c r="AD69" s="28" t="s">
        <v>620</v>
      </c>
      <c r="AE69" s="27" t="s">
        <v>688</v>
      </c>
      <c r="AF69" s="27" t="s">
        <v>835</v>
      </c>
      <c r="AG69" s="27" t="s">
        <v>672</v>
      </c>
      <c r="AH69" s="27" t="s">
        <v>646</v>
      </c>
    </row>
    <row r="70" spans="1:34" ht="20.399999999999999" x14ac:dyDescent="0.25">
      <c r="A70" s="28" t="s">
        <v>1074</v>
      </c>
      <c r="B70" s="31" t="s">
        <v>626</v>
      </c>
      <c r="C70" s="26" t="s">
        <v>2</v>
      </c>
      <c r="D70" s="26" t="s">
        <v>75</v>
      </c>
      <c r="E70" s="29" t="s">
        <v>553</v>
      </c>
      <c r="F70" s="28" t="s">
        <v>554</v>
      </c>
      <c r="G70" s="26" t="s">
        <v>20</v>
      </c>
      <c r="H70" s="26"/>
      <c r="I70" s="32">
        <f>(Metodologia[[#This Row],[Visites]]*0.15)/MAX(Metodologia[Visites])</f>
        <v>5.5677041114483372E-3</v>
      </c>
      <c r="J70" s="26"/>
      <c r="K70" s="28" t="s">
        <v>621</v>
      </c>
      <c r="L70" s="28" t="s">
        <v>621</v>
      </c>
      <c r="M70" s="28" t="s">
        <v>621</v>
      </c>
      <c r="N70" s="26" t="s">
        <v>632</v>
      </c>
      <c r="O70" s="47">
        <v>15752</v>
      </c>
      <c r="P70" s="26" t="s">
        <v>1123</v>
      </c>
      <c r="Q70" s="26" t="s">
        <v>54</v>
      </c>
      <c r="R70" s="26" t="s">
        <v>555</v>
      </c>
      <c r="S70" s="26"/>
      <c r="T70" s="26"/>
      <c r="U70" s="26"/>
      <c r="V70" s="26" t="s">
        <v>556</v>
      </c>
      <c r="W70" s="28" t="s">
        <v>620</v>
      </c>
      <c r="X70" s="28" t="s">
        <v>621</v>
      </c>
      <c r="Y70" s="28" t="s">
        <v>621</v>
      </c>
      <c r="Z70" s="28" t="s">
        <v>621</v>
      </c>
      <c r="AA70" s="28" t="s">
        <v>621</v>
      </c>
      <c r="AB70" s="28" t="s">
        <v>621</v>
      </c>
      <c r="AC70" s="28" t="s">
        <v>621</v>
      </c>
      <c r="AD70" s="28" t="s">
        <v>620</v>
      </c>
      <c r="AE70" s="27" t="s">
        <v>688</v>
      </c>
      <c r="AF70" s="27" t="s">
        <v>835</v>
      </c>
      <c r="AG70" s="27" t="s">
        <v>672</v>
      </c>
      <c r="AH70" s="27" t="s">
        <v>631</v>
      </c>
    </row>
    <row r="71" spans="1:34" ht="30.6" x14ac:dyDescent="0.25">
      <c r="A71" s="28" t="s">
        <v>1080</v>
      </c>
      <c r="B71" s="31" t="s">
        <v>622</v>
      </c>
      <c r="C71" s="26" t="s">
        <v>2</v>
      </c>
      <c r="D71" s="26" t="s">
        <v>233</v>
      </c>
      <c r="E71" s="29" t="s">
        <v>362</v>
      </c>
      <c r="F71" s="28" t="s">
        <v>363</v>
      </c>
      <c r="G71" s="26" t="s">
        <v>96</v>
      </c>
      <c r="H71" s="26" t="s">
        <v>889</v>
      </c>
      <c r="I71" s="32">
        <f>(Metodologia[[#This Row],[Visites]]*0.15)/MAX(Metodologia[Visites])</f>
        <v>1.997827398344864E-2</v>
      </c>
      <c r="J71" s="26" t="s">
        <v>615</v>
      </c>
      <c r="K71" s="28" t="s">
        <v>620</v>
      </c>
      <c r="L71" s="28" t="s">
        <v>621</v>
      </c>
      <c r="M71" s="28" t="s">
        <v>620</v>
      </c>
      <c r="N71" s="26" t="s">
        <v>632</v>
      </c>
      <c r="O71" s="47">
        <v>56522</v>
      </c>
      <c r="P71" s="26" t="s">
        <v>1187</v>
      </c>
      <c r="Q71" s="26" t="s">
        <v>7</v>
      </c>
      <c r="R71" s="26" t="s">
        <v>8</v>
      </c>
      <c r="S71" s="26" t="s">
        <v>1185</v>
      </c>
      <c r="T71" s="26"/>
      <c r="U71" s="26"/>
      <c r="V71" s="26" t="s">
        <v>364</v>
      </c>
      <c r="W71" s="28" t="s">
        <v>620</v>
      </c>
      <c r="X71" s="28" t="s">
        <v>621</v>
      </c>
      <c r="Y71" s="28" t="s">
        <v>621</v>
      </c>
      <c r="Z71" s="28" t="s">
        <v>621</v>
      </c>
      <c r="AA71" s="28" t="s">
        <v>621</v>
      </c>
      <c r="AB71" s="28" t="s">
        <v>621</v>
      </c>
      <c r="AC71" s="28" t="s">
        <v>621</v>
      </c>
      <c r="AD71" s="28" t="s">
        <v>621</v>
      </c>
      <c r="AE71" s="27" t="s">
        <v>715</v>
      </c>
      <c r="AF71" s="27" t="s">
        <v>716</v>
      </c>
      <c r="AG71" s="27" t="s">
        <v>717</v>
      </c>
      <c r="AH71" s="27" t="s">
        <v>638</v>
      </c>
    </row>
    <row r="72" spans="1:34" ht="20.399999999999999" x14ac:dyDescent="0.25">
      <c r="A72" s="28" t="s">
        <v>1081</v>
      </c>
      <c r="B72" s="31" t="s">
        <v>622</v>
      </c>
      <c r="C72" s="26" t="s">
        <v>2</v>
      </c>
      <c r="D72" s="26" t="s">
        <v>233</v>
      </c>
      <c r="E72" s="29" t="s">
        <v>419</v>
      </c>
      <c r="F72" s="28" t="s">
        <v>420</v>
      </c>
      <c r="G72" s="26" t="s">
        <v>96</v>
      </c>
      <c r="H72" s="26" t="s">
        <v>889</v>
      </c>
      <c r="I72" s="32">
        <f>(Metodologia[[#This Row],[Visites]]*0.15)/MAX(Metodologia[Visites])</f>
        <v>1.5567444907346316E-2</v>
      </c>
      <c r="J72" s="26" t="s">
        <v>615</v>
      </c>
      <c r="K72" s="28" t="s">
        <v>620</v>
      </c>
      <c r="L72" s="28" t="s">
        <v>621</v>
      </c>
      <c r="M72" s="28" t="s">
        <v>620</v>
      </c>
      <c r="N72" s="26" t="s">
        <v>632</v>
      </c>
      <c r="O72" s="47">
        <v>44043</v>
      </c>
      <c r="P72" s="26" t="s">
        <v>1188</v>
      </c>
      <c r="Q72" s="26" t="s">
        <v>7</v>
      </c>
      <c r="R72" s="26" t="s">
        <v>297</v>
      </c>
      <c r="S72" s="26"/>
      <c r="T72" s="26"/>
      <c r="U72" s="26"/>
      <c r="V72" s="26" t="s">
        <v>421</v>
      </c>
      <c r="W72" s="28" t="s">
        <v>620</v>
      </c>
      <c r="X72" s="28" t="s">
        <v>621</v>
      </c>
      <c r="Y72" s="28" t="s">
        <v>621</v>
      </c>
      <c r="Z72" s="28" t="s">
        <v>621</v>
      </c>
      <c r="AA72" s="28" t="s">
        <v>621</v>
      </c>
      <c r="AB72" s="28" t="s">
        <v>621</v>
      </c>
      <c r="AC72" s="28" t="s">
        <v>621</v>
      </c>
      <c r="AD72" s="28" t="s">
        <v>621</v>
      </c>
      <c r="AE72" s="27" t="s">
        <v>715</v>
      </c>
      <c r="AF72" s="27" t="s">
        <v>716</v>
      </c>
      <c r="AG72" s="27" t="s">
        <v>717</v>
      </c>
      <c r="AH72" s="27" t="s">
        <v>647</v>
      </c>
    </row>
    <row r="73" spans="1:34" ht="20.399999999999999" x14ac:dyDescent="0.25">
      <c r="A73" s="28" t="s">
        <v>1082</v>
      </c>
      <c r="B73" s="31" t="s">
        <v>622</v>
      </c>
      <c r="C73" s="26" t="s">
        <v>2</v>
      </c>
      <c r="D73" s="26" t="s">
        <v>233</v>
      </c>
      <c r="E73" s="29" t="s">
        <v>295</v>
      </c>
      <c r="F73" s="28" t="s">
        <v>296</v>
      </c>
      <c r="G73" s="26" t="s">
        <v>96</v>
      </c>
      <c r="H73" s="26" t="s">
        <v>889</v>
      </c>
      <c r="I73" s="32">
        <f>(Metodologia[[#This Row],[Visites]]*0.15)/MAX(Metodologia[Visites])</f>
        <v>2.693012799969838E-3</v>
      </c>
      <c r="J73" s="26"/>
      <c r="K73" s="28" t="s">
        <v>620</v>
      </c>
      <c r="L73" s="28" t="s">
        <v>620</v>
      </c>
      <c r="M73" s="28" t="s">
        <v>620</v>
      </c>
      <c r="N73" s="26" t="s">
        <v>632</v>
      </c>
      <c r="O73" s="47">
        <v>7619</v>
      </c>
      <c r="P73" s="26" t="s">
        <v>1189</v>
      </c>
      <c r="Q73" s="26" t="s">
        <v>54</v>
      </c>
      <c r="R73" s="26" t="s">
        <v>297</v>
      </c>
      <c r="S73" s="26"/>
      <c r="T73" s="26"/>
      <c r="U73" s="26"/>
      <c r="V73" s="26" t="s">
        <v>298</v>
      </c>
      <c r="W73" s="28" t="s">
        <v>620</v>
      </c>
      <c r="X73" s="28" t="s">
        <v>621</v>
      </c>
      <c r="Y73" s="28" t="s">
        <v>621</v>
      </c>
      <c r="Z73" s="28" t="s">
        <v>621</v>
      </c>
      <c r="AA73" s="28" t="s">
        <v>621</v>
      </c>
      <c r="AB73" s="28" t="s">
        <v>621</v>
      </c>
      <c r="AC73" s="28" t="s">
        <v>621</v>
      </c>
      <c r="AD73" s="28" t="s">
        <v>621</v>
      </c>
      <c r="AE73" s="27" t="s">
        <v>715</v>
      </c>
      <c r="AF73" s="27" t="s">
        <v>716</v>
      </c>
      <c r="AG73" s="27" t="s">
        <v>717</v>
      </c>
      <c r="AH73" s="27" t="s">
        <v>638</v>
      </c>
    </row>
    <row r="74" spans="1:34" ht="20.399999999999999" x14ac:dyDescent="0.25">
      <c r="A74" s="28" t="s">
        <v>1083</v>
      </c>
      <c r="B74" s="31" t="s">
        <v>622</v>
      </c>
      <c r="C74" s="26" t="s">
        <v>2</v>
      </c>
      <c r="D74" s="26" t="s">
        <v>233</v>
      </c>
      <c r="E74" s="29" t="s">
        <v>425</v>
      </c>
      <c r="F74" s="28" t="s">
        <v>426</v>
      </c>
      <c r="G74" s="26" t="s">
        <v>96</v>
      </c>
      <c r="H74" s="26" t="s">
        <v>889</v>
      </c>
      <c r="I74" s="32">
        <f>(Metodologia[[#This Row],[Visites]]*0.15)/MAX(Metodologia[Visites])</f>
        <v>2.86726864855694E-3</v>
      </c>
      <c r="J74" s="26" t="s">
        <v>616</v>
      </c>
      <c r="K74" s="28" t="s">
        <v>620</v>
      </c>
      <c r="L74" s="28" t="s">
        <v>621</v>
      </c>
      <c r="M74" s="28" t="s">
        <v>620</v>
      </c>
      <c r="N74" s="26" t="s">
        <v>632</v>
      </c>
      <c r="O74" s="47">
        <v>8112</v>
      </c>
      <c r="P74" s="26" t="s">
        <v>1188</v>
      </c>
      <c r="Q74" s="26" t="s">
        <v>54</v>
      </c>
      <c r="R74" s="26" t="s">
        <v>297</v>
      </c>
      <c r="S74" s="26" t="s">
        <v>427</v>
      </c>
      <c r="T74" s="26" t="s">
        <v>428</v>
      </c>
      <c r="U74" s="26"/>
      <c r="V74" s="26" t="s">
        <v>429</v>
      </c>
      <c r="W74" s="28" t="s">
        <v>620</v>
      </c>
      <c r="X74" s="28" t="s">
        <v>621</v>
      </c>
      <c r="Y74" s="28" t="s">
        <v>621</v>
      </c>
      <c r="Z74" s="28" t="s">
        <v>621</v>
      </c>
      <c r="AA74" s="28" t="s">
        <v>621</v>
      </c>
      <c r="AB74" s="28" t="s">
        <v>621</v>
      </c>
      <c r="AC74" s="28" t="s">
        <v>621</v>
      </c>
      <c r="AD74" s="28" t="s">
        <v>621</v>
      </c>
      <c r="AE74" s="27" t="s">
        <v>715</v>
      </c>
      <c r="AF74" s="27" t="s">
        <v>716</v>
      </c>
      <c r="AG74" s="27" t="s">
        <v>717</v>
      </c>
      <c r="AH74" s="27" t="s">
        <v>638</v>
      </c>
    </row>
    <row r="75" spans="1:34" ht="30.6" x14ac:dyDescent="0.25">
      <c r="A75" s="28" t="s">
        <v>1084</v>
      </c>
      <c r="B75" s="31" t="s">
        <v>625</v>
      </c>
      <c r="C75" s="26" t="s">
        <v>2</v>
      </c>
      <c r="D75" s="26" t="s">
        <v>233</v>
      </c>
      <c r="E75" s="29" t="s">
        <v>234</v>
      </c>
      <c r="F75" s="28" t="s">
        <v>235</v>
      </c>
      <c r="G75" s="26" t="s">
        <v>6</v>
      </c>
      <c r="H75" s="26" t="s">
        <v>889</v>
      </c>
      <c r="I75" s="32">
        <f>(Metodologia[[#This Row],[Visites]]*0.15)/MAX(Metodologia[Visites])</f>
        <v>9.0026297434350668E-4</v>
      </c>
      <c r="J75" s="26" t="s">
        <v>617</v>
      </c>
      <c r="K75" s="28" t="s">
        <v>620</v>
      </c>
      <c r="L75" s="28" t="s">
        <v>621</v>
      </c>
      <c r="M75" s="28" t="s">
        <v>621</v>
      </c>
      <c r="N75" s="26" t="s">
        <v>632</v>
      </c>
      <c r="O75" s="47">
        <v>2547</v>
      </c>
      <c r="P75" s="26"/>
      <c r="Q75" s="26" t="s">
        <v>54</v>
      </c>
      <c r="R75" s="26"/>
      <c r="S75" s="26" t="s">
        <v>1183</v>
      </c>
      <c r="T75" s="26"/>
      <c r="U75" s="26" t="s">
        <v>236</v>
      </c>
      <c r="V75" s="26" t="s">
        <v>237</v>
      </c>
      <c r="W75" s="28" t="s">
        <v>620</v>
      </c>
      <c r="X75" s="28" t="s">
        <v>621</v>
      </c>
      <c r="Y75" s="28" t="s">
        <v>621</v>
      </c>
      <c r="Z75" s="28" t="s">
        <v>621</v>
      </c>
      <c r="AA75" s="28" t="s">
        <v>621</v>
      </c>
      <c r="AB75" s="28" t="s">
        <v>621</v>
      </c>
      <c r="AC75" s="28" t="s">
        <v>621</v>
      </c>
      <c r="AD75" s="28" t="s">
        <v>621</v>
      </c>
      <c r="AE75" s="27" t="s">
        <v>849</v>
      </c>
      <c r="AF75" s="27" t="s">
        <v>850</v>
      </c>
      <c r="AG75" s="27" t="s">
        <v>725</v>
      </c>
      <c r="AH75" s="27" t="s">
        <v>646</v>
      </c>
    </row>
    <row r="76" spans="1:34" ht="20.399999999999999" x14ac:dyDescent="0.25">
      <c r="A76" s="28" t="s">
        <v>1085</v>
      </c>
      <c r="B76" s="31" t="s">
        <v>625</v>
      </c>
      <c r="C76" s="26" t="s">
        <v>2</v>
      </c>
      <c r="D76" s="26" t="s">
        <v>89</v>
      </c>
      <c r="E76" s="29" t="s">
        <v>90</v>
      </c>
      <c r="F76" s="28" t="s">
        <v>91</v>
      </c>
      <c r="G76" s="26" t="s">
        <v>6</v>
      </c>
      <c r="H76" s="26" t="s">
        <v>889</v>
      </c>
      <c r="I76" s="32">
        <f>(Metodologia[[#This Row],[Visites]]*0.15)/MAX(Metodologia[Visites])</f>
        <v>4.7999886892755478E-4</v>
      </c>
      <c r="J76" s="26" t="s">
        <v>618</v>
      </c>
      <c r="K76" s="28" t="s">
        <v>620</v>
      </c>
      <c r="L76" s="28" t="s">
        <v>621</v>
      </c>
      <c r="M76" s="28" t="s">
        <v>621</v>
      </c>
      <c r="N76" s="26" t="s">
        <v>632</v>
      </c>
      <c r="O76" s="47">
        <v>1358</v>
      </c>
      <c r="P76" s="26"/>
      <c r="Q76" s="26" t="s">
        <v>54</v>
      </c>
      <c r="R76" s="26" t="s">
        <v>92</v>
      </c>
      <c r="S76" s="26"/>
      <c r="T76" s="26"/>
      <c r="U76" s="26"/>
      <c r="V76" s="26" t="s">
        <v>93</v>
      </c>
      <c r="W76" s="28" t="s">
        <v>620</v>
      </c>
      <c r="X76" s="28" t="s">
        <v>620</v>
      </c>
      <c r="Y76" s="28" t="s">
        <v>620</v>
      </c>
      <c r="Z76" s="28" t="s">
        <v>1227</v>
      </c>
      <c r="AA76" s="28" t="s">
        <v>1227</v>
      </c>
      <c r="AB76" s="28" t="s">
        <v>620</v>
      </c>
      <c r="AC76" s="28" t="s">
        <v>1227</v>
      </c>
      <c r="AD76" s="28" t="s">
        <v>620</v>
      </c>
      <c r="AE76" s="27" t="s">
        <v>851</v>
      </c>
      <c r="AF76" s="27" t="s">
        <v>852</v>
      </c>
      <c r="AG76" s="27" t="s">
        <v>713</v>
      </c>
      <c r="AH76" s="27" t="s">
        <v>631</v>
      </c>
    </row>
    <row r="77" spans="1:34" ht="30.6" x14ac:dyDescent="0.25">
      <c r="A77" s="28" t="s">
        <v>1086</v>
      </c>
      <c r="B77" s="31" t="s">
        <v>626</v>
      </c>
      <c r="C77" s="26" t="s">
        <v>2</v>
      </c>
      <c r="D77" s="26" t="s">
        <v>89</v>
      </c>
      <c r="E77" s="29" t="s">
        <v>443</v>
      </c>
      <c r="F77" s="28" t="s">
        <v>444</v>
      </c>
      <c r="G77" s="26" t="s">
        <v>6</v>
      </c>
      <c r="H77" s="26"/>
      <c r="I77" s="32">
        <f>(Metodologia[[#This Row],[Visites]]*0.15)/MAX(Metodologia[Visites])</f>
        <v>9.6848078119403543E-4</v>
      </c>
      <c r="J77" s="26" t="s">
        <v>618</v>
      </c>
      <c r="K77" s="28" t="s">
        <v>621</v>
      </c>
      <c r="L77" s="28" t="s">
        <v>620</v>
      </c>
      <c r="M77" s="28" t="s">
        <v>621</v>
      </c>
      <c r="N77" s="26" t="s">
        <v>632</v>
      </c>
      <c r="O77" s="47">
        <v>2740</v>
      </c>
      <c r="P77" s="26"/>
      <c r="Q77" s="26" t="s">
        <v>54</v>
      </c>
      <c r="R77" s="26"/>
      <c r="S77" s="26"/>
      <c r="T77" s="26"/>
      <c r="U77" s="26" t="s">
        <v>445</v>
      </c>
      <c r="V77" s="26" t="s">
        <v>446</v>
      </c>
      <c r="W77" s="28" t="s">
        <v>620</v>
      </c>
      <c r="X77" s="28" t="s">
        <v>1227</v>
      </c>
      <c r="Y77" s="28" t="s">
        <v>1227</v>
      </c>
      <c r="Z77" s="28" t="s">
        <v>1227</v>
      </c>
      <c r="AA77" s="28" t="s">
        <v>1227</v>
      </c>
      <c r="AB77" s="28" t="s">
        <v>1227</v>
      </c>
      <c r="AC77" s="28" t="s">
        <v>1227</v>
      </c>
      <c r="AD77" s="28" t="s">
        <v>1227</v>
      </c>
      <c r="AE77" s="27" t="s">
        <v>853</v>
      </c>
      <c r="AF77" s="27" t="s">
        <v>854</v>
      </c>
      <c r="AG77" s="27" t="s">
        <v>713</v>
      </c>
      <c r="AH77" s="27" t="s">
        <v>646</v>
      </c>
    </row>
    <row r="78" spans="1:34" ht="51" x14ac:dyDescent="0.25">
      <c r="A78" s="28" t="s">
        <v>1087</v>
      </c>
      <c r="B78" s="31" t="s">
        <v>626</v>
      </c>
      <c r="C78" s="26" t="s">
        <v>2</v>
      </c>
      <c r="D78" s="26" t="s">
        <v>89</v>
      </c>
      <c r="E78" s="29" t="s">
        <v>320</v>
      </c>
      <c r="F78" s="28" t="s">
        <v>321</v>
      </c>
      <c r="G78" s="26" t="s">
        <v>6</v>
      </c>
      <c r="H78" s="26"/>
      <c r="I78" s="32">
        <f>(Metodologia[[#This Row],[Visites]]*0.15)/MAX(Metodologia[Visites])</f>
        <v>4.8954229268384638E-4</v>
      </c>
      <c r="J78" s="26" t="s">
        <v>618</v>
      </c>
      <c r="K78" s="28" t="s">
        <v>621</v>
      </c>
      <c r="L78" s="28" t="s">
        <v>621</v>
      </c>
      <c r="M78" s="28" t="s">
        <v>621</v>
      </c>
      <c r="N78" s="26" t="s">
        <v>632</v>
      </c>
      <c r="O78" s="47">
        <v>1385</v>
      </c>
      <c r="P78" s="26"/>
      <c r="Q78" s="26" t="s">
        <v>54</v>
      </c>
      <c r="R78" s="26"/>
      <c r="S78" s="26"/>
      <c r="T78" s="26"/>
      <c r="U78" s="26" t="s">
        <v>322</v>
      </c>
      <c r="V78" s="26" t="s">
        <v>323</v>
      </c>
      <c r="W78" s="28" t="s">
        <v>620</v>
      </c>
      <c r="X78" s="28" t="s">
        <v>1227</v>
      </c>
      <c r="Y78" s="28" t="s">
        <v>1227</v>
      </c>
      <c r="Z78" s="28" t="s">
        <v>1227</v>
      </c>
      <c r="AA78" s="28" t="s">
        <v>1227</v>
      </c>
      <c r="AB78" s="28" t="s">
        <v>1227</v>
      </c>
      <c r="AC78" s="28" t="s">
        <v>1227</v>
      </c>
      <c r="AD78" s="28" t="s">
        <v>1227</v>
      </c>
      <c r="AE78" s="27" t="s">
        <v>855</v>
      </c>
      <c r="AF78" s="27" t="s">
        <v>856</v>
      </c>
      <c r="AG78" s="27" t="s">
        <v>713</v>
      </c>
      <c r="AH78" s="27" t="s">
        <v>646</v>
      </c>
    </row>
    <row r="79" spans="1:34" ht="51" x14ac:dyDescent="0.25">
      <c r="A79" s="28" t="s">
        <v>1088</v>
      </c>
      <c r="B79" s="31" t="s">
        <v>626</v>
      </c>
      <c r="C79" s="26" t="s">
        <v>2</v>
      </c>
      <c r="D79" s="26" t="s">
        <v>89</v>
      </c>
      <c r="E79" s="29" t="s">
        <v>463</v>
      </c>
      <c r="F79" s="28" t="s">
        <v>464</v>
      </c>
      <c r="G79" s="26" t="s">
        <v>20</v>
      </c>
      <c r="H79" s="26"/>
      <c r="I79" s="32">
        <f>(Metodologia[[#This Row],[Visites]]*0.15)/MAX(Metodologia[Visites])</f>
        <v>4.8530077101438345E-4</v>
      </c>
      <c r="J79" s="26" t="s">
        <v>618</v>
      </c>
      <c r="K79" s="28" t="s">
        <v>621</v>
      </c>
      <c r="L79" s="28" t="s">
        <v>620</v>
      </c>
      <c r="M79" s="28" t="s">
        <v>621</v>
      </c>
      <c r="N79" s="26" t="s">
        <v>632</v>
      </c>
      <c r="O79" s="47">
        <v>1373</v>
      </c>
      <c r="P79" s="26" t="s">
        <v>1190</v>
      </c>
      <c r="Q79" s="26" t="s">
        <v>54</v>
      </c>
      <c r="R79" s="26"/>
      <c r="S79" s="26"/>
      <c r="T79" s="26"/>
      <c r="U79" s="26" t="s">
        <v>322</v>
      </c>
      <c r="V79" s="26" t="s">
        <v>465</v>
      </c>
      <c r="W79" s="28" t="s">
        <v>620</v>
      </c>
      <c r="X79" s="28" t="s">
        <v>1227</v>
      </c>
      <c r="Y79" s="28" t="s">
        <v>1227</v>
      </c>
      <c r="Z79" s="28" t="s">
        <v>1227</v>
      </c>
      <c r="AA79" s="28" t="s">
        <v>1227</v>
      </c>
      <c r="AB79" s="28" t="s">
        <v>1227</v>
      </c>
      <c r="AC79" s="28" t="s">
        <v>1227</v>
      </c>
      <c r="AD79" s="28" t="s">
        <v>1227</v>
      </c>
      <c r="AE79" s="27" t="s">
        <v>670</v>
      </c>
      <c r="AF79" s="27" t="s">
        <v>692</v>
      </c>
      <c r="AG79" s="27" t="s">
        <v>672</v>
      </c>
      <c r="AH79" s="27" t="s">
        <v>646</v>
      </c>
    </row>
    <row r="80" spans="1:34" ht="20.399999999999999" x14ac:dyDescent="0.25">
      <c r="A80" s="28" t="s">
        <v>995</v>
      </c>
      <c r="B80" s="31" t="s">
        <v>622</v>
      </c>
      <c r="C80" s="26" t="s">
        <v>45</v>
      </c>
      <c r="D80" s="26" t="s">
        <v>151</v>
      </c>
      <c r="E80" s="29" t="s">
        <v>337</v>
      </c>
      <c r="F80" s="28" t="s">
        <v>338</v>
      </c>
      <c r="G80" s="26" t="s">
        <v>20</v>
      </c>
      <c r="H80" s="26" t="s">
        <v>889</v>
      </c>
      <c r="I80" s="32">
        <f>(Metodologia[[#This Row],[Visites]]*0.15)/MAX(Metodologia[Visites])</f>
        <v>1.6377575546213736E-2</v>
      </c>
      <c r="J80" s="26" t="s">
        <v>579</v>
      </c>
      <c r="K80" s="28" t="s">
        <v>620</v>
      </c>
      <c r="L80" s="28" t="s">
        <v>621</v>
      </c>
      <c r="M80" s="28" t="s">
        <v>620</v>
      </c>
      <c r="N80" s="26" t="s">
        <v>632</v>
      </c>
      <c r="O80" s="47">
        <v>46335</v>
      </c>
      <c r="P80" s="26" t="s">
        <v>1141</v>
      </c>
      <c r="Q80" s="26" t="s">
        <v>32</v>
      </c>
      <c r="R80" s="26" t="s">
        <v>339</v>
      </c>
      <c r="S80" s="26"/>
      <c r="T80" s="26" t="s">
        <v>340</v>
      </c>
      <c r="U80" s="26"/>
      <c r="V80" s="26" t="s">
        <v>341</v>
      </c>
      <c r="W80" s="28" t="s">
        <v>620</v>
      </c>
      <c r="X80" s="28" t="s">
        <v>620</v>
      </c>
      <c r="Y80" s="28" t="s">
        <v>620</v>
      </c>
      <c r="Z80" s="28" t="s">
        <v>620</v>
      </c>
      <c r="AA80" s="28" t="s">
        <v>620</v>
      </c>
      <c r="AB80" s="28" t="s">
        <v>620</v>
      </c>
      <c r="AC80" s="28" t="s">
        <v>620</v>
      </c>
      <c r="AD80" s="28" t="s">
        <v>620</v>
      </c>
      <c r="AE80" s="27" t="s">
        <v>670</v>
      </c>
      <c r="AF80" s="27" t="s">
        <v>692</v>
      </c>
      <c r="AG80" s="27" t="s">
        <v>672</v>
      </c>
      <c r="AH80" s="27" t="s">
        <v>631</v>
      </c>
    </row>
    <row r="81" spans="1:34" ht="30.6" x14ac:dyDescent="0.25">
      <c r="A81" s="28" t="s">
        <v>996</v>
      </c>
      <c r="B81" s="31" t="s">
        <v>622</v>
      </c>
      <c r="C81" s="26" t="s">
        <v>45</v>
      </c>
      <c r="D81" s="26" t="s">
        <v>151</v>
      </c>
      <c r="E81" s="29" t="s">
        <v>152</v>
      </c>
      <c r="F81" s="28" t="s">
        <v>153</v>
      </c>
      <c r="G81" s="26" t="s">
        <v>96</v>
      </c>
      <c r="H81" s="26" t="s">
        <v>889</v>
      </c>
      <c r="I81" s="32">
        <f>(Metodologia[[#This Row],[Visites]]*0.15)/MAX(Metodologia[Visites])</f>
        <v>1.9376684826663147E-3</v>
      </c>
      <c r="J81" s="26" t="s">
        <v>580</v>
      </c>
      <c r="K81" s="28" t="s">
        <v>620</v>
      </c>
      <c r="L81" s="28" t="s">
        <v>621</v>
      </c>
      <c r="M81" s="28" t="s">
        <v>620</v>
      </c>
      <c r="N81" s="26" t="s">
        <v>632</v>
      </c>
      <c r="O81" s="47">
        <v>5482</v>
      </c>
      <c r="P81" s="26" t="s">
        <v>1142</v>
      </c>
      <c r="Q81" s="26" t="s">
        <v>32</v>
      </c>
      <c r="R81" s="26" t="s">
        <v>154</v>
      </c>
      <c r="S81" s="26"/>
      <c r="T81" s="26" t="s">
        <v>155</v>
      </c>
      <c r="U81" s="26"/>
      <c r="V81" s="26" t="s">
        <v>156</v>
      </c>
      <c r="W81" s="28" t="s">
        <v>620</v>
      </c>
      <c r="X81" s="28" t="s">
        <v>620</v>
      </c>
      <c r="Y81" s="28" t="s">
        <v>620</v>
      </c>
      <c r="Z81" s="28" t="s">
        <v>620</v>
      </c>
      <c r="AA81" s="28" t="s">
        <v>620</v>
      </c>
      <c r="AB81" s="28" t="s">
        <v>620</v>
      </c>
      <c r="AC81" s="28" t="s">
        <v>620</v>
      </c>
      <c r="AD81" s="28" t="s">
        <v>620</v>
      </c>
      <c r="AE81" s="27" t="s">
        <v>715</v>
      </c>
      <c r="AF81" s="27" t="s">
        <v>716</v>
      </c>
      <c r="AG81" s="27" t="s">
        <v>717</v>
      </c>
      <c r="AH81" s="27" t="s">
        <v>638</v>
      </c>
    </row>
    <row r="82" spans="1:34" ht="20.399999999999999" x14ac:dyDescent="0.25">
      <c r="A82" s="28" t="s">
        <v>997</v>
      </c>
      <c r="B82" s="31" t="s">
        <v>622</v>
      </c>
      <c r="C82" s="26" t="s">
        <v>45</v>
      </c>
      <c r="D82" s="26" t="s">
        <v>151</v>
      </c>
      <c r="E82" s="29" t="s">
        <v>581</v>
      </c>
      <c r="F82" s="28" t="s">
        <v>469</v>
      </c>
      <c r="G82" s="26" t="s">
        <v>20</v>
      </c>
      <c r="H82" s="26" t="s">
        <v>889</v>
      </c>
      <c r="I82" s="32">
        <f>(Metodologia[[#This Row],[Visites]]*0.15)/MAX(Metodologia[Visites])</f>
        <v>2.8771655324523536E-3</v>
      </c>
      <c r="J82" s="26" t="s">
        <v>579</v>
      </c>
      <c r="K82" s="28" t="s">
        <v>620</v>
      </c>
      <c r="L82" s="28" t="s">
        <v>620</v>
      </c>
      <c r="M82" s="28" t="s">
        <v>620</v>
      </c>
      <c r="N82" s="26" t="s">
        <v>632</v>
      </c>
      <c r="O82" s="47">
        <v>8140</v>
      </c>
      <c r="P82" s="26" t="s">
        <v>1143</v>
      </c>
      <c r="Q82" s="26" t="s">
        <v>32</v>
      </c>
      <c r="R82" s="26" t="s">
        <v>470</v>
      </c>
      <c r="S82" s="26" t="s">
        <v>1144</v>
      </c>
      <c r="T82" s="26" t="s">
        <v>471</v>
      </c>
      <c r="U82" s="26"/>
      <c r="V82" s="26" t="s">
        <v>472</v>
      </c>
      <c r="W82" s="28" t="s">
        <v>620</v>
      </c>
      <c r="X82" s="28" t="s">
        <v>620</v>
      </c>
      <c r="Y82" s="28" t="s">
        <v>620</v>
      </c>
      <c r="Z82" s="28" t="s">
        <v>620</v>
      </c>
      <c r="AA82" s="28" t="s">
        <v>620</v>
      </c>
      <c r="AB82" s="28" t="s">
        <v>620</v>
      </c>
      <c r="AC82" s="28" t="s">
        <v>620</v>
      </c>
      <c r="AD82" s="28" t="s">
        <v>620</v>
      </c>
      <c r="AE82" s="27" t="s">
        <v>688</v>
      </c>
      <c r="AF82" s="27" t="s">
        <v>741</v>
      </c>
      <c r="AG82" s="27" t="s">
        <v>672</v>
      </c>
      <c r="AH82" s="27" t="s">
        <v>631</v>
      </c>
    </row>
    <row r="83" spans="1:34" ht="20.399999999999999" x14ac:dyDescent="0.25">
      <c r="A83" s="28" t="s">
        <v>998</v>
      </c>
      <c r="B83" s="31" t="s">
        <v>622</v>
      </c>
      <c r="C83" s="26" t="s">
        <v>45</v>
      </c>
      <c r="D83" s="26" t="s">
        <v>151</v>
      </c>
      <c r="E83" s="29" t="s">
        <v>473</v>
      </c>
      <c r="F83" s="28" t="s">
        <v>474</v>
      </c>
      <c r="G83" s="26" t="s">
        <v>20</v>
      </c>
      <c r="H83" s="26" t="s">
        <v>889</v>
      </c>
      <c r="I83" s="32">
        <f>(Metodologia[[#This Row],[Visites]]*0.15)/MAX(Metodologia[Visites])</f>
        <v>2.9209945897034702E-3</v>
      </c>
      <c r="J83" s="26" t="s">
        <v>579</v>
      </c>
      <c r="K83" s="28" t="s">
        <v>620</v>
      </c>
      <c r="L83" s="28" t="s">
        <v>620</v>
      </c>
      <c r="M83" s="28" t="s">
        <v>620</v>
      </c>
      <c r="N83" s="26" t="s">
        <v>632</v>
      </c>
      <c r="O83" s="47">
        <v>8264</v>
      </c>
      <c r="P83" s="26" t="s">
        <v>1145</v>
      </c>
      <c r="Q83" s="26" t="s">
        <v>7</v>
      </c>
      <c r="R83" s="26" t="s">
        <v>470</v>
      </c>
      <c r="S83" s="26" t="s">
        <v>1144</v>
      </c>
      <c r="T83" s="26" t="s">
        <v>475</v>
      </c>
      <c r="U83" s="26"/>
      <c r="V83" s="26" t="s">
        <v>476</v>
      </c>
      <c r="W83" s="28" t="s">
        <v>620</v>
      </c>
      <c r="X83" s="28" t="s">
        <v>620</v>
      </c>
      <c r="Y83" s="28" t="s">
        <v>620</v>
      </c>
      <c r="Z83" s="28" t="s">
        <v>620</v>
      </c>
      <c r="AA83" s="28" t="s">
        <v>620</v>
      </c>
      <c r="AB83" s="28" t="s">
        <v>620</v>
      </c>
      <c r="AC83" s="28" t="s">
        <v>620</v>
      </c>
      <c r="AD83" s="28" t="s">
        <v>620</v>
      </c>
      <c r="AE83" s="27" t="s">
        <v>688</v>
      </c>
      <c r="AF83" s="27" t="s">
        <v>741</v>
      </c>
      <c r="AG83" s="27" t="s">
        <v>672</v>
      </c>
      <c r="AH83" s="27" t="s">
        <v>631</v>
      </c>
    </row>
    <row r="84" spans="1:34" ht="20.399999999999999" x14ac:dyDescent="0.25">
      <c r="A84" s="28" t="s">
        <v>999</v>
      </c>
      <c r="B84" s="31" t="s">
        <v>622</v>
      </c>
      <c r="C84" s="26" t="s">
        <v>45</v>
      </c>
      <c r="D84" s="26" t="s">
        <v>151</v>
      </c>
      <c r="E84" s="29" t="s">
        <v>357</v>
      </c>
      <c r="F84" s="28" t="s">
        <v>358</v>
      </c>
      <c r="G84" s="26" t="s">
        <v>96</v>
      </c>
      <c r="H84" s="26" t="s">
        <v>889</v>
      </c>
      <c r="I84" s="32">
        <f>(Metodologia[[#This Row],[Visites]]*0.15)/MAX(Metodologia[Visites])</f>
        <v>7.4827511452108507E-4</v>
      </c>
      <c r="J84" s="26" t="s">
        <v>582</v>
      </c>
      <c r="K84" s="28" t="s">
        <v>620</v>
      </c>
      <c r="L84" s="28" t="s">
        <v>620</v>
      </c>
      <c r="M84" s="28" t="s">
        <v>621</v>
      </c>
      <c r="N84" s="26" t="s">
        <v>632</v>
      </c>
      <c r="O84" s="47">
        <v>2117</v>
      </c>
      <c r="P84" s="26" t="s">
        <v>1142</v>
      </c>
      <c r="Q84" s="26" t="s">
        <v>32</v>
      </c>
      <c r="R84" s="26" t="s">
        <v>359</v>
      </c>
      <c r="S84" s="26" t="s">
        <v>1144</v>
      </c>
      <c r="T84" s="26" t="s">
        <v>360</v>
      </c>
      <c r="U84" s="26"/>
      <c r="V84" s="26" t="s">
        <v>361</v>
      </c>
      <c r="W84" s="28" t="s">
        <v>620</v>
      </c>
      <c r="X84" s="28" t="s">
        <v>620</v>
      </c>
      <c r="Y84" s="28" t="s">
        <v>620</v>
      </c>
      <c r="Z84" s="28" t="s">
        <v>620</v>
      </c>
      <c r="AA84" s="28" t="s">
        <v>620</v>
      </c>
      <c r="AB84" s="28" t="s">
        <v>620</v>
      </c>
      <c r="AC84" s="28" t="s">
        <v>620</v>
      </c>
      <c r="AD84" s="28" t="s">
        <v>620</v>
      </c>
      <c r="AE84" s="27" t="s">
        <v>715</v>
      </c>
      <c r="AF84" s="27" t="s">
        <v>716</v>
      </c>
      <c r="AG84" s="27" t="s">
        <v>717</v>
      </c>
      <c r="AH84" s="27" t="s">
        <v>638</v>
      </c>
    </row>
    <row r="85" spans="1:34" ht="20.399999999999999" x14ac:dyDescent="0.25">
      <c r="A85" s="28" t="s">
        <v>1000</v>
      </c>
      <c r="B85" s="31" t="s">
        <v>626</v>
      </c>
      <c r="C85" s="26" t="s">
        <v>45</v>
      </c>
      <c r="D85" s="26" t="s">
        <v>151</v>
      </c>
      <c r="E85" s="29" t="s">
        <v>447</v>
      </c>
      <c r="F85" s="28" t="s">
        <v>448</v>
      </c>
      <c r="G85" s="26" t="s">
        <v>20</v>
      </c>
      <c r="H85" s="26"/>
      <c r="I85" s="32">
        <f>(Metodologia[[#This Row],[Visites]]*0.15)/MAX(Metodologia[Visites])</f>
        <v>1.1240032424076761E-3</v>
      </c>
      <c r="J85" s="26" t="s">
        <v>583</v>
      </c>
      <c r="K85" s="28" t="s">
        <v>621</v>
      </c>
      <c r="L85" s="28" t="s">
        <v>620</v>
      </c>
      <c r="M85" s="28" t="s">
        <v>621</v>
      </c>
      <c r="N85" s="26" t="s">
        <v>632</v>
      </c>
      <c r="O85" s="47">
        <v>3180</v>
      </c>
      <c r="P85" s="26" t="s">
        <v>1146</v>
      </c>
      <c r="Q85" s="26" t="s">
        <v>42</v>
      </c>
      <c r="R85" s="26"/>
      <c r="S85" s="26"/>
      <c r="T85" s="26"/>
      <c r="U85" s="26" t="s">
        <v>33</v>
      </c>
      <c r="V85" s="26" t="s">
        <v>449</v>
      </c>
      <c r="W85" s="28" t="s">
        <v>620</v>
      </c>
      <c r="X85" s="28" t="s">
        <v>1227</v>
      </c>
      <c r="Y85" s="28" t="s">
        <v>1227</v>
      </c>
      <c r="Z85" s="28" t="s">
        <v>621</v>
      </c>
      <c r="AA85" s="28" t="s">
        <v>621</v>
      </c>
      <c r="AB85" s="28" t="s">
        <v>1227</v>
      </c>
      <c r="AC85" s="28" t="s">
        <v>621</v>
      </c>
      <c r="AD85" s="28" t="s">
        <v>1227</v>
      </c>
      <c r="AE85" s="27" t="s">
        <v>742</v>
      </c>
      <c r="AF85" s="27" t="s">
        <v>743</v>
      </c>
      <c r="AG85" s="27" t="s">
        <v>744</v>
      </c>
      <c r="AH85" s="27" t="s">
        <v>646</v>
      </c>
    </row>
    <row r="86" spans="1:34" ht="30.6" x14ac:dyDescent="0.25">
      <c r="A86" s="28" t="s">
        <v>1001</v>
      </c>
      <c r="B86" s="31" t="s">
        <v>626</v>
      </c>
      <c r="C86" s="26" t="s">
        <v>45</v>
      </c>
      <c r="D86" s="26" t="s">
        <v>151</v>
      </c>
      <c r="E86" s="29" t="s">
        <v>485</v>
      </c>
      <c r="F86" s="28" t="s">
        <v>486</v>
      </c>
      <c r="G86" s="26" t="s">
        <v>6</v>
      </c>
      <c r="H86" s="26"/>
      <c r="I86" s="32">
        <f>(Metodologia[[#This Row],[Visites]]*0.15)/MAX(Metodologia[Visites])</f>
        <v>1.294724489603559E-3</v>
      </c>
      <c r="J86" s="26" t="s">
        <v>584</v>
      </c>
      <c r="K86" s="28" t="s">
        <v>621</v>
      </c>
      <c r="L86" s="28" t="s">
        <v>620</v>
      </c>
      <c r="M86" s="28" t="s">
        <v>621</v>
      </c>
      <c r="N86" s="26" t="s">
        <v>632</v>
      </c>
      <c r="O86" s="47">
        <v>3663</v>
      </c>
      <c r="P86" s="26"/>
      <c r="Q86" s="26" t="s">
        <v>7</v>
      </c>
      <c r="R86" s="26"/>
      <c r="S86" s="26" t="s">
        <v>1144</v>
      </c>
      <c r="T86" s="26"/>
      <c r="U86" s="26" t="s">
        <v>487</v>
      </c>
      <c r="V86" s="26" t="s">
        <v>488</v>
      </c>
      <c r="W86" s="28" t="s">
        <v>620</v>
      </c>
      <c r="X86" s="28" t="s">
        <v>620</v>
      </c>
      <c r="Y86" s="28" t="s">
        <v>620</v>
      </c>
      <c r="Z86" s="28" t="s">
        <v>620</v>
      </c>
      <c r="AA86" s="28" t="s">
        <v>620</v>
      </c>
      <c r="AB86" s="28" t="s">
        <v>620</v>
      </c>
      <c r="AC86" s="28" t="s">
        <v>620</v>
      </c>
      <c r="AD86" s="28" t="s">
        <v>620</v>
      </c>
      <c r="AE86" s="27" t="s">
        <v>745</v>
      </c>
      <c r="AF86" s="27" t="s">
        <v>746</v>
      </c>
      <c r="AG86" s="27" t="s">
        <v>747</v>
      </c>
      <c r="AH86" s="27" t="s">
        <v>646</v>
      </c>
    </row>
    <row r="87" spans="1:34" ht="20.399999999999999" x14ac:dyDescent="0.25">
      <c r="A87" s="28" t="s">
        <v>1002</v>
      </c>
      <c r="B87" s="31" t="s">
        <v>622</v>
      </c>
      <c r="C87" s="26" t="s">
        <v>45</v>
      </c>
      <c r="D87" s="26" t="s">
        <v>145</v>
      </c>
      <c r="E87" s="29" t="s">
        <v>395</v>
      </c>
      <c r="F87" s="28" t="s">
        <v>396</v>
      </c>
      <c r="G87" s="26" t="s">
        <v>96</v>
      </c>
      <c r="H87" s="26" t="s">
        <v>889</v>
      </c>
      <c r="I87" s="32">
        <f>(Metodologia[[#This Row],[Visites]]*0.15)/MAX(Metodologia[Visites])</f>
        <v>8.0871679831093181E-4</v>
      </c>
      <c r="J87" s="26" t="s">
        <v>584</v>
      </c>
      <c r="K87" s="28" t="s">
        <v>620</v>
      </c>
      <c r="L87" s="28" t="s">
        <v>620</v>
      </c>
      <c r="M87" s="28" t="s">
        <v>620</v>
      </c>
      <c r="N87" s="26" t="s">
        <v>632</v>
      </c>
      <c r="O87" s="47">
        <v>2288</v>
      </c>
      <c r="P87" s="26" t="s">
        <v>1147</v>
      </c>
      <c r="Q87" s="26" t="s">
        <v>54</v>
      </c>
      <c r="R87" s="26" t="s">
        <v>397</v>
      </c>
      <c r="S87" s="26"/>
      <c r="T87" s="26" t="s">
        <v>398</v>
      </c>
      <c r="U87" s="26"/>
      <c r="V87" s="26" t="s">
        <v>399</v>
      </c>
      <c r="W87" s="28" t="s">
        <v>620</v>
      </c>
      <c r="X87" s="28" t="s">
        <v>620</v>
      </c>
      <c r="Y87" s="28" t="s">
        <v>620</v>
      </c>
      <c r="Z87" s="28" t="s">
        <v>620</v>
      </c>
      <c r="AA87" s="28" t="s">
        <v>620</v>
      </c>
      <c r="AB87" s="28" t="s">
        <v>620</v>
      </c>
      <c r="AC87" s="28" t="s">
        <v>620</v>
      </c>
      <c r="AD87" s="28" t="s">
        <v>620</v>
      </c>
      <c r="AE87" s="27" t="s">
        <v>715</v>
      </c>
      <c r="AF87" s="27" t="s">
        <v>716</v>
      </c>
      <c r="AG87" s="27" t="s">
        <v>717</v>
      </c>
      <c r="AH87" s="27" t="s">
        <v>638</v>
      </c>
    </row>
    <row r="88" spans="1:34" ht="20.399999999999999" x14ac:dyDescent="0.25">
      <c r="A88" s="28" t="s">
        <v>1003</v>
      </c>
      <c r="B88" s="31" t="s">
        <v>622</v>
      </c>
      <c r="C88" s="26" t="s">
        <v>45</v>
      </c>
      <c r="D88" s="26" t="s">
        <v>145</v>
      </c>
      <c r="E88" s="29" t="s">
        <v>459</v>
      </c>
      <c r="F88" s="28" t="s">
        <v>460</v>
      </c>
      <c r="G88" s="26" t="s">
        <v>96</v>
      </c>
      <c r="H88" s="26" t="s">
        <v>889</v>
      </c>
      <c r="I88" s="32">
        <f>(Metodologia[[#This Row],[Visites]]*0.15)/MAX(Metodologia[Visites])</f>
        <v>6.2385714555017251E-4</v>
      </c>
      <c r="J88" s="26" t="s">
        <v>585</v>
      </c>
      <c r="K88" s="28" t="s">
        <v>620</v>
      </c>
      <c r="L88" s="28" t="s">
        <v>620</v>
      </c>
      <c r="M88" s="28" t="s">
        <v>620</v>
      </c>
      <c r="N88" s="26" t="s">
        <v>632</v>
      </c>
      <c r="O88" s="47">
        <v>1765</v>
      </c>
      <c r="P88" s="26" t="s">
        <v>1142</v>
      </c>
      <c r="Q88" s="26" t="s">
        <v>7</v>
      </c>
      <c r="R88" s="26" t="s">
        <v>461</v>
      </c>
      <c r="S88" s="26"/>
      <c r="T88" s="26"/>
      <c r="U88" s="26"/>
      <c r="V88" s="26" t="s">
        <v>462</v>
      </c>
      <c r="W88" s="28" t="s">
        <v>620</v>
      </c>
      <c r="X88" s="28" t="s">
        <v>620</v>
      </c>
      <c r="Y88" s="28" t="s">
        <v>620</v>
      </c>
      <c r="Z88" s="28" t="s">
        <v>620</v>
      </c>
      <c r="AA88" s="28" t="s">
        <v>620</v>
      </c>
      <c r="AB88" s="28" t="s">
        <v>620</v>
      </c>
      <c r="AC88" s="28" t="s">
        <v>620</v>
      </c>
      <c r="AD88" s="28" t="s">
        <v>620</v>
      </c>
      <c r="AE88" s="27" t="s">
        <v>715</v>
      </c>
      <c r="AF88" s="27" t="s">
        <v>716</v>
      </c>
      <c r="AG88" s="27" t="s">
        <v>717</v>
      </c>
      <c r="AH88" s="27" t="s">
        <v>638</v>
      </c>
    </row>
    <row r="89" spans="1:34" ht="20.399999999999999" x14ac:dyDescent="0.25">
      <c r="A89" s="28" t="s">
        <v>1004</v>
      </c>
      <c r="B89" s="31" t="s">
        <v>622</v>
      </c>
      <c r="C89" s="26" t="s">
        <v>45</v>
      </c>
      <c r="D89" s="26" t="s">
        <v>145</v>
      </c>
      <c r="E89" s="29" t="s">
        <v>466</v>
      </c>
      <c r="F89" s="28" t="s">
        <v>467</v>
      </c>
      <c r="G89" s="26" t="s">
        <v>96</v>
      </c>
      <c r="H89" s="26" t="s">
        <v>889</v>
      </c>
      <c r="I89" s="32">
        <f>(Metodologia[[#This Row],[Visites]]*0.15)/MAX(Metodologia[Visites])</f>
        <v>4.6586046336267837E-4</v>
      </c>
      <c r="J89" s="26" t="s">
        <v>585</v>
      </c>
      <c r="K89" s="28" t="s">
        <v>620</v>
      </c>
      <c r="L89" s="28" t="s">
        <v>621</v>
      </c>
      <c r="M89" s="28" t="s">
        <v>620</v>
      </c>
      <c r="N89" s="26" t="s">
        <v>632</v>
      </c>
      <c r="O89" s="47">
        <v>1318</v>
      </c>
      <c r="P89" s="26" t="s">
        <v>1148</v>
      </c>
      <c r="Q89" s="26" t="s">
        <v>54</v>
      </c>
      <c r="R89" s="26" t="s">
        <v>461</v>
      </c>
      <c r="S89" s="26"/>
      <c r="T89" s="26"/>
      <c r="U89" s="26"/>
      <c r="V89" s="26" t="s">
        <v>468</v>
      </c>
      <c r="W89" s="28" t="s">
        <v>620</v>
      </c>
      <c r="X89" s="28" t="s">
        <v>620</v>
      </c>
      <c r="Y89" s="28" t="s">
        <v>620</v>
      </c>
      <c r="Z89" s="28" t="s">
        <v>620</v>
      </c>
      <c r="AA89" s="28" t="s">
        <v>620</v>
      </c>
      <c r="AB89" s="28" t="s">
        <v>620</v>
      </c>
      <c r="AC89" s="28" t="s">
        <v>620</v>
      </c>
      <c r="AD89" s="28" t="s">
        <v>620</v>
      </c>
      <c r="AE89" s="27" t="s">
        <v>715</v>
      </c>
      <c r="AF89" s="27" t="s">
        <v>716</v>
      </c>
      <c r="AG89" s="27" t="s">
        <v>717</v>
      </c>
      <c r="AH89" s="27" t="s">
        <v>638</v>
      </c>
    </row>
    <row r="90" spans="1:34" ht="30.6" x14ac:dyDescent="0.25">
      <c r="A90" s="28" t="s">
        <v>1005</v>
      </c>
      <c r="B90" s="31" t="s">
        <v>622</v>
      </c>
      <c r="C90" s="26" t="s">
        <v>45</v>
      </c>
      <c r="D90" s="26" t="s">
        <v>145</v>
      </c>
      <c r="E90" s="29" t="s">
        <v>187</v>
      </c>
      <c r="F90" s="28" t="s">
        <v>188</v>
      </c>
      <c r="G90" s="26" t="s">
        <v>96</v>
      </c>
      <c r="H90" s="26" t="s">
        <v>889</v>
      </c>
      <c r="I90" s="32">
        <f>(Metodologia[[#This Row],[Visites]]*0.15)/MAX(Metodologia[Visites])</f>
        <v>2.7393160781948083E-4</v>
      </c>
      <c r="J90" s="26" t="s">
        <v>586</v>
      </c>
      <c r="K90" s="28" t="s">
        <v>620</v>
      </c>
      <c r="L90" s="28" t="s">
        <v>620</v>
      </c>
      <c r="M90" s="28" t="s">
        <v>621</v>
      </c>
      <c r="N90" s="26" t="s">
        <v>637</v>
      </c>
      <c r="O90" s="47">
        <v>775</v>
      </c>
      <c r="P90" s="26" t="s">
        <v>1149</v>
      </c>
      <c r="Q90" s="26" t="s">
        <v>54</v>
      </c>
      <c r="R90" s="26" t="s">
        <v>189</v>
      </c>
      <c r="S90" s="26" t="s">
        <v>1150</v>
      </c>
      <c r="T90" s="26" t="s">
        <v>190</v>
      </c>
      <c r="U90" s="26"/>
      <c r="V90" s="26" t="s">
        <v>191</v>
      </c>
      <c r="W90" s="28" t="s">
        <v>620</v>
      </c>
      <c r="X90" s="28" t="s">
        <v>620</v>
      </c>
      <c r="Y90" s="28" t="s">
        <v>620</v>
      </c>
      <c r="Z90" s="28" t="s">
        <v>620</v>
      </c>
      <c r="AA90" s="28" t="s">
        <v>620</v>
      </c>
      <c r="AB90" s="28" t="s">
        <v>620</v>
      </c>
      <c r="AC90" s="28" t="s">
        <v>620</v>
      </c>
      <c r="AD90" s="28" t="s">
        <v>620</v>
      </c>
      <c r="AE90" s="27" t="s">
        <v>715</v>
      </c>
      <c r="AF90" s="27" t="s">
        <v>716</v>
      </c>
      <c r="AG90" s="27" t="s">
        <v>717</v>
      </c>
      <c r="AH90" s="27" t="s">
        <v>638</v>
      </c>
    </row>
    <row r="91" spans="1:34" ht="20.399999999999999" x14ac:dyDescent="0.25">
      <c r="A91" s="28" t="s">
        <v>1006</v>
      </c>
      <c r="B91" s="31" t="s">
        <v>622</v>
      </c>
      <c r="C91" s="26" t="s">
        <v>45</v>
      </c>
      <c r="D91" s="26" t="s">
        <v>145</v>
      </c>
      <c r="E91" s="29" t="s">
        <v>146</v>
      </c>
      <c r="F91" s="28" t="s">
        <v>147</v>
      </c>
      <c r="G91" s="26" t="s">
        <v>96</v>
      </c>
      <c r="H91" s="26" t="s">
        <v>889</v>
      </c>
      <c r="I91" s="32">
        <f>(Metodologia[[#This Row],[Visites]]*0.15)/MAX(Metodologia[Visites])</f>
        <v>3.2306256715742643E-4</v>
      </c>
      <c r="J91" s="26" t="s">
        <v>587</v>
      </c>
      <c r="K91" s="28" t="s">
        <v>620</v>
      </c>
      <c r="L91" s="28" t="s">
        <v>620</v>
      </c>
      <c r="M91" s="28" t="s">
        <v>621</v>
      </c>
      <c r="N91" s="26" t="s">
        <v>637</v>
      </c>
      <c r="O91" s="47">
        <v>914</v>
      </c>
      <c r="P91" s="26" t="s">
        <v>1151</v>
      </c>
      <c r="Q91" s="26" t="s">
        <v>54</v>
      </c>
      <c r="R91" s="26" t="s">
        <v>148</v>
      </c>
      <c r="S91" s="26" t="s">
        <v>1150</v>
      </c>
      <c r="T91" s="26" t="s">
        <v>149</v>
      </c>
      <c r="U91" s="26"/>
      <c r="V91" s="26" t="s">
        <v>150</v>
      </c>
      <c r="W91" s="28" t="s">
        <v>620</v>
      </c>
      <c r="X91" s="28" t="s">
        <v>620</v>
      </c>
      <c r="Y91" s="28" t="s">
        <v>620</v>
      </c>
      <c r="Z91" s="28" t="s">
        <v>620</v>
      </c>
      <c r="AA91" s="28" t="s">
        <v>620</v>
      </c>
      <c r="AB91" s="28" t="s">
        <v>620</v>
      </c>
      <c r="AC91" s="28" t="s">
        <v>620</v>
      </c>
      <c r="AD91" s="28" t="s">
        <v>620</v>
      </c>
      <c r="AE91" s="27" t="s">
        <v>715</v>
      </c>
      <c r="AF91" s="27" t="s">
        <v>716</v>
      </c>
      <c r="AG91" s="27" t="s">
        <v>717</v>
      </c>
      <c r="AH91" s="27" t="s">
        <v>638</v>
      </c>
    </row>
    <row r="92" spans="1:34" ht="30.6" x14ac:dyDescent="0.25">
      <c r="A92" s="28" t="s">
        <v>1007</v>
      </c>
      <c r="B92" s="31" t="s">
        <v>625</v>
      </c>
      <c r="C92" s="26" t="s">
        <v>45</v>
      </c>
      <c r="D92" s="26" t="s">
        <v>145</v>
      </c>
      <c r="E92" s="29" t="s">
        <v>499</v>
      </c>
      <c r="F92" s="28" t="s">
        <v>500</v>
      </c>
      <c r="G92" s="26" t="s">
        <v>6</v>
      </c>
      <c r="H92" s="26" t="s">
        <v>889</v>
      </c>
      <c r="I92" s="32">
        <f>(Metodologia[[#This Row],[Visites]]*0.15)/MAX(Metodologia[Visites])</f>
        <v>4.0789300054668498E-4</v>
      </c>
      <c r="J92" s="26" t="s">
        <v>588</v>
      </c>
      <c r="K92" s="28" t="s">
        <v>620</v>
      </c>
      <c r="L92" s="28" t="s">
        <v>621</v>
      </c>
      <c r="M92" s="28" t="s">
        <v>621</v>
      </c>
      <c r="N92" s="26" t="s">
        <v>634</v>
      </c>
      <c r="O92" s="47">
        <v>1154</v>
      </c>
      <c r="P92" s="26"/>
      <c r="Q92" s="26" t="s">
        <v>54</v>
      </c>
      <c r="R92" s="26" t="s">
        <v>501</v>
      </c>
      <c r="S92" s="26" t="s">
        <v>1144</v>
      </c>
      <c r="T92" s="26" t="s">
        <v>502</v>
      </c>
      <c r="U92" s="26"/>
      <c r="V92" s="26" t="s">
        <v>503</v>
      </c>
      <c r="W92" s="28" t="s">
        <v>620</v>
      </c>
      <c r="X92" s="28" t="s">
        <v>620</v>
      </c>
      <c r="Y92" s="28" t="s">
        <v>620</v>
      </c>
      <c r="Z92" s="28" t="s">
        <v>620</v>
      </c>
      <c r="AA92" s="28" t="s">
        <v>620</v>
      </c>
      <c r="AB92" s="28" t="s">
        <v>620</v>
      </c>
      <c r="AC92" s="28" t="s">
        <v>620</v>
      </c>
      <c r="AD92" s="28" t="s">
        <v>620</v>
      </c>
      <c r="AE92" s="27" t="s">
        <v>748</v>
      </c>
      <c r="AF92" s="27" t="s">
        <v>749</v>
      </c>
      <c r="AG92" s="27" t="s">
        <v>750</v>
      </c>
      <c r="AH92" s="27" t="s">
        <v>631</v>
      </c>
    </row>
    <row r="93" spans="1:34" ht="40.799999999999997" x14ac:dyDescent="0.25">
      <c r="A93" s="28" t="s">
        <v>1008</v>
      </c>
      <c r="B93" s="31" t="s">
        <v>624</v>
      </c>
      <c r="C93" s="26" t="s">
        <v>45</v>
      </c>
      <c r="D93" s="26" t="s">
        <v>145</v>
      </c>
      <c r="E93" s="29" t="s">
        <v>312</v>
      </c>
      <c r="F93" s="28" t="s">
        <v>313</v>
      </c>
      <c r="G93" s="26" t="s">
        <v>24</v>
      </c>
      <c r="H93" s="26" t="s">
        <v>889</v>
      </c>
      <c r="I93" s="32">
        <f>(Metodologia[[#This Row],[Visites]]*0.15)/MAX(Metodologia[Visites])</f>
        <v>5.6200162120383806E-4</v>
      </c>
      <c r="J93" s="26" t="s">
        <v>589</v>
      </c>
      <c r="K93" s="28" t="s">
        <v>620</v>
      </c>
      <c r="L93" s="28" t="s">
        <v>620</v>
      </c>
      <c r="M93" s="28" t="s">
        <v>621</v>
      </c>
      <c r="N93" s="26" t="s">
        <v>632</v>
      </c>
      <c r="O93" s="47">
        <v>1590</v>
      </c>
      <c r="P93" s="26"/>
      <c r="Q93" s="26" t="s">
        <v>7</v>
      </c>
      <c r="R93" s="26" t="s">
        <v>314</v>
      </c>
      <c r="S93" s="26" t="s">
        <v>1144</v>
      </c>
      <c r="T93" s="26" t="s">
        <v>315</v>
      </c>
      <c r="U93" s="26"/>
      <c r="V93" s="26" t="s">
        <v>316</v>
      </c>
      <c r="W93" s="28" t="s">
        <v>620</v>
      </c>
      <c r="X93" s="28" t="s">
        <v>620</v>
      </c>
      <c r="Y93" s="28" t="s">
        <v>620</v>
      </c>
      <c r="Z93" s="28" t="s">
        <v>620</v>
      </c>
      <c r="AA93" s="28" t="s">
        <v>620</v>
      </c>
      <c r="AB93" s="28" t="s">
        <v>620</v>
      </c>
      <c r="AC93" s="28" t="s">
        <v>620</v>
      </c>
      <c r="AD93" s="28" t="s">
        <v>620</v>
      </c>
      <c r="AE93" s="27" t="s">
        <v>751</v>
      </c>
      <c r="AF93" s="27" t="s">
        <v>752</v>
      </c>
      <c r="AG93" s="27" t="s">
        <v>669</v>
      </c>
      <c r="AH93" s="27" t="s">
        <v>631</v>
      </c>
    </row>
    <row r="94" spans="1:34" ht="40.799999999999997" x14ac:dyDescent="0.25">
      <c r="A94" s="28" t="s">
        <v>1009</v>
      </c>
      <c r="B94" s="31" t="s">
        <v>624</v>
      </c>
      <c r="C94" s="26" t="s">
        <v>45</v>
      </c>
      <c r="D94" s="26" t="s">
        <v>145</v>
      </c>
      <c r="E94" s="29" t="s">
        <v>407</v>
      </c>
      <c r="F94" s="28" t="s">
        <v>408</v>
      </c>
      <c r="G94" s="26" t="s">
        <v>24</v>
      </c>
      <c r="H94" s="26" t="s">
        <v>897</v>
      </c>
      <c r="I94" s="32">
        <f>(Metodologia[[#This Row],[Visites]]*0.15)/MAX(Metodologia[Visites])</f>
        <v>3.393217335570343E-4</v>
      </c>
      <c r="J94" s="26" t="s">
        <v>590</v>
      </c>
      <c r="K94" s="28" t="s">
        <v>620</v>
      </c>
      <c r="L94" s="28" t="s">
        <v>620</v>
      </c>
      <c r="M94" s="28" t="s">
        <v>621</v>
      </c>
      <c r="N94" s="26" t="s">
        <v>632</v>
      </c>
      <c r="O94" s="47">
        <v>960</v>
      </c>
      <c r="P94" s="26"/>
      <c r="Q94" s="26" t="s">
        <v>54</v>
      </c>
      <c r="R94" s="26" t="s">
        <v>409</v>
      </c>
      <c r="S94" s="26"/>
      <c r="T94" s="26" t="s">
        <v>410</v>
      </c>
      <c r="U94" s="26"/>
      <c r="V94" s="26" t="s">
        <v>411</v>
      </c>
      <c r="W94" s="28" t="s">
        <v>620</v>
      </c>
      <c r="X94" s="28" t="s">
        <v>620</v>
      </c>
      <c r="Y94" s="28" t="s">
        <v>620</v>
      </c>
      <c r="Z94" s="28" t="s">
        <v>620</v>
      </c>
      <c r="AA94" s="28" t="s">
        <v>620</v>
      </c>
      <c r="AB94" s="28" t="s">
        <v>620</v>
      </c>
      <c r="AC94" s="28" t="s">
        <v>620</v>
      </c>
      <c r="AD94" s="28" t="s">
        <v>620</v>
      </c>
      <c r="AE94" s="27" t="s">
        <v>753</v>
      </c>
      <c r="AF94" s="27" t="s">
        <v>754</v>
      </c>
      <c r="AG94" s="27" t="s">
        <v>669</v>
      </c>
      <c r="AH94" s="27" t="s">
        <v>631</v>
      </c>
    </row>
    <row r="95" spans="1:34" ht="30.6" x14ac:dyDescent="0.25">
      <c r="A95" s="28" t="s">
        <v>1010</v>
      </c>
      <c r="B95" s="31" t="s">
        <v>622</v>
      </c>
      <c r="C95" s="26" t="s">
        <v>45</v>
      </c>
      <c r="D95" s="26" t="s">
        <v>46</v>
      </c>
      <c r="E95" s="29" t="s">
        <v>157</v>
      </c>
      <c r="F95" s="28" t="s">
        <v>158</v>
      </c>
      <c r="G95" s="26" t="s">
        <v>20</v>
      </c>
      <c r="H95" s="26" t="s">
        <v>889</v>
      </c>
      <c r="I95" s="32">
        <f>(Metodologia[[#This Row],[Visites]]*0.15)/MAX(Metodologia[Visites])</f>
        <v>4.3337747657737477E-3</v>
      </c>
      <c r="J95" s="26" t="s">
        <v>591</v>
      </c>
      <c r="K95" s="28" t="s">
        <v>620</v>
      </c>
      <c r="L95" s="28" t="s">
        <v>620</v>
      </c>
      <c r="M95" s="28" t="s">
        <v>620</v>
      </c>
      <c r="N95" s="26" t="s">
        <v>632</v>
      </c>
      <c r="O95" s="47">
        <v>12261</v>
      </c>
      <c r="P95" s="26" t="s">
        <v>1152</v>
      </c>
      <c r="Q95" s="26" t="s">
        <v>7</v>
      </c>
      <c r="R95" s="26" t="s">
        <v>159</v>
      </c>
      <c r="S95" s="26" t="s">
        <v>1153</v>
      </c>
      <c r="T95" s="26" t="s">
        <v>161</v>
      </c>
      <c r="U95" s="26"/>
      <c r="V95" s="26" t="s">
        <v>162</v>
      </c>
      <c r="W95" s="28" t="s">
        <v>620</v>
      </c>
      <c r="X95" s="28" t="s">
        <v>620</v>
      </c>
      <c r="Y95" s="28" t="s">
        <v>620</v>
      </c>
      <c r="Z95" s="28" t="s">
        <v>620</v>
      </c>
      <c r="AA95" s="28" t="s">
        <v>620</v>
      </c>
      <c r="AB95" s="28" t="s">
        <v>620</v>
      </c>
      <c r="AC95" s="28" t="s">
        <v>620</v>
      </c>
      <c r="AD95" s="28" t="s">
        <v>620</v>
      </c>
      <c r="AE95" s="27" t="s">
        <v>688</v>
      </c>
      <c r="AF95" s="27" t="s">
        <v>741</v>
      </c>
      <c r="AG95" s="27" t="s">
        <v>672</v>
      </c>
      <c r="AH95" s="27" t="s">
        <v>631</v>
      </c>
    </row>
    <row r="96" spans="1:34" ht="30.6" x14ac:dyDescent="0.25">
      <c r="A96" s="28" t="s">
        <v>1011</v>
      </c>
      <c r="B96" s="31" t="s">
        <v>622</v>
      </c>
      <c r="C96" s="26" t="s">
        <v>45</v>
      </c>
      <c r="D96" s="26" t="s">
        <v>46</v>
      </c>
      <c r="E96" s="29" t="s">
        <v>163</v>
      </c>
      <c r="F96" s="28" t="s">
        <v>164</v>
      </c>
      <c r="G96" s="26" t="s">
        <v>96</v>
      </c>
      <c r="H96" s="26" t="s">
        <v>889</v>
      </c>
      <c r="I96" s="32">
        <f>(Metodologia[[#This Row],[Visites]]*0.15)/MAX(Metodologia[Visites])</f>
        <v>8.4512319264048856E-4</v>
      </c>
      <c r="J96" s="26" t="s">
        <v>592</v>
      </c>
      <c r="K96" s="28" t="s">
        <v>620</v>
      </c>
      <c r="L96" s="28" t="s">
        <v>620</v>
      </c>
      <c r="M96" s="28" t="s">
        <v>621</v>
      </c>
      <c r="N96" s="26" t="s">
        <v>632</v>
      </c>
      <c r="O96" s="47">
        <v>2391</v>
      </c>
      <c r="P96" s="26" t="s">
        <v>1154</v>
      </c>
      <c r="Q96" s="26" t="s">
        <v>54</v>
      </c>
      <c r="R96" s="26" t="s">
        <v>165</v>
      </c>
      <c r="S96" s="26" t="s">
        <v>1153</v>
      </c>
      <c r="T96" s="26"/>
      <c r="U96" s="26"/>
      <c r="V96" s="26" t="s">
        <v>166</v>
      </c>
      <c r="W96" s="28" t="s">
        <v>620</v>
      </c>
      <c r="X96" s="28" t="s">
        <v>621</v>
      </c>
      <c r="Y96" s="28" t="s">
        <v>621</v>
      </c>
      <c r="Z96" s="28" t="s">
        <v>621</v>
      </c>
      <c r="AA96" s="28" t="s">
        <v>621</v>
      </c>
      <c r="AB96" s="28" t="s">
        <v>621</v>
      </c>
      <c r="AC96" s="28" t="s">
        <v>621</v>
      </c>
      <c r="AD96" s="28" t="s">
        <v>620</v>
      </c>
      <c r="AE96" s="27" t="s">
        <v>715</v>
      </c>
      <c r="AF96" s="27" t="s">
        <v>716</v>
      </c>
      <c r="AG96" s="27" t="s">
        <v>717</v>
      </c>
      <c r="AH96" s="27" t="s">
        <v>638</v>
      </c>
    </row>
    <row r="97" spans="1:34" ht="20.399999999999999" x14ac:dyDescent="0.25">
      <c r="A97" s="28" t="s">
        <v>1012</v>
      </c>
      <c r="B97" s="31" t="s">
        <v>625</v>
      </c>
      <c r="C97" s="26" t="s">
        <v>45</v>
      </c>
      <c r="D97" s="26" t="s">
        <v>46</v>
      </c>
      <c r="E97" s="29" t="s">
        <v>287</v>
      </c>
      <c r="F97" s="28" t="s">
        <v>288</v>
      </c>
      <c r="G97" s="26" t="s">
        <v>6</v>
      </c>
      <c r="H97" s="26" t="s">
        <v>889</v>
      </c>
      <c r="I97" s="32">
        <f>(Metodologia[[#This Row],[Visites]]*0.15)/MAX(Metodologia[Visites])</f>
        <v>3.1457952381850056E-4</v>
      </c>
      <c r="J97" s="26" t="s">
        <v>593</v>
      </c>
      <c r="K97" s="28" t="s">
        <v>620</v>
      </c>
      <c r="L97" s="28" t="s">
        <v>621</v>
      </c>
      <c r="M97" s="28" t="s">
        <v>621</v>
      </c>
      <c r="N97" s="26" t="s">
        <v>632</v>
      </c>
      <c r="O97" s="47">
        <v>890</v>
      </c>
      <c r="P97" s="26"/>
      <c r="Q97" s="26" t="s">
        <v>54</v>
      </c>
      <c r="R97" s="26" t="s">
        <v>289</v>
      </c>
      <c r="S97" s="26"/>
      <c r="T97" s="26"/>
      <c r="U97" s="26"/>
      <c r="V97" s="26" t="s">
        <v>290</v>
      </c>
      <c r="W97" s="28" t="s">
        <v>620</v>
      </c>
      <c r="X97" s="28" t="s">
        <v>620</v>
      </c>
      <c r="Y97" s="28" t="s">
        <v>620</v>
      </c>
      <c r="Z97" s="28" t="s">
        <v>620</v>
      </c>
      <c r="AA97" s="28" t="s">
        <v>620</v>
      </c>
      <c r="AB97" s="28" t="s">
        <v>620</v>
      </c>
      <c r="AC97" s="28" t="s">
        <v>620</v>
      </c>
      <c r="AD97" s="28" t="s">
        <v>620</v>
      </c>
      <c r="AE97" s="27" t="s">
        <v>755</v>
      </c>
      <c r="AF97" s="27" t="s">
        <v>756</v>
      </c>
      <c r="AG97" s="27" t="s">
        <v>757</v>
      </c>
      <c r="AH97" s="27" t="s">
        <v>631</v>
      </c>
    </row>
    <row r="98" spans="1:34" ht="20.399999999999999" x14ac:dyDescent="0.25">
      <c r="A98" s="28" t="s">
        <v>1013</v>
      </c>
      <c r="B98" s="31" t="s">
        <v>622</v>
      </c>
      <c r="C98" s="26" t="s">
        <v>45</v>
      </c>
      <c r="D98" s="26" t="s">
        <v>46</v>
      </c>
      <c r="E98" s="29" t="s">
        <v>179</v>
      </c>
      <c r="F98" s="28" t="s">
        <v>180</v>
      </c>
      <c r="G98" s="26" t="s">
        <v>20</v>
      </c>
      <c r="H98" s="26" t="s">
        <v>889</v>
      </c>
      <c r="I98" s="32">
        <f>(Metodologia[[#This Row],[Visites]]*0.15)/MAX(Metodologia[Visites])</f>
        <v>1.0903184911493582E-2</v>
      </c>
      <c r="J98" s="26" t="s">
        <v>594</v>
      </c>
      <c r="K98" s="28" t="s">
        <v>620</v>
      </c>
      <c r="L98" s="28" t="s">
        <v>620</v>
      </c>
      <c r="M98" s="28" t="s">
        <v>620</v>
      </c>
      <c r="N98" s="26" t="s">
        <v>632</v>
      </c>
      <c r="O98" s="47">
        <v>30847</v>
      </c>
      <c r="P98" s="26" t="s">
        <v>1155</v>
      </c>
      <c r="Q98" s="26" t="s">
        <v>32</v>
      </c>
      <c r="R98" s="26" t="s">
        <v>181</v>
      </c>
      <c r="S98" s="26"/>
      <c r="T98" s="26"/>
      <c r="U98" s="26"/>
      <c r="V98" s="26" t="s">
        <v>182</v>
      </c>
      <c r="W98" s="28" t="s">
        <v>620</v>
      </c>
      <c r="X98" s="28" t="s">
        <v>620</v>
      </c>
      <c r="Y98" s="28" t="s">
        <v>620</v>
      </c>
      <c r="Z98" s="28" t="s">
        <v>621</v>
      </c>
      <c r="AA98" s="28" t="s">
        <v>621</v>
      </c>
      <c r="AB98" s="28" t="s">
        <v>620</v>
      </c>
      <c r="AC98" s="28" t="s">
        <v>620</v>
      </c>
      <c r="AD98" s="28" t="s">
        <v>620</v>
      </c>
      <c r="AE98" s="27" t="s">
        <v>758</v>
      </c>
      <c r="AF98" s="27" t="s">
        <v>759</v>
      </c>
      <c r="AG98" s="27" t="s">
        <v>672</v>
      </c>
      <c r="AH98" s="27" t="s">
        <v>631</v>
      </c>
    </row>
    <row r="99" spans="1:34" ht="20.399999999999999" x14ac:dyDescent="0.25">
      <c r="A99" s="28" t="s">
        <v>1014</v>
      </c>
      <c r="B99" s="31" t="s">
        <v>622</v>
      </c>
      <c r="C99" s="26" t="s">
        <v>45</v>
      </c>
      <c r="D99" s="26" t="s">
        <v>46</v>
      </c>
      <c r="E99" s="29" t="s">
        <v>540</v>
      </c>
      <c r="F99" s="28" t="s">
        <v>541</v>
      </c>
      <c r="G99" s="26" t="s">
        <v>20</v>
      </c>
      <c r="H99" s="26" t="s">
        <v>889</v>
      </c>
      <c r="I99" s="32">
        <f>(Metodologia[[#This Row],[Visites]]*0.15)/MAX(Metodologia[Visites])</f>
        <v>4.0923614907534831E-3</v>
      </c>
      <c r="J99" s="26" t="s">
        <v>594</v>
      </c>
      <c r="K99" s="28" t="s">
        <v>620</v>
      </c>
      <c r="L99" s="28" t="s">
        <v>621</v>
      </c>
      <c r="M99" s="28" t="s">
        <v>620</v>
      </c>
      <c r="N99" s="26" t="s">
        <v>632</v>
      </c>
      <c r="O99" s="47">
        <v>11578</v>
      </c>
      <c r="P99" s="26" t="s">
        <v>1156</v>
      </c>
      <c r="Q99" s="26" t="s">
        <v>32</v>
      </c>
      <c r="R99" s="26" t="s">
        <v>49</v>
      </c>
      <c r="S99" s="26" t="s">
        <v>1157</v>
      </c>
      <c r="T99" s="26"/>
      <c r="U99" s="26"/>
      <c r="V99" s="26" t="s">
        <v>542</v>
      </c>
      <c r="W99" s="28" t="s">
        <v>620</v>
      </c>
      <c r="X99" s="28" t="s">
        <v>620</v>
      </c>
      <c r="Y99" s="28" t="s">
        <v>620</v>
      </c>
      <c r="Z99" s="28" t="s">
        <v>621</v>
      </c>
      <c r="AA99" s="28" t="s">
        <v>621</v>
      </c>
      <c r="AB99" s="28" t="s">
        <v>620</v>
      </c>
      <c r="AC99" s="28" t="s">
        <v>620</v>
      </c>
      <c r="AD99" s="28" t="s">
        <v>620</v>
      </c>
      <c r="AE99" s="27" t="s">
        <v>758</v>
      </c>
      <c r="AF99" s="27" t="s">
        <v>759</v>
      </c>
      <c r="AG99" s="27" t="s">
        <v>672</v>
      </c>
      <c r="AH99" s="27" t="s">
        <v>631</v>
      </c>
    </row>
    <row r="100" spans="1:34" ht="20.399999999999999" x14ac:dyDescent="0.25">
      <c r="A100" s="28" t="s">
        <v>1015</v>
      </c>
      <c r="B100" s="31" t="s">
        <v>622</v>
      </c>
      <c r="C100" s="26" t="s">
        <v>45</v>
      </c>
      <c r="D100" s="26" t="s">
        <v>46</v>
      </c>
      <c r="E100" s="29" t="s">
        <v>47</v>
      </c>
      <c r="F100" s="28" t="s">
        <v>48</v>
      </c>
      <c r="G100" s="26" t="s">
        <v>20</v>
      </c>
      <c r="H100" s="26" t="s">
        <v>889</v>
      </c>
      <c r="I100" s="32">
        <f>(Metodologia[[#This Row],[Visites]]*0.15)/MAX(Metodologia[Visites])</f>
        <v>1.4385827662261768E-3</v>
      </c>
      <c r="J100" s="26" t="s">
        <v>594</v>
      </c>
      <c r="K100" s="28" t="s">
        <v>620</v>
      </c>
      <c r="L100" s="28" t="s">
        <v>620</v>
      </c>
      <c r="M100" s="28" t="s">
        <v>620</v>
      </c>
      <c r="N100" s="26" t="s">
        <v>634</v>
      </c>
      <c r="O100" s="47">
        <v>4070</v>
      </c>
      <c r="P100" s="26" t="s">
        <v>1156</v>
      </c>
      <c r="Q100" s="26" t="s">
        <v>32</v>
      </c>
      <c r="R100" s="26" t="s">
        <v>49</v>
      </c>
      <c r="S100" s="26" t="s">
        <v>1157</v>
      </c>
      <c r="T100" s="26"/>
      <c r="U100" s="26"/>
      <c r="V100" s="26" t="s">
        <v>50</v>
      </c>
      <c r="W100" s="28" t="s">
        <v>620</v>
      </c>
      <c r="X100" s="28" t="s">
        <v>620</v>
      </c>
      <c r="Y100" s="28" t="s">
        <v>620</v>
      </c>
      <c r="Z100" s="28" t="s">
        <v>621</v>
      </c>
      <c r="AA100" s="28" t="s">
        <v>621</v>
      </c>
      <c r="AB100" s="28" t="s">
        <v>620</v>
      </c>
      <c r="AC100" s="28" t="s">
        <v>620</v>
      </c>
      <c r="AD100" s="28" t="s">
        <v>620</v>
      </c>
      <c r="AE100" s="27" t="s">
        <v>758</v>
      </c>
      <c r="AF100" s="27" t="s">
        <v>759</v>
      </c>
      <c r="AG100" s="27" t="s">
        <v>672</v>
      </c>
      <c r="AH100" s="27" t="s">
        <v>631</v>
      </c>
    </row>
    <row r="101" spans="1:34" ht="40.799999999999997" x14ac:dyDescent="0.25">
      <c r="A101" s="28" t="s">
        <v>1016</v>
      </c>
      <c r="B101" s="31" t="s">
        <v>625</v>
      </c>
      <c r="C101" s="26" t="s">
        <v>45</v>
      </c>
      <c r="D101" s="26" t="s">
        <v>46</v>
      </c>
      <c r="E101" s="29" t="s">
        <v>1107</v>
      </c>
      <c r="F101" s="28" t="s">
        <v>528</v>
      </c>
      <c r="G101" s="26" t="s">
        <v>6</v>
      </c>
      <c r="H101" s="26" t="s">
        <v>898</v>
      </c>
      <c r="I101" s="32">
        <f>(Metodologia[[#This Row],[Visites]]*0.15)/MAX(Metodologia[Visites])</f>
        <v>1.9652383735178236E-4</v>
      </c>
      <c r="J101" s="26"/>
      <c r="K101" s="28" t="s">
        <v>620</v>
      </c>
      <c r="L101" s="28" t="s">
        <v>620</v>
      </c>
      <c r="M101" s="28" t="s">
        <v>621</v>
      </c>
      <c r="N101" s="26" t="s">
        <v>632</v>
      </c>
      <c r="O101" s="47">
        <v>556</v>
      </c>
      <c r="P101" s="26"/>
      <c r="Q101" s="26" t="s">
        <v>7</v>
      </c>
      <c r="R101" s="26" t="s">
        <v>529</v>
      </c>
      <c r="S101" s="26"/>
      <c r="T101" s="26"/>
      <c r="U101" s="26"/>
      <c r="V101" s="26" t="s">
        <v>530</v>
      </c>
      <c r="W101" s="28" t="s">
        <v>620</v>
      </c>
      <c r="X101" s="28" t="s">
        <v>620</v>
      </c>
      <c r="Y101" s="28" t="s">
        <v>620</v>
      </c>
      <c r="Z101" s="28" t="s">
        <v>620</v>
      </c>
      <c r="AA101" s="28" t="s">
        <v>620</v>
      </c>
      <c r="AB101" s="28" t="s">
        <v>620</v>
      </c>
      <c r="AC101" s="28" t="s">
        <v>620</v>
      </c>
      <c r="AD101" s="28" t="s">
        <v>620</v>
      </c>
      <c r="AE101" s="27" t="s">
        <v>760</v>
      </c>
      <c r="AF101" s="27" t="s">
        <v>761</v>
      </c>
      <c r="AG101" s="27" t="s">
        <v>750</v>
      </c>
      <c r="AH101" s="27" t="s">
        <v>631</v>
      </c>
    </row>
    <row r="102" spans="1:34" ht="20.399999999999999" x14ac:dyDescent="0.25">
      <c r="A102" s="28" t="s">
        <v>1017</v>
      </c>
      <c r="B102" s="31" t="s">
        <v>622</v>
      </c>
      <c r="C102" s="26" t="s">
        <v>70</v>
      </c>
      <c r="D102" s="26" t="s">
        <v>133</v>
      </c>
      <c r="E102" s="29" t="s">
        <v>133</v>
      </c>
      <c r="F102" s="28" t="s">
        <v>438</v>
      </c>
      <c r="G102" s="26" t="s">
        <v>20</v>
      </c>
      <c r="H102" s="26" t="s">
        <v>889</v>
      </c>
      <c r="I102" s="32">
        <f>(Metodologia[[#This Row],[Visites]]*0.15)/MAX(Metodologia[Visites])</f>
        <v>1.4020349878409711E-2</v>
      </c>
      <c r="J102" s="26" t="s">
        <v>595</v>
      </c>
      <c r="K102" s="28" t="s">
        <v>620</v>
      </c>
      <c r="L102" s="28" t="s">
        <v>620</v>
      </c>
      <c r="M102" s="28" t="s">
        <v>620</v>
      </c>
      <c r="N102" s="26" t="s">
        <v>632</v>
      </c>
      <c r="O102" s="47">
        <v>39666</v>
      </c>
      <c r="P102" s="26" t="s">
        <v>1158</v>
      </c>
      <c r="Q102" s="26" t="s">
        <v>54</v>
      </c>
      <c r="R102" s="26" t="s">
        <v>136</v>
      </c>
      <c r="S102" s="26" t="s">
        <v>1159</v>
      </c>
      <c r="T102" s="26"/>
      <c r="U102" s="26"/>
      <c r="V102" s="26" t="s">
        <v>439</v>
      </c>
      <c r="W102" s="28" t="s">
        <v>620</v>
      </c>
      <c r="X102" s="28" t="s">
        <v>620</v>
      </c>
      <c r="Y102" s="28" t="s">
        <v>620</v>
      </c>
      <c r="Z102" s="28" t="s">
        <v>620</v>
      </c>
      <c r="AA102" s="28" t="s">
        <v>620</v>
      </c>
      <c r="AB102" s="28" t="s">
        <v>620</v>
      </c>
      <c r="AC102" s="28" t="s">
        <v>620</v>
      </c>
      <c r="AD102" s="28" t="s">
        <v>620</v>
      </c>
      <c r="AE102" s="27" t="s">
        <v>762</v>
      </c>
      <c r="AF102" s="27" t="s">
        <v>759</v>
      </c>
      <c r="AG102" s="27" t="s">
        <v>763</v>
      </c>
      <c r="AH102" s="27" t="s">
        <v>631</v>
      </c>
    </row>
    <row r="103" spans="1:34" ht="91.8" x14ac:dyDescent="0.25">
      <c r="A103" s="28" t="s">
        <v>1018</v>
      </c>
      <c r="B103" s="31" t="s">
        <v>624</v>
      </c>
      <c r="C103" s="26" t="s">
        <v>70</v>
      </c>
      <c r="D103" s="26" t="s">
        <v>133</v>
      </c>
      <c r="E103" s="29" t="s">
        <v>238</v>
      </c>
      <c r="F103" s="28" t="s">
        <v>239</v>
      </c>
      <c r="G103" s="26" t="s">
        <v>24</v>
      </c>
      <c r="H103" s="26" t="s">
        <v>899</v>
      </c>
      <c r="I103" s="32">
        <f>(Metodologia[[#This Row],[Visites]]*0.15)/MAX(Metodologia[Visites])</f>
        <v>2.0521895677418139E-3</v>
      </c>
      <c r="J103" s="26" t="s">
        <v>629</v>
      </c>
      <c r="K103" s="28" t="s">
        <v>620</v>
      </c>
      <c r="L103" s="28" t="s">
        <v>620</v>
      </c>
      <c r="M103" s="28" t="s">
        <v>620</v>
      </c>
      <c r="N103" s="26" t="s">
        <v>941</v>
      </c>
      <c r="O103" s="47">
        <v>5806</v>
      </c>
      <c r="P103" s="26"/>
      <c r="Q103" s="26" t="s">
        <v>7</v>
      </c>
      <c r="R103" s="26" t="s">
        <v>136</v>
      </c>
      <c r="S103" s="26" t="s">
        <v>1159</v>
      </c>
      <c r="T103" s="26"/>
      <c r="U103" s="26"/>
      <c r="V103" s="26" t="s">
        <v>240</v>
      </c>
      <c r="W103" s="28" t="s">
        <v>620</v>
      </c>
      <c r="X103" s="28" t="s">
        <v>620</v>
      </c>
      <c r="Y103" s="28" t="s">
        <v>620</v>
      </c>
      <c r="Z103" s="28" t="s">
        <v>620</v>
      </c>
      <c r="AA103" s="28" t="s">
        <v>620</v>
      </c>
      <c r="AB103" s="28" t="s">
        <v>620</v>
      </c>
      <c r="AC103" s="28" t="s">
        <v>620</v>
      </c>
      <c r="AD103" s="28" t="s">
        <v>620</v>
      </c>
      <c r="AE103" s="27" t="s">
        <v>764</v>
      </c>
      <c r="AF103" s="27" t="s">
        <v>765</v>
      </c>
      <c r="AG103" s="27" t="s">
        <v>669</v>
      </c>
      <c r="AH103" s="27" t="s">
        <v>631</v>
      </c>
    </row>
    <row r="104" spans="1:34" ht="40.799999999999997" x14ac:dyDescent="0.25">
      <c r="A104" s="28" t="s">
        <v>1019</v>
      </c>
      <c r="B104" s="31" t="s">
        <v>622</v>
      </c>
      <c r="C104" s="26" t="s">
        <v>70</v>
      </c>
      <c r="D104" s="26" t="s">
        <v>133</v>
      </c>
      <c r="E104" s="29" t="s">
        <v>342</v>
      </c>
      <c r="F104" s="28" t="s">
        <v>343</v>
      </c>
      <c r="G104" s="26" t="s">
        <v>20</v>
      </c>
      <c r="H104" s="26" t="s">
        <v>900</v>
      </c>
      <c r="I104" s="32">
        <f>(Metodologia[[#This Row],[Visites]]*0.15)/MAX(Metodologia[Visites])</f>
        <v>5.3948621034177234E-3</v>
      </c>
      <c r="J104" s="26" t="s">
        <v>627</v>
      </c>
      <c r="K104" s="28" t="s">
        <v>620</v>
      </c>
      <c r="L104" s="28" t="s">
        <v>621</v>
      </c>
      <c r="M104" s="28" t="s">
        <v>620</v>
      </c>
      <c r="N104" s="26" t="s">
        <v>632</v>
      </c>
      <c r="O104" s="47">
        <v>15263</v>
      </c>
      <c r="P104" s="26" t="s">
        <v>1123</v>
      </c>
      <c r="Q104" s="26" t="s">
        <v>54</v>
      </c>
      <c r="R104" s="26" t="s">
        <v>136</v>
      </c>
      <c r="S104" s="26"/>
      <c r="T104" s="26"/>
      <c r="U104" s="26"/>
      <c r="V104" s="26" t="s">
        <v>344</v>
      </c>
      <c r="W104" s="28" t="s">
        <v>620</v>
      </c>
      <c r="X104" s="28" t="s">
        <v>620</v>
      </c>
      <c r="Y104" s="28" t="s">
        <v>620</v>
      </c>
      <c r="Z104" s="28" t="s">
        <v>620</v>
      </c>
      <c r="AA104" s="28" t="s">
        <v>620</v>
      </c>
      <c r="AB104" s="28" t="s">
        <v>620</v>
      </c>
      <c r="AC104" s="28" t="s">
        <v>620</v>
      </c>
      <c r="AD104" s="28" t="s">
        <v>620</v>
      </c>
      <c r="AE104" s="27" t="s">
        <v>762</v>
      </c>
      <c r="AF104" s="27" t="s">
        <v>759</v>
      </c>
      <c r="AG104" s="27" t="s">
        <v>672</v>
      </c>
      <c r="AH104" s="27" t="s">
        <v>631</v>
      </c>
    </row>
    <row r="105" spans="1:34" ht="20.399999999999999" x14ac:dyDescent="0.25">
      <c r="A105" s="28" t="s">
        <v>1020</v>
      </c>
      <c r="B105" s="31" t="s">
        <v>622</v>
      </c>
      <c r="C105" s="26" t="s">
        <v>70</v>
      </c>
      <c r="D105" s="26" t="s">
        <v>133</v>
      </c>
      <c r="E105" s="29" t="s">
        <v>138</v>
      </c>
      <c r="F105" s="28" t="s">
        <v>139</v>
      </c>
      <c r="G105" s="26" t="s">
        <v>96</v>
      </c>
      <c r="H105" s="26" t="s">
        <v>889</v>
      </c>
      <c r="I105" s="32">
        <f>(Metodologia[[#This Row],[Visites]]*0.15)/MAX(Metodologia[Visites])</f>
        <v>2.32718155597866E-3</v>
      </c>
      <c r="J105" s="26" t="s">
        <v>628</v>
      </c>
      <c r="K105" s="28" t="s">
        <v>620</v>
      </c>
      <c r="L105" s="28" t="s">
        <v>621</v>
      </c>
      <c r="M105" s="28" t="s">
        <v>620</v>
      </c>
      <c r="N105" s="26" t="s">
        <v>632</v>
      </c>
      <c r="O105" s="47">
        <v>6584</v>
      </c>
      <c r="P105" s="26" t="s">
        <v>1160</v>
      </c>
      <c r="Q105" s="26" t="s">
        <v>54</v>
      </c>
      <c r="R105" s="26" t="s">
        <v>73</v>
      </c>
      <c r="S105" s="26" t="s">
        <v>1161</v>
      </c>
      <c r="T105" s="26"/>
      <c r="U105" s="26"/>
      <c r="V105" s="26" t="s">
        <v>140</v>
      </c>
      <c r="W105" s="28" t="s">
        <v>620</v>
      </c>
      <c r="X105" s="28" t="s">
        <v>620</v>
      </c>
      <c r="Y105" s="28" t="s">
        <v>620</v>
      </c>
      <c r="Z105" s="28" t="s">
        <v>620</v>
      </c>
      <c r="AA105" s="28" t="s">
        <v>620</v>
      </c>
      <c r="AB105" s="28" t="s">
        <v>620</v>
      </c>
      <c r="AC105" s="28" t="s">
        <v>620</v>
      </c>
      <c r="AD105" s="28" t="s">
        <v>620</v>
      </c>
      <c r="AE105" s="27" t="s">
        <v>715</v>
      </c>
      <c r="AF105" s="27" t="s">
        <v>716</v>
      </c>
      <c r="AG105" s="27" t="s">
        <v>717</v>
      </c>
      <c r="AH105" s="27" t="s">
        <v>638</v>
      </c>
    </row>
    <row r="106" spans="1:34" ht="61.2" x14ac:dyDescent="0.25">
      <c r="A106" s="28" t="s">
        <v>1021</v>
      </c>
      <c r="B106" s="31" t="s">
        <v>622</v>
      </c>
      <c r="C106" s="26" t="s">
        <v>70</v>
      </c>
      <c r="D106" s="26" t="s">
        <v>133</v>
      </c>
      <c r="E106" s="29" t="s">
        <v>354</v>
      </c>
      <c r="F106" s="28" t="s">
        <v>355</v>
      </c>
      <c r="G106" s="26" t="s">
        <v>20</v>
      </c>
      <c r="H106" s="26" t="s">
        <v>901</v>
      </c>
      <c r="I106" s="32">
        <f>(Metodologia[[#This Row],[Visites]]*0.15)/MAX(Metodologia[Visites])</f>
        <v>1.3374931664373103E-3</v>
      </c>
      <c r="J106" s="26" t="s">
        <v>596</v>
      </c>
      <c r="K106" s="28" t="s">
        <v>620</v>
      </c>
      <c r="L106" s="28" t="s">
        <v>621</v>
      </c>
      <c r="M106" s="28" t="s">
        <v>621</v>
      </c>
      <c r="N106" s="26" t="s">
        <v>632</v>
      </c>
      <c r="O106" s="47">
        <v>3784</v>
      </c>
      <c r="P106" s="26" t="s">
        <v>1123</v>
      </c>
      <c r="Q106" s="26" t="s">
        <v>54</v>
      </c>
      <c r="R106" s="26" t="s">
        <v>136</v>
      </c>
      <c r="S106" s="26"/>
      <c r="T106" s="26"/>
      <c r="U106" s="26"/>
      <c r="V106" s="26" t="s">
        <v>356</v>
      </c>
      <c r="W106" s="28" t="s">
        <v>620</v>
      </c>
      <c r="X106" s="28" t="s">
        <v>620</v>
      </c>
      <c r="Y106" s="28" t="s">
        <v>620</v>
      </c>
      <c r="Z106" s="28" t="s">
        <v>620</v>
      </c>
      <c r="AA106" s="28" t="s">
        <v>620</v>
      </c>
      <c r="AB106" s="28" t="s">
        <v>620</v>
      </c>
      <c r="AC106" s="28" t="s">
        <v>620</v>
      </c>
      <c r="AD106" s="28" t="s">
        <v>620</v>
      </c>
      <c r="AE106" s="27" t="s">
        <v>762</v>
      </c>
      <c r="AF106" s="27" t="s">
        <v>759</v>
      </c>
      <c r="AG106" s="27" t="s">
        <v>672</v>
      </c>
      <c r="AH106" s="27" t="s">
        <v>631</v>
      </c>
    </row>
    <row r="107" spans="1:34" ht="61.2" x14ac:dyDescent="0.25">
      <c r="A107" s="28" t="s">
        <v>1022</v>
      </c>
      <c r="B107" s="31" t="s">
        <v>622</v>
      </c>
      <c r="C107" s="26" t="s">
        <v>70</v>
      </c>
      <c r="D107" s="26" t="s">
        <v>133</v>
      </c>
      <c r="E107" s="29" t="s">
        <v>134</v>
      </c>
      <c r="F107" s="28" t="s">
        <v>135</v>
      </c>
      <c r="G107" s="26" t="s">
        <v>20</v>
      </c>
      <c r="H107" s="26" t="s">
        <v>901</v>
      </c>
      <c r="I107" s="32">
        <f>(Metodologia[[#This Row],[Visites]]*0.15)/MAX(Metodologia[Visites])</f>
        <v>1.0116029181669087E-3</v>
      </c>
      <c r="J107" s="26" t="s">
        <v>597</v>
      </c>
      <c r="K107" s="28" t="s">
        <v>620</v>
      </c>
      <c r="L107" s="28" t="s">
        <v>620</v>
      </c>
      <c r="M107" s="28" t="s">
        <v>620</v>
      </c>
      <c r="N107" s="26" t="s">
        <v>632</v>
      </c>
      <c r="O107" s="47">
        <v>2862</v>
      </c>
      <c r="P107" s="26" t="s">
        <v>1123</v>
      </c>
      <c r="Q107" s="26" t="s">
        <v>54</v>
      </c>
      <c r="R107" s="26" t="s">
        <v>136</v>
      </c>
      <c r="S107" s="26" t="s">
        <v>1159</v>
      </c>
      <c r="T107" s="26"/>
      <c r="U107" s="26"/>
      <c r="V107" s="26" t="s">
        <v>137</v>
      </c>
      <c r="W107" s="28" t="s">
        <v>620</v>
      </c>
      <c r="X107" s="28" t="s">
        <v>620</v>
      </c>
      <c r="Y107" s="28" t="s">
        <v>620</v>
      </c>
      <c r="Z107" s="28" t="s">
        <v>620</v>
      </c>
      <c r="AA107" s="28" t="s">
        <v>620</v>
      </c>
      <c r="AB107" s="28" t="s">
        <v>620</v>
      </c>
      <c r="AC107" s="28" t="s">
        <v>620</v>
      </c>
      <c r="AD107" s="28" t="s">
        <v>620</v>
      </c>
      <c r="AE107" s="27" t="s">
        <v>766</v>
      </c>
      <c r="AF107" s="27" t="s">
        <v>767</v>
      </c>
      <c r="AG107" s="27" t="s">
        <v>672</v>
      </c>
      <c r="AH107" s="27" t="s">
        <v>631</v>
      </c>
    </row>
    <row r="108" spans="1:34" ht="30.6" x14ac:dyDescent="0.25">
      <c r="A108" s="28" t="s">
        <v>1023</v>
      </c>
      <c r="B108" s="31" t="s">
        <v>625</v>
      </c>
      <c r="C108" s="26" t="s">
        <v>70</v>
      </c>
      <c r="D108" s="26" t="s">
        <v>133</v>
      </c>
      <c r="E108" s="29" t="s">
        <v>282</v>
      </c>
      <c r="F108" s="28" t="s">
        <v>283</v>
      </c>
      <c r="G108" s="26" t="s">
        <v>6</v>
      </c>
      <c r="H108" s="26" t="s">
        <v>902</v>
      </c>
      <c r="I108" s="32">
        <f>(Metodologia[[#This Row],[Visites]]*0.15)/MAX(Metodologia[Visites])</f>
        <v>1.0091286971930552E-3</v>
      </c>
      <c r="J108" s="26"/>
      <c r="K108" s="28" t="s">
        <v>620</v>
      </c>
      <c r="L108" s="28" t="s">
        <v>621</v>
      </c>
      <c r="M108" s="28" t="s">
        <v>621</v>
      </c>
      <c r="N108" s="26" t="s">
        <v>632</v>
      </c>
      <c r="O108" s="47">
        <v>2855</v>
      </c>
      <c r="P108" s="26"/>
      <c r="Q108" s="26" t="s">
        <v>54</v>
      </c>
      <c r="R108" s="26" t="s">
        <v>284</v>
      </c>
      <c r="S108" s="26"/>
      <c r="T108" s="26" t="s">
        <v>285</v>
      </c>
      <c r="U108" s="26"/>
      <c r="V108" s="26" t="s">
        <v>286</v>
      </c>
      <c r="W108" s="28" t="s">
        <v>620</v>
      </c>
      <c r="X108" s="28" t="s">
        <v>620</v>
      </c>
      <c r="Y108" s="28" t="s">
        <v>620</v>
      </c>
      <c r="Z108" s="28" t="s">
        <v>620</v>
      </c>
      <c r="AA108" s="28" t="s">
        <v>620</v>
      </c>
      <c r="AB108" s="28" t="s">
        <v>620</v>
      </c>
      <c r="AC108" s="28" t="s">
        <v>620</v>
      </c>
      <c r="AD108" s="28" t="s">
        <v>620</v>
      </c>
      <c r="AE108" s="27" t="s">
        <v>768</v>
      </c>
      <c r="AF108" s="27" t="s">
        <v>769</v>
      </c>
      <c r="AG108" s="27" t="s">
        <v>725</v>
      </c>
      <c r="AH108" s="27" t="s">
        <v>631</v>
      </c>
    </row>
    <row r="109" spans="1:34" ht="20.399999999999999" x14ac:dyDescent="0.25">
      <c r="A109" s="28" t="s">
        <v>1024</v>
      </c>
      <c r="B109" s="31" t="s">
        <v>622</v>
      </c>
      <c r="C109" s="26" t="s">
        <v>70</v>
      </c>
      <c r="D109" s="26" t="s">
        <v>70</v>
      </c>
      <c r="E109" s="29" t="s">
        <v>220</v>
      </c>
      <c r="F109" s="28" t="s">
        <v>221</v>
      </c>
      <c r="G109" s="26" t="s">
        <v>20</v>
      </c>
      <c r="H109" s="26" t="s">
        <v>889</v>
      </c>
      <c r="I109" s="32">
        <f>(Metodologia[[#This Row],[Visites]]*0.15)/MAX(Metodologia[Visites])</f>
        <v>1.4937225479291949E-3</v>
      </c>
      <c r="J109" s="26" t="s">
        <v>598</v>
      </c>
      <c r="K109" s="28" t="s">
        <v>620</v>
      </c>
      <c r="L109" s="28" t="s">
        <v>620</v>
      </c>
      <c r="M109" s="28" t="s">
        <v>621</v>
      </c>
      <c r="N109" s="26" t="s">
        <v>632</v>
      </c>
      <c r="O109" s="47">
        <v>4226</v>
      </c>
      <c r="P109" s="26" t="s">
        <v>1162</v>
      </c>
      <c r="Q109" s="26" t="s">
        <v>7</v>
      </c>
      <c r="R109" s="26" t="s">
        <v>222</v>
      </c>
      <c r="S109" s="26" t="s">
        <v>1159</v>
      </c>
      <c r="T109" s="26"/>
      <c r="U109" s="26"/>
      <c r="V109" s="26" t="s">
        <v>1163</v>
      </c>
      <c r="W109" s="28" t="s">
        <v>620</v>
      </c>
      <c r="X109" s="28" t="s">
        <v>620</v>
      </c>
      <c r="Y109" s="28" t="s">
        <v>620</v>
      </c>
      <c r="Z109" s="28" t="s">
        <v>620</v>
      </c>
      <c r="AA109" s="28" t="s">
        <v>620</v>
      </c>
      <c r="AB109" s="28" t="s">
        <v>620</v>
      </c>
      <c r="AC109" s="28" t="s">
        <v>620</v>
      </c>
      <c r="AD109" s="28" t="s">
        <v>620</v>
      </c>
      <c r="AE109" s="27" t="s">
        <v>762</v>
      </c>
      <c r="AF109" s="27" t="s">
        <v>770</v>
      </c>
      <c r="AG109" s="27" t="s">
        <v>672</v>
      </c>
      <c r="AH109" s="27" t="s">
        <v>636</v>
      </c>
    </row>
    <row r="110" spans="1:34" ht="20.399999999999999" x14ac:dyDescent="0.25">
      <c r="A110" s="28" t="s">
        <v>1025</v>
      </c>
      <c r="B110" s="31" t="s">
        <v>622</v>
      </c>
      <c r="C110" s="26" t="s">
        <v>70</v>
      </c>
      <c r="D110" s="26" t="s">
        <v>70</v>
      </c>
      <c r="E110" s="29" t="s">
        <v>403</v>
      </c>
      <c r="F110" s="28" t="s">
        <v>404</v>
      </c>
      <c r="G110" s="26" t="s">
        <v>20</v>
      </c>
      <c r="H110" s="26" t="s">
        <v>889</v>
      </c>
      <c r="I110" s="32">
        <f>(Metodologia[[#This Row],[Visites]]*0.15)/MAX(Metodologia[Visites])</f>
        <v>6.3622825041943933E-6</v>
      </c>
      <c r="J110" s="26" t="s">
        <v>599</v>
      </c>
      <c r="K110" s="28" t="s">
        <v>620</v>
      </c>
      <c r="L110" s="28" t="s">
        <v>620</v>
      </c>
      <c r="M110" s="28" t="s">
        <v>621</v>
      </c>
      <c r="N110" s="26" t="s">
        <v>632</v>
      </c>
      <c r="O110" s="47">
        <v>18</v>
      </c>
      <c r="P110" s="26" t="s">
        <v>1162</v>
      </c>
      <c r="Q110" s="26" t="s">
        <v>7</v>
      </c>
      <c r="R110" s="26" t="s">
        <v>405</v>
      </c>
      <c r="S110" s="26" t="s">
        <v>1159</v>
      </c>
      <c r="T110" s="26"/>
      <c r="U110" s="26"/>
      <c r="V110" s="26" t="s">
        <v>406</v>
      </c>
      <c r="W110" s="28" t="s">
        <v>620</v>
      </c>
      <c r="X110" s="28" t="s">
        <v>620</v>
      </c>
      <c r="Y110" s="28" t="s">
        <v>620</v>
      </c>
      <c r="Z110" s="28" t="s">
        <v>620</v>
      </c>
      <c r="AA110" s="28" t="s">
        <v>620</v>
      </c>
      <c r="AB110" s="28" t="s">
        <v>620</v>
      </c>
      <c r="AC110" s="28" t="s">
        <v>620</v>
      </c>
      <c r="AD110" s="28" t="s">
        <v>620</v>
      </c>
      <c r="AE110" s="27" t="s">
        <v>762</v>
      </c>
      <c r="AF110" s="27" t="s">
        <v>771</v>
      </c>
      <c r="AG110" s="27" t="s">
        <v>672</v>
      </c>
      <c r="AH110" s="27" t="s">
        <v>631</v>
      </c>
    </row>
    <row r="111" spans="1:34" ht="61.2" x14ac:dyDescent="0.25">
      <c r="A111" s="28" t="s">
        <v>1026</v>
      </c>
      <c r="B111" s="31" t="s">
        <v>623</v>
      </c>
      <c r="C111" s="26" t="s">
        <v>70</v>
      </c>
      <c r="D111" s="26" t="s">
        <v>70</v>
      </c>
      <c r="E111" s="29" t="s">
        <v>71</v>
      </c>
      <c r="F111" s="28" t="s">
        <v>72</v>
      </c>
      <c r="G111" s="26" t="s">
        <v>6</v>
      </c>
      <c r="H111" s="26" t="s">
        <v>903</v>
      </c>
      <c r="I111" s="32">
        <f>(Metodologia[[#This Row],[Visites]]*0.15)/MAX(Metodologia[Visites])</f>
        <v>1.0317501460968574E-3</v>
      </c>
      <c r="J111" s="26" t="s">
        <v>600</v>
      </c>
      <c r="K111" s="28" t="s">
        <v>620</v>
      </c>
      <c r="L111" s="28" t="s">
        <v>620</v>
      </c>
      <c r="M111" s="28" t="s">
        <v>620</v>
      </c>
      <c r="N111" s="26" t="s">
        <v>632</v>
      </c>
      <c r="O111" s="47">
        <v>2919</v>
      </c>
      <c r="P111" s="26"/>
      <c r="Q111" s="26" t="s">
        <v>54</v>
      </c>
      <c r="R111" s="26" t="s">
        <v>73</v>
      </c>
      <c r="S111" s="26" t="s">
        <v>1161</v>
      </c>
      <c r="T111" s="26"/>
      <c r="U111" s="26"/>
      <c r="V111" s="26" t="s">
        <v>74</v>
      </c>
      <c r="W111" s="28" t="s">
        <v>620</v>
      </c>
      <c r="X111" s="28" t="s">
        <v>620</v>
      </c>
      <c r="Y111" s="28" t="s">
        <v>620</v>
      </c>
      <c r="Z111" s="28" t="s">
        <v>620</v>
      </c>
      <c r="AA111" s="28" t="s">
        <v>620</v>
      </c>
      <c r="AB111" s="28" t="s">
        <v>620</v>
      </c>
      <c r="AC111" s="28" t="s">
        <v>620</v>
      </c>
      <c r="AD111" s="28" t="s">
        <v>620</v>
      </c>
      <c r="AE111" s="27" t="s">
        <v>772</v>
      </c>
      <c r="AF111" s="27" t="s">
        <v>773</v>
      </c>
      <c r="AG111" s="27" t="s">
        <v>774</v>
      </c>
      <c r="AH111" s="27" t="s">
        <v>631</v>
      </c>
    </row>
    <row r="112" spans="1:34" ht="20.399999999999999" x14ac:dyDescent="0.25">
      <c r="A112" s="28" t="s">
        <v>1027</v>
      </c>
      <c r="B112" s="31" t="s">
        <v>622</v>
      </c>
      <c r="C112" s="26" t="s">
        <v>70</v>
      </c>
      <c r="D112" s="26" t="s">
        <v>70</v>
      </c>
      <c r="E112" s="29" t="s">
        <v>269</v>
      </c>
      <c r="F112" s="28" t="s">
        <v>270</v>
      </c>
      <c r="G112" s="26" t="s">
        <v>20</v>
      </c>
      <c r="H112" s="26" t="s">
        <v>889</v>
      </c>
      <c r="I112" s="32">
        <f>(Metodologia[[#This Row],[Visites]]*0.15)/MAX(Metodologia[Visites])</f>
        <v>7.4933549493845085E-4</v>
      </c>
      <c r="J112" s="26"/>
      <c r="K112" s="28" t="s">
        <v>620</v>
      </c>
      <c r="L112" s="28" t="s">
        <v>620</v>
      </c>
      <c r="M112" s="28" t="s">
        <v>621</v>
      </c>
      <c r="N112" s="26" t="s">
        <v>632</v>
      </c>
      <c r="O112" s="47">
        <v>2120</v>
      </c>
      <c r="P112" s="26" t="s">
        <v>1164</v>
      </c>
      <c r="Q112" s="26" t="s">
        <v>7</v>
      </c>
      <c r="R112" s="26" t="s">
        <v>160</v>
      </c>
      <c r="S112" s="26" t="s">
        <v>1159</v>
      </c>
      <c r="T112" s="26"/>
      <c r="U112" s="26"/>
      <c r="V112" s="26" t="s">
        <v>271</v>
      </c>
      <c r="W112" s="28" t="s">
        <v>620</v>
      </c>
      <c r="X112" s="28" t="s">
        <v>621</v>
      </c>
      <c r="Y112" s="28" t="s">
        <v>621</v>
      </c>
      <c r="Z112" s="28" t="s">
        <v>620</v>
      </c>
      <c r="AA112" s="28" t="s">
        <v>620</v>
      </c>
      <c r="AB112" s="28" t="s">
        <v>621</v>
      </c>
      <c r="AC112" s="28" t="s">
        <v>620</v>
      </c>
      <c r="AD112" s="28" t="s">
        <v>620</v>
      </c>
      <c r="AE112" s="27" t="s">
        <v>688</v>
      </c>
      <c r="AF112" s="27" t="s">
        <v>775</v>
      </c>
      <c r="AG112" s="27" t="s">
        <v>744</v>
      </c>
      <c r="AH112" s="27" t="s">
        <v>636</v>
      </c>
    </row>
    <row r="113" spans="1:34" ht="30.6" x14ac:dyDescent="0.25">
      <c r="A113" s="28" t="s">
        <v>1028</v>
      </c>
      <c r="B113" s="31" t="s">
        <v>626</v>
      </c>
      <c r="C113" s="26" t="s">
        <v>70</v>
      </c>
      <c r="D113" s="26" t="s">
        <v>70</v>
      </c>
      <c r="E113" s="29" t="s">
        <v>183</v>
      </c>
      <c r="F113" s="28" t="s">
        <v>184</v>
      </c>
      <c r="G113" s="26" t="s">
        <v>20</v>
      </c>
      <c r="H113" s="26"/>
      <c r="I113" s="32">
        <f>(Metodologia[[#This Row],[Visites]]*0.15)/MAX(Metodologia[Visites])</f>
        <v>1.1558146549286482E-3</v>
      </c>
      <c r="J113" s="26" t="s">
        <v>601</v>
      </c>
      <c r="K113" s="28" t="s">
        <v>621</v>
      </c>
      <c r="L113" s="28" t="s">
        <v>620</v>
      </c>
      <c r="M113" s="28" t="s">
        <v>621</v>
      </c>
      <c r="N113" s="26" t="s">
        <v>632</v>
      </c>
      <c r="O113" s="47">
        <v>3270</v>
      </c>
      <c r="P113" s="26" t="s">
        <v>1162</v>
      </c>
      <c r="Q113" s="26" t="s">
        <v>54</v>
      </c>
      <c r="R113" s="26"/>
      <c r="S113" s="26" t="s">
        <v>1144</v>
      </c>
      <c r="T113" s="26"/>
      <c r="U113" s="26" t="s">
        <v>185</v>
      </c>
      <c r="V113" s="26" t="s">
        <v>186</v>
      </c>
      <c r="W113" s="28" t="s">
        <v>620</v>
      </c>
      <c r="X113" s="28" t="s">
        <v>1227</v>
      </c>
      <c r="Y113" s="28" t="s">
        <v>1227</v>
      </c>
      <c r="Z113" s="28" t="s">
        <v>621</v>
      </c>
      <c r="AA113" s="28" t="s">
        <v>621</v>
      </c>
      <c r="AB113" s="28" t="s">
        <v>621</v>
      </c>
      <c r="AC113" s="28" t="s">
        <v>621</v>
      </c>
      <c r="AD113" s="28" t="s">
        <v>1227</v>
      </c>
      <c r="AE113" s="27" t="s">
        <v>762</v>
      </c>
      <c r="AF113" s="27" t="s">
        <v>776</v>
      </c>
      <c r="AG113" s="27" t="s">
        <v>672</v>
      </c>
      <c r="AH113" s="27" t="s">
        <v>646</v>
      </c>
    </row>
    <row r="114" spans="1:34" ht="20.399999999999999" x14ac:dyDescent="0.25">
      <c r="A114" s="28" t="s">
        <v>1029</v>
      </c>
      <c r="B114" s="31" t="s">
        <v>624</v>
      </c>
      <c r="C114" s="26" t="s">
        <v>70</v>
      </c>
      <c r="D114" s="26" t="s">
        <v>70</v>
      </c>
      <c r="E114" s="29" t="s">
        <v>412</v>
      </c>
      <c r="F114" s="28" t="s">
        <v>413</v>
      </c>
      <c r="G114" s="26" t="s">
        <v>24</v>
      </c>
      <c r="H114" s="26" t="s">
        <v>889</v>
      </c>
      <c r="I114" s="32">
        <f>(Metodologia[[#This Row],[Visites]]*0.15)/MAX(Metodologia[Visites])</f>
        <v>3.909269138688333E-4</v>
      </c>
      <c r="J114" s="26" t="s">
        <v>602</v>
      </c>
      <c r="K114" s="28" t="s">
        <v>620</v>
      </c>
      <c r="L114" s="28" t="s">
        <v>621</v>
      </c>
      <c r="M114" s="28" t="s">
        <v>621</v>
      </c>
      <c r="N114" s="26" t="s">
        <v>632</v>
      </c>
      <c r="O114" s="47">
        <v>1106</v>
      </c>
      <c r="P114" s="26"/>
      <c r="Q114" s="26" t="s">
        <v>54</v>
      </c>
      <c r="R114" s="26"/>
      <c r="S114" s="26" t="s">
        <v>83</v>
      </c>
      <c r="T114" s="26"/>
      <c r="U114" s="26"/>
      <c r="V114" s="26" t="s">
        <v>414</v>
      </c>
      <c r="W114" s="28" t="s">
        <v>620</v>
      </c>
      <c r="X114" s="28" t="s">
        <v>620</v>
      </c>
      <c r="Y114" s="28" t="s">
        <v>621</v>
      </c>
      <c r="Z114" s="28" t="s">
        <v>620</v>
      </c>
      <c r="AA114" s="28" t="s">
        <v>620</v>
      </c>
      <c r="AB114" s="28" t="s">
        <v>621</v>
      </c>
      <c r="AC114" s="28" t="s">
        <v>620</v>
      </c>
      <c r="AD114" s="28" t="s">
        <v>620</v>
      </c>
      <c r="AE114" s="27" t="s">
        <v>777</v>
      </c>
      <c r="AF114" s="27" t="s">
        <v>771</v>
      </c>
      <c r="AG114" s="27" t="s">
        <v>669</v>
      </c>
      <c r="AH114" s="27" t="s">
        <v>631</v>
      </c>
    </row>
    <row r="115" spans="1:34" ht="20.399999999999999" x14ac:dyDescent="0.25">
      <c r="A115" s="28" t="s">
        <v>1030</v>
      </c>
      <c r="B115" s="31" t="s">
        <v>623</v>
      </c>
      <c r="C115" s="26" t="s">
        <v>70</v>
      </c>
      <c r="D115" s="26" t="s">
        <v>306</v>
      </c>
      <c r="E115" s="29" t="s">
        <v>334</v>
      </c>
      <c r="F115" s="28" t="s">
        <v>335</v>
      </c>
      <c r="G115" s="26" t="s">
        <v>6</v>
      </c>
      <c r="H115" s="26" t="s">
        <v>889</v>
      </c>
      <c r="I115" s="32">
        <f>(Metodologia[[#This Row],[Visites]]*0.15)/MAX(Metodologia[Visites])</f>
        <v>2.8796397534262066E-3</v>
      </c>
      <c r="J115" s="26" t="s">
        <v>603</v>
      </c>
      <c r="K115" s="28" t="s">
        <v>620</v>
      </c>
      <c r="L115" s="28" t="s">
        <v>620</v>
      </c>
      <c r="M115" s="28" t="s">
        <v>620</v>
      </c>
      <c r="N115" s="26" t="s">
        <v>632</v>
      </c>
      <c r="O115" s="47">
        <v>8147</v>
      </c>
      <c r="P115" s="26"/>
      <c r="Q115" s="26" t="s">
        <v>54</v>
      </c>
      <c r="R115" s="26" t="s">
        <v>326</v>
      </c>
      <c r="S115" s="26" t="s">
        <v>1165</v>
      </c>
      <c r="T115" s="26" t="s">
        <v>331</v>
      </c>
      <c r="U115" s="26"/>
      <c r="V115" s="26" t="s">
        <v>336</v>
      </c>
      <c r="W115" s="28" t="s">
        <v>620</v>
      </c>
      <c r="X115" s="28" t="s">
        <v>620</v>
      </c>
      <c r="Y115" s="28" t="s">
        <v>620</v>
      </c>
      <c r="Z115" s="28" t="s">
        <v>621</v>
      </c>
      <c r="AA115" s="28" t="s">
        <v>621</v>
      </c>
      <c r="AB115" s="28" t="s">
        <v>620</v>
      </c>
      <c r="AC115" s="28" t="s">
        <v>620</v>
      </c>
      <c r="AD115" s="28" t="s">
        <v>620</v>
      </c>
      <c r="AE115" s="27" t="s">
        <v>778</v>
      </c>
      <c r="AF115" s="27" t="s">
        <v>779</v>
      </c>
      <c r="AG115" s="27" t="s">
        <v>710</v>
      </c>
      <c r="AH115" s="27" t="s">
        <v>631</v>
      </c>
    </row>
    <row r="116" spans="1:34" ht="20.399999999999999" x14ac:dyDescent="0.25">
      <c r="A116" s="28" t="s">
        <v>1031</v>
      </c>
      <c r="B116" s="31" t="s">
        <v>623</v>
      </c>
      <c r="C116" s="26" t="s">
        <v>70</v>
      </c>
      <c r="D116" s="26" t="s">
        <v>306</v>
      </c>
      <c r="E116" s="29" t="s">
        <v>324</v>
      </c>
      <c r="F116" s="28" t="s">
        <v>325</v>
      </c>
      <c r="G116" s="26" t="s">
        <v>6</v>
      </c>
      <c r="H116" s="26" t="s">
        <v>889</v>
      </c>
      <c r="I116" s="32">
        <f>(Metodologia[[#This Row],[Visites]]*0.15)/MAX(Metodologia[Visites])</f>
        <v>7.4721473410371928E-4</v>
      </c>
      <c r="J116" s="26" t="s">
        <v>603</v>
      </c>
      <c r="K116" s="28" t="s">
        <v>620</v>
      </c>
      <c r="L116" s="28" t="s">
        <v>621</v>
      </c>
      <c r="M116" s="28" t="s">
        <v>620</v>
      </c>
      <c r="N116" s="26" t="s">
        <v>632</v>
      </c>
      <c r="O116" s="47">
        <v>2114</v>
      </c>
      <c r="P116" s="26"/>
      <c r="Q116" s="26" t="s">
        <v>54</v>
      </c>
      <c r="R116" s="26" t="s">
        <v>326</v>
      </c>
      <c r="S116" s="26"/>
      <c r="T116" s="26" t="s">
        <v>327</v>
      </c>
      <c r="U116" s="26"/>
      <c r="V116" s="26" t="s">
        <v>328</v>
      </c>
      <c r="W116" s="28" t="s">
        <v>620</v>
      </c>
      <c r="X116" s="28" t="s">
        <v>620</v>
      </c>
      <c r="Y116" s="28" t="s">
        <v>620</v>
      </c>
      <c r="Z116" s="28" t="s">
        <v>621</v>
      </c>
      <c r="AA116" s="28" t="s">
        <v>621</v>
      </c>
      <c r="AB116" s="28" t="s">
        <v>620</v>
      </c>
      <c r="AC116" s="28" t="s">
        <v>620</v>
      </c>
      <c r="AD116" s="28" t="s">
        <v>620</v>
      </c>
      <c r="AE116" s="27" t="s">
        <v>780</v>
      </c>
      <c r="AF116" s="27" t="s">
        <v>781</v>
      </c>
      <c r="AG116" s="27" t="s">
        <v>713</v>
      </c>
      <c r="AH116" s="27" t="s">
        <v>631</v>
      </c>
    </row>
    <row r="117" spans="1:34" ht="30.6" x14ac:dyDescent="0.25">
      <c r="A117" s="28" t="s">
        <v>1032</v>
      </c>
      <c r="B117" s="31" t="s">
        <v>623</v>
      </c>
      <c r="C117" s="26" t="s">
        <v>70</v>
      </c>
      <c r="D117" s="26" t="s">
        <v>306</v>
      </c>
      <c r="E117" s="29" t="s">
        <v>329</v>
      </c>
      <c r="F117" s="28" t="s">
        <v>330</v>
      </c>
      <c r="G117" s="26" t="s">
        <v>6</v>
      </c>
      <c r="H117" s="26" t="s">
        <v>889</v>
      </c>
      <c r="I117" s="32">
        <f>(Metodologia[[#This Row],[Visites]]*0.15)/MAX(Metodologia[Visites])</f>
        <v>7.8927649065922668E-4</v>
      </c>
      <c r="J117" s="26" t="s">
        <v>603</v>
      </c>
      <c r="K117" s="28" t="s">
        <v>620</v>
      </c>
      <c r="L117" s="28" t="s">
        <v>621</v>
      </c>
      <c r="M117" s="28" t="s">
        <v>620</v>
      </c>
      <c r="N117" s="26" t="s">
        <v>632</v>
      </c>
      <c r="O117" s="47">
        <v>2233</v>
      </c>
      <c r="P117" s="26"/>
      <c r="Q117" s="26" t="s">
        <v>54</v>
      </c>
      <c r="R117" s="26"/>
      <c r="S117" s="26"/>
      <c r="T117" s="26" t="s">
        <v>331</v>
      </c>
      <c r="U117" s="26" t="s">
        <v>332</v>
      </c>
      <c r="V117" s="26" t="s">
        <v>333</v>
      </c>
      <c r="W117" s="28" t="s">
        <v>620</v>
      </c>
      <c r="X117" s="28" t="s">
        <v>1227</v>
      </c>
      <c r="Y117" s="28" t="s">
        <v>1227</v>
      </c>
      <c r="Z117" s="28" t="s">
        <v>621</v>
      </c>
      <c r="AA117" s="28" t="s">
        <v>621</v>
      </c>
      <c r="AB117" s="28" t="s">
        <v>1227</v>
      </c>
      <c r="AC117" s="28" t="s">
        <v>621</v>
      </c>
      <c r="AD117" s="28" t="s">
        <v>1227</v>
      </c>
      <c r="AE117" s="27" t="s">
        <v>782</v>
      </c>
      <c r="AF117" s="27" t="s">
        <v>783</v>
      </c>
      <c r="AG117" s="27" t="s">
        <v>713</v>
      </c>
      <c r="AH117" s="27" t="s">
        <v>631</v>
      </c>
    </row>
    <row r="118" spans="1:34" ht="20.399999999999999" x14ac:dyDescent="0.25">
      <c r="A118" s="28" t="s">
        <v>1033</v>
      </c>
      <c r="B118" s="31" t="s">
        <v>623</v>
      </c>
      <c r="C118" s="26" t="s">
        <v>70</v>
      </c>
      <c r="D118" s="26" t="s">
        <v>306</v>
      </c>
      <c r="E118" s="29" t="s">
        <v>307</v>
      </c>
      <c r="F118" s="28" t="s">
        <v>308</v>
      </c>
      <c r="G118" s="26" t="s">
        <v>6</v>
      </c>
      <c r="H118" s="26" t="s">
        <v>889</v>
      </c>
      <c r="I118" s="32">
        <f>(Metodologia[[#This Row],[Visites]]*0.15)/MAX(Metodologia[Visites])</f>
        <v>5.7720040718608025E-4</v>
      </c>
      <c r="J118" s="26"/>
      <c r="K118" s="28" t="s">
        <v>620</v>
      </c>
      <c r="L118" s="28" t="s">
        <v>620</v>
      </c>
      <c r="M118" s="28" t="s">
        <v>620</v>
      </c>
      <c r="N118" s="26" t="s">
        <v>632</v>
      </c>
      <c r="O118" s="47">
        <v>1633</v>
      </c>
      <c r="P118" s="26"/>
      <c r="Q118" s="26" t="s">
        <v>54</v>
      </c>
      <c r="R118" s="26" t="s">
        <v>309</v>
      </c>
      <c r="S118" s="26" t="s">
        <v>1165</v>
      </c>
      <c r="T118" s="26" t="s">
        <v>310</v>
      </c>
      <c r="U118" s="26"/>
      <c r="V118" s="26" t="s">
        <v>311</v>
      </c>
      <c r="W118" s="28" t="s">
        <v>620</v>
      </c>
      <c r="X118" s="28" t="s">
        <v>620</v>
      </c>
      <c r="Y118" s="28" t="s">
        <v>620</v>
      </c>
      <c r="Z118" s="28" t="s">
        <v>621</v>
      </c>
      <c r="AA118" s="28" t="s">
        <v>621</v>
      </c>
      <c r="AB118" s="28" t="s">
        <v>620</v>
      </c>
      <c r="AC118" s="28" t="s">
        <v>620</v>
      </c>
      <c r="AD118" s="28" t="s">
        <v>620</v>
      </c>
      <c r="AE118" s="27" t="s">
        <v>784</v>
      </c>
      <c r="AF118" s="27" t="s">
        <v>785</v>
      </c>
      <c r="AG118" s="27" t="s">
        <v>713</v>
      </c>
      <c r="AH118" s="27" t="s">
        <v>631</v>
      </c>
    </row>
    <row r="119" spans="1:34" ht="20.399999999999999" x14ac:dyDescent="0.25">
      <c r="A119" s="28" t="s">
        <v>1035</v>
      </c>
      <c r="B119" s="31" t="s">
        <v>626</v>
      </c>
      <c r="C119" s="26" t="s">
        <v>64</v>
      </c>
      <c r="D119" s="26" t="s">
        <v>79</v>
      </c>
      <c r="E119" s="29" t="s">
        <v>261</v>
      </c>
      <c r="F119" s="28" t="s">
        <v>262</v>
      </c>
      <c r="G119" s="26" t="s">
        <v>6</v>
      </c>
      <c r="H119" s="26"/>
      <c r="I119" s="32">
        <f>(Metodologia[[#This Row],[Visites]]*0.15)/MAX(Metodologia[Visites])</f>
        <v>1.4407035270609081E-3</v>
      </c>
      <c r="J119" s="26"/>
      <c r="K119" s="28" t="s">
        <v>621</v>
      </c>
      <c r="L119" s="28" t="s">
        <v>620</v>
      </c>
      <c r="M119" s="28" t="s">
        <v>621</v>
      </c>
      <c r="N119" s="26" t="s">
        <v>639</v>
      </c>
      <c r="O119" s="47">
        <v>4076</v>
      </c>
      <c r="P119" s="26"/>
      <c r="Q119" s="26" t="s">
        <v>7</v>
      </c>
      <c r="R119" s="26" t="s">
        <v>263</v>
      </c>
      <c r="S119" s="26"/>
      <c r="T119" s="26"/>
      <c r="U119" s="26"/>
      <c r="V119" s="26" t="s">
        <v>264</v>
      </c>
      <c r="W119" s="28" t="s">
        <v>620</v>
      </c>
      <c r="X119" s="28" t="s">
        <v>620</v>
      </c>
      <c r="Y119" s="28" t="s">
        <v>620</v>
      </c>
      <c r="Z119" s="28" t="s">
        <v>620</v>
      </c>
      <c r="AA119" s="28" t="s">
        <v>620</v>
      </c>
      <c r="AB119" s="28" t="s">
        <v>621</v>
      </c>
      <c r="AC119" s="28" t="s">
        <v>620</v>
      </c>
      <c r="AD119" s="28" t="s">
        <v>620</v>
      </c>
      <c r="AE119" s="27" t="s">
        <v>788</v>
      </c>
      <c r="AF119" s="27" t="s">
        <v>789</v>
      </c>
      <c r="AG119" s="27" t="s">
        <v>750</v>
      </c>
      <c r="AH119" s="27" t="s">
        <v>631</v>
      </c>
    </row>
    <row r="120" spans="1:34" ht="30.6" x14ac:dyDescent="0.25">
      <c r="A120" s="28" t="s">
        <v>1036</v>
      </c>
      <c r="B120" s="31" t="s">
        <v>626</v>
      </c>
      <c r="C120" s="26" t="s">
        <v>64</v>
      </c>
      <c r="D120" s="26" t="s">
        <v>79</v>
      </c>
      <c r="E120" s="29" t="s">
        <v>265</v>
      </c>
      <c r="F120" s="28" t="s">
        <v>266</v>
      </c>
      <c r="G120" s="26" t="s">
        <v>96</v>
      </c>
      <c r="H120" s="26"/>
      <c r="I120" s="32">
        <f>(Metodologia[[#This Row],[Visites]]*0.15)/MAX(Metodologia[Visites])</f>
        <v>1.7945171263219408E-3</v>
      </c>
      <c r="J120" s="26"/>
      <c r="K120" s="28" t="s">
        <v>621</v>
      </c>
      <c r="L120" s="28" t="s">
        <v>621</v>
      </c>
      <c r="M120" s="28" t="s">
        <v>621</v>
      </c>
      <c r="N120" s="26" t="s">
        <v>632</v>
      </c>
      <c r="O120" s="47">
        <v>5077</v>
      </c>
      <c r="P120" s="26" t="s">
        <v>1166</v>
      </c>
      <c r="Q120" s="26" t="s">
        <v>32</v>
      </c>
      <c r="R120" s="26"/>
      <c r="S120" s="26"/>
      <c r="T120" s="26"/>
      <c r="U120" s="26" t="s">
        <v>267</v>
      </c>
      <c r="V120" s="26" t="s">
        <v>268</v>
      </c>
      <c r="W120" s="28" t="s">
        <v>620</v>
      </c>
      <c r="X120" s="28" t="s">
        <v>1227</v>
      </c>
      <c r="Y120" s="28" t="s">
        <v>1227</v>
      </c>
      <c r="Z120" s="28" t="s">
        <v>621</v>
      </c>
      <c r="AA120" s="28" t="s">
        <v>621</v>
      </c>
      <c r="AB120" s="28" t="s">
        <v>621</v>
      </c>
      <c r="AC120" s="28" t="s">
        <v>621</v>
      </c>
      <c r="AD120" s="28" t="s">
        <v>621</v>
      </c>
      <c r="AE120" s="27" t="s">
        <v>715</v>
      </c>
      <c r="AF120" s="27" t="s">
        <v>716</v>
      </c>
      <c r="AG120" s="27" t="s">
        <v>717</v>
      </c>
      <c r="AH120" s="27" t="s">
        <v>646</v>
      </c>
    </row>
    <row r="121" spans="1:34" ht="30.6" x14ac:dyDescent="0.25">
      <c r="A121" s="28" t="s">
        <v>1037</v>
      </c>
      <c r="B121" s="31" t="s">
        <v>626</v>
      </c>
      <c r="C121" s="26" t="s">
        <v>64</v>
      </c>
      <c r="D121" s="26" t="s">
        <v>79</v>
      </c>
      <c r="E121" s="29" t="s">
        <v>279</v>
      </c>
      <c r="F121" s="28" t="s">
        <v>280</v>
      </c>
      <c r="G121" s="26" t="s">
        <v>20</v>
      </c>
      <c r="H121" s="26"/>
      <c r="I121" s="32">
        <f>(Metodologia[[#This Row],[Visites]]*0.15)/MAX(Metodologia[Visites])</f>
        <v>6.1749486304597812E-4</v>
      </c>
      <c r="J121" s="26"/>
      <c r="K121" s="28" t="s">
        <v>621</v>
      </c>
      <c r="L121" s="28" t="s">
        <v>621</v>
      </c>
      <c r="M121" s="28" t="s">
        <v>621</v>
      </c>
      <c r="N121" s="26" t="s">
        <v>632</v>
      </c>
      <c r="O121" s="47">
        <v>1747</v>
      </c>
      <c r="P121" s="26" t="s">
        <v>1167</v>
      </c>
      <c r="Q121" s="26" t="s">
        <v>32</v>
      </c>
      <c r="R121" s="26"/>
      <c r="S121" s="26"/>
      <c r="T121" s="26"/>
      <c r="U121" s="26" t="s">
        <v>267</v>
      </c>
      <c r="V121" s="26" t="s">
        <v>281</v>
      </c>
      <c r="W121" s="28" t="s">
        <v>620</v>
      </c>
      <c r="X121" s="28" t="s">
        <v>1227</v>
      </c>
      <c r="Y121" s="28" t="s">
        <v>1227</v>
      </c>
      <c r="Z121" s="28" t="s">
        <v>621</v>
      </c>
      <c r="AA121" s="28" t="s">
        <v>621</v>
      </c>
      <c r="AB121" s="28" t="s">
        <v>621</v>
      </c>
      <c r="AC121" s="28" t="s">
        <v>621</v>
      </c>
      <c r="AD121" s="28" t="s">
        <v>621</v>
      </c>
      <c r="AE121" s="27" t="s">
        <v>790</v>
      </c>
      <c r="AF121" s="27" t="s">
        <v>791</v>
      </c>
      <c r="AG121" s="27" t="s">
        <v>672</v>
      </c>
      <c r="AH121" s="27" t="s">
        <v>646</v>
      </c>
    </row>
    <row r="122" spans="1:34" ht="30.6" x14ac:dyDescent="0.25">
      <c r="A122" s="28" t="s">
        <v>1038</v>
      </c>
      <c r="B122" s="31" t="s">
        <v>626</v>
      </c>
      <c r="C122" s="26" t="s">
        <v>64</v>
      </c>
      <c r="D122" s="26" t="s">
        <v>79</v>
      </c>
      <c r="E122" s="29" t="s">
        <v>276</v>
      </c>
      <c r="F122" s="28" t="s">
        <v>277</v>
      </c>
      <c r="G122" s="26" t="s">
        <v>24</v>
      </c>
      <c r="H122" s="26"/>
      <c r="I122" s="32">
        <f>(Metodologia[[#This Row],[Visites]]*0.15)/MAX(Metodologia[Visites])</f>
        <v>9.3207438686447868E-4</v>
      </c>
      <c r="J122" s="26"/>
      <c r="K122" s="28" t="s">
        <v>621</v>
      </c>
      <c r="L122" s="28" t="s">
        <v>621</v>
      </c>
      <c r="M122" s="28" t="s">
        <v>621</v>
      </c>
      <c r="N122" s="26" t="s">
        <v>632</v>
      </c>
      <c r="O122" s="47">
        <v>2637</v>
      </c>
      <c r="P122" s="26"/>
      <c r="Q122" s="26" t="s">
        <v>32</v>
      </c>
      <c r="R122" s="26"/>
      <c r="S122" s="26"/>
      <c r="T122" s="26"/>
      <c r="U122" s="26" t="s">
        <v>267</v>
      </c>
      <c r="V122" s="26" t="s">
        <v>278</v>
      </c>
      <c r="W122" s="28" t="s">
        <v>620</v>
      </c>
      <c r="X122" s="28" t="s">
        <v>1227</v>
      </c>
      <c r="Y122" s="28" t="s">
        <v>1227</v>
      </c>
      <c r="Z122" s="28" t="s">
        <v>621</v>
      </c>
      <c r="AA122" s="28" t="s">
        <v>621</v>
      </c>
      <c r="AB122" s="28" t="s">
        <v>621</v>
      </c>
      <c r="AC122" s="28" t="s">
        <v>621</v>
      </c>
      <c r="AD122" s="28" t="s">
        <v>621</v>
      </c>
      <c r="AE122" s="27" t="s">
        <v>792</v>
      </c>
      <c r="AF122" s="27" t="s">
        <v>793</v>
      </c>
      <c r="AG122" s="27" t="s">
        <v>794</v>
      </c>
      <c r="AH122" s="27" t="s">
        <v>646</v>
      </c>
    </row>
    <row r="123" spans="1:34" ht="20.399999999999999" x14ac:dyDescent="0.25">
      <c r="A123" s="28" t="s">
        <v>1039</v>
      </c>
      <c r="B123" s="31" t="s">
        <v>623</v>
      </c>
      <c r="C123" s="26" t="s">
        <v>64</v>
      </c>
      <c r="D123" s="26" t="s">
        <v>79</v>
      </c>
      <c r="E123" s="29" t="s">
        <v>80</v>
      </c>
      <c r="F123" s="28" t="s">
        <v>81</v>
      </c>
      <c r="G123" s="26" t="s">
        <v>6</v>
      </c>
      <c r="H123" s="26" t="s">
        <v>889</v>
      </c>
      <c r="I123" s="32">
        <f>(Metodologia[[#This Row],[Visites]]*0.15)/MAX(Metodologia[Visites])</f>
        <v>2.863027126887477E-4</v>
      </c>
      <c r="J123" s="26"/>
      <c r="K123" s="28" t="s">
        <v>620</v>
      </c>
      <c r="L123" s="28" t="s">
        <v>620</v>
      </c>
      <c r="M123" s="28" t="s">
        <v>620</v>
      </c>
      <c r="N123" s="26" t="s">
        <v>637</v>
      </c>
      <c r="O123" s="47">
        <v>810</v>
      </c>
      <c r="P123" s="26"/>
      <c r="Q123" s="26" t="s">
        <v>7</v>
      </c>
      <c r="R123" s="26" t="s">
        <v>82</v>
      </c>
      <c r="S123" s="26" t="s">
        <v>1168</v>
      </c>
      <c r="T123" s="26"/>
      <c r="U123" s="26"/>
      <c r="V123" s="26" t="s">
        <v>84</v>
      </c>
      <c r="W123" s="28" t="s">
        <v>620</v>
      </c>
      <c r="X123" s="28" t="s">
        <v>620</v>
      </c>
      <c r="Y123" s="28" t="s">
        <v>620</v>
      </c>
      <c r="Z123" s="28" t="s">
        <v>620</v>
      </c>
      <c r="AA123" s="28" t="s">
        <v>620</v>
      </c>
      <c r="AB123" s="28" t="s">
        <v>620</v>
      </c>
      <c r="AC123" s="28" t="s">
        <v>1227</v>
      </c>
      <c r="AD123" s="28" t="s">
        <v>620</v>
      </c>
      <c r="AE123" s="27" t="s">
        <v>795</v>
      </c>
      <c r="AF123" s="27" t="s">
        <v>796</v>
      </c>
      <c r="AG123" s="27" t="s">
        <v>725</v>
      </c>
      <c r="AH123" s="27" t="s">
        <v>631</v>
      </c>
    </row>
    <row r="124" spans="1:34" ht="20.399999999999999" x14ac:dyDescent="0.25">
      <c r="A124" s="28" t="s">
        <v>1040</v>
      </c>
      <c r="B124" s="31" t="s">
        <v>623</v>
      </c>
      <c r="C124" s="26" t="s">
        <v>64</v>
      </c>
      <c r="D124" s="26" t="s">
        <v>79</v>
      </c>
      <c r="E124" s="29" t="s">
        <v>85</v>
      </c>
      <c r="F124" s="28" t="s">
        <v>86</v>
      </c>
      <c r="G124" s="26" t="s">
        <v>6</v>
      </c>
      <c r="H124" s="26" t="s">
        <v>889</v>
      </c>
      <c r="I124" s="32">
        <f>(Metodologia[[#This Row],[Visites]]*0.15)/MAX(Metodologia[Visites])</f>
        <v>6.390559315324146E-4</v>
      </c>
      <c r="J124" s="26"/>
      <c r="K124" s="28" t="s">
        <v>620</v>
      </c>
      <c r="L124" s="28" t="s">
        <v>620</v>
      </c>
      <c r="M124" s="28" t="s">
        <v>620</v>
      </c>
      <c r="N124" s="26" t="s">
        <v>637</v>
      </c>
      <c r="O124" s="47">
        <v>1808</v>
      </c>
      <c r="P124" s="26"/>
      <c r="Q124" s="26" t="s">
        <v>7</v>
      </c>
      <c r="R124" s="26" t="s">
        <v>87</v>
      </c>
      <c r="S124" s="26" t="s">
        <v>1169</v>
      </c>
      <c r="T124" s="26"/>
      <c r="U124" s="26"/>
      <c r="V124" s="26" t="s">
        <v>88</v>
      </c>
      <c r="W124" s="28" t="s">
        <v>620</v>
      </c>
      <c r="X124" s="28" t="s">
        <v>620</v>
      </c>
      <c r="Y124" s="28" t="s">
        <v>620</v>
      </c>
      <c r="Z124" s="28" t="s">
        <v>620</v>
      </c>
      <c r="AA124" s="28" t="s">
        <v>620</v>
      </c>
      <c r="AB124" s="28" t="s">
        <v>620</v>
      </c>
      <c r="AC124" s="28" t="s">
        <v>620</v>
      </c>
      <c r="AD124" s="28" t="s">
        <v>620</v>
      </c>
      <c r="AE124" s="27" t="s">
        <v>797</v>
      </c>
      <c r="AF124" s="27" t="s">
        <v>798</v>
      </c>
      <c r="AG124" s="27" t="s">
        <v>725</v>
      </c>
      <c r="AH124" s="27" t="s">
        <v>631</v>
      </c>
    </row>
    <row r="125" spans="1:34" ht="20.399999999999999" x14ac:dyDescent="0.25">
      <c r="A125" s="28" t="s">
        <v>1034</v>
      </c>
      <c r="B125" s="31" t="s">
        <v>625</v>
      </c>
      <c r="C125" s="26" t="s">
        <v>64</v>
      </c>
      <c r="D125" s="26" t="s">
        <v>79</v>
      </c>
      <c r="E125" s="29" t="s">
        <v>272</v>
      </c>
      <c r="F125" s="28" t="s">
        <v>273</v>
      </c>
      <c r="G125" s="26" t="s">
        <v>6</v>
      </c>
      <c r="H125" s="26" t="s">
        <v>889</v>
      </c>
      <c r="I125" s="32">
        <f>(Metodologia[[#This Row],[Visites]]*0.15)/MAX(Metodologia[Visites])</f>
        <v>3.5982242162610511E-4</v>
      </c>
      <c r="J125" s="26"/>
      <c r="K125" s="28" t="s">
        <v>620</v>
      </c>
      <c r="L125" s="28" t="s">
        <v>620</v>
      </c>
      <c r="M125" s="28" t="s">
        <v>621</v>
      </c>
      <c r="N125" s="26" t="s">
        <v>632</v>
      </c>
      <c r="O125" s="47">
        <v>1018</v>
      </c>
      <c r="P125" s="26"/>
      <c r="Q125" s="26" t="s">
        <v>7</v>
      </c>
      <c r="R125" s="26" t="s">
        <v>274</v>
      </c>
      <c r="S125" s="26"/>
      <c r="T125" s="26"/>
      <c r="U125" s="26"/>
      <c r="V125" s="26" t="s">
        <v>275</v>
      </c>
      <c r="W125" s="28" t="s">
        <v>620</v>
      </c>
      <c r="X125" s="28" t="s">
        <v>620</v>
      </c>
      <c r="Y125" s="28" t="s">
        <v>620</v>
      </c>
      <c r="Z125" s="28" t="s">
        <v>620</v>
      </c>
      <c r="AA125" s="28" t="s">
        <v>620</v>
      </c>
      <c r="AB125" s="28" t="s">
        <v>620</v>
      </c>
      <c r="AC125" s="28" t="s">
        <v>620</v>
      </c>
      <c r="AD125" s="28" t="s">
        <v>620</v>
      </c>
      <c r="AE125" s="27" t="s">
        <v>786</v>
      </c>
      <c r="AF125" s="27" t="s">
        <v>787</v>
      </c>
      <c r="AG125" s="27" t="s">
        <v>713</v>
      </c>
      <c r="AH125" s="27" t="s">
        <v>631</v>
      </c>
    </row>
    <row r="126" spans="1:34" ht="20.399999999999999" x14ac:dyDescent="0.25">
      <c r="A126" s="28" t="s">
        <v>1041</v>
      </c>
      <c r="B126" s="31" t="s">
        <v>622</v>
      </c>
      <c r="C126" s="26" t="s">
        <v>64</v>
      </c>
      <c r="D126" s="26" t="s">
        <v>65</v>
      </c>
      <c r="E126" s="29" t="s">
        <v>66</v>
      </c>
      <c r="F126" s="28" t="s">
        <v>67</v>
      </c>
      <c r="G126" s="26" t="s">
        <v>20</v>
      </c>
      <c r="H126" s="26" t="s">
        <v>889</v>
      </c>
      <c r="I126" s="32">
        <f>(Metodologia[[#This Row],[Visites]]*0.15)/MAX(Metodologia[Visites])</f>
        <v>3.3207580070503513E-2</v>
      </c>
      <c r="J126" s="26" t="s">
        <v>604</v>
      </c>
      <c r="K126" s="28" t="s">
        <v>620</v>
      </c>
      <c r="L126" s="28" t="s">
        <v>621</v>
      </c>
      <c r="M126" s="28" t="s">
        <v>620</v>
      </c>
      <c r="N126" s="26" t="s">
        <v>632</v>
      </c>
      <c r="O126" s="47">
        <v>93950</v>
      </c>
      <c r="P126" s="26" t="s">
        <v>1123</v>
      </c>
      <c r="Q126" s="26" t="s">
        <v>54</v>
      </c>
      <c r="R126" s="26" t="s">
        <v>68</v>
      </c>
      <c r="S126" s="26"/>
      <c r="T126" s="26"/>
      <c r="U126" s="26"/>
      <c r="V126" s="26" t="s">
        <v>69</v>
      </c>
      <c r="W126" s="28" t="s">
        <v>620</v>
      </c>
      <c r="X126" s="28" t="s">
        <v>1227</v>
      </c>
      <c r="Y126" s="28" t="s">
        <v>1227</v>
      </c>
      <c r="Z126" s="28" t="s">
        <v>1227</v>
      </c>
      <c r="AA126" s="28" t="s">
        <v>1227</v>
      </c>
      <c r="AB126" s="28" t="s">
        <v>1227</v>
      </c>
      <c r="AC126" s="28" t="s">
        <v>620</v>
      </c>
      <c r="AD126" s="28" t="s">
        <v>620</v>
      </c>
      <c r="AE126" s="27" t="s">
        <v>799</v>
      </c>
      <c r="AF126" s="27" t="s">
        <v>800</v>
      </c>
      <c r="AG126" s="27" t="s">
        <v>672</v>
      </c>
      <c r="AH126" s="27" t="s">
        <v>631</v>
      </c>
    </row>
    <row r="127" spans="1:34" ht="30.6" x14ac:dyDescent="0.25">
      <c r="A127" s="28" t="s">
        <v>1042</v>
      </c>
      <c r="B127" s="31" t="s">
        <v>626</v>
      </c>
      <c r="C127" s="26" t="s">
        <v>64</v>
      </c>
      <c r="D127" s="26" t="s">
        <v>65</v>
      </c>
      <c r="E127" s="29" t="s">
        <v>94</v>
      </c>
      <c r="F127" s="28" t="s">
        <v>95</v>
      </c>
      <c r="G127" s="26" t="s">
        <v>96</v>
      </c>
      <c r="H127" s="26"/>
      <c r="I127" s="32">
        <f>(Metodologia[[#This Row],[Visites]]*0.15)/MAX(Metodologia[Visites])</f>
        <v>6.8991884555205758E-3</v>
      </c>
      <c r="J127" s="26"/>
      <c r="K127" s="28" t="s">
        <v>621</v>
      </c>
      <c r="L127" s="28" t="s">
        <v>621</v>
      </c>
      <c r="M127" s="28" t="s">
        <v>621</v>
      </c>
      <c r="N127" s="26" t="s">
        <v>632</v>
      </c>
      <c r="O127" s="47">
        <v>19519</v>
      </c>
      <c r="P127" s="26" t="s">
        <v>1170</v>
      </c>
      <c r="Q127" s="26" t="s">
        <v>54</v>
      </c>
      <c r="R127" s="26"/>
      <c r="S127" s="26"/>
      <c r="T127" s="26"/>
      <c r="U127" s="26" t="s">
        <v>97</v>
      </c>
      <c r="V127" s="26" t="s">
        <v>98</v>
      </c>
      <c r="W127" s="28" t="s">
        <v>620</v>
      </c>
      <c r="X127" s="28" t="s">
        <v>1227</v>
      </c>
      <c r="Y127" s="28" t="s">
        <v>1227</v>
      </c>
      <c r="Z127" s="28" t="s">
        <v>1227</v>
      </c>
      <c r="AA127" s="28" t="s">
        <v>1227</v>
      </c>
      <c r="AB127" s="28" t="s">
        <v>1227</v>
      </c>
      <c r="AC127" s="28" t="s">
        <v>1227</v>
      </c>
      <c r="AD127" s="28" t="s">
        <v>1227</v>
      </c>
      <c r="AE127" s="27" t="s">
        <v>715</v>
      </c>
      <c r="AF127" s="27" t="s">
        <v>716</v>
      </c>
      <c r="AG127" s="27" t="s">
        <v>717</v>
      </c>
      <c r="AH127" s="27" t="s">
        <v>646</v>
      </c>
    </row>
    <row r="128" spans="1:34" ht="30.6" x14ac:dyDescent="0.25">
      <c r="A128" s="28" t="s">
        <v>1043</v>
      </c>
      <c r="B128" s="31" t="s">
        <v>622</v>
      </c>
      <c r="C128" s="26" t="s">
        <v>64</v>
      </c>
      <c r="D128" s="26" t="s">
        <v>65</v>
      </c>
      <c r="E128" s="29" t="s">
        <v>121</v>
      </c>
      <c r="F128" s="28" t="s">
        <v>122</v>
      </c>
      <c r="G128" s="26" t="s">
        <v>96</v>
      </c>
      <c r="H128" s="26" t="s">
        <v>889</v>
      </c>
      <c r="I128" s="32">
        <f>(Metodologia[[#This Row],[Visites]]*0.15)/MAX(Metodologia[Visites])</f>
        <v>6.1367749354346137E-3</v>
      </c>
      <c r="J128" s="26"/>
      <c r="K128" s="28" t="s">
        <v>620</v>
      </c>
      <c r="L128" s="28" t="s">
        <v>620</v>
      </c>
      <c r="M128" s="28" t="s">
        <v>620</v>
      </c>
      <c r="N128" s="26" t="s">
        <v>632</v>
      </c>
      <c r="O128" s="47">
        <v>17362</v>
      </c>
      <c r="P128" s="26" t="s">
        <v>1171</v>
      </c>
      <c r="Q128" s="26" t="s">
        <v>54</v>
      </c>
      <c r="R128" s="26" t="s">
        <v>82</v>
      </c>
      <c r="S128" s="26"/>
      <c r="T128" s="26"/>
      <c r="U128" s="26"/>
      <c r="V128" s="26" t="s">
        <v>123</v>
      </c>
      <c r="W128" s="28" t="s">
        <v>620</v>
      </c>
      <c r="X128" s="28" t="s">
        <v>620</v>
      </c>
      <c r="Y128" s="28" t="s">
        <v>620</v>
      </c>
      <c r="Z128" s="28" t="s">
        <v>1227</v>
      </c>
      <c r="AA128" s="28" t="s">
        <v>1227</v>
      </c>
      <c r="AB128" s="28" t="s">
        <v>620</v>
      </c>
      <c r="AC128" s="28" t="s">
        <v>1227</v>
      </c>
      <c r="AD128" s="28" t="s">
        <v>620</v>
      </c>
      <c r="AE128" s="27" t="s">
        <v>715</v>
      </c>
      <c r="AF128" s="27" t="s">
        <v>716</v>
      </c>
      <c r="AG128" s="27" t="s">
        <v>717</v>
      </c>
      <c r="AH128" s="27" t="s">
        <v>638</v>
      </c>
    </row>
    <row r="129" spans="1:34" ht="20.399999999999999" x14ac:dyDescent="0.25">
      <c r="A129" s="28" t="s">
        <v>1044</v>
      </c>
      <c r="B129" s="31" t="s">
        <v>626</v>
      </c>
      <c r="C129" s="26" t="s">
        <v>64</v>
      </c>
      <c r="D129" s="26" t="s">
        <v>65</v>
      </c>
      <c r="E129" s="29" t="s">
        <v>223</v>
      </c>
      <c r="F129" s="28" t="s">
        <v>224</v>
      </c>
      <c r="G129" s="26" t="s">
        <v>24</v>
      </c>
      <c r="H129" s="26"/>
      <c r="I129" s="32">
        <f>(Metodologia[[#This Row],[Visites]]*0.15)/MAX(Metodologia[Visites])</f>
        <v>2.885648575791279E-3</v>
      </c>
      <c r="J129" s="26"/>
      <c r="K129" s="28" t="s">
        <v>621</v>
      </c>
      <c r="L129" s="28" t="s">
        <v>621</v>
      </c>
      <c r="M129" s="28" t="s">
        <v>621</v>
      </c>
      <c r="N129" s="26" t="s">
        <v>632</v>
      </c>
      <c r="O129" s="47">
        <v>8164</v>
      </c>
      <c r="P129" s="26"/>
      <c r="Q129" s="26" t="s">
        <v>54</v>
      </c>
      <c r="R129" s="26" t="s">
        <v>1172</v>
      </c>
      <c r="S129" s="26"/>
      <c r="T129" s="26"/>
      <c r="U129" s="26"/>
      <c r="V129" s="26" t="s">
        <v>225</v>
      </c>
      <c r="W129" s="28" t="s">
        <v>620</v>
      </c>
      <c r="X129" s="28" t="s">
        <v>621</v>
      </c>
      <c r="Y129" s="28" t="s">
        <v>621</v>
      </c>
      <c r="Z129" s="28" t="s">
        <v>621</v>
      </c>
      <c r="AA129" s="28" t="s">
        <v>621</v>
      </c>
      <c r="AB129" s="28" t="s">
        <v>621</v>
      </c>
      <c r="AC129" s="28" t="s">
        <v>621</v>
      </c>
      <c r="AD129" s="28" t="s">
        <v>621</v>
      </c>
      <c r="AE129" s="27" t="s">
        <v>801</v>
      </c>
      <c r="AF129" s="27" t="s">
        <v>802</v>
      </c>
      <c r="AG129" s="27" t="s">
        <v>794</v>
      </c>
      <c r="AH129" s="27" t="s">
        <v>631</v>
      </c>
    </row>
    <row r="130" spans="1:34" ht="20.399999999999999" x14ac:dyDescent="0.25">
      <c r="A130" s="28" t="s">
        <v>1045</v>
      </c>
      <c r="B130" s="31" t="s">
        <v>626</v>
      </c>
      <c r="C130" s="26" t="s">
        <v>64</v>
      </c>
      <c r="D130" s="26" t="s">
        <v>111</v>
      </c>
      <c r="E130" s="29" t="s">
        <v>317</v>
      </c>
      <c r="F130" s="28" t="s">
        <v>318</v>
      </c>
      <c r="G130" s="26" t="s">
        <v>24</v>
      </c>
      <c r="H130" s="26"/>
      <c r="I130" s="32">
        <f>(Metodologia[[#This Row],[Visites]]*0.15)/MAX(Metodologia[Visites])</f>
        <v>0.15</v>
      </c>
      <c r="J130" s="26" t="s">
        <v>604</v>
      </c>
      <c r="K130" s="28" t="s">
        <v>621</v>
      </c>
      <c r="L130" s="28" t="s">
        <v>621</v>
      </c>
      <c r="M130" s="28" t="s">
        <v>621</v>
      </c>
      <c r="N130" s="26" t="s">
        <v>632</v>
      </c>
      <c r="O130" s="47">
        <v>424376</v>
      </c>
      <c r="P130" s="26"/>
      <c r="Q130" s="26" t="s">
        <v>54</v>
      </c>
      <c r="R130" s="26"/>
      <c r="S130" s="26"/>
      <c r="T130" s="26"/>
      <c r="U130" s="26" t="s">
        <v>33</v>
      </c>
      <c r="V130" s="26" t="s">
        <v>319</v>
      </c>
      <c r="W130" s="28" t="s">
        <v>620</v>
      </c>
      <c r="X130" s="28" t="s">
        <v>1227</v>
      </c>
      <c r="Y130" s="28" t="s">
        <v>1227</v>
      </c>
      <c r="Z130" s="28" t="s">
        <v>1227</v>
      </c>
      <c r="AA130" s="28" t="s">
        <v>1227</v>
      </c>
      <c r="AB130" s="28" t="s">
        <v>1227</v>
      </c>
      <c r="AC130" s="28" t="s">
        <v>1227</v>
      </c>
      <c r="AD130" s="28" t="s">
        <v>1227</v>
      </c>
      <c r="AE130" s="27" t="s">
        <v>803</v>
      </c>
      <c r="AF130" s="27" t="s">
        <v>804</v>
      </c>
      <c r="AG130" s="27" t="s">
        <v>794</v>
      </c>
      <c r="AH130" s="27" t="s">
        <v>646</v>
      </c>
    </row>
    <row r="131" spans="1:34" ht="30.6" x14ac:dyDescent="0.25">
      <c r="A131" s="28" t="s">
        <v>1046</v>
      </c>
      <c r="B131" s="31" t="s">
        <v>626</v>
      </c>
      <c r="C131" s="26" t="s">
        <v>64</v>
      </c>
      <c r="D131" s="26" t="s">
        <v>111</v>
      </c>
      <c r="E131" s="29" t="s">
        <v>250</v>
      </c>
      <c r="F131" s="28" t="s">
        <v>251</v>
      </c>
      <c r="G131" s="26" t="s">
        <v>24</v>
      </c>
      <c r="H131" s="26"/>
      <c r="I131" s="32">
        <f>(Metodologia[[#This Row],[Visites]]*0.15)/MAX(Metodologia[Visites])</f>
        <v>3.5108488698701153E-2</v>
      </c>
      <c r="J131" s="26" t="s">
        <v>604</v>
      </c>
      <c r="K131" s="28" t="s">
        <v>621</v>
      </c>
      <c r="L131" s="28" t="s">
        <v>621</v>
      </c>
      <c r="M131" s="28" t="s">
        <v>621</v>
      </c>
      <c r="N131" s="26" t="s">
        <v>632</v>
      </c>
      <c r="O131" s="47">
        <v>99328</v>
      </c>
      <c r="P131" s="26"/>
      <c r="Q131" s="26" t="s">
        <v>54</v>
      </c>
      <c r="R131" s="26"/>
      <c r="S131" s="26"/>
      <c r="T131" s="26"/>
      <c r="U131" s="26" t="s">
        <v>246</v>
      </c>
      <c r="V131" s="26" t="s">
        <v>252</v>
      </c>
      <c r="W131" s="28" t="s">
        <v>620</v>
      </c>
      <c r="X131" s="28" t="s">
        <v>621</v>
      </c>
      <c r="Y131" s="28" t="s">
        <v>621</v>
      </c>
      <c r="Z131" s="28" t="s">
        <v>621</v>
      </c>
      <c r="AA131" s="28" t="s">
        <v>621</v>
      </c>
      <c r="AB131" s="28" t="s">
        <v>621</v>
      </c>
      <c r="AC131" s="28" t="s">
        <v>621</v>
      </c>
      <c r="AD131" s="28" t="s">
        <v>620</v>
      </c>
      <c r="AE131" s="27" t="s">
        <v>805</v>
      </c>
      <c r="AF131" s="27" t="s">
        <v>806</v>
      </c>
      <c r="AG131" s="27" t="s">
        <v>794</v>
      </c>
      <c r="AH131" s="27" t="s">
        <v>646</v>
      </c>
    </row>
    <row r="132" spans="1:34" ht="20.399999999999999" x14ac:dyDescent="0.25">
      <c r="A132" s="28" t="s">
        <v>1047</v>
      </c>
      <c r="B132" s="31" t="s">
        <v>626</v>
      </c>
      <c r="C132" s="26" t="s">
        <v>64</v>
      </c>
      <c r="D132" s="26" t="s">
        <v>111</v>
      </c>
      <c r="E132" s="29" t="s">
        <v>373</v>
      </c>
      <c r="F132" s="28" t="s">
        <v>374</v>
      </c>
      <c r="G132" s="26" t="s">
        <v>96</v>
      </c>
      <c r="H132" s="26"/>
      <c r="I132" s="32">
        <f>(Metodologia[[#This Row],[Visites]]*0.15)/MAX(Metodologia[Visites])</f>
        <v>2.6326064621939035E-2</v>
      </c>
      <c r="J132" s="26" t="s">
        <v>604</v>
      </c>
      <c r="K132" s="28" t="s">
        <v>621</v>
      </c>
      <c r="L132" s="28" t="s">
        <v>621</v>
      </c>
      <c r="M132" s="28" t="s">
        <v>621</v>
      </c>
      <c r="N132" s="26" t="s">
        <v>632</v>
      </c>
      <c r="O132" s="47">
        <v>74481</v>
      </c>
      <c r="P132" s="26" t="s">
        <v>1173</v>
      </c>
      <c r="Q132" s="26" t="s">
        <v>54</v>
      </c>
      <c r="R132" s="26"/>
      <c r="S132" s="26"/>
      <c r="T132" s="26"/>
      <c r="U132" s="26" t="s">
        <v>33</v>
      </c>
      <c r="V132" s="26" t="s">
        <v>375</v>
      </c>
      <c r="W132" s="28" t="s">
        <v>620</v>
      </c>
      <c r="X132" s="28" t="s">
        <v>1227</v>
      </c>
      <c r="Y132" s="28" t="s">
        <v>1227</v>
      </c>
      <c r="Z132" s="28" t="s">
        <v>1227</v>
      </c>
      <c r="AA132" s="28" t="s">
        <v>1227</v>
      </c>
      <c r="AB132" s="28" t="s">
        <v>1227</v>
      </c>
      <c r="AC132" s="28" t="s">
        <v>1227</v>
      </c>
      <c r="AD132" s="28" t="s">
        <v>1227</v>
      </c>
      <c r="AE132" s="27" t="s">
        <v>715</v>
      </c>
      <c r="AF132" s="27" t="s">
        <v>716</v>
      </c>
      <c r="AG132" s="27" t="s">
        <v>717</v>
      </c>
      <c r="AH132" s="27" t="s">
        <v>646</v>
      </c>
    </row>
    <row r="133" spans="1:34" ht="30.6" x14ac:dyDescent="0.25">
      <c r="A133" s="28" t="s">
        <v>1048</v>
      </c>
      <c r="B133" s="31" t="s">
        <v>626</v>
      </c>
      <c r="C133" s="26" t="s">
        <v>64</v>
      </c>
      <c r="D133" s="26" t="s">
        <v>111</v>
      </c>
      <c r="E133" s="29" t="s">
        <v>244</v>
      </c>
      <c r="F133" s="28" t="s">
        <v>245</v>
      </c>
      <c r="G133" s="26" t="s">
        <v>96</v>
      </c>
      <c r="H133" s="26"/>
      <c r="I133" s="32">
        <f>(Metodologia[[#This Row],[Visites]]*0.15)/MAX(Metodologia[Visites])</f>
        <v>1.2151606122872168E-2</v>
      </c>
      <c r="J133" s="26" t="s">
        <v>604</v>
      </c>
      <c r="K133" s="28" t="s">
        <v>621</v>
      </c>
      <c r="L133" s="28" t="s">
        <v>620</v>
      </c>
      <c r="M133" s="28" t="s">
        <v>621</v>
      </c>
      <c r="N133" s="26" t="s">
        <v>632</v>
      </c>
      <c r="O133" s="47">
        <v>34379</v>
      </c>
      <c r="P133" s="26" t="s">
        <v>1174</v>
      </c>
      <c r="Q133" s="26" t="s">
        <v>54</v>
      </c>
      <c r="R133" s="26"/>
      <c r="S133" s="26"/>
      <c r="T133" s="26"/>
      <c r="U133" s="26" t="s">
        <v>246</v>
      </c>
      <c r="V133" s="26" t="s">
        <v>247</v>
      </c>
      <c r="W133" s="28" t="s">
        <v>620</v>
      </c>
      <c r="X133" s="28" t="s">
        <v>1227</v>
      </c>
      <c r="Y133" s="28" t="s">
        <v>1227</v>
      </c>
      <c r="Z133" s="28" t="s">
        <v>1227</v>
      </c>
      <c r="AA133" s="28" t="s">
        <v>1227</v>
      </c>
      <c r="AB133" s="28" t="s">
        <v>1227</v>
      </c>
      <c r="AC133" s="28" t="s">
        <v>1227</v>
      </c>
      <c r="AD133" s="28" t="s">
        <v>1227</v>
      </c>
      <c r="AE133" s="27" t="s">
        <v>715</v>
      </c>
      <c r="AF133" s="27" t="s">
        <v>716</v>
      </c>
      <c r="AG133" s="27" t="s">
        <v>717</v>
      </c>
      <c r="AH133" s="27" t="s">
        <v>646</v>
      </c>
    </row>
    <row r="134" spans="1:34" ht="20.399999999999999" x14ac:dyDescent="0.25">
      <c r="A134" s="28" t="s">
        <v>1049</v>
      </c>
      <c r="B134" s="31" t="s">
        <v>624</v>
      </c>
      <c r="C134" s="26" t="s">
        <v>64</v>
      </c>
      <c r="D134" s="26" t="s">
        <v>111</v>
      </c>
      <c r="E134" s="29" t="s">
        <v>536</v>
      </c>
      <c r="F134" s="28" t="s">
        <v>537</v>
      </c>
      <c r="G134" s="26" t="s">
        <v>24</v>
      </c>
      <c r="H134" s="26" t="s">
        <v>889</v>
      </c>
      <c r="I134" s="32">
        <f>(Metodologia[[#This Row],[Visites]]*0.15)/MAX(Metodologia[Visites])</f>
        <v>5.0088836314965976E-3</v>
      </c>
      <c r="J134" s="26" t="s">
        <v>604</v>
      </c>
      <c r="K134" s="28" t="s">
        <v>620</v>
      </c>
      <c r="L134" s="28" t="s">
        <v>621</v>
      </c>
      <c r="M134" s="28" t="s">
        <v>621</v>
      </c>
      <c r="N134" s="26" t="s">
        <v>632</v>
      </c>
      <c r="O134" s="47">
        <v>14171</v>
      </c>
      <c r="P134" s="26"/>
      <c r="Q134" s="26" t="s">
        <v>54</v>
      </c>
      <c r="R134" s="26" t="s">
        <v>538</v>
      </c>
      <c r="S134" s="26" t="s">
        <v>1175</v>
      </c>
      <c r="T134" s="26"/>
      <c r="U134" s="26"/>
      <c r="V134" s="26" t="s">
        <v>539</v>
      </c>
      <c r="W134" s="28" t="s">
        <v>620</v>
      </c>
      <c r="X134" s="28" t="s">
        <v>620</v>
      </c>
      <c r="Y134" s="28" t="s">
        <v>620</v>
      </c>
      <c r="Z134" s="28" t="s">
        <v>620</v>
      </c>
      <c r="AA134" s="28" t="s">
        <v>620</v>
      </c>
      <c r="AB134" s="28" t="s">
        <v>620</v>
      </c>
      <c r="AC134" s="28" t="s">
        <v>620</v>
      </c>
      <c r="AD134" s="28" t="s">
        <v>620</v>
      </c>
      <c r="AE134" s="27" t="s">
        <v>807</v>
      </c>
      <c r="AF134" s="27" t="s">
        <v>808</v>
      </c>
      <c r="AG134" s="27" t="s">
        <v>794</v>
      </c>
      <c r="AH134" s="27" t="s">
        <v>631</v>
      </c>
    </row>
    <row r="135" spans="1:34" ht="20.399999999999999" x14ac:dyDescent="0.25">
      <c r="A135" s="28" t="s">
        <v>1050</v>
      </c>
      <c r="B135" s="31" t="s">
        <v>624</v>
      </c>
      <c r="C135" s="26" t="s">
        <v>64</v>
      </c>
      <c r="D135" s="26" t="s">
        <v>111</v>
      </c>
      <c r="E135" s="29" t="s">
        <v>543</v>
      </c>
      <c r="F135" s="28" t="s">
        <v>544</v>
      </c>
      <c r="G135" s="26" t="s">
        <v>24</v>
      </c>
      <c r="H135" s="26" t="s">
        <v>889</v>
      </c>
      <c r="I135" s="32">
        <f>(Metodologia[[#This Row],[Visites]]*0.15)/MAX(Metodologia[Visites])</f>
        <v>9.4865166738929627E-3</v>
      </c>
      <c r="J135" s="26" t="s">
        <v>604</v>
      </c>
      <c r="K135" s="28" t="s">
        <v>620</v>
      </c>
      <c r="L135" s="28" t="s">
        <v>621</v>
      </c>
      <c r="M135" s="28" t="s">
        <v>621</v>
      </c>
      <c r="N135" s="26" t="s">
        <v>632</v>
      </c>
      <c r="O135" s="47">
        <v>26839</v>
      </c>
      <c r="P135" s="26"/>
      <c r="Q135" s="26" t="s">
        <v>54</v>
      </c>
      <c r="R135" s="26" t="s">
        <v>1176</v>
      </c>
      <c r="S135" s="26"/>
      <c r="T135" s="26"/>
      <c r="U135" s="26"/>
      <c r="V135" s="26" t="s">
        <v>545</v>
      </c>
      <c r="W135" s="28" t="s">
        <v>620</v>
      </c>
      <c r="X135" s="28" t="s">
        <v>620</v>
      </c>
      <c r="Y135" s="28" t="s">
        <v>620</v>
      </c>
      <c r="Z135" s="28" t="s">
        <v>620</v>
      </c>
      <c r="AA135" s="28" t="s">
        <v>620</v>
      </c>
      <c r="AB135" s="28" t="s">
        <v>620</v>
      </c>
      <c r="AC135" s="28" t="s">
        <v>620</v>
      </c>
      <c r="AD135" s="28" t="s">
        <v>620</v>
      </c>
      <c r="AE135" s="27" t="s">
        <v>809</v>
      </c>
      <c r="AF135" s="27" t="s">
        <v>810</v>
      </c>
      <c r="AG135" s="27" t="s">
        <v>794</v>
      </c>
      <c r="AH135" s="27" t="s">
        <v>631</v>
      </c>
    </row>
    <row r="136" spans="1:34" ht="20.399999999999999" x14ac:dyDescent="0.25">
      <c r="A136" s="28" t="s">
        <v>1051</v>
      </c>
      <c r="B136" s="31" t="s">
        <v>626</v>
      </c>
      <c r="C136" s="26" t="s">
        <v>64</v>
      </c>
      <c r="D136" s="26" t="s">
        <v>111</v>
      </c>
      <c r="E136" s="29" t="s">
        <v>605</v>
      </c>
      <c r="F136" s="28" t="s">
        <v>218</v>
      </c>
      <c r="G136" s="26" t="s">
        <v>96</v>
      </c>
      <c r="H136" s="26"/>
      <c r="I136" s="32">
        <f>(Metodologia[[#This Row],[Visites]]*0.15)/MAX(Metodologia[Visites])</f>
        <v>1.725521707165344E-2</v>
      </c>
      <c r="J136" s="26" t="s">
        <v>604</v>
      </c>
      <c r="K136" s="28" t="s">
        <v>621</v>
      </c>
      <c r="L136" s="28" t="s">
        <v>620</v>
      </c>
      <c r="M136" s="28" t="s">
        <v>621</v>
      </c>
      <c r="N136" s="26" t="s">
        <v>632</v>
      </c>
      <c r="O136" s="47">
        <v>48818</v>
      </c>
      <c r="P136" s="26" t="s">
        <v>1177</v>
      </c>
      <c r="Q136" s="26" t="s">
        <v>54</v>
      </c>
      <c r="R136" s="26"/>
      <c r="S136" s="26"/>
      <c r="T136" s="26"/>
      <c r="U136" s="26" t="s">
        <v>33</v>
      </c>
      <c r="V136" s="26" t="s">
        <v>219</v>
      </c>
      <c r="W136" s="28" t="s">
        <v>620</v>
      </c>
      <c r="X136" s="28" t="s">
        <v>1227</v>
      </c>
      <c r="Y136" s="28" t="s">
        <v>1227</v>
      </c>
      <c r="Z136" s="28" t="s">
        <v>1227</v>
      </c>
      <c r="AA136" s="28" t="s">
        <v>1227</v>
      </c>
      <c r="AB136" s="28" t="s">
        <v>1227</v>
      </c>
      <c r="AC136" s="28" t="s">
        <v>1227</v>
      </c>
      <c r="AD136" s="28" t="s">
        <v>1227</v>
      </c>
      <c r="AE136" s="27" t="s">
        <v>715</v>
      </c>
      <c r="AF136" s="27" t="s">
        <v>716</v>
      </c>
      <c r="AG136" s="27" t="s">
        <v>717</v>
      </c>
      <c r="AH136" s="27" t="s">
        <v>646</v>
      </c>
    </row>
    <row r="137" spans="1:34" ht="30.6" x14ac:dyDescent="0.25">
      <c r="A137" s="28" t="s">
        <v>1052</v>
      </c>
      <c r="B137" s="31" t="s">
        <v>622</v>
      </c>
      <c r="C137" s="26" t="s">
        <v>64</v>
      </c>
      <c r="D137" s="26" t="s">
        <v>111</v>
      </c>
      <c r="E137" s="29" t="s">
        <v>116</v>
      </c>
      <c r="F137" s="28" t="s">
        <v>117</v>
      </c>
      <c r="G137" s="26" t="s">
        <v>96</v>
      </c>
      <c r="H137" s="26" t="s">
        <v>889</v>
      </c>
      <c r="I137" s="32">
        <f>(Metodologia[[#This Row],[Visites]]*0.15)/MAX(Metodologia[Visites])</f>
        <v>3.0116924614021528E-2</v>
      </c>
      <c r="J137" s="26" t="s">
        <v>604</v>
      </c>
      <c r="K137" s="28" t="s">
        <v>620</v>
      </c>
      <c r="L137" s="28" t="s">
        <v>621</v>
      </c>
      <c r="M137" s="28" t="s">
        <v>620</v>
      </c>
      <c r="N137" s="26" t="s">
        <v>632</v>
      </c>
      <c r="O137" s="47">
        <v>85206</v>
      </c>
      <c r="P137" s="26" t="s">
        <v>1178</v>
      </c>
      <c r="Q137" s="26" t="s">
        <v>54</v>
      </c>
      <c r="R137" s="26" t="s">
        <v>118</v>
      </c>
      <c r="S137" s="26"/>
      <c r="T137" s="26" t="s">
        <v>119</v>
      </c>
      <c r="U137" s="26"/>
      <c r="V137" s="26" t="s">
        <v>120</v>
      </c>
      <c r="W137" s="28" t="s">
        <v>620</v>
      </c>
      <c r="X137" s="28" t="s">
        <v>620</v>
      </c>
      <c r="Y137" s="28" t="s">
        <v>620</v>
      </c>
      <c r="Z137" s="28" t="s">
        <v>620</v>
      </c>
      <c r="AA137" s="28" t="s">
        <v>620</v>
      </c>
      <c r="AB137" s="28" t="s">
        <v>620</v>
      </c>
      <c r="AC137" s="28" t="s">
        <v>620</v>
      </c>
      <c r="AD137" s="28" t="s">
        <v>620</v>
      </c>
      <c r="AE137" s="27" t="s">
        <v>715</v>
      </c>
      <c r="AF137" s="27" t="s">
        <v>716</v>
      </c>
      <c r="AG137" s="27" t="s">
        <v>717</v>
      </c>
      <c r="AH137" s="27" t="s">
        <v>638</v>
      </c>
    </row>
    <row r="138" spans="1:34" ht="30.6" x14ac:dyDescent="0.25">
      <c r="A138" s="28" t="s">
        <v>1053</v>
      </c>
      <c r="B138" s="31" t="s">
        <v>626</v>
      </c>
      <c r="C138" s="26" t="s">
        <v>64</v>
      </c>
      <c r="D138" s="26" t="s">
        <v>111</v>
      </c>
      <c r="E138" s="29" t="s">
        <v>112</v>
      </c>
      <c r="F138" s="28" t="s">
        <v>113</v>
      </c>
      <c r="G138" s="26" t="s">
        <v>6</v>
      </c>
      <c r="H138" s="26"/>
      <c r="I138" s="32">
        <f>(Metodologia[[#This Row],[Visites]]*0.15)/MAX(Metodologia[Visites])</f>
        <v>4.5136859765867998E-4</v>
      </c>
      <c r="J138" s="26" t="s">
        <v>604</v>
      </c>
      <c r="K138" s="28" t="s">
        <v>621</v>
      </c>
      <c r="L138" s="28" t="s">
        <v>621</v>
      </c>
      <c r="M138" s="28" t="s">
        <v>621</v>
      </c>
      <c r="N138" s="26" t="s">
        <v>632</v>
      </c>
      <c r="O138" s="47">
        <v>1277</v>
      </c>
      <c r="P138" s="26"/>
      <c r="Q138" s="26" t="s">
        <v>54</v>
      </c>
      <c r="R138" s="26"/>
      <c r="S138" s="26"/>
      <c r="T138" s="26"/>
      <c r="U138" s="26" t="s">
        <v>114</v>
      </c>
      <c r="V138" s="26" t="s">
        <v>115</v>
      </c>
      <c r="W138" s="28" t="s">
        <v>620</v>
      </c>
      <c r="X138" s="28" t="s">
        <v>1227</v>
      </c>
      <c r="Y138" s="28" t="s">
        <v>1227</v>
      </c>
      <c r="Z138" s="28" t="s">
        <v>1227</v>
      </c>
      <c r="AA138" s="28" t="s">
        <v>1227</v>
      </c>
      <c r="AB138" s="28" t="s">
        <v>1227</v>
      </c>
      <c r="AC138" s="28" t="s">
        <v>1227</v>
      </c>
      <c r="AD138" s="28" t="s">
        <v>1227</v>
      </c>
      <c r="AE138" s="27" t="s">
        <v>811</v>
      </c>
      <c r="AF138" s="27" t="s">
        <v>812</v>
      </c>
      <c r="AG138" s="27" t="s">
        <v>750</v>
      </c>
      <c r="AH138" s="27" t="s">
        <v>646</v>
      </c>
    </row>
    <row r="139" spans="1:34" ht="30.6" x14ac:dyDescent="0.25">
      <c r="A139" s="28" t="s">
        <v>1055</v>
      </c>
      <c r="B139" s="31" t="s">
        <v>626</v>
      </c>
      <c r="C139" s="26" t="s">
        <v>64</v>
      </c>
      <c r="D139" s="26" t="s">
        <v>111</v>
      </c>
      <c r="E139" s="29" t="s">
        <v>253</v>
      </c>
      <c r="F139" s="28" t="s">
        <v>254</v>
      </c>
      <c r="G139" s="26" t="s">
        <v>20</v>
      </c>
      <c r="H139" s="26"/>
      <c r="I139" s="32">
        <f>(Metodologia[[#This Row],[Visites]]*0.15)/MAX(Metodologia[Visites])</f>
        <v>2.7711274907157803E-4</v>
      </c>
      <c r="J139" s="26" t="s">
        <v>604</v>
      </c>
      <c r="K139" s="28" t="s">
        <v>621</v>
      </c>
      <c r="L139" s="28" t="s">
        <v>620</v>
      </c>
      <c r="M139" s="28" t="s">
        <v>621</v>
      </c>
      <c r="N139" s="26" t="s">
        <v>632</v>
      </c>
      <c r="O139" s="47">
        <v>784</v>
      </c>
      <c r="P139" s="26" t="s">
        <v>1180</v>
      </c>
      <c r="Q139" s="26" t="s">
        <v>54</v>
      </c>
      <c r="R139" s="26"/>
      <c r="S139" s="26"/>
      <c r="T139" s="26"/>
      <c r="U139" s="26" t="s">
        <v>255</v>
      </c>
      <c r="V139" s="26" t="s">
        <v>256</v>
      </c>
      <c r="W139" s="28" t="s">
        <v>620</v>
      </c>
      <c r="X139" s="28" t="s">
        <v>1227</v>
      </c>
      <c r="Y139" s="28" t="s">
        <v>1227</v>
      </c>
      <c r="Z139" s="28" t="s">
        <v>621</v>
      </c>
      <c r="AA139" s="28" t="s">
        <v>621</v>
      </c>
      <c r="AB139" s="28" t="s">
        <v>1227</v>
      </c>
      <c r="AC139" s="28" t="s">
        <v>621</v>
      </c>
      <c r="AD139" s="28" t="s">
        <v>620</v>
      </c>
      <c r="AE139" s="27" t="s">
        <v>715</v>
      </c>
      <c r="AF139" s="27" t="s">
        <v>716</v>
      </c>
      <c r="AG139" s="27" t="s">
        <v>717</v>
      </c>
      <c r="AH139" s="27" t="s">
        <v>646</v>
      </c>
    </row>
    <row r="140" spans="1:34" ht="30.6" x14ac:dyDescent="0.25">
      <c r="A140" s="28" t="s">
        <v>1054</v>
      </c>
      <c r="B140" s="31" t="s">
        <v>626</v>
      </c>
      <c r="C140" s="26" t="s">
        <v>64</v>
      </c>
      <c r="D140" s="26" t="s">
        <v>111</v>
      </c>
      <c r="E140" s="29" t="s">
        <v>606</v>
      </c>
      <c r="F140" s="28"/>
      <c r="G140" s="26" t="s">
        <v>1108</v>
      </c>
      <c r="H140" s="26" t="s">
        <v>889</v>
      </c>
      <c r="I140" s="32">
        <f>(Metodologia[[#This Row],[Visites]]*0.15)/MAX(Metodologia[Visites])</f>
        <v>5.7189850509925153E-4</v>
      </c>
      <c r="J140" s="26" t="s">
        <v>604</v>
      </c>
      <c r="K140" s="28" t="s">
        <v>621</v>
      </c>
      <c r="L140" s="28" t="s">
        <v>620</v>
      </c>
      <c r="M140" s="28" t="s">
        <v>621</v>
      </c>
      <c r="N140" s="26" t="s">
        <v>632</v>
      </c>
      <c r="O140" s="47">
        <v>1618</v>
      </c>
      <c r="P140" s="26" t="s">
        <v>1179</v>
      </c>
      <c r="Q140" s="26" t="s">
        <v>54</v>
      </c>
      <c r="R140" s="26"/>
      <c r="S140" s="26"/>
      <c r="T140" s="26"/>
      <c r="U140" s="26" t="s">
        <v>248</v>
      </c>
      <c r="V140" s="26" t="s">
        <v>249</v>
      </c>
      <c r="W140" s="28" t="s">
        <v>620</v>
      </c>
      <c r="X140" s="28" t="s">
        <v>621</v>
      </c>
      <c r="Y140" s="28" t="s">
        <v>621</v>
      </c>
      <c r="Z140" s="28" t="s">
        <v>621</v>
      </c>
      <c r="AA140" s="28" t="s">
        <v>621</v>
      </c>
      <c r="AB140" s="28" t="s">
        <v>621</v>
      </c>
      <c r="AC140" s="28" t="s">
        <v>621</v>
      </c>
      <c r="AD140" s="28" t="s">
        <v>621</v>
      </c>
      <c r="AE140" s="27" t="s">
        <v>715</v>
      </c>
      <c r="AF140" s="27" t="s">
        <v>716</v>
      </c>
      <c r="AG140" s="27" t="s">
        <v>717</v>
      </c>
      <c r="AH140" s="27" t="s">
        <v>646</v>
      </c>
    </row>
    <row r="141" spans="1:34" ht="30.6" x14ac:dyDescent="0.25">
      <c r="A141" s="28" t="s">
        <v>1103</v>
      </c>
      <c r="B141" s="31" t="s">
        <v>626</v>
      </c>
      <c r="C141" s="26" t="s">
        <v>64</v>
      </c>
      <c r="D141" s="26" t="s">
        <v>111</v>
      </c>
      <c r="E141" s="29" t="s">
        <v>1120</v>
      </c>
      <c r="F141" s="28"/>
      <c r="G141" s="26" t="s">
        <v>1108</v>
      </c>
      <c r="H141" s="26"/>
      <c r="I141" s="32">
        <f>(Metodologia[[#This Row],[Visites]]*0.15)/MAX(Metodologia[Visites])</f>
        <v>0</v>
      </c>
      <c r="J141" s="26"/>
      <c r="K141" s="28" t="s">
        <v>621</v>
      </c>
      <c r="L141" s="28" t="s">
        <v>620</v>
      </c>
      <c r="M141" s="28" t="s">
        <v>621</v>
      </c>
      <c r="N141" s="26" t="s">
        <v>632</v>
      </c>
      <c r="O141" s="47">
        <v>0</v>
      </c>
      <c r="P141" s="26" t="s">
        <v>1207</v>
      </c>
      <c r="Q141" s="26" t="s">
        <v>54</v>
      </c>
      <c r="R141" s="26"/>
      <c r="S141" s="26"/>
      <c r="T141" s="26"/>
      <c r="U141" s="26"/>
      <c r="V141" s="26"/>
      <c r="W141" s="28" t="s">
        <v>620</v>
      </c>
      <c r="X141" s="28" t="s">
        <v>620</v>
      </c>
      <c r="Y141" s="28" t="s">
        <v>620</v>
      </c>
      <c r="Z141" s="28" t="s">
        <v>1227</v>
      </c>
      <c r="AA141" s="28" t="s">
        <v>1227</v>
      </c>
      <c r="AB141" s="28" t="s">
        <v>620</v>
      </c>
      <c r="AC141" s="28" t="s">
        <v>1227</v>
      </c>
      <c r="AD141" s="28" t="s">
        <v>620</v>
      </c>
      <c r="AE141" s="27"/>
      <c r="AF141" s="27"/>
      <c r="AG141" s="27"/>
      <c r="AH141" s="27"/>
    </row>
    <row r="142" spans="1:34" s="26" customFormat="1" ht="20.399999999999999" x14ac:dyDescent="0.25">
      <c r="A142" s="28" t="s">
        <v>1089</v>
      </c>
      <c r="B142" s="31" t="s">
        <v>623</v>
      </c>
      <c r="C142" s="26" t="s">
        <v>35</v>
      </c>
      <c r="D142" s="26" t="s">
        <v>35</v>
      </c>
      <c r="E142" s="29" t="s">
        <v>226</v>
      </c>
      <c r="F142" s="28" t="s">
        <v>227</v>
      </c>
      <c r="G142" s="26" t="s">
        <v>6</v>
      </c>
      <c r="H142" s="26" t="s">
        <v>889</v>
      </c>
      <c r="I142" s="32">
        <f>(Metodologia[[#This Row],[Visites]]*0.15)/MAX(Metodologia[Visites])</f>
        <v>2.0917771033234678E-3</v>
      </c>
      <c r="K142" s="28" t="s">
        <v>620</v>
      </c>
      <c r="L142" s="28" t="s">
        <v>620</v>
      </c>
      <c r="M142" s="28" t="s">
        <v>620</v>
      </c>
      <c r="N142" s="26" t="s">
        <v>637</v>
      </c>
      <c r="O142" s="47">
        <v>5918</v>
      </c>
      <c r="Q142" s="26" t="s">
        <v>7</v>
      </c>
      <c r="R142" s="26" t="s">
        <v>228</v>
      </c>
      <c r="V142" s="26" t="s">
        <v>229</v>
      </c>
      <c r="W142" s="28" t="s">
        <v>620</v>
      </c>
      <c r="X142" s="28" t="s">
        <v>620</v>
      </c>
      <c r="Y142" s="28" t="s">
        <v>620</v>
      </c>
      <c r="Z142" s="28" t="s">
        <v>620</v>
      </c>
      <c r="AA142" s="28" t="s">
        <v>620</v>
      </c>
      <c r="AB142" s="28" t="s">
        <v>620</v>
      </c>
      <c r="AC142" s="28" t="s">
        <v>620</v>
      </c>
      <c r="AD142" s="28" t="s">
        <v>620</v>
      </c>
      <c r="AE142" s="27" t="s">
        <v>857</v>
      </c>
      <c r="AF142" s="27" t="s">
        <v>858</v>
      </c>
      <c r="AG142" s="27" t="s">
        <v>725</v>
      </c>
      <c r="AH142" s="27" t="s">
        <v>631</v>
      </c>
    </row>
    <row r="143" spans="1:34" s="26" customFormat="1" ht="20.399999999999999" x14ac:dyDescent="0.25">
      <c r="A143" s="28" t="s">
        <v>1090</v>
      </c>
      <c r="B143" s="31" t="s">
        <v>626</v>
      </c>
      <c r="C143" s="26" t="s">
        <v>35</v>
      </c>
      <c r="D143" s="26" t="s">
        <v>35</v>
      </c>
      <c r="E143" s="29" t="s">
        <v>557</v>
      </c>
      <c r="F143" s="28" t="s">
        <v>558</v>
      </c>
      <c r="G143" s="26" t="s">
        <v>6</v>
      </c>
      <c r="I143" s="32">
        <f>(Metodologia[[#This Row],[Visites]]*0.15)/MAX(Metodologia[Visites])</f>
        <v>5.5104435689105891E-4</v>
      </c>
      <c r="K143" s="28" t="s">
        <v>621</v>
      </c>
      <c r="L143" s="28" t="s">
        <v>620</v>
      </c>
      <c r="M143" s="28" t="s">
        <v>621</v>
      </c>
      <c r="N143" s="26" t="s">
        <v>632</v>
      </c>
      <c r="O143" s="47">
        <v>1559</v>
      </c>
      <c r="Q143" s="26" t="s">
        <v>54</v>
      </c>
      <c r="U143" s="26" t="s">
        <v>33</v>
      </c>
      <c r="V143" s="26" t="s">
        <v>559</v>
      </c>
      <c r="W143" s="28" t="s">
        <v>620</v>
      </c>
      <c r="X143" s="28" t="s">
        <v>1227</v>
      </c>
      <c r="Y143" s="28" t="s">
        <v>1227</v>
      </c>
      <c r="Z143" s="28" t="s">
        <v>1227</v>
      </c>
      <c r="AA143" s="28" t="s">
        <v>1227</v>
      </c>
      <c r="AB143" s="28" t="s">
        <v>1227</v>
      </c>
      <c r="AC143" s="28" t="s">
        <v>1227</v>
      </c>
      <c r="AD143" s="28" t="s">
        <v>1227</v>
      </c>
      <c r="AE143" s="27" t="s">
        <v>859</v>
      </c>
      <c r="AF143" s="27" t="s">
        <v>860</v>
      </c>
      <c r="AG143" s="27" t="s">
        <v>725</v>
      </c>
      <c r="AH143" s="27" t="s">
        <v>646</v>
      </c>
    </row>
    <row r="144" spans="1:34" s="26" customFormat="1" ht="20.399999999999999" x14ac:dyDescent="0.25">
      <c r="A144" s="28" t="s">
        <v>1091</v>
      </c>
      <c r="B144" s="31" t="s">
        <v>625</v>
      </c>
      <c r="C144" s="26" t="s">
        <v>35</v>
      </c>
      <c r="D144" s="26" t="s">
        <v>35</v>
      </c>
      <c r="E144" s="29" t="s">
        <v>440</v>
      </c>
      <c r="F144" s="28" t="s">
        <v>441</v>
      </c>
      <c r="G144" s="26" t="s">
        <v>6</v>
      </c>
      <c r="H144" s="26" t="s">
        <v>889</v>
      </c>
      <c r="I144" s="32">
        <f>(Metodologia[[#This Row],[Visites]]*0.15)/MAX(Metodologia[Visites])</f>
        <v>1.2834137651516579E-3</v>
      </c>
      <c r="K144" s="28" t="s">
        <v>620</v>
      </c>
      <c r="L144" s="28" t="s">
        <v>620</v>
      </c>
      <c r="M144" s="28" t="s">
        <v>621</v>
      </c>
      <c r="N144" s="26" t="s">
        <v>634</v>
      </c>
      <c r="O144" s="47">
        <v>3631</v>
      </c>
      <c r="Q144" s="26" t="s">
        <v>7</v>
      </c>
      <c r="R144" s="26" t="s">
        <v>228</v>
      </c>
      <c r="V144" s="26" t="s">
        <v>442</v>
      </c>
      <c r="W144" s="28" t="s">
        <v>620</v>
      </c>
      <c r="X144" s="28" t="s">
        <v>621</v>
      </c>
      <c r="Y144" s="28" t="s">
        <v>621</v>
      </c>
      <c r="Z144" s="28" t="s">
        <v>621</v>
      </c>
      <c r="AA144" s="28" t="s">
        <v>621</v>
      </c>
      <c r="AB144" s="28" t="s">
        <v>621</v>
      </c>
      <c r="AC144" s="28" t="s">
        <v>621</v>
      </c>
      <c r="AD144" s="28" t="s">
        <v>620</v>
      </c>
      <c r="AE144" s="27" t="s">
        <v>861</v>
      </c>
      <c r="AF144" s="27" t="s">
        <v>862</v>
      </c>
      <c r="AG144" s="27" t="s">
        <v>725</v>
      </c>
      <c r="AH144" s="27" t="s">
        <v>631</v>
      </c>
    </row>
    <row r="145" spans="1:34" s="26" customFormat="1" ht="30.6" x14ac:dyDescent="0.25">
      <c r="A145" s="28" t="s">
        <v>1092</v>
      </c>
      <c r="B145" s="31" t="s">
        <v>625</v>
      </c>
      <c r="C145" s="26" t="s">
        <v>35</v>
      </c>
      <c r="D145" s="26" t="s">
        <v>35</v>
      </c>
      <c r="E145" s="29" t="s">
        <v>141</v>
      </c>
      <c r="F145" s="28" t="s">
        <v>142</v>
      </c>
      <c r="G145" s="26" t="s">
        <v>6</v>
      </c>
      <c r="H145" s="26" t="s">
        <v>889</v>
      </c>
      <c r="I145" s="32">
        <f>(Metodologia[[#This Row],[Visites]]*0.15)/MAX(Metodologia[Visites])</f>
        <v>1.6047090316134748E-4</v>
      </c>
      <c r="K145" s="28" t="s">
        <v>620</v>
      </c>
      <c r="L145" s="28" t="s">
        <v>621</v>
      </c>
      <c r="M145" s="28" t="s">
        <v>621</v>
      </c>
      <c r="N145" s="26" t="s">
        <v>634</v>
      </c>
      <c r="O145" s="47">
        <v>454</v>
      </c>
      <c r="Q145" s="26" t="s">
        <v>7</v>
      </c>
      <c r="R145" s="26" t="s">
        <v>143</v>
      </c>
      <c r="S145" s="26" t="s">
        <v>1150</v>
      </c>
      <c r="V145" s="26" t="s">
        <v>144</v>
      </c>
      <c r="W145" s="28" t="s">
        <v>620</v>
      </c>
      <c r="X145" s="28" t="s">
        <v>620</v>
      </c>
      <c r="Y145" s="28" t="s">
        <v>620</v>
      </c>
      <c r="Z145" s="28" t="s">
        <v>620</v>
      </c>
      <c r="AA145" s="28" t="s">
        <v>620</v>
      </c>
      <c r="AB145" s="28" t="s">
        <v>620</v>
      </c>
      <c r="AC145" s="28" t="s">
        <v>620</v>
      </c>
      <c r="AD145" s="28" t="s">
        <v>620</v>
      </c>
      <c r="AE145" s="27" t="s">
        <v>863</v>
      </c>
      <c r="AF145" s="27" t="s">
        <v>864</v>
      </c>
      <c r="AG145" s="27" t="s">
        <v>750</v>
      </c>
      <c r="AH145" s="27" t="s">
        <v>631</v>
      </c>
    </row>
    <row r="146" spans="1:34" s="26" customFormat="1" ht="20.399999999999999" x14ac:dyDescent="0.25">
      <c r="A146" s="28" t="s">
        <v>1093</v>
      </c>
      <c r="B146" s="31" t="s">
        <v>626</v>
      </c>
      <c r="C146" s="26" t="s">
        <v>35</v>
      </c>
      <c r="D146" s="26" t="s">
        <v>35</v>
      </c>
      <c r="E146" s="29" t="s">
        <v>215</v>
      </c>
      <c r="F146" s="28" t="s">
        <v>216</v>
      </c>
      <c r="G146" s="26" t="s">
        <v>96</v>
      </c>
      <c r="I146" s="32">
        <f>(Metodologia[[#This Row],[Visites]]*0.15)/MAX(Metodologia[Visites])</f>
        <v>4.3411974286953082E-3</v>
      </c>
      <c r="K146" s="28" t="s">
        <v>621</v>
      </c>
      <c r="L146" s="28" t="s">
        <v>620</v>
      </c>
      <c r="M146" s="28" t="s">
        <v>621</v>
      </c>
      <c r="N146" s="26" t="s">
        <v>632</v>
      </c>
      <c r="O146" s="47">
        <v>12282</v>
      </c>
      <c r="P146" s="26" t="s">
        <v>1191</v>
      </c>
      <c r="Q146" s="26" t="s">
        <v>54</v>
      </c>
      <c r="U146" s="26" t="s">
        <v>33</v>
      </c>
      <c r="V146" s="26" t="s">
        <v>217</v>
      </c>
      <c r="W146" s="28" t="s">
        <v>620</v>
      </c>
      <c r="X146" s="28" t="s">
        <v>621</v>
      </c>
      <c r="Y146" s="28" t="s">
        <v>621</v>
      </c>
      <c r="Z146" s="28" t="s">
        <v>621</v>
      </c>
      <c r="AA146" s="28" t="s">
        <v>621</v>
      </c>
      <c r="AB146" s="28" t="s">
        <v>621</v>
      </c>
      <c r="AC146" s="28" t="s">
        <v>621</v>
      </c>
      <c r="AD146" s="28" t="s">
        <v>621</v>
      </c>
      <c r="AE146" s="27" t="s">
        <v>715</v>
      </c>
      <c r="AF146" s="27" t="s">
        <v>716</v>
      </c>
      <c r="AG146" s="27" t="s">
        <v>717</v>
      </c>
      <c r="AH146" s="27"/>
    </row>
    <row r="147" spans="1:34" s="26" customFormat="1" ht="30.6" x14ac:dyDescent="0.25">
      <c r="A147" s="28" t="s">
        <v>1095</v>
      </c>
      <c r="B147" s="31" t="s">
        <v>625</v>
      </c>
      <c r="C147" s="26" t="s">
        <v>35</v>
      </c>
      <c r="D147" s="26" t="s">
        <v>35</v>
      </c>
      <c r="E147" s="29" t="s">
        <v>365</v>
      </c>
      <c r="F147" s="28" t="s">
        <v>366</v>
      </c>
      <c r="G147" s="26" t="s">
        <v>6</v>
      </c>
      <c r="H147" s="26" t="s">
        <v>889</v>
      </c>
      <c r="I147" s="32">
        <f>(Metodologia[[#This Row],[Visites]]*0.15)/MAX(Metodologia[Visites])</f>
        <v>6.9794239071012502E-3</v>
      </c>
      <c r="K147" s="28" t="s">
        <v>620</v>
      </c>
      <c r="L147" s="28" t="s">
        <v>621</v>
      </c>
      <c r="M147" s="28" t="s">
        <v>621</v>
      </c>
      <c r="N147" s="26" t="s">
        <v>632</v>
      </c>
      <c r="O147" s="47">
        <v>19746</v>
      </c>
      <c r="Q147" s="26" t="s">
        <v>54</v>
      </c>
      <c r="S147" s="26" t="s">
        <v>1195</v>
      </c>
      <c r="U147" s="26" t="s">
        <v>367</v>
      </c>
      <c r="V147" s="26" t="s">
        <v>368</v>
      </c>
      <c r="W147" s="28" t="s">
        <v>620</v>
      </c>
      <c r="X147" s="28" t="s">
        <v>1227</v>
      </c>
      <c r="Y147" s="28" t="s">
        <v>1227</v>
      </c>
      <c r="Z147" s="28" t="s">
        <v>1227</v>
      </c>
      <c r="AA147" s="28" t="s">
        <v>1227</v>
      </c>
      <c r="AB147" s="28" t="s">
        <v>1227</v>
      </c>
      <c r="AC147" s="28" t="s">
        <v>1227</v>
      </c>
      <c r="AD147" s="28" t="s">
        <v>620</v>
      </c>
      <c r="AE147" s="27" t="s">
        <v>865</v>
      </c>
      <c r="AF147" s="27" t="s">
        <v>866</v>
      </c>
      <c r="AG147" s="27" t="s">
        <v>725</v>
      </c>
      <c r="AH147" s="27" t="s">
        <v>646</v>
      </c>
    </row>
    <row r="148" spans="1:34" s="26" customFormat="1" ht="20.399999999999999" x14ac:dyDescent="0.25">
      <c r="A148" s="28" t="s">
        <v>1096</v>
      </c>
      <c r="B148" s="31" t="s">
        <v>626</v>
      </c>
      <c r="C148" s="26" t="s">
        <v>35</v>
      </c>
      <c r="D148" s="26" t="s">
        <v>35</v>
      </c>
      <c r="E148" s="29" t="s">
        <v>36</v>
      </c>
      <c r="F148" s="28" t="s">
        <v>37</v>
      </c>
      <c r="G148" s="26" t="s">
        <v>6</v>
      </c>
      <c r="I148" s="32">
        <f>(Metodologia[[#This Row],[Visites]]*0.15)/MAX(Metodologia[Visites])</f>
        <v>5.715450449601296E-4</v>
      </c>
      <c r="K148" s="28" t="s">
        <v>621</v>
      </c>
      <c r="L148" s="28" t="s">
        <v>620</v>
      </c>
      <c r="M148" s="28" t="s">
        <v>621</v>
      </c>
      <c r="N148" s="26" t="s">
        <v>634</v>
      </c>
      <c r="O148" s="47">
        <v>1617</v>
      </c>
      <c r="Q148" s="26" t="s">
        <v>7</v>
      </c>
      <c r="R148" s="26" t="s">
        <v>38</v>
      </c>
      <c r="V148" s="26" t="s">
        <v>39</v>
      </c>
      <c r="W148" s="28" t="s">
        <v>620</v>
      </c>
      <c r="X148" s="28" t="s">
        <v>621</v>
      </c>
      <c r="Y148" s="28" t="s">
        <v>621</v>
      </c>
      <c r="Z148" s="28" t="s">
        <v>621</v>
      </c>
      <c r="AA148" s="28" t="s">
        <v>621</v>
      </c>
      <c r="AB148" s="28" t="s">
        <v>621</v>
      </c>
      <c r="AC148" s="28" t="s">
        <v>621</v>
      </c>
      <c r="AD148" s="28" t="s">
        <v>621</v>
      </c>
      <c r="AE148" s="27" t="s">
        <v>867</v>
      </c>
      <c r="AF148" s="27" t="s">
        <v>868</v>
      </c>
      <c r="AG148" s="27" t="s">
        <v>725</v>
      </c>
      <c r="AH148" s="27" t="s">
        <v>631</v>
      </c>
    </row>
    <row r="149" spans="1:34" s="26" customFormat="1" x14ac:dyDescent="0.25">
      <c r="A149" s="28"/>
      <c r="B149" s="28"/>
      <c r="F149" s="28"/>
      <c r="I149" s="28"/>
      <c r="K149" s="28"/>
      <c r="L149" s="28"/>
      <c r="M149" s="28"/>
      <c r="W149" s="28"/>
      <c r="X149" s="28"/>
      <c r="Y149" s="28"/>
      <c r="Z149" s="28"/>
      <c r="AA149" s="28"/>
      <c r="AB149" s="28"/>
      <c r="AC149" s="28"/>
      <c r="AD149" s="28"/>
      <c r="AE149" s="27"/>
      <c r="AF149" s="27"/>
      <c r="AG149" s="27"/>
      <c r="AH149" s="27"/>
    </row>
  </sheetData>
  <sheetProtection algorithmName="SHA-512" hashValue="0uTtA9+eV7jbk5rz39dBZ+tiN9qxml/SEfFo/E/xnutw8NdcaWJpRxvTYfxck6/kP5uk8CjkcoTVH24uCy21bA==" saltValue="pUoJ+D/96YKib/z7OlMCCQ==" spinCount="100000" sheet="1" objects="1" scenarios="1"/>
  <conditionalFormatting sqref="A2:E148 K2:N148 V2:AD148">
    <cfRule type="containsBlanks" dxfId="119" priority="649">
      <formula>LEN(TRIM(A2))=0</formula>
    </cfRule>
  </conditionalFormatting>
  <conditionalFormatting sqref="A2:AH148">
    <cfRule type="expression" dxfId="118" priority="16">
      <formula>_xlfn.ISFORMULA(A2)</formula>
    </cfRule>
  </conditionalFormatting>
  <conditionalFormatting sqref="F2:F148">
    <cfRule type="duplicateValues" dxfId="117" priority="17"/>
  </conditionalFormatting>
  <conditionalFormatting sqref="G2:G148">
    <cfRule type="containsText" dxfId="116" priority="7" operator="containsText" text="Manual (amb camp descriptiu) (M*)">
      <formula>NOT(ISERROR(SEARCH("Manual (amb camp descriptiu) (M*)",G2)))</formula>
    </cfRule>
    <cfRule type="containsText" dxfId="115" priority="8" operator="containsText" text="Manual (amb proposta de camps estructurats) (M)">
      <formula>NOT(ISERROR(SEARCH("Manual (amb proposta de camps estructurats) (M)",G2)))</formula>
    </cfRule>
    <cfRule type="containsText" dxfId="114" priority="9" operator="containsText" text="Automàtic amb redirecció (A*)">
      <formula>NOT(ISERROR(SEARCH("Automàtic amb redirecció (A*)",G2)))</formula>
    </cfRule>
    <cfRule type="containsText" dxfId="113" priority="10" operator="containsText" text="Automàtic amb descripció per defecte (A)">
      <formula>NOT(ISERROR(SEARCH("Automàtic amb descripció per defecte (A)",G2)))</formula>
    </cfRule>
    <cfRule type="containsText" dxfId="112" priority="11" operator="containsText" text="Automàtic amb dades obertes (A)">
      <formula>NOT(ISERROR(SEARCH("Automàtic amb dades obertes (A)",G2)))</formula>
    </cfRule>
  </conditionalFormatting>
  <conditionalFormatting sqref="K2:M148 W2:AD148">
    <cfRule type="containsText" dxfId="111" priority="645" operator="containsText" text="Sí">
      <formula>NOT(ISERROR(SEARCH("Sí",K2)))</formula>
    </cfRule>
    <cfRule type="containsText" dxfId="110" priority="646" operator="containsText" text="No, però és recomanable">
      <formula>NOT(ISERROR(SEARCH("No, però és recomanable",K2)))</formula>
    </cfRule>
    <cfRule type="containsText" dxfId="109" priority="647" operator="containsText" text="No">
      <formula>NOT(ISERROR(SEARCH("No",K2)))</formula>
    </cfRule>
  </conditionalFormatting>
  <dataValidations count="1">
    <dataValidation type="list" allowBlank="1" showInputMessage="1" showErrorMessage="1" sqref="O11:P11 O140:P141 O135:P135 O128:P130 O124:P124 O122:P122 O120:P120 O112:P117 O106:P106 O78:P79 O68:P68 O62:P62 O50:P51 O27:P28 O40:P40 O13:P13 O70:P72">
      <formula1>#REF!</formula1>
    </dataValidation>
  </dataValidation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baseColWidth="10" defaultColWidth="8.8984375" defaultRowHeight="13.8" x14ac:dyDescent="0.25"/>
  <cols>
    <col min="1" max="1" width="8.8984375" style="9"/>
    <col min="2" max="2" width="32.3984375" style="9" customWidth="1"/>
    <col min="3" max="11" width="10.8984375" style="9" customWidth="1"/>
    <col min="12" max="16384" width="8.8984375" style="9"/>
  </cols>
  <sheetData>
    <row r="1" spans="1:11" ht="27.6" x14ac:dyDescent="0.25">
      <c r="A1" s="9" t="s">
        <v>1212</v>
      </c>
      <c r="B1" s="9" t="s">
        <v>1213</v>
      </c>
      <c r="C1" s="6" t="s">
        <v>914</v>
      </c>
      <c r="D1" s="6" t="s">
        <v>656</v>
      </c>
      <c r="E1" s="6" t="s">
        <v>657</v>
      </c>
      <c r="F1" s="6" t="s">
        <v>658</v>
      </c>
      <c r="G1" s="6" t="s">
        <v>659</v>
      </c>
      <c r="H1" s="6" t="s">
        <v>660</v>
      </c>
      <c r="I1" s="6" t="s">
        <v>661</v>
      </c>
      <c r="J1" s="6" t="s">
        <v>662</v>
      </c>
      <c r="K1" s="6" t="s">
        <v>663</v>
      </c>
    </row>
    <row r="2" spans="1:11" x14ac:dyDescent="0.25">
      <c r="A2" s="9" t="s">
        <v>622</v>
      </c>
      <c r="B2" s="9" t="s">
        <v>1214</v>
      </c>
      <c r="C2" s="6">
        <f>COUNTIF(Metodologia[Fase],Fases[[#This Row],[Fases]])</f>
        <v>56</v>
      </c>
      <c r="D2" s="6">
        <f>COUNTIFS(Metodologia[Fase],Fases[[#This Row],[Fases]],Metodologia[Aplica Ens Local],"Sí")</f>
        <v>55</v>
      </c>
      <c r="E2" s="6">
        <f>COUNTIFS(Metodologia[Fase],Fases[[#This Row],[Fases]],Metodologia[Aplica OAL],"Sí")+COUNTIFS(Metodologia[Fase],Fases[[#This Row],[Fases]],Metodologia[Aplica OAL],"No, pero és recomanable")</f>
        <v>40</v>
      </c>
      <c r="F2" s="6">
        <f>COUNTIFS(Metodologia[Fase],Fases[[#This Row],[Fases]],Metodologia[Aplica EPEL],"Sí")+COUNTIFS(Metodologia[Fase],Fases[[#This Row],[Fases]],Metodologia[Aplica EPEL],"No, pero és recomanable")</f>
        <v>39</v>
      </c>
      <c r="G2" s="6">
        <f>COUNTIFS(Metodologia[Fase],Fases[[#This Row],[Fases]],Metodologia[Aplica SOC100%],"Sí")+COUNTIFS(Metodologia[Fase],Fases[[#This Row],[Fases]],Metodologia[Aplica SOC100%],"No, pero és recomanable")</f>
        <v>34</v>
      </c>
      <c r="H2" s="6">
        <f>COUNTIFS(Metodologia[Fase],Fases[[#This Row],[Fases]],Metodologia[Aplica SOCMIX],"Sí")+COUNTIFS(Metodologia[Fase],Fases[[#This Row],[Fases]],Metodologia[Aplica SOCMIX],"No, pero és recomanable")</f>
        <v>34</v>
      </c>
      <c r="I2" s="6">
        <f>COUNTIFS(Metodologia[Fase],Fases[[#This Row],[Fases]],Metodologia[Aplica CONS],"Sí")+COUNTIFS(Metodologia[Fase],Fases[[#This Row],[Fases]],Metodologia[Aplica CONS],"No, pero és recomanable")</f>
        <v>40</v>
      </c>
      <c r="J2" s="6">
        <f>COUNTIFS(Metodologia[Fase],Fases[[#This Row],[Fases]],Metodologia[Aplica FUND],"Sí")+COUNTIFS(Metodologia[Fase],Fases[[#This Row],[Fases]],Metodologia[Aplica FUND],"No, pero és recomanable")</f>
        <v>37</v>
      </c>
      <c r="K2" s="6">
        <f>COUNTIFS(Metodologia[Fase],Fases[[#This Row],[Fases]],Metodologia[Aplica MANC],"Sí")+COUNTIFS(Metodologia[Fase],Fases[[#This Row],[Fases]],Metodologia[Aplica MANC],"No, pero és recomanable")</f>
        <v>47</v>
      </c>
    </row>
    <row r="3" spans="1:11" ht="41.4" x14ac:dyDescent="0.25">
      <c r="A3" s="9" t="s">
        <v>623</v>
      </c>
      <c r="B3" s="9" t="s">
        <v>1215</v>
      </c>
      <c r="C3" s="6">
        <f>COUNTIF(Metodologia[Fase],Fases[[#This Row],[Fases]])</f>
        <v>17</v>
      </c>
      <c r="D3" s="6">
        <f>COUNTIFS(Metodologia[Fase],Fases[[#This Row],[Fases]],Metodologia[Aplica Ens Local],"Sí")</f>
        <v>17</v>
      </c>
      <c r="E3" s="6">
        <f>COUNTIFS(Metodologia[Fase],Fases[[#This Row],[Fases]],Metodologia[Aplica OAL],"Sí")+COUNTIFS(Metodologia[Fase],Fases[[#This Row],[Fases]],Metodologia[Aplica OAL],"No, pero és recomanable")</f>
        <v>15</v>
      </c>
      <c r="F3" s="6">
        <f>COUNTIFS(Metodologia[Fase],Fases[[#This Row],[Fases]],Metodologia[Aplica EPEL],"Sí")+COUNTIFS(Metodologia[Fase],Fases[[#This Row],[Fases]],Metodologia[Aplica EPEL],"No, pero és recomanable")</f>
        <v>14</v>
      </c>
      <c r="G3" s="6">
        <f>COUNTIFS(Metodologia[Fase],Fases[[#This Row],[Fases]],Metodologia[Aplica SOC100%],"Sí")+COUNTIFS(Metodologia[Fase],Fases[[#This Row],[Fases]],Metodologia[Aplica SOC100%],"No, pero és recomanable")</f>
        <v>11</v>
      </c>
      <c r="H3" s="6">
        <f>COUNTIFS(Metodologia[Fase],Fases[[#This Row],[Fases]],Metodologia[Aplica SOCMIX],"Sí")+COUNTIFS(Metodologia[Fase],Fases[[#This Row],[Fases]],Metodologia[Aplica SOCMIX],"No, pero és recomanable")</f>
        <v>11</v>
      </c>
      <c r="I3" s="6">
        <f>COUNTIFS(Metodologia[Fase],Fases[[#This Row],[Fases]],Metodologia[Aplica CONS],"Sí")+COUNTIFS(Metodologia[Fase],Fases[[#This Row],[Fases]],Metodologia[Aplica CONS],"No, pero és recomanable")</f>
        <v>15</v>
      </c>
      <c r="J3" s="6">
        <f>COUNTIFS(Metodologia[Fase],Fases[[#This Row],[Fases]],Metodologia[Aplica FUND],"Sí")+COUNTIFS(Metodologia[Fase],Fases[[#This Row],[Fases]],Metodologia[Aplica FUND],"No, pero és recomanable")</f>
        <v>13</v>
      </c>
      <c r="K3" s="6">
        <f>COUNTIFS(Metodologia[Fase],Fases[[#This Row],[Fases]],Metodologia[Aplica MANC],"Sí")+COUNTIFS(Metodologia[Fase],Fases[[#This Row],[Fases]],Metodologia[Aplica MANC],"No, pero és recomanable")</f>
        <v>16</v>
      </c>
    </row>
    <row r="4" spans="1:11" ht="27.6" x14ac:dyDescent="0.25">
      <c r="A4" s="9" t="s">
        <v>624</v>
      </c>
      <c r="B4" s="9" t="s">
        <v>1216</v>
      </c>
      <c r="C4" s="6">
        <f>COUNTIF(Metodologia[Fase],Fases[[#This Row],[Fases]])</f>
        <v>13</v>
      </c>
      <c r="D4" s="6">
        <f>COUNTIFS(Metodologia[Fase],Fases[[#This Row],[Fases]],Metodologia[Aplica Ens Local],"Sí")</f>
        <v>13</v>
      </c>
      <c r="E4" s="6">
        <f>COUNTIFS(Metodologia[Fase],Fases[[#This Row],[Fases]],Metodologia[Aplica OAL],"Sí")+COUNTIFS(Metodologia[Fase],Fases[[#This Row],[Fases]],Metodologia[Aplica OAL],"No, pero és recomanable")</f>
        <v>10</v>
      </c>
      <c r="F4" s="6">
        <f>COUNTIFS(Metodologia[Fase],Fases[[#This Row],[Fases]],Metodologia[Aplica EPEL],"Sí")+COUNTIFS(Metodologia[Fase],Fases[[#This Row],[Fases]],Metodologia[Aplica EPEL],"No, pero és recomanable")</f>
        <v>9</v>
      </c>
      <c r="G4" s="6">
        <f>COUNTIFS(Metodologia[Fase],Fases[[#This Row],[Fases]],Metodologia[Aplica SOC100%],"Sí")+COUNTIFS(Metodologia[Fase],Fases[[#This Row],[Fases]],Metodologia[Aplica SOC100%],"No, pero és recomanable")</f>
        <v>10</v>
      </c>
      <c r="H4" s="6">
        <f>COUNTIFS(Metodologia[Fase],Fases[[#This Row],[Fases]],Metodologia[Aplica SOCMIX],"Sí")+COUNTIFS(Metodologia[Fase],Fases[[#This Row],[Fases]],Metodologia[Aplica SOCMIX],"No, pero és recomanable")</f>
        <v>10</v>
      </c>
      <c r="I4" s="6">
        <f>COUNTIFS(Metodologia[Fase],Fases[[#This Row],[Fases]],Metodologia[Aplica CONS],"Sí")+COUNTIFS(Metodologia[Fase],Fases[[#This Row],[Fases]],Metodologia[Aplica CONS],"No, pero és recomanable")</f>
        <v>9</v>
      </c>
      <c r="J4" s="6">
        <f>COUNTIFS(Metodologia[Fase],Fases[[#This Row],[Fases]],Metodologia[Aplica FUND],"Sí")+COUNTIFS(Metodologia[Fase],Fases[[#This Row],[Fases]],Metodologia[Aplica FUND],"No, pero és recomanable")</f>
        <v>10</v>
      </c>
      <c r="K4" s="6">
        <f>COUNTIFS(Metodologia[Fase],Fases[[#This Row],[Fases]],Metodologia[Aplica MANC],"Sí")+COUNTIFS(Metodologia[Fase],Fases[[#This Row],[Fases]],Metodologia[Aplica MANC],"No, pero és recomanable")</f>
        <v>12</v>
      </c>
    </row>
    <row r="5" spans="1:11" ht="41.4" x14ac:dyDescent="0.25">
      <c r="A5" s="9" t="s">
        <v>625</v>
      </c>
      <c r="B5" s="9" t="s">
        <v>1217</v>
      </c>
      <c r="C5" s="6">
        <f>COUNTIF(Metodologia[Fase],Fases[[#This Row],[Fases]])</f>
        <v>23</v>
      </c>
      <c r="D5" s="6">
        <f>COUNTIFS(Metodologia[Fase],Fases[[#This Row],[Fases]],Metodologia[Aplica Ens Local],"Sí")</f>
        <v>23</v>
      </c>
      <c r="E5" s="6">
        <f>COUNTIFS(Metodologia[Fase],Fases[[#This Row],[Fases]],Metodologia[Aplica OAL],"Sí")+COUNTIFS(Metodologia[Fase],Fases[[#This Row],[Fases]],Metodologia[Aplica OAL],"No, pero és recomanable")</f>
        <v>16</v>
      </c>
      <c r="F5" s="6">
        <f>COUNTIFS(Metodologia[Fase],Fases[[#This Row],[Fases]],Metodologia[Aplica EPEL],"Sí")+COUNTIFS(Metodologia[Fase],Fases[[#This Row],[Fases]],Metodologia[Aplica EPEL],"No, pero és recomanable")</f>
        <v>16</v>
      </c>
      <c r="G5" s="6">
        <f>COUNTIFS(Metodologia[Fase],Fases[[#This Row],[Fases]],Metodologia[Aplica SOC100%],"Sí")+COUNTIFS(Metodologia[Fase],Fases[[#This Row],[Fases]],Metodologia[Aplica SOC100%],"No, pero és recomanable")</f>
        <v>13</v>
      </c>
      <c r="H5" s="6">
        <f>COUNTIFS(Metodologia[Fase],Fases[[#This Row],[Fases]],Metodologia[Aplica SOCMIX],"Sí")+COUNTIFS(Metodologia[Fase],Fases[[#This Row],[Fases]],Metodologia[Aplica SOCMIX],"No, pero és recomanable")</f>
        <v>13</v>
      </c>
      <c r="I5" s="6">
        <f>COUNTIFS(Metodologia[Fase],Fases[[#This Row],[Fases]],Metodologia[Aplica CONS],"Sí")+COUNTIFS(Metodologia[Fase],Fases[[#This Row],[Fases]],Metodologia[Aplica CONS],"No, pero és recomanable")</f>
        <v>16</v>
      </c>
      <c r="J5" s="6">
        <f>COUNTIFS(Metodologia[Fase],Fases[[#This Row],[Fases]],Metodologia[Aplica FUND],"Sí")+COUNTIFS(Metodologia[Fase],Fases[[#This Row],[Fases]],Metodologia[Aplica FUND],"No, pero és recomanable")</f>
        <v>13</v>
      </c>
      <c r="K5" s="6">
        <f>COUNTIFS(Metodologia[Fase],Fases[[#This Row],[Fases]],Metodologia[Aplica MANC],"Sí")+COUNTIFS(Metodologia[Fase],Fases[[#This Row],[Fases]],Metodologia[Aplica MANC],"No, pero és recomanable")</f>
        <v>22</v>
      </c>
    </row>
    <row r="6" spans="1:11" x14ac:dyDescent="0.25">
      <c r="A6" s="9" t="s">
        <v>626</v>
      </c>
      <c r="B6" s="9" t="s">
        <v>1232</v>
      </c>
      <c r="C6" s="6">
        <f>COUNTIF(Metodologia[Fase],Fases[[#This Row],[Fases]])</f>
        <v>38</v>
      </c>
      <c r="D6" s="6">
        <f>COUNTIFS(Metodologia[Fase],Fases[[#This Row],[Fases]],Metodologia[Aplica Ens Local],"Sí")</f>
        <v>38</v>
      </c>
      <c r="E6" s="6">
        <f>COUNTIFS(Metodologia[Fase],Fases[[#This Row],[Fases]],Metodologia[Aplica OAL],"Sí")+COUNTIFS(Metodologia[Fase],Fases[[#This Row],[Fases]],Metodologia[Aplica OAL],"No, pero és recomanable")</f>
        <v>4</v>
      </c>
      <c r="F6" s="6">
        <f>COUNTIFS(Metodologia[Fase],Fases[[#This Row],[Fases]],Metodologia[Aplica EPEL],"Sí")+COUNTIFS(Metodologia[Fase],Fases[[#This Row],[Fases]],Metodologia[Aplica EPEL],"No, pero és recomanable")</f>
        <v>4</v>
      </c>
      <c r="G6" s="6">
        <f>COUNTIFS(Metodologia[Fase],Fases[[#This Row],[Fases]],Metodologia[Aplica SOC100%],"Sí")+COUNTIFS(Metodologia[Fase],Fases[[#This Row],[Fases]],Metodologia[Aplica SOC100%],"No, pero és recomanable")</f>
        <v>3</v>
      </c>
      <c r="H6" s="6">
        <f>COUNTIFS(Metodologia[Fase],Fases[[#This Row],[Fases]],Metodologia[Aplica SOCMIX],"Sí")+COUNTIFS(Metodologia[Fase],Fases[[#This Row],[Fases]],Metodologia[Aplica SOCMIX],"No, pero és recomanable")</f>
        <v>3</v>
      </c>
      <c r="I6" s="6">
        <f>COUNTIFS(Metodologia[Fase],Fases[[#This Row],[Fases]],Metodologia[Aplica CONS],"Sí")+COUNTIFS(Metodologia[Fase],Fases[[#This Row],[Fases]],Metodologia[Aplica CONS],"No, pero és recomanable")</f>
        <v>3</v>
      </c>
      <c r="J6" s="6">
        <f>COUNTIFS(Metodologia[Fase],Fases[[#This Row],[Fases]],Metodologia[Aplica FUND],"Sí")+COUNTIFS(Metodologia[Fase],Fases[[#This Row],[Fases]],Metodologia[Aplica FUND],"No, pero és recomanable")</f>
        <v>4</v>
      </c>
      <c r="K6" s="6">
        <f>COUNTIFS(Metodologia[Fase],Fases[[#This Row],[Fases]],Metodologia[Aplica MANC],"Sí")+COUNTIFS(Metodologia[Fase],Fases[[#This Row],[Fases]],Metodologia[Aplica MANC],"No, pero és recomanable")</f>
        <v>10</v>
      </c>
    </row>
    <row r="7" spans="1:11" x14ac:dyDescent="0.25">
      <c r="A7" s="9" t="s">
        <v>914</v>
      </c>
      <c r="C7" s="6">
        <f>SUBTOTAL(109,Fases[Total])</f>
        <v>147</v>
      </c>
      <c r="D7" s="6">
        <f>SUBTOTAL(109,Fases[Aplica Ens Local])</f>
        <v>146</v>
      </c>
      <c r="E7" s="6">
        <f>SUBTOTAL(109,Fases[Aplica OAL])</f>
        <v>85</v>
      </c>
      <c r="F7" s="6">
        <f>SUBTOTAL(109,Fases[Aplica EPEL])</f>
        <v>82</v>
      </c>
      <c r="G7" s="6">
        <f>SUBTOTAL(109,Fases[Aplica SOC100%])</f>
        <v>71</v>
      </c>
      <c r="H7" s="6">
        <f>SUBTOTAL(109,Fases[Aplica SOCMIX])</f>
        <v>71</v>
      </c>
      <c r="I7" s="6">
        <f>SUBTOTAL(109,Fases[Aplica CONS])</f>
        <v>83</v>
      </c>
      <c r="J7" s="6">
        <f>SUBTOTAL(109,Fases[Aplica FUND])</f>
        <v>77</v>
      </c>
      <c r="K7" s="6">
        <f>SUBTOTAL(109,Fases[Aplica MANC])</f>
        <v>107</v>
      </c>
    </row>
  </sheetData>
  <sheetProtection algorithmName="SHA-512" hashValue="cMR6TpOjxxnewrS+sJXPNAK4Zy8879NTKneJfQv2WXR9jn9eSZ4gxzYB2JFW81gmGHIi0FFhS5gXAVgKIwQq2Q==" saltValue="mXZSNKSimRELLrhLAAp6Pg=="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heetViews>
  <sheetFormatPr baseColWidth="10" defaultColWidth="9" defaultRowHeight="13.8" x14ac:dyDescent="0.25"/>
  <cols>
    <col min="1" max="1" width="44.19921875" customWidth="1"/>
    <col min="2" max="2" width="16.5" customWidth="1"/>
    <col min="3" max="3" width="10.59765625" style="6" bestFit="1" customWidth="1"/>
    <col min="4" max="4" width="5.69921875" style="6" customWidth="1"/>
    <col min="5" max="5" width="11.8984375" customWidth="1"/>
    <col min="7" max="7" width="17.3984375" customWidth="1"/>
    <col min="8" max="8" width="5.69921875" customWidth="1"/>
    <col min="9" max="9" width="11.3984375" customWidth="1"/>
    <col min="10" max="10" width="5.69921875" customWidth="1"/>
    <col min="11" max="11" width="15.3984375" customWidth="1"/>
  </cols>
  <sheetData>
    <row r="1" spans="1:11" ht="27.6" x14ac:dyDescent="0.25">
      <c r="A1" t="s">
        <v>870</v>
      </c>
      <c r="B1" t="s">
        <v>917</v>
      </c>
      <c r="C1" s="6" t="s">
        <v>918</v>
      </c>
      <c r="D1"/>
      <c r="E1" t="s">
        <v>884</v>
      </c>
      <c r="F1" s="6" t="s">
        <v>916</v>
      </c>
      <c r="G1" s="6" t="s">
        <v>927</v>
      </c>
      <c r="I1" t="s">
        <v>650</v>
      </c>
      <c r="K1" t="s">
        <v>915</v>
      </c>
    </row>
    <row r="2" spans="1:11" x14ac:dyDescent="0.25">
      <c r="A2" t="s">
        <v>871</v>
      </c>
      <c r="B2" t="s">
        <v>656</v>
      </c>
      <c r="C2" s="6">
        <f>MATCH(Taula1_TipusEns[[#This Row],[Aplica]],Metodologia[#Headers],0)</f>
        <v>23</v>
      </c>
      <c r="D2"/>
      <c r="E2" t="s">
        <v>622</v>
      </c>
      <c r="F2" s="6">
        <v>1</v>
      </c>
      <c r="G2" s="14">
        <v>1</v>
      </c>
      <c r="I2" t="s">
        <v>620</v>
      </c>
      <c r="K2" t="s">
        <v>620</v>
      </c>
    </row>
    <row r="3" spans="1:11" x14ac:dyDescent="0.25">
      <c r="A3" t="s">
        <v>872</v>
      </c>
      <c r="B3" t="s">
        <v>656</v>
      </c>
      <c r="C3" s="6">
        <f>MATCH(Taula1_TipusEns[[#This Row],[Aplica]],Metodologia[#Headers],0)</f>
        <v>23</v>
      </c>
      <c r="D3"/>
      <c r="E3" t="s">
        <v>623</v>
      </c>
      <c r="F3" s="6">
        <v>2</v>
      </c>
      <c r="G3" s="14" t="s">
        <v>928</v>
      </c>
      <c r="I3" t="s">
        <v>621</v>
      </c>
      <c r="K3" t="s">
        <v>621</v>
      </c>
    </row>
    <row r="4" spans="1:11" x14ac:dyDescent="0.25">
      <c r="A4" t="s">
        <v>873</v>
      </c>
      <c r="B4" t="s">
        <v>656</v>
      </c>
      <c r="C4" s="6">
        <f>MATCH(Taula1_TipusEns[[#This Row],[Aplica]],Metodologia[#Headers],0)</f>
        <v>23</v>
      </c>
      <c r="D4"/>
      <c r="E4" t="s">
        <v>624</v>
      </c>
      <c r="F4" s="6">
        <v>3</v>
      </c>
      <c r="G4" s="14" t="s">
        <v>929</v>
      </c>
      <c r="K4" t="s">
        <v>886</v>
      </c>
    </row>
    <row r="5" spans="1:11" x14ac:dyDescent="0.25">
      <c r="A5" t="s">
        <v>874</v>
      </c>
      <c r="B5" t="s">
        <v>656</v>
      </c>
      <c r="C5" s="6">
        <f>MATCH(Taula1_TipusEns[[#This Row],[Aplica]],Metodologia[#Headers],0)</f>
        <v>23</v>
      </c>
      <c r="D5"/>
      <c r="E5" t="s">
        <v>625</v>
      </c>
      <c r="F5" s="6">
        <v>4</v>
      </c>
      <c r="G5" s="14" t="s">
        <v>930</v>
      </c>
    </row>
    <row r="6" spans="1:11" x14ac:dyDescent="0.25">
      <c r="A6" t="s">
        <v>875</v>
      </c>
      <c r="B6" t="s">
        <v>656</v>
      </c>
      <c r="C6" s="6">
        <f>MATCH(Taula1_TipusEns[[#This Row],[Aplica]],Metodologia[#Headers],0)</f>
        <v>23</v>
      </c>
      <c r="D6"/>
      <c r="E6" t="s">
        <v>626</v>
      </c>
      <c r="F6" s="6">
        <v>5</v>
      </c>
      <c r="G6" s="14" t="s">
        <v>931</v>
      </c>
    </row>
    <row r="7" spans="1:11" x14ac:dyDescent="0.25">
      <c r="A7" t="s">
        <v>876</v>
      </c>
      <c r="B7" t="s">
        <v>663</v>
      </c>
      <c r="C7" s="6">
        <f>MATCH(Taula1_TipusEns[[#This Row],[Aplica]],Metodologia[#Headers],0)</f>
        <v>30</v>
      </c>
      <c r="D7"/>
      <c r="F7" s="6"/>
      <c r="G7" s="6"/>
    </row>
    <row r="8" spans="1:11" x14ac:dyDescent="0.25">
      <c r="A8" t="s">
        <v>877</v>
      </c>
      <c r="B8" t="s">
        <v>656</v>
      </c>
      <c r="C8" s="6">
        <f>MATCH(Taula1_TipusEns[[#This Row],[Aplica]],Metodologia[#Headers],0)</f>
        <v>23</v>
      </c>
      <c r="D8"/>
      <c r="F8" s="6"/>
      <c r="G8" s="6"/>
    </row>
    <row r="9" spans="1:11" x14ac:dyDescent="0.25">
      <c r="A9" t="s">
        <v>878</v>
      </c>
      <c r="B9" t="s">
        <v>657</v>
      </c>
      <c r="C9" s="6">
        <f>MATCH(Taula1_TipusEns[[#This Row],[Aplica]],Metodologia[#Headers],0)</f>
        <v>24</v>
      </c>
      <c r="D9"/>
      <c r="F9" s="6"/>
      <c r="G9" s="6"/>
    </row>
    <row r="10" spans="1:11" x14ac:dyDescent="0.25">
      <c r="A10" t="s">
        <v>879</v>
      </c>
      <c r="B10" t="s">
        <v>658</v>
      </c>
      <c r="C10" s="6">
        <f>MATCH(Taula1_TipusEns[[#This Row],[Aplica]],Metodologia[#Headers],0)</f>
        <v>25</v>
      </c>
      <c r="D10"/>
      <c r="F10" s="6"/>
      <c r="G10" s="6"/>
    </row>
    <row r="11" spans="1:11" x14ac:dyDescent="0.25">
      <c r="A11" t="s">
        <v>880</v>
      </c>
      <c r="B11" t="s">
        <v>659</v>
      </c>
      <c r="C11" s="6">
        <f>MATCH(Taula1_TipusEns[[#This Row],[Aplica]],Metodologia[#Headers],0)</f>
        <v>26</v>
      </c>
      <c r="D11"/>
      <c r="F11" s="6"/>
      <c r="G11" s="6"/>
    </row>
    <row r="12" spans="1:11" x14ac:dyDescent="0.25">
      <c r="A12" t="s">
        <v>881</v>
      </c>
      <c r="B12" t="s">
        <v>660</v>
      </c>
      <c r="C12" s="6">
        <f>MATCH(Taula1_TipusEns[[#This Row],[Aplica]],Metodologia[#Headers],0)</f>
        <v>27</v>
      </c>
      <c r="D12"/>
      <c r="F12" s="6"/>
      <c r="G12" s="6"/>
    </row>
    <row r="13" spans="1:11" x14ac:dyDescent="0.25">
      <c r="A13" t="s">
        <v>882</v>
      </c>
      <c r="B13" t="s">
        <v>661</v>
      </c>
      <c r="C13" s="6">
        <f>MATCH(Taula1_TipusEns[[#This Row],[Aplica]],Metodologia[#Headers],0)</f>
        <v>28</v>
      </c>
      <c r="D13"/>
      <c r="F13" s="6"/>
      <c r="G13" s="6"/>
    </row>
    <row r="14" spans="1:11" x14ac:dyDescent="0.25">
      <c r="A14" t="s">
        <v>883</v>
      </c>
      <c r="B14" t="s">
        <v>662</v>
      </c>
      <c r="C14" s="6">
        <f>MATCH(Taula1_TipusEns[[#This Row],[Aplica]],Metodologia[#Headers],0)</f>
        <v>29</v>
      </c>
      <c r="D14"/>
      <c r="F14" s="6"/>
      <c r="G14" s="6"/>
    </row>
  </sheetData>
  <sheetProtection algorithmName="SHA-512" hashValue="CrCFZx6VGhbe1k+8aZkSa2cnjY6IfdK1I1h8rpXAyfTDuwGZMkbxRFpsYUyMMBGwZBiZFtTunVYdQxcpoNnaVA==" saltValue="cngvpkXgROf1n1VEIHZeig==" spinCount="100000" sheet="1" objects="1" scenarios="1"/>
  <sortState ref="E2:E6">
    <sortCondition ref="E6"/>
  </sortState>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I F A A B Q S w M E F A A C A A g A c l x c W m k 1 6 g u o A A A A + g A A A B I A H A B D b 2 5 m a W c v U G F j a 2 F n Z S 5 4 b W w g o h g A K K A U A A A A A A A A A A A A A A A A A A A A A A A A A A A A h Y 9 L D o I w G I S v Q r q n L 4 O v / J S F c S e J C Y l x 2 5 Q K j V A M L c L d X H g k r y C J o u 5 c z s y 3 + O Z x u 0 M y 1 F V w 1 a 0 z j Y 0 R w x Q F 2 q o m N 7 a I U e d P 4 R I l A v Z S n W W h g x G 2 b j 2 4 P E a l 9 5 c 1 I X 3 f 4 3 6 G m 7 Y g n F J G j u k u U 6 W u J f r A 5 j 8 c G u u 8 t E o j A Y e X j O B 4 z n D E V h x H n P M F k G m A 1 N g v x E d n T I H 8 l L D p K t + 1 W i g Z b j M g U w T y / i G e U E s D B B Q A A g A I A H J c X 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X F x a J X T Q I I g C A A C 3 D Q A A E w A c A E Z v c m 1 1 b G F z L 1 N l Y 3 R p b 2 4 x L m 0 g o h g A K K A U A A A A A A A A A A A A A A A A A A A A A A A A A A A A 7 V T B c t M w E L 1 n J v + w 4 1 6 c G T c k T t p S m B y E 4 x R 1 H D u 1 F Y a h 4 a D Y o p i x r Y y l Z C i d n u H C i S u / w A 9 w z Y + x a Q r t 4 B S O c L A v s v T e W 2 l X 2 q d E r F N Z Q L Q d u 0 + b j W Z D v e W l S C D h m s M A M q G b D c A v K N M L U e C K o 1 b t o Y y X u S i 0 O U o z 0 X Z k o X G i T M N 5 M p s q U a p Z n k m p V i J L 9 O w n V 8 2 G P B F q d k p D M r P 7 H d s + g n 0 4 Y f t H B z g G + S J L S 8 j 4 d u N E w C p V q R Y K z I t M z n m m W r A Q J X C I e c J h / U 2 L H C c L X m q U I f 2 k P 9 s o 2 7 F a G S 3 r f C i y N E d 9 O T A s w w J H Z s u 8 U I P u s Q V u E c s k L S 4 G h w e d T t e C s 6 X U I t K X m R j c / b Z 9 W Y j X L W u b / J 6 B I j 4 X H 3 g i F S x K m c t V i r 8 G 1 o P x O d I n m z U t n g v M s V T m t l o W n N + u k y y L Y p 7 x U g 1 0 u b w f m K U L i T n l 8 x R j 3 8 V j J S / U G 1 n m 2 5 O z y 4 V Q 5 o P H s K 6 u D H / 9 P W 9 D E A 5 D F x P W K A A t 3 u t r C x A L x i M y p h 4 l u 6 B o + u w P K G X u G C q A E w w p j C h 7 S W A 8 9 a l D W I X C 6 G Q a w f o z 6 i v Y C x p h 3 A h O v O A Z 8 S I w 8 W V s b v H d s r g E u 2 P 3 W i i h h T 7 s t z e p 3 2 4 5 d n 1 G Q n p P N h q 1 K r E n I Q 1 C y l 4 R h 6 6 / w M Q N g Z x O U b h R R x X 2 K H T P 1 l / X n 3 y H E i A O m x L v l x a h q R v S Y b U u n u d S Y C H x o w k J 3 R t t 9 9 j u d P u w q x I P s X v g R p M K e y j i U m h 4 / A j r 0 K 2 g w R w b b M V j 7 F e F D Y A N U + A r 4 T p d 8 Q q X M o L F 7 B 5 V A X 8 U 4 F E Y d e h k Q 9 m x T 4 V i / 5 3 S q 1 B c 3 / P I + u P m B n 6 r 4 n W r 2 U i L 3 V 1 w 3 4 f 2 j B t D M O 2 W U d t R b U e 1 H d V 2 9 D / Y U a + 2 o 9 q O a j u q 7 e g f 2 N E P U E s B A i 0 A F A A C A A g A c l x c W m k 1 6 g u o A A A A + g A A A B I A A A A A A A A A A A A A A A A A A A A A A E N v b m Z p Z y 9 Q Y W N r Y W d l L n h t b F B L A Q I t A B Q A A g A I A H J c X F o P y u m r p A A A A O k A A A A T A A A A A A A A A A A A A A A A A P Q A A A B b Q 2 9 u d G V u d F 9 U e X B l c 1 0 u e G 1 s U E s B A i 0 A F A A C A A g A c l x c W i V 0 0 C C I A g A A t w 0 A A B M A A A A A A A A A A A A A A A A A 5 Q E A A E Z v c m 1 1 b G F z L 1 N l Y 3 R p b 2 4 x L m 1 Q S w U G A A A A A A M A A w D C A A A A u 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j 0 A A A A A A A B s P 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Z G F 0 Y 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Y w O T M 2 Y z F m L T c z M G Y t N G V m M i 1 i M D I w L T U x Y z F m N W E 5 M 2 Y 0 N y I g L z 4 8 R W 5 0 c n k g V H l w Z T 0 i T m F 2 a W d h d G l v b l N 0 Z X B O Y W 1 l I i B W Y W x 1 Z T 0 i c 0 5 h d m V n Y W N p w 7 N 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G a W x s Q 2 9 s d W 1 u T m F t Z X M i I F Z h b H V l P S J z W y Z x d W 9 0 O 0 7 D u m 0 u I E 9 S R F J F J n F 1 b 3 Q 7 L C Z x d W 9 0 O 0 5 P T U Z B T U l M S U E m c X V v d D s s J n F 1 b 3 Q 7 T k 9 N U 1 V C R k F N S U x J Q S Z x d W 9 0 O y w m c X V v d D t O T 0 1 J V E V N I C Z x d W 9 0 O y w m c X V v d D t D T 0 R J I E Z J V F h B I E 1 V T k l D Q V Q m c X V v d D s s J n F 1 b 3 Q 7 V E l Q V V M g w 4 1 U R U 0 m c X V v d D s s J n F 1 b 3 Q 7 V k l T S V R F U y B H T E 9 C Q U x T I C h k Z X M g Z G U g a n V u e S A y M D I z K S Z x d W 9 0 O y w m c X V v d D t D T 0 1 F T l R B U k l T I E d M T 0 J B T F M g K E Z G K S Z x d W 9 0 O y w m c X V v d D t Q U k l P U k l U W k F D S c O T I F B F U i B B S l V O V E F N R U 5 U U y Z x d W 9 0 O y w m c X V v d D t G U k V R w 5 z D i E 5 D S U E g Q U N U V U F M S V R a Q U N J w 5 M g U k V R V U V S S U R B J n F 1 b 3 Q 7 L C Z x d W 9 0 O 0 x M R U k g V F J B T l N Q Q V J F T k N J Q S A x O T I w M T Q g Q 0 F U J n F 1 b 3 Q 7 L C Z x d W 9 0 O 0 x M R U k g V F J B T l N Q Q V J F T k N J Q S A x O T I w M T M g R V N Q J n F 1 b 3 Q 7 L C Z x d W 9 0 O 0 R l Y 3 J l d C A 4 L z I w M j E m c X V v d D s s J n F 1 b 3 Q 7 T 2 J z Z X J 2 Y W N p b 2 5 z I G E g b G E g b m 9 y b W F 0 a X Z h J n F 1 b 3 Q 7 L C Z x d W 9 0 O 0 l U Q S A y M D E 3 J n F 1 b 3 Q 7 L C Z x d W 9 0 O 0 l O R k 9 Q Q V J U S U N J U E E g M j A y M S Z x d W 9 0 O y w m c X V v d D t J T k Z P U E F S V E l D S V B B I D I w M j I m c X V v d D s s J n F 1 b 3 Q 7 S U 5 G T 1 B B U l R J Q 0 l Q Q S A y M D I z J n F 1 b 3 Q 7 L C Z x d W 9 0 O 0 V O T E x B w 4 c g Q U p V R E E m c X V v d D t d I i A v P j x F b n R y e S B U e X B l P S J G a W x s Q 2 9 s d W 1 u V H l w Z X M i I F Z h b H V l P S J z Q m d Z R 0 J n W U d B d 1 l H Q m d Z R 0 J n W U d C Z 1 l H Q m c 9 P S I g L z 4 8 R W 5 0 c n k g V H l w Z T 0 i R m l s b E x h c 3 R V c G R h d G V k I i B W Y W x 1 Z T 0 i Z D I w M j Q t M D M t M D V U M D k 6 N T Q 6 M j I u N T U w N z A z O F o i I C 8 + P E V u d H J 5 I F R 5 c G U 9 I k Z p b G x F c n J v c k N v d W 5 0 I i B W Y W x 1 Z T 0 i b D A i I C 8 + P E V u d H J 5 I F R 5 c G U 9 I k Z p b G x F c n J v c k N v Z G U i I F Z h b H V l P S J z V W 5 r b m 9 3 b i I g L z 4 8 R W 5 0 c n k g V H l w Z T 0 i R m l s b E N v d W 5 0 I i B W Y W x 1 Z T 0 i b D E 0 M S I g L z 4 8 R W 5 0 c n k g V H l w Z T 0 i R m l s b F N 0 Y X R 1 c y I g V m F s d W U 9 I n N D b 2 1 w b G V 0 Z S I g L z 4 8 R W 5 0 c n k g V H l w Z T 0 i Q W R k Z W R U b 0 R h d G F N b 2 R l b C I g V m F s d W U 9 I m w w I i A v P j x F b n R y e S B U e X B l P S J S Z W x h d G l v b n N o a X B J b m Z v Q 2 9 u d G F p b m V y I i B W Y W x 1 Z T 0 i c 3 s m c X V v d D t j b 2 x 1 b W 5 D b 3 V u d C Z x d W 9 0 O z o x O S w m c X V v d D t r Z X l D b 2 x 1 b W 5 O Y W 1 l c y Z x d W 9 0 O z p b X S w m c X V v d D t x d W V y e V J l b G F 0 a W 9 u c 2 h p c H M m c X V v d D s 6 W 1 0 s J n F 1 b 3 Q 7 Y 2 9 s d W 1 u S W R l b n R p d G l l c y Z x d W 9 0 O z p b J n F 1 b 3 Q 7 U 2 V j d G l v b j E v Z G F 0 Y S 9 B d X R v U m V t b 3 Z l Z E N v b H V t b n M x L n t O w 7 p t L i B P U k R S R S w w f S Z x d W 9 0 O y w m c X V v d D t T Z W N 0 a W 9 u M S 9 k Y X R h L 0 F 1 d G 9 S Z W 1 v d m V k Q 2 9 s d W 1 u c z E u e 0 5 P T U Z B T U l M S U E s M X 0 m c X V v d D s s J n F 1 b 3 Q 7 U 2 V j d G l v b j E v Z G F 0 Y S 9 B d X R v U m V t b 3 Z l Z E N v b H V t b n M x L n t O T 0 1 T V U J G Q U 1 J T E l B L D J 9 J n F 1 b 3 Q 7 L C Z x d W 9 0 O 1 N l Y 3 R p b 2 4 x L 2 R h d G E v Q X V 0 b 1 J l b W 9 2 Z W R D b 2 x 1 b W 5 z M S 5 7 T k 9 N S V R F T S A s M 3 0 m c X V v d D s s J n F 1 b 3 Q 7 U 2 V j d G l v b j E v Z G F 0 Y S 9 B d X R v U m V t b 3 Z l Z E N v b H V t b n M x L n t D T 0 R J I E Z J V F h B I E 1 V T k l D Q V Q s N H 0 m c X V v d D s s J n F 1 b 3 Q 7 U 2 V j d G l v b j E v Z G F 0 Y S 9 B d X R v U m V t b 3 Z l Z E N v b H V t b n M x L n t U S V B V U y D D j V R F T S w 1 f S Z x d W 9 0 O y w m c X V v d D t T Z W N 0 a W 9 u M S 9 k Y X R h L 0 F 1 d G 9 S Z W 1 v d m V k Q 2 9 s d W 1 u c z E u e 1 Z J U 0 l U R V M g R 0 x P Q k F M U y A o Z G V z I G R l I G p 1 b n k g M j A y M y k s N n 0 m c X V v d D s s J n F 1 b 3 Q 7 U 2 V j d G l v b j E v Z G F 0 Y S 9 B d X R v U m V t b 3 Z l Z E N v b H V t b n M x L n t D T 0 1 F T l R B U k l T I E d M T 0 J B T F M g K E Z G K S w 3 f S Z x d W 9 0 O y w m c X V v d D t T Z W N 0 a W 9 u M S 9 k Y X R h L 0 F 1 d G 9 S Z W 1 v d m V k Q 2 9 s d W 1 u c z E u e 1 B S S U 9 S S V R a Q U N J w 5 M g U E V S I E F K V U 5 U Q U 1 F T l R T L D h 9 J n F 1 b 3 Q 7 L C Z x d W 9 0 O 1 N l Y 3 R p b 2 4 x L 2 R h d G E v Q X V 0 b 1 J l b W 9 2 Z W R D b 2 x 1 b W 5 z M S 5 7 R l J F U c O c w 4 h O Q 0 l B I E F D V F V B T E l U W k F D S c O T I F J F U V V F U k l E Q S w 5 f S Z x d W 9 0 O y w m c X V v d D t T Z W N 0 a W 9 u M S 9 k Y X R h L 0 F 1 d G 9 S Z W 1 v d m V k Q 2 9 s d W 1 u c z E u e 0 x M R U k g V F J B T l N Q Q V J F T k N J Q S A x O T I w M T Q g Q 0 F U L D E w f S Z x d W 9 0 O y w m c X V v d D t T Z W N 0 a W 9 u M S 9 k Y X R h L 0 F 1 d G 9 S Z W 1 v d m V k Q 2 9 s d W 1 u c z E u e 0 x M R U k g V F J B T l N Q Q V J F T k N J Q S A x O T I w M T M g R V N Q L D E x f S Z x d W 9 0 O y w m c X V v d D t T Z W N 0 a W 9 u M S 9 k Y X R h L 0 F 1 d G 9 S Z W 1 v d m V k Q 2 9 s d W 1 u c z E u e 0 R l Y 3 J l d C A 4 L z I w M j E s M T J 9 J n F 1 b 3 Q 7 L C Z x d W 9 0 O 1 N l Y 3 R p b 2 4 x L 2 R h d G E v Q X V 0 b 1 J l b W 9 2 Z W R D b 2 x 1 b W 5 z M S 5 7 T 2 J z Z X J 2 Y W N p b 2 5 z I G E g b G E g b m 9 y b W F 0 a X Z h L D E z f S Z x d W 9 0 O y w m c X V v d D t T Z W N 0 a W 9 u M S 9 k Y X R h L 0 F 1 d G 9 S Z W 1 v d m V k Q 2 9 s d W 1 u c z E u e 0 l U Q S A y M D E 3 L D E 0 f S Z x d W 9 0 O y w m c X V v d D t T Z W N 0 a W 9 u M S 9 k Y X R h L 0 F 1 d G 9 S Z W 1 v d m V k Q 2 9 s d W 1 u c z E u e 0 l O R k 9 Q Q V J U S U N J U E E g M j A y M S w x N X 0 m c X V v d D s s J n F 1 b 3 Q 7 U 2 V j d G l v b j E v Z G F 0 Y S 9 B d X R v U m V t b 3 Z l Z E N v b H V t b n M x L n t J T k Z P U E F S V E l D S V B B I D I w M j I s M T Z 9 J n F 1 b 3 Q 7 L C Z x d W 9 0 O 1 N l Y 3 R p b 2 4 x L 2 R h d G E v Q X V 0 b 1 J l b W 9 2 Z W R D b 2 x 1 b W 5 z M S 5 7 S U 5 G T 1 B B U l R J Q 0 l Q Q S A y M D I z L D E 3 f S Z x d W 9 0 O y w m c X V v d D t T Z W N 0 a W 9 u M S 9 k Y X R h L 0 F 1 d G 9 S Z W 1 v d m V k Q 2 9 s d W 1 u c z E u e 0 V O T E x B w 4 c g Q U p V R E E s M T h 9 J n F 1 b 3 Q 7 X S w m c X V v d D t D b 2 x 1 b W 5 D b 3 V u d C Z x d W 9 0 O z o x O S w m c X V v d D t L Z X l D b 2 x 1 b W 5 O Y W 1 l c y Z x d W 9 0 O z p b X S w m c X V v d D t D b 2 x 1 b W 5 J Z G V u d G l 0 a W V z J n F 1 b 3 Q 7 O l s m c X V v d D t T Z W N 0 a W 9 u M S 9 k Y X R h L 0 F 1 d G 9 S Z W 1 v d m V k Q 2 9 s d W 1 u c z E u e 0 7 D u m 0 u I E 9 S R F J F L D B 9 J n F 1 b 3 Q 7 L C Z x d W 9 0 O 1 N l Y 3 R p b 2 4 x L 2 R h d G E v Q X V 0 b 1 J l b W 9 2 Z W R D b 2 x 1 b W 5 z M S 5 7 T k 9 N R k F N S U x J Q S w x f S Z x d W 9 0 O y w m c X V v d D t T Z W N 0 a W 9 u M S 9 k Y X R h L 0 F 1 d G 9 S Z W 1 v d m V k Q 2 9 s d W 1 u c z E u e 0 5 P T V N V Q k Z B T U l M S U E s M n 0 m c X V v d D s s J n F 1 b 3 Q 7 U 2 V j d G l v b j E v Z G F 0 Y S 9 B d X R v U m V t b 3 Z l Z E N v b H V t b n M x L n t O T 0 1 J V E V N I C w z f S Z x d W 9 0 O y w m c X V v d D t T Z W N 0 a W 9 u M S 9 k Y X R h L 0 F 1 d G 9 S Z W 1 v d m V k Q 2 9 s d W 1 u c z E u e 0 N P R E k g R k l U W E E g T V V O S U N B V C w 0 f S Z x d W 9 0 O y w m c X V v d D t T Z W N 0 a W 9 u M S 9 k Y X R h L 0 F 1 d G 9 S Z W 1 v d m V k Q 2 9 s d W 1 u c z E u e 1 R J U F V T I M O N V E V N L D V 9 J n F 1 b 3 Q 7 L C Z x d W 9 0 O 1 N l Y 3 R p b 2 4 x L 2 R h d G E v Q X V 0 b 1 J l b W 9 2 Z W R D b 2 x 1 b W 5 z M S 5 7 V k l T S V R F U y B H T E 9 C Q U x T I C h k Z X M g Z G U g a n V u e S A y M D I z K S w 2 f S Z x d W 9 0 O y w m c X V v d D t T Z W N 0 a W 9 u M S 9 k Y X R h L 0 F 1 d G 9 S Z W 1 v d m V k Q 2 9 s d W 1 u c z E u e 0 N P T U V O V E F S S V M g R 0 x P Q k F M U y A o R k Y p L D d 9 J n F 1 b 3 Q 7 L C Z x d W 9 0 O 1 N l Y 3 R p b 2 4 x L 2 R h d G E v Q X V 0 b 1 J l b W 9 2 Z W R D b 2 x 1 b W 5 z M S 5 7 U F J J T 1 J J V F p B Q 0 n D k y B Q R V I g Q U p V T l R B T U V O V F M s O H 0 m c X V v d D s s J n F 1 b 3 Q 7 U 2 V j d G l v b j E v Z G F 0 Y S 9 B d X R v U m V t b 3 Z l Z E N v b H V t b n M x L n t G U k V R w 5 z D i E 5 D S U E g Q U N U V U F M S V R a Q U N J w 5 M g U k V R V U V S S U R B L D l 9 J n F 1 b 3 Q 7 L C Z x d W 9 0 O 1 N l Y 3 R p b 2 4 x L 2 R h d G E v Q X V 0 b 1 J l b W 9 2 Z W R D b 2 x 1 b W 5 z M S 5 7 T E x F S S B U U k F O U 1 B B U k V O Q 0 l B I D E 5 M j A x N C B D Q V Q s M T B 9 J n F 1 b 3 Q 7 L C Z x d W 9 0 O 1 N l Y 3 R p b 2 4 x L 2 R h d G E v Q X V 0 b 1 J l b W 9 2 Z W R D b 2 x 1 b W 5 z M S 5 7 T E x F S S B U U k F O U 1 B B U k V O Q 0 l B I D E 5 M j A x M y B F U 1 A s M T F 9 J n F 1 b 3 Q 7 L C Z x d W 9 0 O 1 N l Y 3 R p b 2 4 x L 2 R h d G E v Q X V 0 b 1 J l b W 9 2 Z W R D b 2 x 1 b W 5 z M S 5 7 R G V j c m V 0 I D g v M j A y M S w x M n 0 m c X V v d D s s J n F 1 b 3 Q 7 U 2 V j d G l v b j E v Z G F 0 Y S 9 B d X R v U m V t b 3 Z l Z E N v b H V t b n M x L n t P Y n N l c n Z h Y 2 l v b n M g Y S B s Y S B u b 3 J t Y X R p d m E s M T N 9 J n F 1 b 3 Q 7 L C Z x d W 9 0 O 1 N l Y 3 R p b 2 4 x L 2 R h d G E v Q X V 0 b 1 J l b W 9 2 Z W R D b 2 x 1 b W 5 z M S 5 7 S V R B I D I w M T c s M T R 9 J n F 1 b 3 Q 7 L C Z x d W 9 0 O 1 N l Y 3 R p b 2 4 x L 2 R h d G E v Q X V 0 b 1 J l b W 9 2 Z W R D b 2 x 1 b W 5 z M S 5 7 S U 5 G T 1 B B U l R J Q 0 l Q Q S A y M D I x L D E 1 f S Z x d W 9 0 O y w m c X V v d D t T Z W N 0 a W 9 u M S 9 k Y X R h L 0 F 1 d G 9 S Z W 1 v d m V k Q 2 9 s d W 1 u c z E u e 0 l O R k 9 Q Q V J U S U N J U E E g M j A y M i w x N n 0 m c X V v d D s s J n F 1 b 3 Q 7 U 2 V j d G l v b j E v Z G F 0 Y S 9 B d X R v U m V t b 3 Z l Z E N v b H V t b n M x L n t J T k Z P U E F S V E l D S V B B I D I w M j M s M T d 9 J n F 1 b 3 Q 7 L C Z x d W 9 0 O 1 N l Y 3 R p b 2 4 x L 2 R h d G E v Q X V 0 b 1 J l b W 9 2 Z W R D b 2 x 1 b W 5 z M S 5 7 R U 5 M T E H D h y B B S l V E Q S w x O H 0 m c X V v d D t d L C Z x d W 9 0 O 1 J l b G F 0 a W 9 u c 2 h p c E l u Z m 8 m c X V v d D s 6 W 1 1 9 I i A v P j w v U 3 R h Y m x l R W 5 0 c m l l c z 4 8 L 0 l 0 Z W 0 + P E l 0 Z W 0 + P E l 0 Z W 1 M b 2 N h d G l v b j 4 8 S X R l b V R 5 c G U + R m 9 y b X V s Y T w v S X R l b V R 5 c G U + P E l 0 Z W 1 Q Y X R o P l N l Y 3 R p b 2 4 x L 2 R h d G E v T 3 J p Z 2 V u P C 9 J d G V t U G F 0 a D 4 8 L 0 l 0 Z W 1 M b 2 N h d G l v b j 4 8 U 3 R h Y m x l R W 5 0 c m l l c y A v P j w v S X R l b T 4 8 S X R l b T 4 8 S X R l b U x v Y 2 F 0 a W 9 u P j x J d G V t V H l w Z T 5 G b 3 J t d W x h P C 9 J d G V t V H l w Z T 4 8 S X R l b V B h d G g + U 2 V j d G l v b j E v Z G F 0 Y S 9 F b m N h Y m V 6 Y W R v c y U y M H B y b 2 1 v d m l k b 3 M 8 L 0 l 0 Z W 1 Q Y X R o P j w v S X R l b U x v Y 2 F 0 a W 9 u P j x T d G F i b G V F b n R y a W V z I C 8 + P C 9 J d G V t P j x J d G V t P j x J d G V t T G 9 j Y X R p b 2 4 + P E l 0 Z W 1 U e X B l P k Z v c m 1 1 b G E 8 L 0 l 0 Z W 1 U e X B l P j x J d G V t U G F 0 a D 5 T Z W N 0 a W 9 u M S 9 k Y X R h L 1 R p c G 8 l M j B j Y W 1 i a W F k b z w v S X R l b V B h d G g + P C 9 J d G V t T G 9 j Y X R p b 2 4 + P F N 0 Y W J s Z U V u d H J p Z X M g L z 4 8 L 0 l 0 Z W 0 + P E l 0 Z W 0 + P E l 0 Z W 1 M b 2 N h d G l v b j 4 8 S X R l b V R 5 c G U + R m 9 y b X V s Y T w v S X R l b V R 5 c G U + P E l 0 Z W 1 Q Y X R o P l N l Y 3 R p b 2 4 x L 2 R h d G E 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h Y T E 0 Y z l h O S 1 i Y j N i L T Q 0 Y W I t O D E y Z S 0 4 M z E y Y W Y 5 Z m Z l N T Q i I C 8 + P E V u d H J 5 I F R 5 c G U 9 I k 5 h b W V V c G R h d G V k Q W Z 0 Z X J G a W x s I i B W Y W x 1 Z T 0 i b D A i I C 8 + P E V u d H J 5 I F R 5 c G U 9 I l J l c 3 V s d F R 5 c G U i I F Z h b H V l P S J z R X h j Z X B 0 a W 9 u I i A v P j x F b n R y e S B U e X B l P S J G a W x s V G F y Z 2 V 0 I i B W Y W x 1 Z T 0 i c 0 1 l d G 9 k b 2 x v Z 2 l h I i A v P j x F b n R y e S B U e X B l P S J G a W x s Z W R D b 2 1 w b G V 0 Z V J l c 3 V s d F R v V 2 9 y a 3 N o Z W V 0 I i B W Y W x 1 Z T 0 i b D E i I C 8 + P E V u d H J 5 I F R 5 c G U 9 I k Z p b G x D b 3 V u d C I g V m F s d W U 9 I m w w I i A v P j x F b n R y e S B U e X B l P S J G a W x s R X J y b 3 J D b 2 R l I i B W Y W x 1 Z T 0 i c 1 V u a 2 5 v d 2 4 i I C 8 + P E V u d H J 5 I F R 5 c G U 9 I k Z p b G x F c n J v c k N v d W 5 0 I i B W Y W x 1 Z T 0 i b D A i I C 8 + P E V u d H J 5 I F R 5 c G U 9 I k Z p b G x M Y X N 0 V X B k Y X R l Z C I g V m F s d W U 9 I m Q y M D I 0 L T E x L T I y V D A 3 O j A 2 O j E 5 L j k 4 N z I 1 N j B a I i A v P j x F b n R y e S B U e X B l P S J G a W x s Q 2 9 s d W 1 u T m F t Z X M i I F Z h b H V l P S J z W y Z x d W 9 0 O 0 7 D u m 0 u I E 9 S R F J F J n F 1 b 3 Q 7 L C Z x d W 9 0 O 0 5 P T U Z B T U l M S U E m c X V v d D s s J n F 1 b 3 Q 7 T k 9 N U 1 V C R k F N S U x J Q S Z x d W 9 0 O y w m c X V v d D t O T 0 1 J V E V N I C Z x d W 9 0 O y w m c X V v d D t D T 0 R J I E Z J V F h B I E 1 V T k l D Q V Q m c X V v d D s s J n F 1 b 3 Q 7 V E l Q V V M g w 4 1 U R U 0 m c X V v d D s s J n F 1 b 3 Q 7 V k l T S V R F U y B H T E 9 C Q U x T I C h k Z X M g Z G U g a n V u e S A y M D I z K S Z x d W 9 0 O y w m c X V v d D t D T 0 1 F T l R B U k l T I E d M T 0 J B T F M g K E Z G K S Z x d W 9 0 O y w m c X V v d D t Q U k l P U k l U W k F D S c O T I F B F U i B B S l V O V E F N R U 5 U U y Z x d W 9 0 O y w m c X V v d D t G U k V R w 5 z D i E 5 D S U E g Q U N U V U F M S V R a Q U N J w 5 M g U k V R V U V S S U R B J n F 1 b 3 Q 7 L C Z x d W 9 0 O 0 x M R U k g V F J B T l N Q Q V J F T k N J Q S A x O T I w M T Q g Q 0 F U J n F 1 b 3 Q 7 L C Z x d W 9 0 O 0 x M R U k g V F J B T l N Q Q V J F T k N J Q S A x O T I w M T M g R V N Q J n F 1 b 3 Q 7 L C Z x d W 9 0 O 0 R l Y 3 J l d C A 4 L z I w M j E m c X V v d D s s J n F 1 b 3 Q 7 T 2 J z Z X J 2 Y W N p b 2 5 z I G E g b G E g b m 9 y b W F 0 a X Z h J n F 1 b 3 Q 7 L C Z x d W 9 0 O 0 l U Q S A y M D E 3 J n F 1 b 3 Q 7 L C Z x d W 9 0 O 0 l O R k 9 Q Q V J U S U N J U E E g M j A y M S Z x d W 9 0 O y w m c X V v d D t J T k Z P U E F S V E l D S V B B I D I w M j I m c X V v d D s s J n F 1 b 3 Q 7 S U 5 G T 1 B B U l R J Q 0 l Q Q S A y M D I z J n F 1 b 3 Q 7 L C Z x d W 9 0 O 0 V O T E x B w 4 c g Q U p V R E E m c X V v d D t d I i A v P j x F b n R y e S B U e X B l P S J G a W x s Q 2 9 s d W 1 u V H l w Z X M i I F Z h b H V l P S J z Q m d Z R 0 J n W U d B d 1 l H Q m d Z R 0 J n W U d C Z 1 l H Q m c 9 P S I g L z 4 8 R W 5 0 c n k g V H l w Z T 0 i Q W R k Z W R U b 0 R h d G F N b 2 R l b C I g V m F s d W U 9 I m w w I i A v P j x F b n R y e S B U e X B l P S J M b 2 F k Z W R U b 0 F u Y W x 5 c 2 l z U 2 V y d m l j Z X M i I F Z h b H V l P S J s M C I g L z 4 8 R W 5 0 c n k g V H l w Z T 0 i R m l s b F N 0 Y X R 1 c y I g V m F s d W U 9 I n N X Y W l 0 a W 5 n R m 9 y R X h j Z W x S Z W Z y Z X N o I i A v P j x F b n R y e S B U e X B l P S J C d W Z m Z X J O Z X h 0 U m V m c m V z a C I g V m F s d W U 9 I m w x I i A v P j x F b n R y e S B U e X B l P S J O Y X Z p Z 2 F 0 a W 9 u U 3 R l c E 5 h b W U i I F Z h b H V l P S J z T m F 2 Z W d h Y 2 n D s 2 4 i I C 8 + P E V u d H J 5 I F R 5 c G U 9 I l J l b G F 0 a W 9 u c 2 h p c E l u Z m 9 D b 2 5 0 Y W l u Z X I i I F Z h b H V l P S J z e y Z x d W 9 0 O 2 N v b H V t b k N v d W 5 0 J n F 1 b 3 Q 7 O j E 5 L C Z x d W 9 0 O 2 t l e U N v b H V t b k 5 h b W V z J n F 1 b 3 Q 7 O l t d L C Z x d W 9 0 O 3 F 1 Z X J 5 U m V s Y X R p b 2 5 z a G l w c y Z x d W 9 0 O z p b X S w m c X V v d D t j b 2 x 1 b W 5 J Z G V u d G l 0 a W V z J n F 1 b 3 Q 7 O l s m c X V v d D t T Z W N 0 a W 9 u M S 9 k Y X R h L 0 F 1 d G 9 S Z W 1 v d m V k Q 2 9 s d W 1 u c z E u e 0 7 D u m 0 u I E 9 S R F J F L D B 9 J n F 1 b 3 Q 7 L C Z x d W 9 0 O 1 N l Y 3 R p b 2 4 x L 2 R h d G E v Q X V 0 b 1 J l b W 9 2 Z W R D b 2 x 1 b W 5 z M S 5 7 T k 9 N R k F N S U x J Q S w x f S Z x d W 9 0 O y w m c X V v d D t T Z W N 0 a W 9 u M S 9 k Y X R h L 0 F 1 d G 9 S Z W 1 v d m V k Q 2 9 s d W 1 u c z E u e 0 5 P T V N V Q k Z B T U l M S U E s M n 0 m c X V v d D s s J n F 1 b 3 Q 7 U 2 V j d G l v b j E v Z G F 0 Y S 9 B d X R v U m V t b 3 Z l Z E N v b H V t b n M x L n t O T 0 1 J V E V N I C w z f S Z x d W 9 0 O y w m c X V v d D t T Z W N 0 a W 9 u M S 9 k Y X R h L 0 F 1 d G 9 S Z W 1 v d m V k Q 2 9 s d W 1 u c z E u e 0 N P R E k g R k l U W E E g T V V O S U N B V C w 0 f S Z x d W 9 0 O y w m c X V v d D t T Z W N 0 a W 9 u M S 9 k Y X R h L 0 F 1 d G 9 S Z W 1 v d m V k Q 2 9 s d W 1 u c z E u e 1 R J U F V T I M O N V E V N L D V 9 J n F 1 b 3 Q 7 L C Z x d W 9 0 O 1 N l Y 3 R p b 2 4 x L 2 R h d G E v Q X V 0 b 1 J l b W 9 2 Z W R D b 2 x 1 b W 5 z M S 5 7 V k l T S V R F U y B H T E 9 C Q U x T I C h k Z X M g Z G U g a n V u e S A y M D I z K S w 2 f S Z x d W 9 0 O y w m c X V v d D t T Z W N 0 a W 9 u M S 9 k Y X R h L 0 F 1 d G 9 S Z W 1 v d m V k Q 2 9 s d W 1 u c z E u e 0 N P T U V O V E F S S V M g R 0 x P Q k F M U y A o R k Y p L D d 9 J n F 1 b 3 Q 7 L C Z x d W 9 0 O 1 N l Y 3 R p b 2 4 x L 2 R h d G E v Q X V 0 b 1 J l b W 9 2 Z W R D b 2 x 1 b W 5 z M S 5 7 U F J J T 1 J J V F p B Q 0 n D k y B Q R V I g Q U p V T l R B T U V O V F M s O H 0 m c X V v d D s s J n F 1 b 3 Q 7 U 2 V j d G l v b j E v Z G F 0 Y S 9 B d X R v U m V t b 3 Z l Z E N v b H V t b n M x L n t G U k V R w 5 z D i E 5 D S U E g Q U N U V U F M S V R a Q U N J w 5 M g U k V R V U V S S U R B L D l 9 J n F 1 b 3 Q 7 L C Z x d W 9 0 O 1 N l Y 3 R p b 2 4 x L 2 R h d G E v Q X V 0 b 1 J l b W 9 2 Z W R D b 2 x 1 b W 5 z M S 5 7 T E x F S S B U U k F O U 1 B B U k V O Q 0 l B I D E 5 M j A x N C B D Q V Q s M T B 9 J n F 1 b 3 Q 7 L C Z x d W 9 0 O 1 N l Y 3 R p b 2 4 x L 2 R h d G E v Q X V 0 b 1 J l b W 9 2 Z W R D b 2 x 1 b W 5 z M S 5 7 T E x F S S B U U k F O U 1 B B U k V O Q 0 l B I D E 5 M j A x M y B F U 1 A s M T F 9 J n F 1 b 3 Q 7 L C Z x d W 9 0 O 1 N l Y 3 R p b 2 4 x L 2 R h d G E v Q X V 0 b 1 J l b W 9 2 Z W R D b 2 x 1 b W 5 z M S 5 7 R G V j c m V 0 I D g v M j A y M S w x M n 0 m c X V v d D s s J n F 1 b 3 Q 7 U 2 V j d G l v b j E v Z G F 0 Y S 9 B d X R v U m V t b 3 Z l Z E N v b H V t b n M x L n t P Y n N l c n Z h Y 2 l v b n M g Y S B s Y S B u b 3 J t Y X R p d m E s M T N 9 J n F 1 b 3 Q 7 L C Z x d W 9 0 O 1 N l Y 3 R p b 2 4 x L 2 R h d G E v Q X V 0 b 1 J l b W 9 2 Z W R D b 2 x 1 b W 5 z M S 5 7 S V R B I D I w M T c s M T R 9 J n F 1 b 3 Q 7 L C Z x d W 9 0 O 1 N l Y 3 R p b 2 4 x L 2 R h d G E v Q X V 0 b 1 J l b W 9 2 Z W R D b 2 x 1 b W 5 z M S 5 7 S U 5 G T 1 B B U l R J Q 0 l Q Q S A y M D I x L D E 1 f S Z x d W 9 0 O y w m c X V v d D t T Z W N 0 a W 9 u M S 9 k Y X R h L 0 F 1 d G 9 S Z W 1 v d m V k Q 2 9 s d W 1 u c z E u e 0 l O R k 9 Q Q V J U S U N J U E E g M j A y M i w x N n 0 m c X V v d D s s J n F 1 b 3 Q 7 U 2 V j d G l v b j E v Z G F 0 Y S 9 B d X R v U m V t b 3 Z l Z E N v b H V t b n M x L n t J T k Z P U E F S V E l D S V B B I D I w M j M s M T d 9 J n F 1 b 3 Q 7 L C Z x d W 9 0 O 1 N l Y 3 R p b 2 4 x L 2 R h d G E v Q X V 0 b 1 J l b W 9 2 Z W R D b 2 x 1 b W 5 z M S 5 7 R U 5 M T E H D h y B B S l V E Q S w x O H 0 m c X V v d D t d L C Z x d W 9 0 O 0 N v b H V t b k N v d W 5 0 J n F 1 b 3 Q 7 O j E 5 L C Z x d W 9 0 O 0 t l e U N v b H V t b k 5 h b W V z J n F 1 b 3 Q 7 O l t d L C Z x d W 9 0 O 0 N v b H V t b k l k Z W 5 0 a X R p Z X M m c X V v d D s 6 W y Z x d W 9 0 O 1 N l Y 3 R p b 2 4 x L 2 R h d G E v Q X V 0 b 1 J l b W 9 2 Z W R D b 2 x 1 b W 5 z M S 5 7 T s O 6 b S 4 g T 1 J E U k U s M H 0 m c X V v d D s s J n F 1 b 3 Q 7 U 2 V j d G l v b j E v Z G F 0 Y S 9 B d X R v U m V t b 3 Z l Z E N v b H V t b n M x L n t O T 0 1 G Q U 1 J T E l B L D F 9 J n F 1 b 3 Q 7 L C Z x d W 9 0 O 1 N l Y 3 R p b 2 4 x L 2 R h d G E v Q X V 0 b 1 J l b W 9 2 Z W R D b 2 x 1 b W 5 z M S 5 7 T k 9 N U 1 V C R k F N S U x J Q S w y f S Z x d W 9 0 O y w m c X V v d D t T Z W N 0 a W 9 u M S 9 k Y X R h L 0 F 1 d G 9 S Z W 1 v d m V k Q 2 9 s d W 1 u c z E u e 0 5 P T U l U R U 0 g L D N 9 J n F 1 b 3 Q 7 L C Z x d W 9 0 O 1 N l Y 3 R p b 2 4 x L 2 R h d G E v Q X V 0 b 1 J l b W 9 2 Z W R D b 2 x 1 b W 5 z M S 5 7 Q 0 9 E S S B G S V R Y Q S B N V U 5 J Q 0 F U L D R 9 J n F 1 b 3 Q 7 L C Z x d W 9 0 O 1 N l Y 3 R p b 2 4 x L 2 R h d G E v Q X V 0 b 1 J l b W 9 2 Z W R D b 2 x 1 b W 5 z M S 5 7 V E l Q V V M g w 4 1 U R U 0 s N X 0 m c X V v d D s s J n F 1 b 3 Q 7 U 2 V j d G l v b j E v Z G F 0 Y S 9 B d X R v U m V t b 3 Z l Z E N v b H V t b n M x L n t W S V N J V E V T I E d M T 0 J B T F M g K G R l c y B k Z S B q d W 5 5 I D I w M j M p L D Z 9 J n F 1 b 3 Q 7 L C Z x d W 9 0 O 1 N l Y 3 R p b 2 4 x L 2 R h d G E v Q X V 0 b 1 J l b W 9 2 Z W R D b 2 x 1 b W 5 z M S 5 7 Q 0 9 N R U 5 U Q V J J U y B H T E 9 C Q U x T I C h G R i k s N 3 0 m c X V v d D s s J n F 1 b 3 Q 7 U 2 V j d G l v b j E v Z G F 0 Y S 9 B d X R v U m V t b 3 Z l Z E N v b H V t b n M x L n t Q U k l P U k l U W k F D S c O T I F B F U i B B S l V O V E F N R U 5 U U y w 4 f S Z x d W 9 0 O y w m c X V v d D t T Z W N 0 a W 9 u M S 9 k Y X R h L 0 F 1 d G 9 S Z W 1 v d m V k Q 2 9 s d W 1 u c z E u e 0 Z S R V H D n M O I T k N J Q S B B Q 1 R V Q U x J V F p B Q 0 n D k y B S R V F V R V J J R E E s O X 0 m c X V v d D s s J n F 1 b 3 Q 7 U 2 V j d G l v b j E v Z G F 0 Y S 9 B d X R v U m V t b 3 Z l Z E N v b H V t b n M x L n t M T E V J I F R S Q U 5 T U E F S R U 5 D S U E g M T k y M D E 0 I E N B V C w x M H 0 m c X V v d D s s J n F 1 b 3 Q 7 U 2 V j d G l v b j E v Z G F 0 Y S 9 B d X R v U m V t b 3 Z l Z E N v b H V t b n M x L n t M T E V J I F R S Q U 5 T U E F S R U 5 D S U E g M T k y M D E z I E V T U C w x M X 0 m c X V v d D s s J n F 1 b 3 Q 7 U 2 V j d G l v b j E v Z G F 0 Y S 9 B d X R v U m V t b 3 Z l Z E N v b H V t b n M x L n t E Z W N y Z X Q g O C 8 y M D I x L D E y f S Z x d W 9 0 O y w m c X V v d D t T Z W N 0 a W 9 u M S 9 k Y X R h L 0 F 1 d G 9 S Z W 1 v d m V k Q 2 9 s d W 1 u c z E u e 0 9 i c 2 V y d m F j a W 9 u c y B h I G x h I G 5 v c m 1 h d G l 2 Y S w x M 3 0 m c X V v d D s s J n F 1 b 3 Q 7 U 2 V j d G l v b j E v Z G F 0 Y S 9 B d X R v U m V t b 3 Z l Z E N v b H V t b n M x L n t J V E E g M j A x N y w x N H 0 m c X V v d D s s J n F 1 b 3 Q 7 U 2 V j d G l v b j E v Z G F 0 Y S 9 B d X R v U m V t b 3 Z l Z E N v b H V t b n M x L n t J T k Z P U E F S V E l D S V B B I D I w M j E s M T V 9 J n F 1 b 3 Q 7 L C Z x d W 9 0 O 1 N l Y 3 R p b 2 4 x L 2 R h d G E v Q X V 0 b 1 J l b W 9 2 Z W R D b 2 x 1 b W 5 z M S 5 7 S U 5 G T 1 B B U l R J Q 0 l Q Q S A y M D I y L D E 2 f S Z x d W 9 0 O y w m c X V v d D t T Z W N 0 a W 9 u M S 9 k Y X R h L 0 F 1 d G 9 S Z W 1 v d m V k Q 2 9 s d W 1 u c z E u e 0 l O R k 9 Q Q V J U S U N J U E E g M j A y M y w x N 3 0 m c X V v d D s s J n F 1 b 3 Q 7 U 2 V j d G l v b j E v Z G F 0 Y S 9 B d X R v U m V t b 3 Z l Z E N v b H V t b n M x L n t F T k x M Q c O H I E F K V U R B L D E 4 f S Z x d W 9 0 O 1 0 s J n F 1 b 3 Q 7 U m V s Y X R p b 2 5 z a G l w S W 5 m b y Z x d W 9 0 O z p b X X 0 i I C 8 + P E V u d H J 5 I F R 5 c G U 9 I k Z p b G x U Y X J n Z X R O Y W 1 l Q 3 V z d G 9 t a X p l Z C I g V m F s d W U 9 I m w x I i A v P j w v U 3 R h Y m x l R W 5 0 c m l l c z 4 8 L 0 l 0 Z W 0 + P E l 0 Z W 0 + P E l 0 Z W 1 M b 2 N h d G l v b j 4 8 S X R l b V R 5 c G U + R m 9 y b X V s Y T w v S X R l b V R 5 c G U + P E l 0 Z W 1 Q Y X R o P l N l Y 3 R p b 2 4 x L 2 R h d G E l M j A o M i k v T 3 J p Z 2 V u P C 9 J d G V t U G F 0 a D 4 8 L 0 l 0 Z W 1 M b 2 N h d G l v b j 4 8 U 3 R h Y m x l R W 5 0 c m l l c y A v P j w v S X R l b T 4 8 S X R l b T 4 8 S X R l b U x v Y 2 F 0 a W 9 u P j x J d G V t V H l w Z T 5 G b 3 J t d W x h P C 9 J d G V t V H l w Z T 4 8 S X R l b V B h d G g + U 2 V j d G l v b j E v Z G F 0 Y S U y M C g y K S 9 F b m N h Y m V 6 Y W R v c y U y M H B y b 2 1 v d m l k b 3 M 8 L 0 l 0 Z W 1 Q Y X R o P j w v S X R l b U x v Y 2 F 0 a W 9 u P j x T d G F i b G V F b n R y a W V z I C 8 + P C 9 J d G V t P j x J d G V t P j x J d G V t T G 9 j Y X R p b 2 4 + P E l 0 Z W 1 U e X B l P k Z v c m 1 1 b G E 8 L 0 l 0 Z W 1 U e X B l P j x J d G V t U G F 0 a D 5 T Z W N 0 a W 9 u M S 9 k Y X R h J T I w K D I p L 1 R p c G 8 l M j B j Y W 1 i a W F k b z w v S X R l b V B h d G g + P C 9 J d G V t T G 9 j Y X R p b 2 4 + P F N 0 Y W J s Z U V u d H J p Z X M g L z 4 8 L 0 l 0 Z W 0 + P E l 0 Z W 0 + P E l 0 Z W 1 M b 2 N h d G l v b j 4 8 S X R l b V R 5 c G U + R m 9 y b X V s Y T w v S X R l b V R 5 c G U + P E l 0 Z W 1 Q Y X R o P l N l Y 3 R p b 2 4 x L 2 R h d G E l M j A o 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S I g L z 4 8 R W 5 0 c n k g V H l w Z T 0 i R m l s b E V y c m 9 y Q 2 9 1 b n Q i I F Z h b H V l P S J s M C I g L z 4 8 R W 5 0 c n k g V H l w Z T 0 i R m l s b E x h c 3 R V c G R h d G V k I i B W Y W x 1 Z T 0 i Z D I w M j Q t M T E t M j J U M D c 6 M D Y 6 M T k u O T g 3 M j U 2 M F o i I C 8 + P E V u d H J 5 I F R 5 c G U 9 I k Z p b G x D b 2 x 1 b W 5 U e X B l c y I g V m F s d W U 9 I n N C Z 1 l H Q m d Z R 0 F 3 W U d C Z 1 l H Q m d Z R 0 J n W U d C Z z 0 9 I i A v P j x F b n R y e S B U e X B l P S J G a W x s U 3 R h d H V z I i B W Y W x 1 Z T 0 i c 1 d h a X R p b m d G b 3 J F e G N l b F J l Z n J l c 2 g i I C 8 + P E V u d H J 5 I F R 5 c G U 9 I k Z p b G x D b 2 x 1 b W 5 O Y W 1 l c y I g V m F s d W U 9 I n N b J n F 1 b 3 Q 7 T s O 6 b S 4 g T 1 J E U k U m c X V v d D s s J n F 1 b 3 Q 7 T k 9 N R k F N S U x J Q S Z x d W 9 0 O y w m c X V v d D t O T 0 1 T V U J G Q U 1 J T E l B J n F 1 b 3 Q 7 L C Z x d W 9 0 O 0 5 P T U l U R U 0 g J n F 1 b 3 Q 7 L C Z x d W 9 0 O 0 N P R E k g R k l U W E E g T V V O S U N B V C Z x d W 9 0 O y w m c X V v d D t U S V B V U y D D j V R F T S Z x d W 9 0 O y w m c X V v d D t W S V N J V E V T I E d M T 0 J B T F M g K G R l c y B k Z S B q d W 5 5 I D I w M j M p J n F 1 b 3 Q 7 L C Z x d W 9 0 O 0 N P T U V O V E F S S V M g R 0 x P Q k F M U y A o R k Y p J n F 1 b 3 Q 7 L C Z x d W 9 0 O 1 B S S U 9 S S V R a Q U N J w 5 M g U E V S I E F K V U 5 U Q U 1 F T l R T J n F 1 b 3 Q 7 L C Z x d W 9 0 O 0 Z S R V H D n M O I T k N J Q S B B Q 1 R V Q U x J V F p B Q 0 n D k y B S R V F V R V J J R E E m c X V v d D s s J n F 1 b 3 Q 7 T E x F S S B U U k F O U 1 B B U k V O Q 0 l B I D E 5 M j A x N C B D Q V Q m c X V v d D s s J n F 1 b 3 Q 7 T E x F S S B U U k F O U 1 B B U k V O Q 0 l B I D E 5 M j A x M y B F U 1 A m c X V v d D s s J n F 1 b 3 Q 7 R G V j c m V 0 I D g v M j A y M S Z x d W 9 0 O y w m c X V v d D t P Y n N l c n Z h Y 2 l v b n M g Y S B s Y S B u b 3 J t Y X R p d m E m c X V v d D s s J n F 1 b 3 Q 7 S V R B I D I w M T c m c X V v d D s s J n F 1 b 3 Q 7 S U 5 G T 1 B B U l R J Q 0 l Q Q S A y M D I x J n F 1 b 3 Q 7 L C Z x d W 9 0 O 0 l O R k 9 Q Q V J U S U N J U E E g M j A y M i Z x d W 9 0 O y w m c X V v d D t J T k Z P U E F S V E l D S V B B I D I w M j M m c X V v d D s s J n F 1 b 3 Q 7 R U 5 M T E H D h y B B S l V E Q S Z x d W 9 0 O 1 0 i I C 8 + P E V u d H J 5 I F R 5 c G U 9 I k Z p b G x F c n J v c k N v Z G U i I F Z h b H V l P S J z V W 5 r b m 9 3 b i I g L z 4 8 R W 5 0 c n k g V H l w Z T 0 i T G 9 h Z G V k V G 9 B b m F s e X N p c 1 N l c n Z p Y 2 V z I i B W Y W x 1 Z T 0 i b D A i I C 8 + P E V u d H J 5 I F R 5 c G U 9 I k Z p b G x D b 3 V u d C I g V m F s d W U 9 I m w w I i A v P j x F b n R y e S B U e X B l P S J O Y X Z p Z 2 F 0 a W 9 u U 3 R l c E 5 h b W U i I F Z h b H V l P S J z T m F 2 Z W d h Y 2 n D s 2 4 i I C 8 + P E V u d H J 5 I F R 5 c G U 9 I l J l b G F 0 a W 9 u c 2 h p c E l u Z m 9 D b 2 5 0 Y W l u Z X I i I F Z h b H V l P S J z e y Z x d W 9 0 O 2 N v b H V t b k N v d W 5 0 J n F 1 b 3 Q 7 O j E 5 L C Z x d W 9 0 O 2 t l e U N v b H V t b k 5 h b W V z J n F 1 b 3 Q 7 O l t d L C Z x d W 9 0 O 3 F 1 Z X J 5 U m V s Y X R p b 2 5 z a G l w c y Z x d W 9 0 O z p b X S w m c X V v d D t j b 2 x 1 b W 5 J Z G V u d G l 0 a W V z J n F 1 b 3 Q 7 O l s m c X V v d D t T Z W N 0 a W 9 u M S 9 k Y X R h L 0 F 1 d G 9 S Z W 1 v d m V k Q 2 9 s d W 1 u c z E u e 0 7 D u m 0 u I E 9 S R F J F L D B 9 J n F 1 b 3 Q 7 L C Z x d W 9 0 O 1 N l Y 3 R p b 2 4 x L 2 R h d G E v Q X V 0 b 1 J l b W 9 2 Z W R D b 2 x 1 b W 5 z M S 5 7 T k 9 N R k F N S U x J Q S w x f S Z x d W 9 0 O y w m c X V v d D t T Z W N 0 a W 9 u M S 9 k Y X R h L 0 F 1 d G 9 S Z W 1 v d m V k Q 2 9 s d W 1 u c z E u e 0 5 P T V N V Q k Z B T U l M S U E s M n 0 m c X V v d D s s J n F 1 b 3 Q 7 U 2 V j d G l v b j E v Z G F 0 Y S 9 B d X R v U m V t b 3 Z l Z E N v b H V t b n M x L n t O T 0 1 J V E V N I C w z f S Z x d W 9 0 O y w m c X V v d D t T Z W N 0 a W 9 u M S 9 k Y X R h L 0 F 1 d G 9 S Z W 1 v d m V k Q 2 9 s d W 1 u c z E u e 0 N P R E k g R k l U W E E g T V V O S U N B V C w 0 f S Z x d W 9 0 O y w m c X V v d D t T Z W N 0 a W 9 u M S 9 k Y X R h L 0 F 1 d G 9 S Z W 1 v d m V k Q 2 9 s d W 1 u c z E u e 1 R J U F V T I M O N V E V N L D V 9 J n F 1 b 3 Q 7 L C Z x d W 9 0 O 1 N l Y 3 R p b 2 4 x L 2 R h d G E v Q X V 0 b 1 J l b W 9 2 Z W R D b 2 x 1 b W 5 z M S 5 7 V k l T S V R F U y B H T E 9 C Q U x T I C h k Z X M g Z G U g a n V u e S A y M D I z K S w 2 f S Z x d W 9 0 O y w m c X V v d D t T Z W N 0 a W 9 u M S 9 k Y X R h L 0 F 1 d G 9 S Z W 1 v d m V k Q 2 9 s d W 1 u c z E u e 0 N P T U V O V E F S S V M g R 0 x P Q k F M U y A o R k Y p L D d 9 J n F 1 b 3 Q 7 L C Z x d W 9 0 O 1 N l Y 3 R p b 2 4 x L 2 R h d G E v Q X V 0 b 1 J l b W 9 2 Z W R D b 2 x 1 b W 5 z M S 5 7 U F J J T 1 J J V F p B Q 0 n D k y B Q R V I g Q U p V T l R B T U V O V F M s O H 0 m c X V v d D s s J n F 1 b 3 Q 7 U 2 V j d G l v b j E v Z G F 0 Y S 9 B d X R v U m V t b 3 Z l Z E N v b H V t b n M x L n t G U k V R w 5 z D i E 5 D S U E g Q U N U V U F M S V R a Q U N J w 5 M g U k V R V U V S S U R B L D l 9 J n F 1 b 3 Q 7 L C Z x d W 9 0 O 1 N l Y 3 R p b 2 4 x L 2 R h d G E v Q X V 0 b 1 J l b W 9 2 Z W R D b 2 x 1 b W 5 z M S 5 7 T E x F S S B U U k F O U 1 B B U k V O Q 0 l B I D E 5 M j A x N C B D Q V Q s M T B 9 J n F 1 b 3 Q 7 L C Z x d W 9 0 O 1 N l Y 3 R p b 2 4 x L 2 R h d G E v Q X V 0 b 1 J l b W 9 2 Z W R D b 2 x 1 b W 5 z M S 5 7 T E x F S S B U U k F O U 1 B B U k V O Q 0 l B I D E 5 M j A x M y B F U 1 A s M T F 9 J n F 1 b 3 Q 7 L C Z x d W 9 0 O 1 N l Y 3 R p b 2 4 x L 2 R h d G E v Q X V 0 b 1 J l b W 9 2 Z W R D b 2 x 1 b W 5 z M S 5 7 R G V j c m V 0 I D g v M j A y M S w x M n 0 m c X V v d D s s J n F 1 b 3 Q 7 U 2 V j d G l v b j E v Z G F 0 Y S 9 B d X R v U m V t b 3 Z l Z E N v b H V t b n M x L n t P Y n N l c n Z h Y 2 l v b n M g Y S B s Y S B u b 3 J t Y X R p d m E s M T N 9 J n F 1 b 3 Q 7 L C Z x d W 9 0 O 1 N l Y 3 R p b 2 4 x L 2 R h d G E v Q X V 0 b 1 J l b W 9 2 Z W R D b 2 x 1 b W 5 z M S 5 7 S V R B I D I w M T c s M T R 9 J n F 1 b 3 Q 7 L C Z x d W 9 0 O 1 N l Y 3 R p b 2 4 x L 2 R h d G E v Q X V 0 b 1 J l b W 9 2 Z W R D b 2 x 1 b W 5 z M S 5 7 S U 5 G T 1 B B U l R J Q 0 l Q Q S A y M D I x L D E 1 f S Z x d W 9 0 O y w m c X V v d D t T Z W N 0 a W 9 u M S 9 k Y X R h L 0 F 1 d G 9 S Z W 1 v d m V k Q 2 9 s d W 1 u c z E u e 0 l O R k 9 Q Q V J U S U N J U E E g M j A y M i w x N n 0 m c X V v d D s s J n F 1 b 3 Q 7 U 2 V j d G l v b j E v Z G F 0 Y S 9 B d X R v U m V t b 3 Z l Z E N v b H V t b n M x L n t J T k Z P U E F S V E l D S V B B I D I w M j M s M T d 9 J n F 1 b 3 Q 7 L C Z x d W 9 0 O 1 N l Y 3 R p b 2 4 x L 2 R h d G E v Q X V 0 b 1 J l b W 9 2 Z W R D b 2 x 1 b W 5 z M S 5 7 R U 5 M T E H D h y B B S l V E Q S w x O H 0 m c X V v d D t d L C Z x d W 9 0 O 0 N v b H V t b k N v d W 5 0 J n F 1 b 3 Q 7 O j E 5 L C Z x d W 9 0 O 0 t l e U N v b H V t b k 5 h b W V z J n F 1 b 3 Q 7 O l t d L C Z x d W 9 0 O 0 N v b H V t b k l k Z W 5 0 a X R p Z X M m c X V v d D s 6 W y Z x d W 9 0 O 1 N l Y 3 R p b 2 4 x L 2 R h d G E v Q X V 0 b 1 J l b W 9 2 Z W R D b 2 x 1 b W 5 z M S 5 7 T s O 6 b S 4 g T 1 J E U k U s M H 0 m c X V v d D s s J n F 1 b 3 Q 7 U 2 V j d G l v b j E v Z G F 0 Y S 9 B d X R v U m V t b 3 Z l Z E N v b H V t b n M x L n t O T 0 1 G Q U 1 J T E l B L D F 9 J n F 1 b 3 Q 7 L C Z x d W 9 0 O 1 N l Y 3 R p b 2 4 x L 2 R h d G E v Q X V 0 b 1 J l b W 9 2 Z W R D b 2 x 1 b W 5 z M S 5 7 T k 9 N U 1 V C R k F N S U x J Q S w y f S Z x d W 9 0 O y w m c X V v d D t T Z W N 0 a W 9 u M S 9 k Y X R h L 0 F 1 d G 9 S Z W 1 v d m V k Q 2 9 s d W 1 u c z E u e 0 5 P T U l U R U 0 g L D N 9 J n F 1 b 3 Q 7 L C Z x d W 9 0 O 1 N l Y 3 R p b 2 4 x L 2 R h d G E v Q X V 0 b 1 J l b W 9 2 Z W R D b 2 x 1 b W 5 z M S 5 7 Q 0 9 E S S B G S V R Y Q S B N V U 5 J Q 0 F U L D R 9 J n F 1 b 3 Q 7 L C Z x d W 9 0 O 1 N l Y 3 R p b 2 4 x L 2 R h d G E v Q X V 0 b 1 J l b W 9 2 Z W R D b 2 x 1 b W 5 z M S 5 7 V E l Q V V M g w 4 1 U R U 0 s N X 0 m c X V v d D s s J n F 1 b 3 Q 7 U 2 V j d G l v b j E v Z G F 0 Y S 9 B d X R v U m V t b 3 Z l Z E N v b H V t b n M x L n t W S V N J V E V T I E d M T 0 J B T F M g K G R l c y B k Z S B q d W 5 5 I D I w M j M p L D Z 9 J n F 1 b 3 Q 7 L C Z x d W 9 0 O 1 N l Y 3 R p b 2 4 x L 2 R h d G E v Q X V 0 b 1 J l b W 9 2 Z W R D b 2 x 1 b W 5 z M S 5 7 Q 0 9 N R U 5 U Q V J J U y B H T E 9 C Q U x T I C h G R i k s N 3 0 m c X V v d D s s J n F 1 b 3 Q 7 U 2 V j d G l v b j E v Z G F 0 Y S 9 B d X R v U m V t b 3 Z l Z E N v b H V t b n M x L n t Q U k l P U k l U W k F D S c O T I F B F U i B B S l V O V E F N R U 5 U U y w 4 f S Z x d W 9 0 O y w m c X V v d D t T Z W N 0 a W 9 u M S 9 k Y X R h L 0 F 1 d G 9 S Z W 1 v d m V k Q 2 9 s d W 1 u c z E u e 0 Z S R V H D n M O I T k N J Q S B B Q 1 R V Q U x J V F p B Q 0 n D k y B S R V F V R V J J R E E s O X 0 m c X V v d D s s J n F 1 b 3 Q 7 U 2 V j d G l v b j E v Z G F 0 Y S 9 B d X R v U m V t b 3 Z l Z E N v b H V t b n M x L n t M T E V J I F R S Q U 5 T U E F S R U 5 D S U E g M T k y M D E 0 I E N B V C w x M H 0 m c X V v d D s s J n F 1 b 3 Q 7 U 2 V j d G l v b j E v Z G F 0 Y S 9 B d X R v U m V t b 3 Z l Z E N v b H V t b n M x L n t M T E V J I F R S Q U 5 T U E F S R U 5 D S U E g M T k y M D E z I E V T U C w x M X 0 m c X V v d D s s J n F 1 b 3 Q 7 U 2 V j d G l v b j E v Z G F 0 Y S 9 B d X R v U m V t b 3 Z l Z E N v b H V t b n M x L n t E Z W N y Z X Q g O C 8 y M D I x L D E y f S Z x d W 9 0 O y w m c X V v d D t T Z W N 0 a W 9 u M S 9 k Y X R h L 0 F 1 d G 9 S Z W 1 v d m V k Q 2 9 s d W 1 u c z E u e 0 9 i c 2 V y d m F j a W 9 u c y B h I G x h I G 5 v c m 1 h d G l 2 Y S w x M 3 0 m c X V v d D s s J n F 1 b 3 Q 7 U 2 V j d G l v b j E v Z G F 0 Y S 9 B d X R v U m V t b 3 Z l Z E N v b H V t b n M x L n t J V E E g M j A x N y w x N H 0 m c X V v d D s s J n F 1 b 3 Q 7 U 2 V j d G l v b j E v Z G F 0 Y S 9 B d X R v U m V t b 3 Z l Z E N v b H V t b n M x L n t J T k Z P U E F S V E l D S V B B I D I w M j E s M T V 9 J n F 1 b 3 Q 7 L C Z x d W 9 0 O 1 N l Y 3 R p b 2 4 x L 2 R h d G E v Q X V 0 b 1 J l b W 9 2 Z W R D b 2 x 1 b W 5 z M S 5 7 S U 5 G T 1 B B U l R J Q 0 l Q Q S A y M D I y L D E 2 f S Z x d W 9 0 O y w m c X V v d D t T Z W N 0 a W 9 u M S 9 k Y X R h L 0 F 1 d G 9 S Z W 1 v d m V k Q 2 9 s d W 1 u c z E u e 0 l O R k 9 Q Q V J U S U N J U E E g M j A y M y w x N 3 0 m c X V v d D s s J n F 1 b 3 Q 7 U 2 V j d G l v b j E v Z G F 0 Y S 9 B d X R v U m V t b 3 Z l Z E N v b H V t b n M x L n t F T k x M Q c O H I E F K V U R B L D E 4 f S Z x d W 9 0 O 1 0 s J n F 1 b 3 Q 7 U m V s Y X R p b 2 5 z a G l w S W 5 m b y Z x d W 9 0 O z p b X X 0 i I C 8 + P E V u d H J 5 I F R 5 c G U 9 I k Z p b G x U Y X J n Z X R O Y W 1 l Q 3 V z d G 9 t a X p l Z C I g V m F s d W U 9 I m w x I i A v P j x F b n R y e S B U e X B l P S J B Z G R l Z F R v R G F 0 Y U 1 v Z G V s I i B W Y W x 1 Z T 0 i b D A i I C 8 + P C 9 T d G F i b G V F b n R y a W V z P j w v S X R l b T 4 8 S X R l b T 4 8 S X R l b U x v Y 2 F 0 a W 9 u P j x J d G V t V H l w Z T 5 G b 3 J t d W x h P C 9 J d G V t V H l w Z T 4 8 S X R l b V B h d G g + U 2 V j d G l v b j E v Z G F 0 Y S U y M C g z K S 9 P c m l n Z W 4 8 L 0 l 0 Z W 1 Q Y X R o P j w v S X R l b U x v Y 2 F 0 a W 9 u P j x T d G F i b G V F b n R y a W V z I C 8 + P C 9 J d G V t P j x J d G V t P j x J d G V t T G 9 j Y X R p b 2 4 + P E l 0 Z W 1 U e X B l P k Z v c m 1 1 b G E 8 L 0 l 0 Z W 1 U e X B l P j x J d G V t U G F 0 a D 5 T Z W N 0 a W 9 u M S 9 k Y X R h J T I w K D M p L 0 V u Y 2 F i Z X p h Z G 9 z J T I w c H J v b W 9 2 a W R v c z w v S X R l b V B h d G g + P C 9 J d G V t T G 9 j Y X R p b 2 4 + P F N 0 Y W J s Z U V u d H J p Z X M g L z 4 8 L 0 l 0 Z W 0 + P E l 0 Z W 0 + P E l 0 Z W 1 M b 2 N h d G l v b j 4 8 S X R l b V R 5 c G U + R m 9 y b X V s Y T w v S X R l b V R 5 c G U + P E l 0 Z W 1 Q Y X R o P l N l Y 3 R p b 2 4 x L 2 R h d G E l M j A o M y k v V G l w b y U y M G N h b W J p Y W R v P C 9 J d G V t U G F 0 a D 4 8 L 0 l 0 Z W 1 M b 2 N h d G l v b j 4 8 U 3 R h Y m x l R W 5 0 c m l l c y A v P j w v S X R l b T 4 8 L 0 l 0 Z W 1 z P j w v T G 9 j Y W x Q Y W N r Y W d l T W V 0 Y W R h d G F G a W x l P h Y A A A B Q S w U G A A A A A A A A A A A A A A A A A A A A A A A A 2 g A A A A E A A A D Q j J 3 f A R X R E Y x 6 A M B P w p f r A Q A A A M x 3 F C a Y y c p J m w H G 4 t u 0 j z U A A A A A A g A A A A A A A 2 Y A A M A A A A A Q A A A A z j A 3 6 D r x 9 1 d D R v p e v a L v z g A A A A A E g A A A o A A A A B A A A A A H O J U M P / F u B 8 2 3 j 4 J o o 0 G W U A A A A K 7 H a U 6 y F q B Z X d o d 2 k y l Q Y p f v a 2 R X 4 m 3 v h a J a a T w j D v 6 H v z y 1 7 / M m L 5 X a M L m K X O d F i U f + a o n x 1 K w C s i l k H I U / f f q C T 3 L d A M k N S q i l e x 6 v B + u F A A A A G 9 O j R o 9 O s s 7 3 2 7 b 0 D 3 J T L 2 I c z l k < / D a t a M a s h u p > 
</file>

<file path=customXml/itemProps1.xml><?xml version="1.0" encoding="utf-8"?>
<ds:datastoreItem xmlns:ds="http://schemas.openxmlformats.org/officeDocument/2006/customXml" ds:itemID="{0093D217-2735-4B38-8F36-F3AC6BA883B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11</vt:i4>
      </vt:variant>
    </vt:vector>
  </HeadingPairs>
  <TitlesOfParts>
    <vt:vector size="19" baseType="lpstr">
      <vt:lpstr>1_Plantejament</vt:lpstr>
      <vt:lpstr>2_Avaluació</vt:lpstr>
      <vt:lpstr>3_Informe</vt:lpstr>
      <vt:lpstr>4_Resultats</vt:lpstr>
      <vt:lpstr>5_DadesObertes</vt:lpstr>
      <vt:lpstr>6_Metodologia</vt:lpstr>
      <vt:lpstr>7_Fases</vt:lpstr>
      <vt:lpstr>8_Selectors</vt:lpstr>
      <vt:lpstr>AnyAvaluacio</vt:lpstr>
      <vt:lpstr>'3_Informe'!Área_de_impresión</vt:lpstr>
      <vt:lpstr>DataAvaluacio</vt:lpstr>
      <vt:lpstr>Desp1_TipusEns</vt:lpstr>
      <vt:lpstr>Desp2_Fases</vt:lpstr>
      <vt:lpstr>Desp3_Avaluable</vt:lpstr>
      <vt:lpstr>Desp4_ValorsAvaluacio</vt:lpstr>
      <vt:lpstr>FaseAvaluacio</vt:lpstr>
      <vt:lpstr>NomEns</vt:lpstr>
      <vt:lpstr>NumItemsAvaluats</vt:lpstr>
      <vt:lpstr>TipusEns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Cristina González Rusell</cp:lastModifiedBy>
  <cp:lastPrinted>2025-06-05T07:14:41Z</cp:lastPrinted>
  <dcterms:created xsi:type="dcterms:W3CDTF">2024-03-20T09:14:30Z</dcterms:created>
  <dcterms:modified xsi:type="dcterms:W3CDTF">2026-07-03T07:58:29Z</dcterms:modified>
</cp:coreProperties>
</file>