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7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8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9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theme/themeOverride1.xml" ContentType="application/vnd.openxmlformats-officedocument.themeOverride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hidePivotFieldList="1"/>
  <mc:AlternateContent xmlns:mc="http://schemas.openxmlformats.org/markup-compatibility/2006">
    <mc:Choice Requires="x15">
      <x15ac:absPath xmlns:x15ac="http://schemas.microsoft.com/office/spreadsheetml/2010/11/ac" url="\\Oesdepts\depts\DEPTS\Coordinacio General\Estrategia Corporativa\3. Transparència\PORTAL_AOC\GESTIÓ ECONÒMICA\Gestió econòmica-Pressupost\Execució press trimestral\Execució 2025\"/>
    </mc:Choice>
  </mc:AlternateContent>
  <xr:revisionPtr revIDLastSave="0" documentId="8_{20D4C5BE-8D1E-4A78-BC15-A1B5264AFE5D}" xr6:coauthVersionLast="47" xr6:coauthVersionMax="47" xr10:uidLastSave="{00000000-0000-0000-0000-000000000000}"/>
  <bookViews>
    <workbookView xWindow="-23148" yWindow="-108" windowWidth="23256" windowHeight="12456" tabRatio="864" firstSheet="8" activeTab="14" xr2:uid="{00000000-000D-0000-FFFF-FFFF00000000}"/>
  </bookViews>
  <sheets>
    <sheet name="CREDDEF" sheetId="21" r:id="rId1"/>
    <sheet name="DESPAREA" sheetId="1" r:id="rId2"/>
    <sheet name="DESPCAPITOL" sheetId="2" r:id="rId3"/>
    <sheet name="DESPPROG" sheetId="16" r:id="rId4"/>
    <sheet name="INGRCAPITOL" sheetId="3" r:id="rId5"/>
    <sheet name="TCTS_DESPRGC" sheetId="33" r:id="rId6"/>
    <sheet name="TCTS_INGRCAP" sheetId="34" r:id="rId7"/>
    <sheet name="FINANÇAMENT" sheetId="23" r:id="rId8"/>
    <sheet name="ANUAL_TRIM" sheetId="17" r:id="rId9"/>
    <sheet name="H_CORP" sheetId="14" r:id="rId10"/>
    <sheet name="PREVISIONSFIANY" sheetId="24" r:id="rId11"/>
    <sheet name="ESTABILITAT" sheetId="26" r:id="rId12"/>
    <sheet name="REGLADESPESA" sheetId="27" r:id="rId13"/>
    <sheet name="ENDEUTAMENT" sheetId="29" r:id="rId14"/>
    <sheet name="Portada" sheetId="9" r:id="rId15"/>
    <sheet name="Dades globals" sheetId="10" r:id="rId16"/>
    <sheet name="A1_PREGESTIONAT" sheetId="31" r:id="rId17"/>
    <sheet name="A1B_FINANÇAMENT" sheetId="32" r:id="rId18"/>
    <sheet name="A2_EVOL" sheetId="22" r:id="rId19"/>
    <sheet name="A3CAP_GrauModif" sheetId="4" r:id="rId20"/>
    <sheet name="A4CAP_SitCred" sheetId="5" r:id="rId21"/>
    <sheet name="A5PROG_SITCRED" sheetId="18" r:id="rId22"/>
    <sheet name="A6AREA_GrauModif" sheetId="6" r:id="rId23"/>
    <sheet name="A7AREA_SitCred" sheetId="7" r:id="rId24"/>
    <sheet name="A8_SITINGR" sheetId="8" r:id="rId25"/>
    <sheet name="A9_EXEC" sheetId="13" r:id="rId26"/>
    <sheet name="A10_trimestres" sheetId="19" r:id="rId27"/>
    <sheet name="A11_PREVISIONS" sheetId="25" r:id="rId28"/>
    <sheet name="A12_LOEPSF" sheetId="30" r:id="rId29"/>
    <sheet name="Hoja1" sheetId="35" r:id="rId30"/>
    <sheet name="Full11" sheetId="11" state="hidden" r:id="rId31"/>
    <sheet name="A1_PREGESTIONAT_old" sheetId="20" state="hidden" r:id="rId32"/>
  </sheets>
  <externalReferences>
    <externalReference r:id="rId33"/>
    <externalReference r:id="rId34"/>
  </externalReferences>
  <definedNames>
    <definedName name="_xlnm.Print_Area" localSheetId="16">A1_PREGESTIONAT!$A$1:$H$58</definedName>
    <definedName name="_xlnm.Print_Area" localSheetId="31">A1_PREGESTIONAT_old!$A$1:$H$55</definedName>
    <definedName name="_xlnm.Print_Area" localSheetId="26">A10_trimestres!$A$1:$I$71</definedName>
    <definedName name="_xlnm.Print_Area" localSheetId="27">A11_PREVISIONS!$A$1:$G$60</definedName>
    <definedName name="_xlnm.Print_Area" localSheetId="28">A12_LOEPSF!$A$1:$G$58</definedName>
    <definedName name="_xlnm.Print_Area" localSheetId="17">A1B_FINANÇAMENT!$A$1:$H$58</definedName>
    <definedName name="_xlnm.Print_Area" localSheetId="18">A2_EVOL!$A$1:$G$55</definedName>
    <definedName name="_xlnm.Print_Area" localSheetId="19">A3CAP_GrauModif!$A$1:$H$63</definedName>
    <definedName name="_xlnm.Print_Area" localSheetId="20">A4CAP_SitCred!$A$1:$H$70</definedName>
    <definedName name="_xlnm.Print_Area" localSheetId="21">A5PROG_SITCRED!$A$1:$H$63</definedName>
    <definedName name="_xlnm.Print_Area" localSheetId="22">A6AREA_GrauModif!$A$1:$G$54</definedName>
    <definedName name="_xlnm.Print_Area" localSheetId="23">A7AREA_SitCred!$A$1:$H$72</definedName>
    <definedName name="_xlnm.Print_Area" localSheetId="24">A8_SITINGR!$A$1:$H$68</definedName>
    <definedName name="_xlnm.Print_Area" localSheetId="25">A9_EXEC!$A$1:$H$69</definedName>
  </definedNames>
  <calcPr calcId="191029"/>
  <pivotCaches>
    <pivotCache cacheId="0" r:id="rId3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23" l="1"/>
  <c r="Q22" i="4"/>
  <c r="D10" i="31"/>
  <c r="E18" i="29"/>
  <c r="K48" i="2"/>
  <c r="C12" i="17"/>
  <c r="F12" i="17"/>
  <c r="G7" i="17"/>
  <c r="C8" i="23"/>
  <c r="M9" i="23"/>
  <c r="L11" i="23"/>
  <c r="E10" i="31" l="1"/>
  <c r="M27" i="16" l="1"/>
  <c r="O4" i="16"/>
  <c r="O5" i="16"/>
  <c r="O6" i="16"/>
  <c r="O7" i="16"/>
  <c r="O3" i="16"/>
  <c r="K18" i="2"/>
  <c r="K19" i="2"/>
  <c r="K20" i="2"/>
  <c r="K9" i="16"/>
  <c r="K10" i="16"/>
  <c r="K11" i="16"/>
  <c r="K12" i="16"/>
  <c r="M9" i="16"/>
  <c r="M10" i="16"/>
  <c r="M11" i="16"/>
  <c r="M12" i="16"/>
  <c r="O9" i="16"/>
  <c r="O10" i="16"/>
  <c r="O11" i="16"/>
  <c r="O12" i="16"/>
  <c r="K16" i="16"/>
  <c r="K17" i="16"/>
  <c r="K18" i="16"/>
  <c r="K19" i="16"/>
  <c r="K20" i="16"/>
  <c r="M16" i="16"/>
  <c r="M17" i="16"/>
  <c r="M18" i="16"/>
  <c r="M19" i="16"/>
  <c r="M20" i="16"/>
  <c r="O16" i="16"/>
  <c r="O17" i="16"/>
  <c r="O18" i="16"/>
  <c r="O19" i="16"/>
  <c r="O20" i="16"/>
  <c r="F50" i="3"/>
  <c r="F49" i="3"/>
  <c r="F48" i="3"/>
  <c r="F47" i="3"/>
  <c r="F46" i="3"/>
  <c r="F45" i="3"/>
  <c r="F44" i="3"/>
  <c r="F43" i="3"/>
  <c r="F42" i="3"/>
  <c r="E50" i="3"/>
  <c r="E49" i="3"/>
  <c r="E48" i="3"/>
  <c r="E47" i="3"/>
  <c r="E46" i="3"/>
  <c r="E45" i="3"/>
  <c r="E44" i="3"/>
  <c r="E43" i="3"/>
  <c r="E42" i="3"/>
  <c r="J23" i="3"/>
  <c r="J24" i="3"/>
  <c r="J25" i="3"/>
  <c r="J26" i="3"/>
  <c r="J27" i="3"/>
  <c r="J28" i="3"/>
  <c r="J29" i="3"/>
  <c r="J30" i="3"/>
  <c r="J13" i="3"/>
  <c r="J14" i="3"/>
  <c r="J15" i="3"/>
  <c r="J16" i="3"/>
  <c r="J17" i="3"/>
  <c r="J18" i="3"/>
  <c r="J19" i="3"/>
  <c r="J20" i="3"/>
  <c r="J3" i="3"/>
  <c r="J4" i="3"/>
  <c r="J5" i="3"/>
  <c r="J6" i="3"/>
  <c r="J7" i="3"/>
  <c r="J8" i="3"/>
  <c r="J9" i="3"/>
  <c r="J10" i="3"/>
  <c r="I23" i="3"/>
  <c r="I24" i="3"/>
  <c r="I25" i="3"/>
  <c r="I26" i="3"/>
  <c r="I27" i="3"/>
  <c r="I28" i="3"/>
  <c r="I29" i="3"/>
  <c r="I30" i="3"/>
  <c r="I13" i="3"/>
  <c r="I14" i="3"/>
  <c r="I15" i="3"/>
  <c r="I16" i="3"/>
  <c r="I17" i="3"/>
  <c r="I18" i="3"/>
  <c r="I19" i="3"/>
  <c r="I20" i="3"/>
  <c r="I3" i="3"/>
  <c r="I4" i="3"/>
  <c r="I5" i="3"/>
  <c r="I6" i="3"/>
  <c r="I7" i="3"/>
  <c r="I8" i="3"/>
  <c r="I9" i="3"/>
  <c r="I10" i="3"/>
  <c r="G30" i="3"/>
  <c r="G29" i="3"/>
  <c r="G28" i="3"/>
  <c r="G27" i="3"/>
  <c r="G26" i="3"/>
  <c r="G25" i="3"/>
  <c r="G24" i="3"/>
  <c r="G23" i="3"/>
  <c r="G22" i="3"/>
  <c r="G20" i="3"/>
  <c r="G19" i="3"/>
  <c r="G18" i="3"/>
  <c r="G17" i="3"/>
  <c r="G16" i="3"/>
  <c r="G15" i="3"/>
  <c r="G14" i="3"/>
  <c r="G13" i="3"/>
  <c r="G12" i="3"/>
  <c r="G10" i="3"/>
  <c r="F45" i="2" l="1"/>
  <c r="G48" i="33"/>
  <c r="G47" i="33"/>
  <c r="G46" i="33"/>
  <c r="C48" i="33"/>
  <c r="C47" i="33"/>
  <c r="C46" i="33"/>
  <c r="H45" i="3"/>
  <c r="F10" i="34"/>
  <c r="F9" i="34"/>
  <c r="F8" i="34"/>
  <c r="F7" i="34"/>
  <c r="F6" i="34"/>
  <c r="F5" i="34"/>
  <c r="F4" i="34"/>
  <c r="F3" i="34"/>
  <c r="F2" i="34"/>
  <c r="I10" i="33"/>
  <c r="I9" i="33"/>
  <c r="I8" i="33"/>
  <c r="I7" i="33"/>
  <c r="I6" i="33"/>
  <c r="I5" i="33"/>
  <c r="I4" i="33"/>
  <c r="I3" i="33"/>
  <c r="I2" i="33"/>
  <c r="H3" i="33"/>
  <c r="H4" i="33"/>
  <c r="H5" i="33"/>
  <c r="H6" i="33"/>
  <c r="H7" i="33"/>
  <c r="H8" i="33"/>
  <c r="H9" i="33"/>
  <c r="H10" i="33"/>
  <c r="E10" i="33"/>
  <c r="E9" i="33"/>
  <c r="E8" i="33"/>
  <c r="E7" i="33"/>
  <c r="E6" i="33"/>
  <c r="E5" i="33"/>
  <c r="E4" i="33"/>
  <c r="E3" i="33"/>
  <c r="E2" i="33"/>
  <c r="N30" i="16"/>
  <c r="N31" i="16"/>
  <c r="D8" i="1"/>
  <c r="B8" i="1"/>
  <c r="N35" i="16"/>
  <c r="N34" i="16"/>
  <c r="N33" i="16"/>
  <c r="D33" i="16"/>
  <c r="C33" i="16"/>
  <c r="N32" i="16"/>
  <c r="D32" i="16"/>
  <c r="C32" i="16"/>
  <c r="D31" i="16"/>
  <c r="C31" i="16"/>
  <c r="M30" i="16"/>
  <c r="K30" i="16"/>
  <c r="D30" i="16"/>
  <c r="C30" i="16"/>
  <c r="C34" i="16"/>
  <c r="D34" i="16"/>
  <c r="D35" i="16"/>
  <c r="C35" i="16"/>
  <c r="I10" i="1"/>
  <c r="I7" i="1"/>
  <c r="G30" i="33"/>
  <c r="I30" i="33" s="1"/>
  <c r="G29" i="33"/>
  <c r="I29" i="33" s="1"/>
  <c r="G28" i="33"/>
  <c r="G27" i="33"/>
  <c r="G26" i="33"/>
  <c r="G25" i="33"/>
  <c r="I25" i="33" s="1"/>
  <c r="G24" i="33"/>
  <c r="H22" i="33"/>
  <c r="H30" i="33"/>
  <c r="H28" i="33"/>
  <c r="H24" i="33"/>
  <c r="H27" i="33"/>
  <c r="H26" i="33"/>
  <c r="H25" i="33"/>
  <c r="I27" i="33"/>
  <c r="I26" i="33"/>
  <c r="I22" i="33"/>
  <c r="E30" i="33"/>
  <c r="E29" i="33"/>
  <c r="E28" i="33"/>
  <c r="E27" i="33"/>
  <c r="E26" i="33"/>
  <c r="E25" i="33"/>
  <c r="E24" i="33"/>
  <c r="E23" i="33"/>
  <c r="E22" i="33"/>
  <c r="E13" i="33"/>
  <c r="E14" i="33"/>
  <c r="E15" i="33"/>
  <c r="E16" i="33"/>
  <c r="E17" i="33"/>
  <c r="E18" i="33"/>
  <c r="E19" i="33"/>
  <c r="E20" i="33"/>
  <c r="E12" i="33"/>
  <c r="E14" i="3"/>
  <c r="E15" i="3"/>
  <c r="E16" i="3"/>
  <c r="E17" i="3"/>
  <c r="E18" i="3"/>
  <c r="E19" i="3"/>
  <c r="B18" i="29"/>
  <c r="G33" i="29"/>
  <c r="G18" i="29"/>
  <c r="G17" i="29"/>
  <c r="G25" i="29"/>
  <c r="G23" i="29"/>
  <c r="H23" i="33" l="1"/>
  <c r="I23" i="33"/>
  <c r="H29" i="33"/>
  <c r="I24" i="33"/>
  <c r="I28" i="33"/>
  <c r="K9" i="23"/>
  <c r="L9" i="23"/>
  <c r="L8" i="16"/>
  <c r="D38" i="29"/>
  <c r="F18" i="29" s="1"/>
  <c r="H18" i="29" s="1"/>
  <c r="H33" i="29"/>
  <c r="D31" i="29"/>
  <c r="D35" i="29" s="1"/>
  <c r="D30" i="29"/>
  <c r="D29" i="29"/>
  <c r="D28" i="29"/>
  <c r="D18" i="29"/>
  <c r="F17" i="29"/>
  <c r="H17" i="29" s="1"/>
  <c r="D17" i="29"/>
  <c r="F16" i="29"/>
  <c r="H16" i="29" s="1"/>
  <c r="H15" i="29"/>
  <c r="I33" i="29" l="1"/>
  <c r="N36" i="16"/>
  <c r="I20" i="34" l="1"/>
  <c r="I19" i="34"/>
  <c r="I18" i="34"/>
  <c r="I17" i="34"/>
  <c r="I16" i="34"/>
  <c r="I12" i="34"/>
  <c r="I13" i="34"/>
  <c r="F30" i="34"/>
  <c r="F29" i="34"/>
  <c r="F28" i="34"/>
  <c r="F27" i="34"/>
  <c r="F26" i="34"/>
  <c r="F25" i="34"/>
  <c r="F24" i="34"/>
  <c r="F23" i="34"/>
  <c r="F22" i="34"/>
  <c r="F20" i="34"/>
  <c r="F19" i="34"/>
  <c r="F18" i="34"/>
  <c r="F17" i="34"/>
  <c r="F16" i="34"/>
  <c r="F15" i="34"/>
  <c r="F14" i="34"/>
  <c r="F13" i="34"/>
  <c r="F12" i="34"/>
  <c r="H13" i="33"/>
  <c r="H14" i="33"/>
  <c r="H15" i="33"/>
  <c r="H16" i="33"/>
  <c r="H17" i="33"/>
  <c r="H18" i="33"/>
  <c r="H19" i="33"/>
  <c r="H20" i="33"/>
  <c r="H12" i="33"/>
  <c r="H2" i="33"/>
  <c r="E35" i="3"/>
  <c r="E30" i="3"/>
  <c r="E20" i="3"/>
  <c r="E13" i="3"/>
  <c r="E12" i="3"/>
  <c r="J12" i="3" s="1"/>
  <c r="J22" i="3"/>
  <c r="G9" i="3"/>
  <c r="G4" i="3"/>
  <c r="G3" i="3"/>
  <c r="G2" i="3"/>
  <c r="E27" i="16"/>
  <c r="E30" i="2"/>
  <c r="E29" i="2"/>
  <c r="F29" i="2" s="1"/>
  <c r="E28" i="2"/>
  <c r="E20" i="2"/>
  <c r="E19" i="2"/>
  <c r="E18" i="2"/>
  <c r="B15" i="21"/>
  <c r="B14" i="21"/>
  <c r="B10" i="21"/>
  <c r="B12" i="21" s="1"/>
  <c r="C22" i="21"/>
  <c r="E13" i="26"/>
  <c r="D13" i="26" s="1"/>
  <c r="C13" i="26"/>
  <c r="D12" i="26"/>
  <c r="C12" i="26"/>
  <c r="J2" i="3" l="1"/>
  <c r="G7" i="3"/>
  <c r="G5" i="3"/>
  <c r="G8" i="3"/>
  <c r="G6" i="3"/>
  <c r="G29" i="2"/>
  <c r="F28" i="2"/>
  <c r="F30" i="2"/>
  <c r="I13" i="1"/>
  <c r="G30" i="2" l="1"/>
  <c r="H29" i="2"/>
  <c r="I29" i="2" s="1"/>
  <c r="D22" i="21"/>
  <c r="E22" i="21"/>
  <c r="H30" i="2" l="1"/>
  <c r="I30" i="2" s="1"/>
  <c r="F35" i="34" l="1"/>
  <c r="E45" i="33"/>
  <c r="E43" i="33"/>
  <c r="E44" i="33"/>
  <c r="E46" i="33"/>
  <c r="E47" i="33"/>
  <c r="E48" i="33"/>
  <c r="E49" i="33"/>
  <c r="E50" i="33"/>
  <c r="D10" i="26"/>
  <c r="D11" i="26"/>
  <c r="C9" i="26"/>
  <c r="C10" i="26"/>
  <c r="C11" i="26"/>
  <c r="G19" i="24" l="1"/>
  <c r="C9" i="23"/>
  <c r="D57" i="3"/>
  <c r="D56" i="3"/>
  <c r="H47" i="3"/>
  <c r="H48" i="3"/>
  <c r="H49" i="3"/>
  <c r="H50" i="3"/>
  <c r="D47" i="3"/>
  <c r="D48" i="3"/>
  <c r="D49" i="3"/>
  <c r="D50" i="3"/>
  <c r="C49" i="3"/>
  <c r="C50" i="3"/>
  <c r="C47" i="3"/>
  <c r="B6" i="23"/>
  <c r="G48" i="3" l="1"/>
  <c r="J48" i="3"/>
  <c r="J47" i="3"/>
  <c r="G47" i="3"/>
  <c r="G49" i="3"/>
  <c r="J49" i="3"/>
  <c r="C5" i="23"/>
  <c r="I48" i="3"/>
  <c r="I47" i="3"/>
  <c r="I24" i="34"/>
  <c r="G28" i="24" l="1"/>
  <c r="G27" i="24"/>
  <c r="N14" i="21" l="1"/>
  <c r="M14" i="21"/>
  <c r="L14" i="21"/>
  <c r="K14" i="21"/>
  <c r="J14" i="21"/>
  <c r="I14" i="21"/>
  <c r="H14" i="21"/>
  <c r="G14" i="21"/>
  <c r="F14" i="21"/>
  <c r="E14" i="21"/>
  <c r="E10" i="21" l="1"/>
  <c r="F10" i="21"/>
  <c r="I15" i="34" l="1"/>
  <c r="I14" i="34"/>
  <c r="J4" i="34"/>
  <c r="I35" i="33"/>
  <c r="D55" i="3"/>
  <c r="L11" i="2" l="1"/>
  <c r="L42" i="2" l="1"/>
  <c r="N11" i="2"/>
  <c r="L21" i="2"/>
  <c r="I3" i="1"/>
  <c r="I5" i="1"/>
  <c r="D9" i="26" l="1"/>
  <c r="D8" i="26"/>
  <c r="C8" i="26"/>
  <c r="D7" i="26"/>
  <c r="C7" i="26"/>
  <c r="D6" i="26"/>
  <c r="C6" i="26"/>
  <c r="D5" i="26"/>
  <c r="C5" i="26"/>
  <c r="E4" i="26"/>
  <c r="D4" i="26"/>
  <c r="C4" i="26"/>
  <c r="C3" i="26"/>
  <c r="C2" i="26"/>
  <c r="G25" i="24"/>
  <c r="G24" i="24"/>
  <c r="G29" i="24"/>
  <c r="F29" i="24"/>
  <c r="E29" i="24"/>
  <c r="D29" i="24"/>
  <c r="C29" i="24"/>
  <c r="G22" i="24"/>
  <c r="G21" i="24"/>
  <c r="G20" i="24"/>
  <c r="G18" i="24"/>
  <c r="G13" i="24"/>
  <c r="G12" i="24"/>
  <c r="F23" i="24"/>
  <c r="F26" i="24" s="1"/>
  <c r="E23" i="24"/>
  <c r="E26" i="24" s="1"/>
  <c r="D23" i="24"/>
  <c r="D26" i="24" s="1"/>
  <c r="C23" i="24"/>
  <c r="C26" i="24" s="1"/>
  <c r="F14" i="24"/>
  <c r="E14" i="24"/>
  <c r="D14" i="24"/>
  <c r="C14" i="24"/>
  <c r="G10" i="24"/>
  <c r="G9" i="24"/>
  <c r="G4" i="24"/>
  <c r="G5" i="24"/>
  <c r="G6" i="24"/>
  <c r="G7" i="24"/>
  <c r="G3" i="24"/>
  <c r="F8" i="24"/>
  <c r="F11" i="24" s="1"/>
  <c r="E8" i="24"/>
  <c r="E11" i="24" s="1"/>
  <c r="D8" i="24"/>
  <c r="D11" i="24" s="1"/>
  <c r="C8" i="24"/>
  <c r="C11" i="24" s="1"/>
  <c r="C38" i="17"/>
  <c r="E30" i="24" l="1"/>
  <c r="C30" i="24"/>
  <c r="G23" i="24"/>
  <c r="G26" i="24" s="1"/>
  <c r="G30" i="24" s="1"/>
  <c r="B21" i="21" s="1"/>
  <c r="G8" i="24"/>
  <c r="G11" i="24" s="1"/>
  <c r="D30" i="24"/>
  <c r="F30" i="24"/>
  <c r="C15" i="24"/>
  <c r="E15" i="24"/>
  <c r="D15" i="24"/>
  <c r="F15" i="24"/>
  <c r="G14" i="24"/>
  <c r="G15" i="24" l="1"/>
  <c r="G34" i="24" l="1"/>
  <c r="B20" i="21"/>
  <c r="B22" i="21" s="1"/>
  <c r="C48" i="7" l="1"/>
  <c r="D45" i="7" l="1"/>
  <c r="D46" i="7"/>
  <c r="D47" i="7"/>
  <c r="D48" i="7"/>
  <c r="D49" i="7"/>
  <c r="D43" i="7"/>
  <c r="C41" i="7"/>
  <c r="E10" i="32"/>
  <c r="J35" i="34"/>
  <c r="I35" i="34"/>
  <c r="I2" i="34"/>
  <c r="I4" i="34"/>
  <c r="I5" i="34"/>
  <c r="I6" i="34"/>
  <c r="I7" i="34"/>
  <c r="I8" i="34"/>
  <c r="I3" i="34"/>
  <c r="G45" i="33"/>
  <c r="C45" i="33"/>
  <c r="E55" i="3" l="1"/>
  <c r="J13" i="16"/>
  <c r="C42" i="2"/>
  <c r="I6" i="1"/>
  <c r="F12" i="21" l="1"/>
  <c r="C49" i="7" l="1"/>
  <c r="I12" i="1"/>
  <c r="J12" i="1" s="1"/>
  <c r="I9" i="34"/>
  <c r="I10" i="34"/>
  <c r="K39" i="7"/>
  <c r="K40" i="7" s="1"/>
  <c r="M2" i="31"/>
  <c r="H50" i="34"/>
  <c r="G50" i="34"/>
  <c r="E50" i="34"/>
  <c r="D50" i="34"/>
  <c r="C50" i="34"/>
  <c r="H49" i="34"/>
  <c r="G49" i="34"/>
  <c r="E49" i="34"/>
  <c r="D49" i="34"/>
  <c r="C49" i="34"/>
  <c r="H48" i="34"/>
  <c r="G48" i="34"/>
  <c r="E48" i="34"/>
  <c r="D48" i="34"/>
  <c r="C48" i="34"/>
  <c r="H47" i="34"/>
  <c r="G47" i="34"/>
  <c r="E47" i="34"/>
  <c r="D47" i="34"/>
  <c r="C47" i="34"/>
  <c r="H46" i="34"/>
  <c r="G46" i="34"/>
  <c r="E46" i="34"/>
  <c r="D46" i="34"/>
  <c r="C46" i="34"/>
  <c r="H45" i="34"/>
  <c r="G45" i="34"/>
  <c r="E45" i="34"/>
  <c r="D45" i="34"/>
  <c r="C45" i="34"/>
  <c r="H44" i="34"/>
  <c r="G44" i="34"/>
  <c r="E44" i="34"/>
  <c r="D44" i="34"/>
  <c r="C44" i="34"/>
  <c r="H43" i="34"/>
  <c r="G43" i="34"/>
  <c r="E43" i="34"/>
  <c r="D43" i="34"/>
  <c r="C43" i="34"/>
  <c r="H42" i="34"/>
  <c r="G42" i="34"/>
  <c r="E42" i="34"/>
  <c r="D42" i="34"/>
  <c r="C42" i="34"/>
  <c r="H41" i="34"/>
  <c r="G41" i="34"/>
  <c r="E41" i="34"/>
  <c r="D41" i="34"/>
  <c r="C41" i="34"/>
  <c r="F41" i="34"/>
  <c r="H31" i="34"/>
  <c r="G31" i="34"/>
  <c r="E31" i="34"/>
  <c r="D31" i="34"/>
  <c r="C31" i="34"/>
  <c r="L30" i="34"/>
  <c r="J30" i="34"/>
  <c r="K30" i="34" s="1"/>
  <c r="I30" i="34"/>
  <c r="L29" i="34"/>
  <c r="J29" i="34"/>
  <c r="K29" i="34" s="1"/>
  <c r="I29" i="34"/>
  <c r="L28" i="34"/>
  <c r="J28" i="34"/>
  <c r="K28" i="34" s="1"/>
  <c r="I28" i="34"/>
  <c r="I48" i="34" s="1"/>
  <c r="L27" i="34"/>
  <c r="J27" i="34"/>
  <c r="I27" i="34"/>
  <c r="L26" i="34"/>
  <c r="J26" i="34"/>
  <c r="K26" i="34" s="1"/>
  <c r="I26" i="34"/>
  <c r="I46" i="34" s="1"/>
  <c r="L25" i="34"/>
  <c r="J25" i="34"/>
  <c r="K25" i="34" s="1"/>
  <c r="L24" i="34"/>
  <c r="J24" i="34"/>
  <c r="K24" i="34" s="1"/>
  <c r="L23" i="34"/>
  <c r="J23" i="34"/>
  <c r="I23" i="34"/>
  <c r="L22" i="34"/>
  <c r="J22" i="34"/>
  <c r="K22" i="34" s="1"/>
  <c r="I22" i="34"/>
  <c r="H21" i="34"/>
  <c r="G21" i="34"/>
  <c r="E21" i="34"/>
  <c r="D21" i="34"/>
  <c r="C21" i="34"/>
  <c r="L20" i="34"/>
  <c r="J20" i="34"/>
  <c r="K20" i="34" s="1"/>
  <c r="L19" i="34"/>
  <c r="J19" i="34"/>
  <c r="K19" i="34" s="1"/>
  <c r="L18" i="34"/>
  <c r="J18" i="34"/>
  <c r="K18" i="34" s="1"/>
  <c r="L17" i="34"/>
  <c r="J17" i="34"/>
  <c r="K17" i="34" s="1"/>
  <c r="L16" i="34"/>
  <c r="J16" i="34"/>
  <c r="K16" i="34" s="1"/>
  <c r="L15" i="34"/>
  <c r="J15" i="34"/>
  <c r="K15" i="34" s="1"/>
  <c r="L14" i="34"/>
  <c r="J14" i="34"/>
  <c r="K14" i="34" s="1"/>
  <c r="L13" i="34"/>
  <c r="J13" i="34"/>
  <c r="K13" i="34" s="1"/>
  <c r="L12" i="34"/>
  <c r="J12" i="34"/>
  <c r="H11" i="34"/>
  <c r="G11" i="34"/>
  <c r="E11" i="34"/>
  <c r="D11" i="34"/>
  <c r="C11" i="34"/>
  <c r="L10" i="34"/>
  <c r="J10" i="34"/>
  <c r="F50" i="34"/>
  <c r="L9" i="34"/>
  <c r="J9" i="34"/>
  <c r="K9" i="34" s="1"/>
  <c r="F49" i="34"/>
  <c r="L8" i="34"/>
  <c r="J8" i="34"/>
  <c r="J48" i="34" s="1"/>
  <c r="L7" i="34"/>
  <c r="J7" i="34"/>
  <c r="J47" i="34" s="1"/>
  <c r="L6" i="34"/>
  <c r="J6" i="34"/>
  <c r="K6" i="34" s="1"/>
  <c r="F46" i="34"/>
  <c r="L5" i="34"/>
  <c r="J5" i="34"/>
  <c r="K5" i="34" s="1"/>
  <c r="L4" i="34"/>
  <c r="K4" i="34"/>
  <c r="L3" i="34"/>
  <c r="J3" i="34"/>
  <c r="K3" i="34" s="1"/>
  <c r="F11" i="34"/>
  <c r="L2" i="34"/>
  <c r="J2" i="34"/>
  <c r="K2" i="34" s="1"/>
  <c r="G50" i="33"/>
  <c r="F50" i="33"/>
  <c r="D50" i="33"/>
  <c r="C50" i="33"/>
  <c r="D49" i="33"/>
  <c r="C49" i="33"/>
  <c r="F48" i="33"/>
  <c r="D48" i="33"/>
  <c r="F47" i="33"/>
  <c r="D47" i="33"/>
  <c r="F46" i="33"/>
  <c r="D46" i="33"/>
  <c r="F45" i="33"/>
  <c r="D45" i="33"/>
  <c r="G44" i="33"/>
  <c r="F44" i="33"/>
  <c r="D44" i="33"/>
  <c r="C44" i="33"/>
  <c r="G43" i="33"/>
  <c r="F43" i="33"/>
  <c r="D43" i="33"/>
  <c r="C43" i="33"/>
  <c r="G42" i="33"/>
  <c r="F42" i="33"/>
  <c r="D42" i="33"/>
  <c r="C42" i="33"/>
  <c r="G41" i="33"/>
  <c r="F41" i="33"/>
  <c r="D41" i="33"/>
  <c r="C41" i="33"/>
  <c r="I41" i="33"/>
  <c r="G31" i="33"/>
  <c r="F31" i="33"/>
  <c r="D31" i="33"/>
  <c r="C31" i="33"/>
  <c r="J30" i="33"/>
  <c r="J29" i="33"/>
  <c r="J28" i="33"/>
  <c r="H48" i="33"/>
  <c r="J27" i="33"/>
  <c r="J26" i="33"/>
  <c r="J25" i="33"/>
  <c r="H45" i="33"/>
  <c r="J24" i="33"/>
  <c r="H44" i="33"/>
  <c r="J23" i="33"/>
  <c r="J22" i="33"/>
  <c r="G21" i="33"/>
  <c r="F21" i="33"/>
  <c r="E21" i="33"/>
  <c r="D21" i="33"/>
  <c r="C21" i="33"/>
  <c r="I20" i="33"/>
  <c r="J20" i="33" s="1"/>
  <c r="I19" i="33"/>
  <c r="J19" i="33" s="1"/>
  <c r="I18" i="33"/>
  <c r="J18" i="33" s="1"/>
  <c r="I17" i="33"/>
  <c r="J17" i="33" s="1"/>
  <c r="I16" i="33"/>
  <c r="J16" i="33" s="1"/>
  <c r="H21" i="33"/>
  <c r="I15" i="33"/>
  <c r="J15" i="33" s="1"/>
  <c r="I14" i="33"/>
  <c r="J14" i="33" s="1"/>
  <c r="I13" i="33"/>
  <c r="J13" i="33" s="1"/>
  <c r="I12" i="33"/>
  <c r="J12" i="33" s="1"/>
  <c r="D11" i="33"/>
  <c r="C11" i="33"/>
  <c r="J10" i="33"/>
  <c r="E11" i="33"/>
  <c r="J8" i="33"/>
  <c r="J7" i="33"/>
  <c r="H47" i="33"/>
  <c r="J6" i="33"/>
  <c r="J5" i="33"/>
  <c r="J4" i="33"/>
  <c r="J3" i="33"/>
  <c r="H43" i="33"/>
  <c r="I6" i="27"/>
  <c r="J6" i="27" s="1"/>
  <c r="A36" i="14"/>
  <c r="A35" i="14"/>
  <c r="A34" i="14"/>
  <c r="F41" i="17"/>
  <c r="F40" i="17"/>
  <c r="F39" i="17"/>
  <c r="F38" i="17"/>
  <c r="G38" i="17" s="1"/>
  <c r="F37" i="17"/>
  <c r="F36" i="17"/>
  <c r="F35" i="17"/>
  <c r="F34" i="17"/>
  <c r="F33" i="17"/>
  <c r="F28" i="17"/>
  <c r="F27" i="17"/>
  <c r="F26" i="17"/>
  <c r="F25" i="17"/>
  <c r="F24" i="17"/>
  <c r="F23" i="17"/>
  <c r="F22" i="17"/>
  <c r="F21" i="17"/>
  <c r="F20" i="17"/>
  <c r="F15" i="17"/>
  <c r="F14" i="17"/>
  <c r="F13" i="17"/>
  <c r="F11" i="17"/>
  <c r="F10" i="17"/>
  <c r="F9" i="17"/>
  <c r="F8" i="17"/>
  <c r="F7" i="17"/>
  <c r="C58" i="3"/>
  <c r="G46" i="8"/>
  <c r="C48" i="3"/>
  <c r="C44" i="8"/>
  <c r="H46" i="3"/>
  <c r="G43" i="8" s="1"/>
  <c r="E43" i="8"/>
  <c r="D46" i="3"/>
  <c r="C46" i="3"/>
  <c r="D45" i="3"/>
  <c r="H44" i="3"/>
  <c r="G41" i="8" s="1"/>
  <c r="D44" i="3"/>
  <c r="C44" i="3"/>
  <c r="H43" i="3"/>
  <c r="G40" i="8" s="1"/>
  <c r="E40" i="8"/>
  <c r="D43" i="3"/>
  <c r="C43" i="3"/>
  <c r="H42" i="3"/>
  <c r="G39" i="8" s="1"/>
  <c r="D42" i="3"/>
  <c r="C42" i="3"/>
  <c r="H41" i="3"/>
  <c r="F41" i="3"/>
  <c r="D41" i="3"/>
  <c r="H31" i="3"/>
  <c r="F31" i="3"/>
  <c r="E15" i="32" s="1"/>
  <c r="E31" i="3"/>
  <c r="D15" i="32" s="1"/>
  <c r="D31" i="3"/>
  <c r="C31" i="3"/>
  <c r="I22" i="3"/>
  <c r="H21" i="3"/>
  <c r="F21" i="3"/>
  <c r="E16" i="31" s="1"/>
  <c r="E21" i="3"/>
  <c r="D16" i="32" s="1"/>
  <c r="D21" i="3"/>
  <c r="C21" i="3"/>
  <c r="I12" i="3"/>
  <c r="H11" i="3"/>
  <c r="F11" i="3"/>
  <c r="E11" i="20" s="1"/>
  <c r="E11" i="3"/>
  <c r="D14" i="32" s="1"/>
  <c r="D11" i="3"/>
  <c r="C11" i="3"/>
  <c r="I2" i="3"/>
  <c r="L35" i="16"/>
  <c r="F43" i="18" s="1"/>
  <c r="I35" i="16"/>
  <c r="H35" i="16"/>
  <c r="G35" i="16"/>
  <c r="F35" i="16"/>
  <c r="E35" i="16"/>
  <c r="D43" i="18" s="1"/>
  <c r="C43" i="18"/>
  <c r="L34" i="16"/>
  <c r="F42" i="18" s="1"/>
  <c r="I34" i="16"/>
  <c r="H34" i="16"/>
  <c r="G34" i="16"/>
  <c r="L33" i="16"/>
  <c r="F41" i="18" s="1"/>
  <c r="I33" i="16"/>
  <c r="H33" i="16"/>
  <c r="G33" i="16"/>
  <c r="F33" i="16"/>
  <c r="E33" i="16"/>
  <c r="D41" i="18" s="1"/>
  <c r="C41" i="18"/>
  <c r="L32" i="16"/>
  <c r="F40" i="18" s="1"/>
  <c r="I32" i="16"/>
  <c r="H32" i="16"/>
  <c r="G32" i="16"/>
  <c r="F32" i="16"/>
  <c r="E32" i="16"/>
  <c r="D40" i="18" s="1"/>
  <c r="C40" i="18"/>
  <c r="L31" i="16"/>
  <c r="F39" i="18" s="1"/>
  <c r="I31" i="16"/>
  <c r="H31" i="16"/>
  <c r="G31" i="16"/>
  <c r="F31" i="16"/>
  <c r="E31" i="16"/>
  <c r="C39" i="18"/>
  <c r="L30" i="16"/>
  <c r="F38" i="18" s="1"/>
  <c r="I30" i="16"/>
  <c r="H30" i="16"/>
  <c r="G30" i="16"/>
  <c r="F30" i="16"/>
  <c r="E30" i="16"/>
  <c r="D38" i="18" s="1"/>
  <c r="C38" i="18"/>
  <c r="N29" i="16"/>
  <c r="L29" i="16"/>
  <c r="J29" i="16"/>
  <c r="I29" i="16"/>
  <c r="H29" i="16"/>
  <c r="G29" i="16"/>
  <c r="D29" i="16"/>
  <c r="N22" i="16"/>
  <c r="L22" i="16"/>
  <c r="I22" i="16"/>
  <c r="H22" i="16"/>
  <c r="G22" i="16"/>
  <c r="F22" i="16"/>
  <c r="E22" i="16"/>
  <c r="D22" i="16"/>
  <c r="C22" i="16"/>
  <c r="O21" i="16"/>
  <c r="M21" i="16"/>
  <c r="J21" i="16"/>
  <c r="K21" i="16" s="1"/>
  <c r="J20" i="16"/>
  <c r="J19" i="16"/>
  <c r="J18" i="16"/>
  <c r="J17" i="16"/>
  <c r="J16" i="16"/>
  <c r="N15" i="16"/>
  <c r="L15" i="16"/>
  <c r="I15" i="16"/>
  <c r="H15" i="16"/>
  <c r="G15" i="16"/>
  <c r="F15" i="16"/>
  <c r="E15" i="16"/>
  <c r="D15" i="16"/>
  <c r="C15" i="16"/>
  <c r="M14" i="16"/>
  <c r="J14" i="16"/>
  <c r="K14" i="16" s="1"/>
  <c r="O13" i="16"/>
  <c r="M13" i="16"/>
  <c r="K13" i="16"/>
  <c r="J12" i="16"/>
  <c r="J11" i="16"/>
  <c r="J10" i="16"/>
  <c r="J9" i="16"/>
  <c r="N8" i="16"/>
  <c r="I8" i="16"/>
  <c r="H8" i="16"/>
  <c r="G8" i="16"/>
  <c r="F8" i="16"/>
  <c r="E8" i="16"/>
  <c r="D8" i="16"/>
  <c r="C8" i="16"/>
  <c r="M7" i="16"/>
  <c r="J7" i="16"/>
  <c r="M6" i="16"/>
  <c r="J6" i="16"/>
  <c r="K6" i="16" s="1"/>
  <c r="M5" i="16"/>
  <c r="J5" i="16"/>
  <c r="M4" i="16"/>
  <c r="J4" i="16"/>
  <c r="M3" i="16"/>
  <c r="J3" i="16"/>
  <c r="N50" i="2"/>
  <c r="L50" i="2"/>
  <c r="I50" i="2"/>
  <c r="F48" i="5" s="1"/>
  <c r="L48" i="5" s="1"/>
  <c r="H50" i="2"/>
  <c r="E48" i="5" s="1"/>
  <c r="G50" i="2"/>
  <c r="D48" i="5" s="1"/>
  <c r="F50" i="2"/>
  <c r="C48" i="5" s="1"/>
  <c r="E50" i="2"/>
  <c r="D50" i="2"/>
  <c r="E44" i="4" s="1"/>
  <c r="C50" i="2"/>
  <c r="D44" i="4" s="1"/>
  <c r="N49" i="2"/>
  <c r="L49" i="2"/>
  <c r="I49" i="2"/>
  <c r="F47" i="5" s="1"/>
  <c r="L47" i="5" s="1"/>
  <c r="H49" i="2"/>
  <c r="E47" i="5" s="1"/>
  <c r="G49" i="2"/>
  <c r="D47" i="5" s="1"/>
  <c r="F49" i="2"/>
  <c r="C47" i="5" s="1"/>
  <c r="E49" i="2"/>
  <c r="D49" i="2"/>
  <c r="E43" i="4" s="1"/>
  <c r="C49" i="2"/>
  <c r="D43" i="4" s="1"/>
  <c r="N48" i="2"/>
  <c r="L48" i="2"/>
  <c r="I48" i="2"/>
  <c r="F46" i="5" s="1"/>
  <c r="L46" i="5" s="1"/>
  <c r="H48" i="2"/>
  <c r="E46" i="5" s="1"/>
  <c r="G48" i="2"/>
  <c r="D46" i="5" s="1"/>
  <c r="F48" i="2"/>
  <c r="C46" i="5" s="1"/>
  <c r="E48" i="2"/>
  <c r="D48" i="2"/>
  <c r="E42" i="4" s="1"/>
  <c r="C48" i="2"/>
  <c r="D42" i="4" s="1"/>
  <c r="N47" i="2"/>
  <c r="L47" i="2"/>
  <c r="I47" i="2"/>
  <c r="F45" i="5" s="1"/>
  <c r="L45" i="5" s="1"/>
  <c r="H47" i="2"/>
  <c r="E45" i="5" s="1"/>
  <c r="G47" i="2"/>
  <c r="D45" i="5" s="1"/>
  <c r="F47" i="2"/>
  <c r="C45" i="5" s="1"/>
  <c r="E47" i="2"/>
  <c r="D47" i="2"/>
  <c r="E41" i="4" s="1"/>
  <c r="C47" i="2"/>
  <c r="D41" i="4" s="1"/>
  <c r="N46" i="2"/>
  <c r="L46" i="2"/>
  <c r="I46" i="2"/>
  <c r="F44" i="5" s="1"/>
  <c r="L44" i="5" s="1"/>
  <c r="H46" i="2"/>
  <c r="E44" i="5" s="1"/>
  <c r="G46" i="2"/>
  <c r="D44" i="5" s="1"/>
  <c r="F46" i="2"/>
  <c r="C44" i="5" s="1"/>
  <c r="E46" i="2"/>
  <c r="D46" i="2"/>
  <c r="E40" i="4" s="1"/>
  <c r="C46" i="2"/>
  <c r="D40" i="4" s="1"/>
  <c r="N45" i="2"/>
  <c r="L45" i="2"/>
  <c r="I45" i="2"/>
  <c r="F43" i="5" s="1"/>
  <c r="L43" i="5" s="1"/>
  <c r="H45" i="2"/>
  <c r="E43" i="5" s="1"/>
  <c r="G45" i="2"/>
  <c r="D43" i="5" s="1"/>
  <c r="D45" i="2"/>
  <c r="E39" i="4" s="1"/>
  <c r="N44" i="2"/>
  <c r="L44" i="2"/>
  <c r="G42" i="5" s="1"/>
  <c r="M42" i="5" s="1"/>
  <c r="I44" i="2"/>
  <c r="F42" i="5" s="1"/>
  <c r="L42" i="5" s="1"/>
  <c r="H44" i="2"/>
  <c r="E42" i="5" s="1"/>
  <c r="G44" i="2"/>
  <c r="D42" i="5" s="1"/>
  <c r="F44" i="2"/>
  <c r="C42" i="5" s="1"/>
  <c r="E44" i="2"/>
  <c r="D44" i="2"/>
  <c r="E38" i="4" s="1"/>
  <c r="C44" i="2"/>
  <c r="D38" i="4" s="1"/>
  <c r="N43" i="2"/>
  <c r="L43" i="2"/>
  <c r="I43" i="2"/>
  <c r="F41" i="5" s="1"/>
  <c r="H43" i="2"/>
  <c r="G43" i="2"/>
  <c r="D41" i="5" s="1"/>
  <c r="F43" i="2"/>
  <c r="C41" i="5" s="1"/>
  <c r="E43" i="2"/>
  <c r="D43" i="2"/>
  <c r="E37" i="4" s="1"/>
  <c r="C43" i="2"/>
  <c r="N42" i="2"/>
  <c r="G40" i="5"/>
  <c r="M40" i="5" s="1"/>
  <c r="I42" i="2"/>
  <c r="F40" i="5" s="1"/>
  <c r="L40" i="5" s="1"/>
  <c r="H42" i="2"/>
  <c r="E40" i="5" s="1"/>
  <c r="G42" i="2"/>
  <c r="D40" i="5" s="1"/>
  <c r="F42" i="2"/>
  <c r="C40" i="5" s="1"/>
  <c r="E42" i="2"/>
  <c r="D42" i="2"/>
  <c r="E36" i="4" s="1"/>
  <c r="N41" i="2"/>
  <c r="L41" i="2"/>
  <c r="G14" i="20"/>
  <c r="I41" i="2"/>
  <c r="H41" i="2"/>
  <c r="G41" i="2"/>
  <c r="D41" i="2"/>
  <c r="J35" i="2"/>
  <c r="J41" i="2" s="1"/>
  <c r="N31" i="2"/>
  <c r="L31" i="2"/>
  <c r="I31" i="2"/>
  <c r="H31" i="2"/>
  <c r="G31" i="2"/>
  <c r="F31" i="2"/>
  <c r="E31" i="2"/>
  <c r="D31" i="2"/>
  <c r="C31" i="2"/>
  <c r="O30" i="2"/>
  <c r="M30" i="2"/>
  <c r="J30" i="2"/>
  <c r="K30" i="2" s="1"/>
  <c r="O29" i="2"/>
  <c r="M29" i="2"/>
  <c r="J29" i="2"/>
  <c r="K29" i="2" s="1"/>
  <c r="O28" i="2"/>
  <c r="M28" i="2"/>
  <c r="J28" i="2"/>
  <c r="K28" i="2" s="1"/>
  <c r="O27" i="2"/>
  <c r="M27" i="2"/>
  <c r="J27" i="2"/>
  <c r="K27" i="2" s="1"/>
  <c r="O26" i="2"/>
  <c r="M26" i="2"/>
  <c r="J26" i="2"/>
  <c r="K26" i="2" s="1"/>
  <c r="O25" i="2"/>
  <c r="M25" i="2"/>
  <c r="J25" i="2"/>
  <c r="K25" i="2" s="1"/>
  <c r="O24" i="2"/>
  <c r="M24" i="2"/>
  <c r="J24" i="2"/>
  <c r="K24" i="2" s="1"/>
  <c r="O23" i="2"/>
  <c r="M23" i="2"/>
  <c r="J23" i="2"/>
  <c r="K23" i="2" s="1"/>
  <c r="O22" i="2"/>
  <c r="M22" i="2"/>
  <c r="J22" i="2"/>
  <c r="K22" i="2" s="1"/>
  <c r="N21" i="2"/>
  <c r="I21" i="2"/>
  <c r="H21" i="2"/>
  <c r="G21" i="2"/>
  <c r="F21" i="2"/>
  <c r="E21" i="2"/>
  <c r="D21" i="2"/>
  <c r="C21" i="2"/>
  <c r="O20" i="2"/>
  <c r="M20" i="2"/>
  <c r="J20" i="2"/>
  <c r="O19" i="2"/>
  <c r="M19" i="2"/>
  <c r="J19" i="2"/>
  <c r="O18" i="2"/>
  <c r="M18" i="2"/>
  <c r="J18" i="2"/>
  <c r="M17" i="2"/>
  <c r="J17" i="2"/>
  <c r="M16" i="2"/>
  <c r="J16" i="2"/>
  <c r="K16" i="2" s="1"/>
  <c r="O15" i="2"/>
  <c r="M15" i="2"/>
  <c r="J15" i="2"/>
  <c r="K15" i="2" s="1"/>
  <c r="O14" i="2"/>
  <c r="M14" i="2"/>
  <c r="J14" i="2"/>
  <c r="K14" i="2" s="1"/>
  <c r="O13" i="2"/>
  <c r="M13" i="2"/>
  <c r="J13" i="2"/>
  <c r="K13" i="2" s="1"/>
  <c r="O12" i="2"/>
  <c r="M12" i="2"/>
  <c r="J12" i="2"/>
  <c r="K12" i="2" s="1"/>
  <c r="O11" i="2"/>
  <c r="I11" i="2"/>
  <c r="H11" i="2"/>
  <c r="G11" i="2"/>
  <c r="F11" i="2"/>
  <c r="E11" i="2"/>
  <c r="C14" i="21" s="1"/>
  <c r="D11" i="2"/>
  <c r="C11" i="2"/>
  <c r="J9" i="2"/>
  <c r="O8" i="2"/>
  <c r="M8" i="2"/>
  <c r="J8" i="2"/>
  <c r="K8" i="2" s="1"/>
  <c r="O7" i="2"/>
  <c r="M7" i="2"/>
  <c r="J7" i="2"/>
  <c r="K7" i="2" s="1"/>
  <c r="M6" i="2"/>
  <c r="J6" i="2"/>
  <c r="K6" i="2" s="1"/>
  <c r="O5" i="2"/>
  <c r="M5" i="2"/>
  <c r="J5" i="2"/>
  <c r="K5" i="2" s="1"/>
  <c r="O4" i="2"/>
  <c r="M4" i="2"/>
  <c r="J4" i="2"/>
  <c r="K4" i="2" s="1"/>
  <c r="O3" i="2"/>
  <c r="M3" i="2"/>
  <c r="J3" i="2"/>
  <c r="K3" i="2" s="1"/>
  <c r="O2" i="2"/>
  <c r="M2" i="2"/>
  <c r="J2" i="2"/>
  <c r="K2" i="2" s="1"/>
  <c r="N13" i="1"/>
  <c r="L13" i="1"/>
  <c r="J13" i="1"/>
  <c r="N12" i="1"/>
  <c r="L12" i="1"/>
  <c r="M11" i="1"/>
  <c r="M14" i="1" s="1"/>
  <c r="K11" i="1"/>
  <c r="K14" i="1" s="1"/>
  <c r="H11" i="1"/>
  <c r="H14" i="1" s="1"/>
  <c r="G11" i="1"/>
  <c r="G14" i="1" s="1"/>
  <c r="F11" i="1"/>
  <c r="F14" i="1" s="1"/>
  <c r="C11" i="1"/>
  <c r="C14" i="1" s="1"/>
  <c r="N10" i="1"/>
  <c r="L10" i="1"/>
  <c r="J10" i="1"/>
  <c r="N9" i="1"/>
  <c r="L9" i="1"/>
  <c r="I9" i="1"/>
  <c r="J9" i="1" s="1"/>
  <c r="N8" i="1"/>
  <c r="I8" i="1"/>
  <c r="N7" i="1"/>
  <c r="L7" i="1"/>
  <c r="J7" i="1"/>
  <c r="N6" i="1"/>
  <c r="L6" i="1"/>
  <c r="J6" i="1"/>
  <c r="N5" i="1"/>
  <c r="L5" i="1"/>
  <c r="J5" i="1"/>
  <c r="N4" i="1"/>
  <c r="L4" i="1"/>
  <c r="I4" i="1"/>
  <c r="J4" i="1" s="1"/>
  <c r="N3" i="1"/>
  <c r="L3" i="1"/>
  <c r="J3" i="1"/>
  <c r="N2" i="1"/>
  <c r="L2" i="1"/>
  <c r="I2" i="1"/>
  <c r="I10" i="21"/>
  <c r="I12" i="21" s="1"/>
  <c r="H10" i="21"/>
  <c r="H12" i="21" s="1"/>
  <c r="G10" i="21"/>
  <c r="G12" i="21" s="1"/>
  <c r="G31" i="9"/>
  <c r="G18" i="9"/>
  <c r="L5" i="32"/>
  <c r="L10" i="32" s="1"/>
  <c r="N10" i="32" s="1"/>
  <c r="D40" i="7"/>
  <c r="D41" i="7"/>
  <c r="D42" i="7"/>
  <c r="D44" i="7"/>
  <c r="D39" i="7"/>
  <c r="C40" i="7"/>
  <c r="C42" i="7"/>
  <c r="C43" i="7"/>
  <c r="C44" i="7"/>
  <c r="C46" i="7"/>
  <c r="C47" i="7"/>
  <c r="C39" i="7"/>
  <c r="N16" i="32"/>
  <c r="D6" i="32"/>
  <c r="N13" i="31"/>
  <c r="M13" i="31"/>
  <c r="O13" i="31"/>
  <c r="M7" i="31"/>
  <c r="O7" i="31"/>
  <c r="D6" i="31"/>
  <c r="D6" i="30"/>
  <c r="E20" i="25"/>
  <c r="E19" i="25"/>
  <c r="E17" i="25"/>
  <c r="E16" i="25"/>
  <c r="E11" i="25"/>
  <c r="E12" i="25"/>
  <c r="E13" i="25"/>
  <c r="E14" i="25"/>
  <c r="D20" i="25"/>
  <c r="D19" i="25"/>
  <c r="D17" i="25"/>
  <c r="D16" i="25"/>
  <c r="D11" i="25"/>
  <c r="D12" i="25"/>
  <c r="D13" i="25"/>
  <c r="D14" i="25"/>
  <c r="D10" i="25"/>
  <c r="D6" i="25"/>
  <c r="D6" i="22"/>
  <c r="D6" i="20"/>
  <c r="D6" i="19"/>
  <c r="C6" i="18"/>
  <c r="D6" i="4"/>
  <c r="D6" i="5"/>
  <c r="C6" i="6"/>
  <c r="C42" i="6"/>
  <c r="D42" i="6"/>
  <c r="C43" i="6"/>
  <c r="D43" i="6"/>
  <c r="C44" i="6"/>
  <c r="D44" i="6"/>
  <c r="E44" i="6" s="1"/>
  <c r="C45" i="6"/>
  <c r="D45" i="6"/>
  <c r="C46" i="6"/>
  <c r="D46" i="6"/>
  <c r="C47" i="6"/>
  <c r="D47" i="6"/>
  <c r="E47" i="6" s="1"/>
  <c r="D48" i="6"/>
  <c r="C49" i="6"/>
  <c r="D49" i="6"/>
  <c r="C50" i="6"/>
  <c r="D50" i="6"/>
  <c r="C51" i="6"/>
  <c r="D51" i="6"/>
  <c r="C52" i="6"/>
  <c r="D52" i="6"/>
  <c r="C6" i="7"/>
  <c r="F39" i="7"/>
  <c r="F40" i="7"/>
  <c r="F41" i="7"/>
  <c r="F42" i="7"/>
  <c r="F43" i="7"/>
  <c r="F44" i="7"/>
  <c r="F45" i="7"/>
  <c r="F46" i="7"/>
  <c r="F47" i="7"/>
  <c r="F48" i="7"/>
  <c r="F49" i="7"/>
  <c r="D6" i="8"/>
  <c r="D6" i="13"/>
  <c r="G11" i="20"/>
  <c r="G13" i="20"/>
  <c r="G44" i="5"/>
  <c r="G17" i="32"/>
  <c r="H17" i="32" s="1"/>
  <c r="G17" i="31"/>
  <c r="E45" i="8"/>
  <c r="I41" i="34"/>
  <c r="K8" i="34"/>
  <c r="K27" i="34"/>
  <c r="E42" i="33"/>
  <c r="H42" i="33"/>
  <c r="H41" i="33"/>
  <c r="E41" i="33"/>
  <c r="F44" i="34"/>
  <c r="D36" i="4"/>
  <c r="J30" i="16"/>
  <c r="K23" i="34"/>
  <c r="J41" i="34"/>
  <c r="F43" i="34"/>
  <c r="M11" i="2"/>
  <c r="C34" i="14" s="1"/>
  <c r="G14" i="31"/>
  <c r="F31" i="34"/>
  <c r="J2" i="33"/>
  <c r="I49" i="34"/>
  <c r="K48" i="34" l="1"/>
  <c r="I11" i="34"/>
  <c r="K47" i="34"/>
  <c r="J2" i="1"/>
  <c r="I11" i="1"/>
  <c r="E49" i="7"/>
  <c r="C40" i="8"/>
  <c r="F40" i="8" s="1"/>
  <c r="G43" i="3"/>
  <c r="C34" i="17" s="1"/>
  <c r="G34" i="17" s="1"/>
  <c r="J43" i="3"/>
  <c r="C39" i="8"/>
  <c r="G42" i="3"/>
  <c r="C33" i="17" s="1"/>
  <c r="G33" i="17" s="1"/>
  <c r="J42" i="3"/>
  <c r="J44" i="3"/>
  <c r="G44" i="3"/>
  <c r="C35" i="17" s="1"/>
  <c r="G35" i="17" s="1"/>
  <c r="C43" i="8"/>
  <c r="D43" i="8" s="1"/>
  <c r="J46" i="3"/>
  <c r="G46" i="3"/>
  <c r="C28" i="17"/>
  <c r="G28" i="17" s="1"/>
  <c r="J35" i="16"/>
  <c r="K35" i="16" s="1"/>
  <c r="J31" i="16"/>
  <c r="E39" i="18" s="1"/>
  <c r="J34" i="16"/>
  <c r="E42" i="18" s="1"/>
  <c r="J33" i="16"/>
  <c r="E41" i="18" s="1"/>
  <c r="K4" i="16"/>
  <c r="J32" i="16"/>
  <c r="E40" i="18" s="1"/>
  <c r="J42" i="34"/>
  <c r="K42" i="34" s="1"/>
  <c r="J49" i="2"/>
  <c r="K49" i="2" s="1"/>
  <c r="C14" i="17" s="1"/>
  <c r="G14" i="17" s="1"/>
  <c r="J48" i="2"/>
  <c r="C13" i="17" s="1"/>
  <c r="G13" i="17" s="1"/>
  <c r="E41" i="7"/>
  <c r="I44" i="33"/>
  <c r="I21" i="34"/>
  <c r="I50" i="34"/>
  <c r="J43" i="34"/>
  <c r="K43" i="34" s="1"/>
  <c r="L11" i="34"/>
  <c r="I50" i="33"/>
  <c r="I42" i="33"/>
  <c r="H46" i="33"/>
  <c r="I46" i="33"/>
  <c r="D21" i="25"/>
  <c r="E16" i="32"/>
  <c r="E13" i="20"/>
  <c r="I42" i="3"/>
  <c r="E39" i="8"/>
  <c r="D39" i="8" s="1"/>
  <c r="E47" i="8"/>
  <c r="C41" i="17"/>
  <c r="G41" i="17" s="1"/>
  <c r="C47" i="8"/>
  <c r="C45" i="8"/>
  <c r="D45" i="8" s="1"/>
  <c r="C39" i="17"/>
  <c r="G39" i="17" s="1"/>
  <c r="J15" i="16"/>
  <c r="K15" i="16" s="1"/>
  <c r="G40" i="18"/>
  <c r="E43" i="6"/>
  <c r="E46" i="6"/>
  <c r="K48" i="5"/>
  <c r="K47" i="5"/>
  <c r="M49" i="2"/>
  <c r="C27" i="17" s="1"/>
  <c r="G27" i="17" s="1"/>
  <c r="O46" i="2"/>
  <c r="O44" i="2"/>
  <c r="D12" i="20"/>
  <c r="C15" i="21"/>
  <c r="K7" i="34"/>
  <c r="L42" i="34"/>
  <c r="E57" i="3"/>
  <c r="D58" i="3"/>
  <c r="G21" i="3"/>
  <c r="B35" i="14" s="1"/>
  <c r="E14" i="32"/>
  <c r="E14" i="31"/>
  <c r="I43" i="3"/>
  <c r="K43" i="8"/>
  <c r="F15" i="32"/>
  <c r="O8" i="16"/>
  <c r="M8" i="16"/>
  <c r="G36" i="16"/>
  <c r="G47" i="5"/>
  <c r="M47" i="5" s="1"/>
  <c r="D11" i="20"/>
  <c r="H11" i="20" s="1"/>
  <c r="D14" i="31"/>
  <c r="H14" i="31" s="1"/>
  <c r="D16" i="31"/>
  <c r="D15" i="31"/>
  <c r="H15" i="21"/>
  <c r="J44" i="34"/>
  <c r="K44" i="34" s="1"/>
  <c r="E44" i="7"/>
  <c r="G40" i="7"/>
  <c r="E45" i="6"/>
  <c r="O21" i="2"/>
  <c r="O48" i="2"/>
  <c r="O47" i="2"/>
  <c r="K40" i="5"/>
  <c r="H40" i="5" s="1"/>
  <c r="M42" i="2"/>
  <c r="C20" i="17" s="1"/>
  <c r="G20" i="17" s="1"/>
  <c r="F40" i="4"/>
  <c r="I46" i="3"/>
  <c r="I21" i="3"/>
  <c r="G44" i="8"/>
  <c r="I11" i="3"/>
  <c r="G11" i="3"/>
  <c r="B34" i="14" s="1"/>
  <c r="F43" i="8"/>
  <c r="C41" i="8"/>
  <c r="O22" i="16"/>
  <c r="J22" i="16"/>
  <c r="K22" i="16" s="1"/>
  <c r="O32" i="16"/>
  <c r="M33" i="16"/>
  <c r="O33" i="16"/>
  <c r="G41" i="18"/>
  <c r="G43" i="18"/>
  <c r="G38" i="18"/>
  <c r="K41" i="7"/>
  <c r="L21" i="34"/>
  <c r="I47" i="34"/>
  <c r="J46" i="34"/>
  <c r="K46" i="34" s="1"/>
  <c r="I31" i="33"/>
  <c r="I43" i="33"/>
  <c r="E40" i="7"/>
  <c r="F50" i="7"/>
  <c r="F51" i="3"/>
  <c r="M22" i="16"/>
  <c r="M35" i="16"/>
  <c r="D36" i="16"/>
  <c r="H43" i="8"/>
  <c r="I49" i="3"/>
  <c r="G14" i="32"/>
  <c r="E46" i="8"/>
  <c r="H51" i="3"/>
  <c r="F16" i="32"/>
  <c r="O34" i="16"/>
  <c r="O31" i="16"/>
  <c r="L36" i="16"/>
  <c r="K7" i="16"/>
  <c r="F44" i="18"/>
  <c r="O35" i="16"/>
  <c r="H36" i="16"/>
  <c r="K5" i="16"/>
  <c r="J8" i="16"/>
  <c r="K8" i="16" s="1"/>
  <c r="I36" i="16"/>
  <c r="J45" i="2"/>
  <c r="D49" i="5"/>
  <c r="N51" i="2"/>
  <c r="M46" i="2"/>
  <c r="C24" i="17" s="1"/>
  <c r="G24" i="17" s="1"/>
  <c r="F42" i="4"/>
  <c r="F36" i="4"/>
  <c r="K44" i="5"/>
  <c r="H44" i="5" s="1"/>
  <c r="G44" i="7"/>
  <c r="G41" i="7"/>
  <c r="I15" i="21"/>
  <c r="F15" i="21"/>
  <c r="F38" i="4"/>
  <c r="E45" i="4"/>
  <c r="K46" i="5"/>
  <c r="K17" i="2"/>
  <c r="J47" i="2"/>
  <c r="K47" i="2" s="1"/>
  <c r="G12" i="17" s="1"/>
  <c r="G12" i="20"/>
  <c r="G15" i="20" s="1"/>
  <c r="G15" i="31"/>
  <c r="M31" i="2"/>
  <c r="C36" i="14" s="1"/>
  <c r="L41" i="5"/>
  <c r="L49" i="5" s="1"/>
  <c r="F49" i="5"/>
  <c r="O15" i="16"/>
  <c r="M15" i="16"/>
  <c r="H40" i="8"/>
  <c r="E38" i="18"/>
  <c r="J46" i="2"/>
  <c r="K46" i="2" s="1"/>
  <c r="C11" i="17" s="1"/>
  <c r="G11" i="17" s="1"/>
  <c r="I51" i="2"/>
  <c r="K40" i="8"/>
  <c r="M32" i="16"/>
  <c r="K32" i="16"/>
  <c r="I14" i="1"/>
  <c r="K3" i="16"/>
  <c r="J11" i="2"/>
  <c r="K11" i="2" s="1"/>
  <c r="E42" i="8"/>
  <c r="O30" i="16"/>
  <c r="G48" i="5"/>
  <c r="M48" i="5" s="1"/>
  <c r="G16" i="31"/>
  <c r="G47" i="7"/>
  <c r="E43" i="7"/>
  <c r="O42" i="2"/>
  <c r="E41" i="5"/>
  <c r="E49" i="5" s="1"/>
  <c r="H51" i="2"/>
  <c r="F44" i="4"/>
  <c r="J11" i="3"/>
  <c r="I31" i="3"/>
  <c r="E15" i="31"/>
  <c r="E12" i="20"/>
  <c r="G31" i="3"/>
  <c r="B36" i="14" s="1"/>
  <c r="G42" i="8"/>
  <c r="I45" i="3"/>
  <c r="C40" i="17"/>
  <c r="G40" i="17" s="1"/>
  <c r="C46" i="8"/>
  <c r="E31" i="33"/>
  <c r="F48" i="34"/>
  <c r="F47" i="34"/>
  <c r="L31" i="34"/>
  <c r="J45" i="34"/>
  <c r="K45" i="34" s="1"/>
  <c r="H51" i="34"/>
  <c r="L43" i="34"/>
  <c r="E51" i="34"/>
  <c r="L48" i="34"/>
  <c r="L49" i="34"/>
  <c r="G46" i="7"/>
  <c r="E52" i="6"/>
  <c r="E51" i="6"/>
  <c r="G15" i="21"/>
  <c r="M44" i="2"/>
  <c r="C22" i="17" s="1"/>
  <c r="G22" i="17" s="1"/>
  <c r="F41" i="4"/>
  <c r="O49" i="2"/>
  <c r="D51" i="3"/>
  <c r="I43" i="34"/>
  <c r="J31" i="34"/>
  <c r="K31" i="34" s="1"/>
  <c r="K35" i="34"/>
  <c r="D51" i="34"/>
  <c r="G51" i="34"/>
  <c r="L46" i="34"/>
  <c r="L44" i="34"/>
  <c r="L47" i="34"/>
  <c r="C51" i="33"/>
  <c r="I47" i="33"/>
  <c r="I21" i="33"/>
  <c r="J21" i="33" s="1"/>
  <c r="D51" i="33"/>
  <c r="D15" i="25"/>
  <c r="D18" i="25" s="1"/>
  <c r="D22" i="25" s="1"/>
  <c r="E21" i="25"/>
  <c r="F21" i="25" s="1"/>
  <c r="E10" i="25"/>
  <c r="E15" i="25" s="1"/>
  <c r="N14" i="1"/>
  <c r="D53" i="6"/>
  <c r="J50" i="2"/>
  <c r="C15" i="17" s="1"/>
  <c r="G15" i="17" s="1"/>
  <c r="G41" i="5"/>
  <c r="M43" i="2"/>
  <c r="C21" i="17" s="1"/>
  <c r="G21" i="17" s="1"/>
  <c r="G43" i="5"/>
  <c r="M47" i="2"/>
  <c r="C25" i="17" s="1"/>
  <c r="G25" i="17" s="1"/>
  <c r="G45" i="5"/>
  <c r="I45" i="33"/>
  <c r="I48" i="33"/>
  <c r="K10" i="34"/>
  <c r="J50" i="34"/>
  <c r="K50" i="34" s="1"/>
  <c r="J42" i="2"/>
  <c r="J31" i="2"/>
  <c r="K31" i="2" s="1"/>
  <c r="G51" i="2"/>
  <c r="L51" i="2"/>
  <c r="E42" i="6"/>
  <c r="N11" i="1"/>
  <c r="D51" i="2"/>
  <c r="J44" i="2"/>
  <c r="K44" i="2" s="1"/>
  <c r="J21" i="2"/>
  <c r="K21" i="2" s="1"/>
  <c r="J43" i="2"/>
  <c r="K43" i="2" s="1"/>
  <c r="C8" i="17" s="1"/>
  <c r="G8" i="17" s="1"/>
  <c r="J11" i="34"/>
  <c r="K11" i="34" s="1"/>
  <c r="M44" i="5"/>
  <c r="G42" i="7"/>
  <c r="G48" i="7"/>
  <c r="M21" i="2"/>
  <c r="C35" i="14" s="1"/>
  <c r="D13" i="20"/>
  <c r="O31" i="2"/>
  <c r="D37" i="4"/>
  <c r="O43" i="2"/>
  <c r="K42" i="5"/>
  <c r="H42" i="5" s="1"/>
  <c r="O45" i="2"/>
  <c r="K45" i="5"/>
  <c r="G46" i="5"/>
  <c r="M48" i="2"/>
  <c r="C26" i="17" s="1"/>
  <c r="G26" i="17" s="1"/>
  <c r="F43" i="4"/>
  <c r="D39" i="18"/>
  <c r="M31" i="16"/>
  <c r="G16" i="32"/>
  <c r="H16" i="32" s="1"/>
  <c r="J21" i="3"/>
  <c r="G15" i="32"/>
  <c r="J31" i="3"/>
  <c r="E14" i="20"/>
  <c r="E17" i="32"/>
  <c r="E17" i="31"/>
  <c r="E41" i="8"/>
  <c r="I44" i="3"/>
  <c r="C37" i="17"/>
  <c r="G37" i="17" s="1"/>
  <c r="E44" i="8"/>
  <c r="D44" i="8" s="1"/>
  <c r="G45" i="8"/>
  <c r="E56" i="3"/>
  <c r="H50" i="33"/>
  <c r="J21" i="34"/>
  <c r="K21" i="34" s="1"/>
  <c r="K12" i="34"/>
  <c r="C51" i="34"/>
  <c r="L45" i="34"/>
  <c r="G43" i="7"/>
  <c r="G39" i="7"/>
  <c r="E50" i="6"/>
  <c r="E49" i="6"/>
  <c r="E46" i="7"/>
  <c r="E42" i="7"/>
  <c r="G49" i="7"/>
  <c r="G47" i="8"/>
  <c r="J49" i="34"/>
  <c r="I25" i="34"/>
  <c r="I45" i="34" s="1"/>
  <c r="F45" i="34"/>
  <c r="L50" i="34"/>
  <c r="I42" i="34"/>
  <c r="I44" i="34"/>
  <c r="D50" i="7"/>
  <c r="E47" i="7"/>
  <c r="E48" i="7"/>
  <c r="E39" i="7"/>
  <c r="D40" i="8" l="1"/>
  <c r="F12" i="20"/>
  <c r="K31" i="16"/>
  <c r="K33" i="16"/>
  <c r="D46" i="8"/>
  <c r="H12" i="20"/>
  <c r="H47" i="5"/>
  <c r="C9" i="17"/>
  <c r="G9" i="17" s="1"/>
  <c r="F42" i="34"/>
  <c r="F51" i="34" s="1"/>
  <c r="F21" i="34"/>
  <c r="F49" i="33"/>
  <c r="F51" i="33" s="1"/>
  <c r="F11" i="33"/>
  <c r="F14" i="31"/>
  <c r="F15" i="31"/>
  <c r="E58" i="3"/>
  <c r="B8" i="23" s="1"/>
  <c r="F47" i="8"/>
  <c r="H39" i="8"/>
  <c r="D47" i="8"/>
  <c r="H14" i="32"/>
  <c r="F14" i="32"/>
  <c r="F45" i="8"/>
  <c r="K39" i="8"/>
  <c r="F39" i="8"/>
  <c r="G18" i="31"/>
  <c r="E12" i="21"/>
  <c r="E15" i="21" s="1"/>
  <c r="E43" i="18"/>
  <c r="E44" i="18" s="1"/>
  <c r="F11" i="20"/>
  <c r="H15" i="31"/>
  <c r="J31" i="33"/>
  <c r="I51" i="3"/>
  <c r="D41" i="8"/>
  <c r="J36" i="16"/>
  <c r="L51" i="34"/>
  <c r="O36" i="16"/>
  <c r="H46" i="8"/>
  <c r="K46" i="8"/>
  <c r="K42" i="8"/>
  <c r="H42" i="8"/>
  <c r="H48" i="5"/>
  <c r="H31" i="33"/>
  <c r="F46" i="8"/>
  <c r="K41" i="5"/>
  <c r="H41" i="5" s="1"/>
  <c r="I51" i="34"/>
  <c r="K49" i="34"/>
  <c r="J51" i="34"/>
  <c r="K51" i="34" s="1"/>
  <c r="H45" i="8"/>
  <c r="G48" i="8"/>
  <c r="F44" i="8"/>
  <c r="H44" i="8"/>
  <c r="K44" i="8"/>
  <c r="E18" i="31"/>
  <c r="G19" i="32"/>
  <c r="H15" i="32"/>
  <c r="G39" i="18"/>
  <c r="F37" i="4"/>
  <c r="H13" i="20"/>
  <c r="O51" i="2"/>
  <c r="M45" i="5"/>
  <c r="H45" i="5"/>
  <c r="M43" i="5"/>
  <c r="K45" i="8"/>
  <c r="F13" i="20"/>
  <c r="I31" i="34"/>
  <c r="E51" i="33"/>
  <c r="H47" i="8"/>
  <c r="K47" i="8"/>
  <c r="F41" i="8"/>
  <c r="H41" i="8"/>
  <c r="K41" i="8"/>
  <c r="E48" i="8"/>
  <c r="E19" i="32"/>
  <c r="M46" i="5"/>
  <c r="H46" i="5"/>
  <c r="F16" i="31"/>
  <c r="E18" i="25"/>
  <c r="F15" i="25"/>
  <c r="H16" i="31"/>
  <c r="K42" i="2"/>
  <c r="C7" i="17" s="1"/>
  <c r="J51" i="2"/>
  <c r="E15" i="20"/>
  <c r="M41" i="5"/>
  <c r="G49" i="5"/>
  <c r="G49" i="33" l="1"/>
  <c r="G51" i="33" s="1"/>
  <c r="G11" i="33"/>
  <c r="J9" i="33"/>
  <c r="D18" i="32"/>
  <c r="D19" i="31"/>
  <c r="F19" i="31" s="1"/>
  <c r="B7" i="23"/>
  <c r="E22" i="25"/>
  <c r="F22" i="25" s="1"/>
  <c r="F18" i="25"/>
  <c r="K48" i="8"/>
  <c r="E49" i="8"/>
  <c r="H19" i="32"/>
  <c r="L14" i="32" s="1"/>
  <c r="M49" i="5"/>
  <c r="E20" i="31"/>
  <c r="G49" i="8"/>
  <c r="H48" i="8"/>
  <c r="I11" i="33" l="1"/>
  <c r="J11" i="33" s="1"/>
  <c r="I49" i="33"/>
  <c r="I51" i="33" s="1"/>
  <c r="H11" i="33"/>
  <c r="H49" i="33"/>
  <c r="H51" i="33" s="1"/>
  <c r="H49" i="8"/>
  <c r="L15" i="32"/>
  <c r="M15" i="32" s="1"/>
  <c r="M14" i="32"/>
  <c r="K49" i="8"/>
  <c r="J8" i="1"/>
  <c r="C41" i="3"/>
  <c r="C45" i="7"/>
  <c r="C48" i="6"/>
  <c r="C45" i="2"/>
  <c r="D39" i="4" s="1"/>
  <c r="D11" i="1" l="1"/>
  <c r="D14" i="1" s="1"/>
  <c r="L14" i="1" s="1"/>
  <c r="C41" i="2"/>
  <c r="E11" i="1"/>
  <c r="E14" i="1" s="1"/>
  <c r="B11" i="1"/>
  <c r="B14" i="1" s="1"/>
  <c r="E45" i="7"/>
  <c r="G45" i="7"/>
  <c r="C50" i="7"/>
  <c r="E48" i="6"/>
  <c r="C53" i="6"/>
  <c r="K48" i="6" s="1"/>
  <c r="F39" i="4"/>
  <c r="D45" i="4"/>
  <c r="L39" i="4" s="1"/>
  <c r="C42" i="18"/>
  <c r="C44" i="18" s="1"/>
  <c r="C36" i="16"/>
  <c r="L8" i="1"/>
  <c r="C45" i="3"/>
  <c r="C51" i="3" s="1"/>
  <c r="C51" i="2"/>
  <c r="C29" i="16"/>
  <c r="J11" i="1" l="1"/>
  <c r="F41" i="2"/>
  <c r="E45" i="2"/>
  <c r="K45" i="2" s="1"/>
  <c r="C10" i="17" s="1"/>
  <c r="G10" i="17" s="1"/>
  <c r="L11" i="1"/>
  <c r="J14" i="1"/>
  <c r="E41" i="2"/>
  <c r="L42" i="4"/>
  <c r="L43" i="4"/>
  <c r="L36" i="4"/>
  <c r="F45" i="4"/>
  <c r="G39" i="4" s="1"/>
  <c r="H39" i="4" s="1"/>
  <c r="L40" i="4"/>
  <c r="L37" i="4"/>
  <c r="L44" i="4"/>
  <c r="L41" i="4"/>
  <c r="L38" i="4"/>
  <c r="C43" i="5"/>
  <c r="F51" i="2"/>
  <c r="E34" i="16"/>
  <c r="E29" i="16"/>
  <c r="E41" i="3"/>
  <c r="D17" i="32"/>
  <c r="K42" i="6"/>
  <c r="K43" i="6"/>
  <c r="K44" i="6"/>
  <c r="K47" i="6"/>
  <c r="E53" i="6"/>
  <c r="K45" i="6"/>
  <c r="K50" i="6"/>
  <c r="K52" i="6"/>
  <c r="K51" i="6"/>
  <c r="K46" i="6"/>
  <c r="K49" i="6"/>
  <c r="J45" i="3" l="1"/>
  <c r="G45" i="3"/>
  <c r="C36" i="17" s="1"/>
  <c r="G36" i="17" s="1"/>
  <c r="E51" i="2"/>
  <c r="K51" i="2" s="1"/>
  <c r="E21" i="14" s="1"/>
  <c r="M45" i="2"/>
  <c r="C23" i="17" s="1"/>
  <c r="G23" i="17" s="1"/>
  <c r="D17" i="31"/>
  <c r="D14" i="20"/>
  <c r="F52" i="6"/>
  <c r="G52" i="6" s="1"/>
  <c r="F42" i="6"/>
  <c r="G42" i="6" s="1"/>
  <c r="F51" i="6"/>
  <c r="G51" i="6" s="1"/>
  <c r="F46" i="6"/>
  <c r="G46" i="6" s="1"/>
  <c r="F47" i="6"/>
  <c r="G47" i="6" s="1"/>
  <c r="F49" i="6"/>
  <c r="G49" i="6" s="1"/>
  <c r="F45" i="6"/>
  <c r="G45" i="6" s="1"/>
  <c r="F44" i="6"/>
  <c r="G44" i="6" s="1"/>
  <c r="F43" i="6"/>
  <c r="G43" i="6" s="1"/>
  <c r="F50" i="6"/>
  <c r="G50" i="6" s="1"/>
  <c r="F29" i="16"/>
  <c r="F34" i="16"/>
  <c r="F36" i="16" s="1"/>
  <c r="E36" i="16"/>
  <c r="M34" i="16"/>
  <c r="D42" i="18"/>
  <c r="K34" i="16"/>
  <c r="G40" i="4"/>
  <c r="H40" i="4" s="1"/>
  <c r="G42" i="4"/>
  <c r="H42" i="4" s="1"/>
  <c r="G36" i="4"/>
  <c r="H36" i="4" s="1"/>
  <c r="G43" i="4"/>
  <c r="H43" i="4" s="1"/>
  <c r="G37" i="4"/>
  <c r="H37" i="4" s="1"/>
  <c r="G38" i="4"/>
  <c r="H38" i="4" s="1"/>
  <c r="L3" i="4"/>
  <c r="G41" i="4"/>
  <c r="H41" i="4" s="1"/>
  <c r="G44" i="4"/>
  <c r="H44" i="4" s="1"/>
  <c r="F17" i="32"/>
  <c r="D19" i="32"/>
  <c r="F19" i="32" s="1"/>
  <c r="L8" i="32" s="1"/>
  <c r="K43" i="5"/>
  <c r="H43" i="5" s="1"/>
  <c r="C49" i="5"/>
  <c r="E51" i="3"/>
  <c r="C42" i="8"/>
  <c r="F48" i="6"/>
  <c r="G48" i="6" s="1"/>
  <c r="M51" i="2" l="1"/>
  <c r="F21" i="14" s="1"/>
  <c r="D18" i="31"/>
  <c r="H17" i="31"/>
  <c r="F17" i="31"/>
  <c r="D15" i="20"/>
  <c r="F14" i="20"/>
  <c r="H14" i="20"/>
  <c r="L9" i="32"/>
  <c r="M9" i="32" s="1"/>
  <c r="M8" i="32"/>
  <c r="M36" i="16"/>
  <c r="K36" i="16"/>
  <c r="C48" i="8"/>
  <c r="F42" i="8"/>
  <c r="D42" i="8"/>
  <c r="D48" i="8" s="1"/>
  <c r="B9" i="23"/>
  <c r="G51" i="3"/>
  <c r="G21" i="14" s="1"/>
  <c r="J51" i="3"/>
  <c r="L4" i="4"/>
  <c r="M4" i="4" s="1"/>
  <c r="M3" i="4"/>
  <c r="D44" i="18"/>
  <c r="G42" i="18"/>
  <c r="G44" i="18" s="1"/>
  <c r="F15" i="20" l="1"/>
  <c r="H15" i="20"/>
  <c r="F10" i="31"/>
  <c r="H18" i="31"/>
  <c r="M5" i="31" s="1"/>
  <c r="F18" i="31"/>
  <c r="D20" i="31"/>
  <c r="F20" i="31" s="1"/>
  <c r="M11" i="31" s="1"/>
  <c r="D10" i="32"/>
  <c r="F10" i="32" s="1"/>
  <c r="F48" i="8"/>
  <c r="C49" i="8"/>
  <c r="M6" i="31" l="1"/>
  <c r="N6" i="31" s="1"/>
  <c r="N5" i="31"/>
  <c r="N11" i="31"/>
  <c r="M12" i="31"/>
  <c r="N12" i="31" s="1"/>
  <c r="F49" i="8"/>
  <c r="D49" i="8"/>
</calcChain>
</file>

<file path=xl/sharedStrings.xml><?xml version="1.0" encoding="utf-8"?>
<sst xmlns="http://schemas.openxmlformats.org/spreadsheetml/2006/main" count="1055" uniqueCount="341">
  <si>
    <t>Direcció d'àrea</t>
  </si>
  <si>
    <t>Crèdits inicials</t>
  </si>
  <si>
    <t>Modificacions</t>
  </si>
  <si>
    <t>Crèdits definitius</t>
  </si>
  <si>
    <t>Romanent disponible</t>
  </si>
  <si>
    <t>Saldo retencions</t>
  </si>
  <si>
    <t>Saldo autoritzacions</t>
  </si>
  <si>
    <t>Saldo compromisos</t>
  </si>
  <si>
    <t>Compromisos</t>
  </si>
  <si>
    <t>% D / CDef</t>
  </si>
  <si>
    <t>Obligacions</t>
  </si>
  <si>
    <t>% O / CDef</t>
  </si>
  <si>
    <t>Pagaments</t>
  </si>
  <si>
    <t>% MP / O</t>
  </si>
  <si>
    <t>Secretaria, Intervenció i Tresoreria</t>
  </si>
  <si>
    <t>Corporació</t>
  </si>
  <si>
    <t>O.A. Patronat de Turisme</t>
  </si>
  <si>
    <t>O.A. BASE</t>
  </si>
  <si>
    <t>Suma DIPTA</t>
  </si>
  <si>
    <t>Ens</t>
  </si>
  <si>
    <t>CORP</t>
  </si>
  <si>
    <t>DESPESES DE PERSONAL</t>
  </si>
  <si>
    <t>DESPESES EN BÉNS CORRENTS I SERVEIS</t>
  </si>
  <si>
    <t>DESPESES FINANCERES</t>
  </si>
  <si>
    <t>TRANSFERÈNCIES CORRENTS</t>
  </si>
  <si>
    <t>FONS DE CONTINGÈNCIA</t>
  </si>
  <si>
    <t>INVERSIONS REALS</t>
  </si>
  <si>
    <t>TRANSFERÈNCIES DE CAPITAL</t>
  </si>
  <si>
    <t>ACTIUS FINANCERS</t>
  </si>
  <si>
    <t>PASSIUS FINANCERS</t>
  </si>
  <si>
    <t>TUR</t>
  </si>
  <si>
    <t>Turisme</t>
  </si>
  <si>
    <t>BASE</t>
  </si>
  <si>
    <t>DIPTA</t>
  </si>
  <si>
    <t>Diputació de Tarragona</t>
  </si>
  <si>
    <t>Previsions inicials</t>
  </si>
  <si>
    <t>Previsions definitives</t>
  </si>
  <si>
    <t>Drets reconeguts néts</t>
  </si>
  <si>
    <t>% DRN / PDef</t>
  </si>
  <si>
    <t>Ingressos</t>
  </si>
  <si>
    <t>% I / DRN</t>
  </si>
  <si>
    <t>IMPOSTOS DIRECTES</t>
  </si>
  <si>
    <t>IMPOSTOS INDIRECTES</t>
  </si>
  <si>
    <t>TAXES, PREUS PÚBLICS I ALTRES INGRESSOS</t>
  </si>
  <si>
    <t>INGRESSOS PATRIMONIALS</t>
  </si>
  <si>
    <t>VENDA D'INVERSIONS REALS</t>
  </si>
  <si>
    <t>DIPUTACIÓ DE TARRAGONA</t>
  </si>
  <si>
    <t>CRÈDITS DEFINITIUS PER CAPÍTOL</t>
  </si>
  <si>
    <t>Capítol</t>
  </si>
  <si>
    <t>Crèdits Definitius</t>
  </si>
  <si>
    <t>Despeses de personal</t>
  </si>
  <si>
    <t>Despeses en béns corrents i serveis</t>
  </si>
  <si>
    <t>Despeses financeres</t>
  </si>
  <si>
    <t>Transferències corrents</t>
  </si>
  <si>
    <t>Fons de contingència</t>
  </si>
  <si>
    <t>Inversions reals</t>
  </si>
  <si>
    <t>Transferències de capital</t>
  </si>
  <si>
    <t>Actius financers</t>
  </si>
  <si>
    <t>Passius financers</t>
  </si>
  <si>
    <t>Total Pressupost</t>
  </si>
  <si>
    <t>SITUACIÓ DELS CRÈDITS DEFINITIUS PER CAPÍTOL</t>
  </si>
  <si>
    <t>Crèdits disponibles</t>
  </si>
  <si>
    <t>Saldo crèdits retinguts</t>
  </si>
  <si>
    <t>Saldo crèdits autoritzats</t>
  </si>
  <si>
    <t>Saldo crèdits compromesos</t>
  </si>
  <si>
    <t>Obligacions reconegudes nétes</t>
  </si>
  <si>
    <t>CRÈDITS DEFINITIUS PER COORDINACIONS</t>
  </si>
  <si>
    <t>Àrea de coordinació</t>
  </si>
  <si>
    <t>Pes de l'àrea</t>
  </si>
  <si>
    <t>SITUACIÓ DELS CRÈDITS DEFINITIUS PER COORDINACIONS</t>
  </si>
  <si>
    <t>ESTAT D'EXECUCIÓ PER CAPÍTOLS</t>
  </si>
  <si>
    <t>Impostos directes</t>
  </si>
  <si>
    <t>Impostos indirectes</t>
  </si>
  <si>
    <t>Taxes i altres ingressos</t>
  </si>
  <si>
    <t>Ingressos patrimonials</t>
  </si>
  <si>
    <t>Venda d'inversions reals</t>
  </si>
  <si>
    <t>Estat d'execució del Pressupost</t>
  </si>
  <si>
    <t>Informació trimestral</t>
  </si>
  <si>
    <t>(Intervenció General)</t>
  </si>
  <si>
    <t>Ajust</t>
  </si>
  <si>
    <t>Ajustos consolidació</t>
  </si>
  <si>
    <t>Saldo previsions definitives</t>
  </si>
  <si>
    <t>1.DESPESES DE PERSONAL</t>
  </si>
  <si>
    <t>2.DESPESES EN BÉNS CORRENTS I SERVEIS</t>
  </si>
  <si>
    <t>3.DESPESES FINANCERES</t>
  </si>
  <si>
    <t>4.TRANSFERÈNCIES CORRENTS</t>
  </si>
  <si>
    <t>5.FONS DE CONTINGÈNCIA</t>
  </si>
  <si>
    <t>6.INVERSIONS REALS</t>
  </si>
  <si>
    <t>7.TRANSFERÈNCIES DE CAPITAL</t>
  </si>
  <si>
    <t>8.ACTIUS FINANCERS</t>
  </si>
  <si>
    <t>9.PASSIUS FINANCERS</t>
  </si>
  <si>
    <t>1.IMPOSTOS DIRECTES</t>
  </si>
  <si>
    <t>2.IMPOSTOS INDIRECTES</t>
  </si>
  <si>
    <t>3.TAXES, PREUS PÚBLICS I ALTRES INGRESSOS</t>
  </si>
  <si>
    <t>5.INGRESSOS PATRIMONIALS</t>
  </si>
  <si>
    <t>6.VENDA D'INVERSIONS REALS</t>
  </si>
  <si>
    <t>% I / Pdef</t>
  </si>
  <si>
    <t>T1</t>
  </si>
  <si>
    <t>Drets</t>
  </si>
  <si>
    <t>T2</t>
  </si>
  <si>
    <t>T3</t>
  </si>
  <si>
    <t>T4</t>
  </si>
  <si>
    <t>COBERTURA</t>
  </si>
  <si>
    <t>%DR</t>
  </si>
  <si>
    <t>%OBL</t>
  </si>
  <si>
    <t>Només dades Corporació</t>
  </si>
  <si>
    <t>DEUTE PÚBLIC</t>
  </si>
  <si>
    <t>SERVEIS PÚBLICS BÀSICS</t>
  </si>
  <si>
    <t>ACTUACIONS DE PROTECCIÓ I PROMOCIÓ SOCIAL</t>
  </si>
  <si>
    <t>BÉNS DE CARÀCTER PREFERENT</t>
  </si>
  <si>
    <t>ACTUACIONS DE CARÀCTER ECONÒMIC</t>
  </si>
  <si>
    <t>ACTUACIONS DE CARÀCTER GENERAL</t>
  </si>
  <si>
    <t>0.DEUTE PÚBLIC</t>
  </si>
  <si>
    <t>1.SERVEIS PÚBLICS BÀSICS</t>
  </si>
  <si>
    <t>2.ACTUACIONS DE PROTECCIÓ I PROMOCIÓ SOCIAL</t>
  </si>
  <si>
    <t>3.BÉNS DE CARÀCTER PREFERENT</t>
  </si>
  <si>
    <t>4.ACTUACIONS DE CARÀCTER ECONÒMIC</t>
  </si>
  <si>
    <t>9.ACTUACIONS DE CARÀCTER GENERAL</t>
  </si>
  <si>
    <t>CONSOLIDADES</t>
  </si>
  <si>
    <t>Total</t>
  </si>
  <si>
    <t>Augment</t>
  </si>
  <si>
    <t>SITUACIÓ DELS CRÈDITS DEFINITIUS PER ÀREA DE DESPESA</t>
  </si>
  <si>
    <t>Crèdit inicial</t>
  </si>
  <si>
    <t>Crèdit definitiu</t>
  </si>
  <si>
    <t>Romanents de crèdit</t>
  </si>
  <si>
    <t>Deute públic</t>
  </si>
  <si>
    <t>Serveis públics bàsics</t>
  </si>
  <si>
    <t>Protecció i promoció i social</t>
  </si>
  <si>
    <t>Béns públics de caràcter preferent</t>
  </si>
  <si>
    <t>Actuacions de caràcter econòmic</t>
  </si>
  <si>
    <t>Actuacions de caràcter general</t>
  </si>
  <si>
    <t>87.RLT</t>
  </si>
  <si>
    <t>Pressupost sense RLT</t>
  </si>
  <si>
    <t>Drets pendents de cobrar</t>
  </si>
  <si>
    <t>RESUM PER TRIMESTRES DE L'EXECUCIÓ CONSOLIDADA</t>
  </si>
  <si>
    <t>Patronat de Turisme</t>
  </si>
  <si>
    <t>Ajustos de consolidació</t>
  </si>
  <si>
    <t>Total Pressupost Consolidat</t>
  </si>
  <si>
    <t>Pressupost</t>
  </si>
  <si>
    <t>AJUSTOS</t>
  </si>
  <si>
    <t>CORP*</t>
  </si>
  <si>
    <t>OA</t>
  </si>
  <si>
    <t>AGREGAT</t>
  </si>
  <si>
    <t>CONSOLIDAT</t>
  </si>
  <si>
    <t>CONS</t>
  </si>
  <si>
    <t>EAD</t>
  </si>
  <si>
    <t>OADL</t>
  </si>
  <si>
    <t>OASI</t>
  </si>
  <si>
    <t>DADES CONSOLIDADES</t>
  </si>
  <si>
    <t>Endeutament</t>
  </si>
  <si>
    <t>Romanent de tresoreria</t>
  </si>
  <si>
    <t>Total consolidat</t>
  </si>
  <si>
    <t>Actius financers no RLT</t>
  </si>
  <si>
    <t>Ajustos</t>
  </si>
  <si>
    <t>Consolidats</t>
  </si>
  <si>
    <t>Capítol 1</t>
  </si>
  <si>
    <t>Capítol 2</t>
  </si>
  <si>
    <t>Capítol 3</t>
  </si>
  <si>
    <t>Capítol 4</t>
  </si>
  <si>
    <t>Capítol 5</t>
  </si>
  <si>
    <t>Pressupost corrent</t>
  </si>
  <si>
    <t>Capítol 6</t>
  </si>
  <si>
    <t>Capítol 7</t>
  </si>
  <si>
    <t>Pressupost no financer</t>
  </si>
  <si>
    <t>Capítol 8</t>
  </si>
  <si>
    <t>Capítol 9</t>
  </si>
  <si>
    <t>Pressupost financer</t>
  </si>
  <si>
    <t>Despeses</t>
  </si>
  <si>
    <t>RP</t>
  </si>
  <si>
    <t>DRETS</t>
  </si>
  <si>
    <t>OBLIGACIONS</t>
  </si>
  <si>
    <t>PREVISIONS D'EXECUCIÓ A FI D'ANY</t>
  </si>
  <si>
    <t>Saldo Pressupostari</t>
  </si>
  <si>
    <t>Capacitat de finançament</t>
  </si>
  <si>
    <t>% s/DRN corrents</t>
  </si>
  <si>
    <t>DRN corrents</t>
  </si>
  <si>
    <t>Exercici</t>
  </si>
  <si>
    <t>Deute financer</t>
  </si>
  <si>
    <t>PREVISIONS LOEPSF</t>
  </si>
  <si>
    <t>Capacitat de finançament (milers €)</t>
  </si>
  <si>
    <t>Capital pendent disposat</t>
  </si>
  <si>
    <t>Capital no disposat</t>
  </si>
  <si>
    <t>Deute participació tributs de l'estat</t>
  </si>
  <si>
    <t>Ingressos corrents liquidats</t>
  </si>
  <si>
    <t>%/DRN cts</t>
  </si>
  <si>
    <t>Límit 110%</t>
  </si>
  <si>
    <t>Límit 75%</t>
  </si>
  <si>
    <t>Pressupost gestionat a data</t>
  </si>
  <si>
    <t>Pressupost any anterior</t>
  </si>
  <si>
    <t>%Var</t>
  </si>
  <si>
    <t>Dades consolidades</t>
  </si>
  <si>
    <t>Objectiu</t>
  </si>
  <si>
    <t>OBL</t>
  </si>
  <si>
    <t>Reals</t>
  </si>
  <si>
    <t>Manquen/sobren</t>
  </si>
  <si>
    <t>Gràfic</t>
  </si>
  <si>
    <t>DRN</t>
  </si>
  <si>
    <t>Mínim</t>
  </si>
  <si>
    <t>FINANÇAMENT DEL PRESSUPOST</t>
  </si>
  <si>
    <t>Recaptació</t>
  </si>
  <si>
    <t>Ajust romanent líquid de tresoreria</t>
  </si>
  <si>
    <t>I</t>
  </si>
  <si>
    <t>Recursos no financers</t>
  </si>
  <si>
    <t>EXERCICI ACTUAL</t>
  </si>
  <si>
    <t>Previsions d'ingressos sense RLT</t>
  </si>
  <si>
    <t>Gestionats a data</t>
  </si>
  <si>
    <t>MC/Pdef</t>
  </si>
  <si>
    <t>Total general</t>
  </si>
  <si>
    <t>%DR/PD</t>
  </si>
  <si>
    <t>%I/RD</t>
  </si>
  <si>
    <t>Oblig inicials</t>
  </si>
  <si>
    <t>Total obligacions</t>
  </si>
  <si>
    <t>Prescripcions</t>
  </si>
  <si>
    <t>Pendents de pag</t>
  </si>
  <si>
    <t>Total cancel·lades</t>
  </si>
  <si>
    <t>% Canc/Total obl</t>
  </si>
  <si>
    <t>Inicials</t>
  </si>
  <si>
    <t>Rectificacions</t>
  </si>
  <si>
    <t>Anul·lacions</t>
  </si>
  <si>
    <t>Pendents</t>
  </si>
  <si>
    <t>Cancel·lacions</t>
  </si>
  <si>
    <t>Pendents finals</t>
  </si>
  <si>
    <t>% Canc/ Inic</t>
  </si>
  <si>
    <t>% Recap</t>
  </si>
  <si>
    <t>Pes inicial capítol</t>
  </si>
  <si>
    <t>Pes def. capítol</t>
  </si>
  <si>
    <t>Var. Pes</t>
  </si>
  <si>
    <t>Romanents no compromesos</t>
  </si>
  <si>
    <t>%Exec.</t>
  </si>
  <si>
    <t>Pes inicial</t>
  </si>
  <si>
    <t>Saldos no compromesos</t>
  </si>
  <si>
    <t>Saldos compromesos</t>
  </si>
  <si>
    <t>max</t>
  </si>
  <si>
    <t>min</t>
  </si>
  <si>
    <t>objectiu</t>
  </si>
  <si>
    <t>meitat objectiu</t>
  </si>
  <si>
    <t>75% objectiu</t>
  </si>
  <si>
    <t>% Exec. Obligacions</t>
  </si>
  <si>
    <t>% Exec. Compr.</t>
  </si>
  <si>
    <t>CREDITSDEF</t>
  </si>
  <si>
    <t>Avaluació del compliment de la regla de la despesa</t>
  </si>
  <si>
    <t>Despesa computable liquidació exercici anterior</t>
  </si>
  <si>
    <t>Despesa en inversions financeres sostenibles exercici anterior</t>
  </si>
  <si>
    <t>Taxa de referència</t>
  </si>
  <si>
    <t>Despesa computable aplicant la taxa de referència</t>
  </si>
  <si>
    <t>Augments o disminucions (art. 12.4) del Pressupost actual</t>
  </si>
  <si>
    <t>Límit de la regla de la despesa a l'exercici</t>
  </si>
  <si>
    <t>Despeses en inversions financerament sostenibles</t>
  </si>
  <si>
    <t>Despesa computable a l'exercici</t>
  </si>
  <si>
    <t>Compliment (+) o incompliment (-) de la regla de la despesa</t>
  </si>
  <si>
    <t>n/a</t>
  </si>
  <si>
    <t>2012 ²</t>
  </si>
  <si>
    <t>2013 ²</t>
  </si>
  <si>
    <t>2014 ²</t>
  </si>
  <si>
    <t>¹ Inclou els Organismes Autònoms dissolts 2011</t>
  </si>
  <si>
    <t>² Inclou el Consorci del Camp de Tarragona</t>
  </si>
  <si>
    <t>³ A partir de l'exercici 2018 s'inclou l'Associació Arc Llatí</t>
  </si>
  <si>
    <t>Servei de comptabilitat i gestió pressupostària</t>
  </si>
  <si>
    <t>EXERCICI ANTERIOR (total 31,12)</t>
  </si>
  <si>
    <t>PRESSUPOST GESTIONAT</t>
  </si>
  <si>
    <t>Pressupost d'ingressos reals</t>
  </si>
  <si>
    <r>
      <rPr>
        <sz val="10"/>
        <rFont val="Arial"/>
        <family val="2"/>
      </rPr>
      <t xml:space="preserve">2011 </t>
    </r>
    <r>
      <rPr>
        <sz val="10"/>
        <rFont val="Calibri"/>
        <family val="2"/>
      </rPr>
      <t xml:space="preserve">¹ </t>
    </r>
    <r>
      <rPr>
        <sz val="10"/>
        <rFont val="Arial"/>
        <family val="2"/>
      </rPr>
      <t>²</t>
    </r>
  </si>
  <si>
    <r>
      <rPr>
        <sz val="10"/>
        <rFont val="Arial"/>
        <family val="2"/>
      </rPr>
      <t xml:space="preserve">2015 </t>
    </r>
    <r>
      <rPr>
        <sz val="10"/>
        <rFont val="Calibri"/>
        <family val="2"/>
      </rPr>
      <t>²</t>
    </r>
  </si>
  <si>
    <r>
      <rPr>
        <sz val="10"/>
        <rFont val="Arial"/>
        <family val="2"/>
      </rPr>
      <t xml:space="preserve">2018 </t>
    </r>
    <r>
      <rPr>
        <sz val="10"/>
        <rFont val="Calibri"/>
        <family val="2"/>
      </rPr>
      <t>³</t>
    </r>
  </si>
  <si>
    <t>EVOLUCIÓ DE L'EXECUCIÓ I COBERTURA INGRESSOS/DESPESA</t>
  </si>
  <si>
    <t>Modificar fórmula pel T2</t>
  </si>
  <si>
    <t xml:space="preserve"> </t>
  </si>
  <si>
    <t>Descomptat l'import de la transfer a Turisme per tal d'unificar el criteri a l'hora de fer els gràfics (tots consideraven el consolidat, excepte el gràfic de A6)</t>
  </si>
  <si>
    <t>Drets reconeguts nets</t>
  </si>
  <si>
    <t>La resta de dades s'omplen automaticament</t>
  </si>
  <si>
    <t>QUEREMOS REFLEJAR LA EJECUCIÓN DE CADA TRIMESTRE SIN ACUMULAR, RESPECTO DEL PRESUPUESTO DEFINITVO PARA CADA TRIMESTRE (ESTO ES MC's INCLUÍDAS)</t>
  </si>
  <si>
    <t>Prev. Def. Ingressos Consolidats</t>
  </si>
  <si>
    <t>Obligacions reconegudes netes</t>
  </si>
  <si>
    <t>Recaptació neta</t>
  </si>
  <si>
    <t>Suma de Obligacions reconegudes netes</t>
  </si>
  <si>
    <t>Actualitzar aquesta taula dinàmica i ordenar les ORN de menor a major</t>
  </si>
  <si>
    <t>-CREDDEF!B11</t>
  </si>
  <si>
    <t>cap 8 liq ings consolidado a cierre x-1</t>
  </si>
  <si>
    <t>prev.def. ings.consolidado a cierre x-1</t>
  </si>
  <si>
    <t>CORPORACIÓ</t>
  </si>
  <si>
    <t>TURISME</t>
  </si>
  <si>
    <t>AJUST</t>
  </si>
  <si>
    <t>----</t>
  </si>
  <si>
    <t>TOTAL</t>
  </si>
  <si>
    <t>ll/t</t>
  </si>
  <si>
    <t>c/t</t>
  </si>
  <si>
    <t>FI 2021</t>
  </si>
  <si>
    <t>FI 2022</t>
  </si>
  <si>
    <t xml:space="preserve"> Sanitari 41971</t>
  </si>
  <si>
    <t>Sanitari 41972</t>
  </si>
  <si>
    <t>Als crèdits inicials i als crèdits definitius sempre descomptarem la transfer a Turisme</t>
  </si>
  <si>
    <t>Segons en quina fase es trobi l'execució de la transfer a Turisme, aquesta s'haurà de descomptar del Romanent disponible, Saldo retencions, Saldo autoritzacions o Saldo compromisos</t>
  </si>
  <si>
    <t>FI 2023</t>
  </si>
  <si>
    <t>el primer trimestre del año actualizar DRN del cierre anterior, en excel Estalvi Net (celda G9 o J9, es DRN ctes de cada ente)</t>
  </si>
  <si>
    <t>Tomar último cuadro de MC aunque la MC no esté aprobada ni registrada</t>
  </si>
  <si>
    <t>pq en el informe ya se incluyen otras previsiones a futuro, por tanto a</t>
  </si>
  <si>
    <t>fecha actual es como se prevee liquidar</t>
  </si>
  <si>
    <t>S'ha modificat la fórmula pq no excedeixi el 100%</t>
  </si>
  <si>
    <t>Cuando se haga uso del RLT (87000-87010)</t>
  </si>
  <si>
    <t>descontar 600.000 que están en press inicial en 83-831 (reintegro bestretas al personal)</t>
  </si>
  <si>
    <t>Òrgans de govern i Coordinació general</t>
  </si>
  <si>
    <t>Concertació i Assistència Municipal</t>
  </si>
  <si>
    <t>Promoció Social i Cultural</t>
  </si>
  <si>
    <t>Infraestructures del Territori</t>
  </si>
  <si>
    <t>Serveis Generals i Instal·lacions Corporatives</t>
  </si>
  <si>
    <t>Gabinet de Presidència i Planificació i PERC</t>
  </si>
  <si>
    <t>Persones i Talent</t>
  </si>
  <si>
    <t>Innovació i Tecnologia</t>
  </si>
  <si>
    <t>només PREVISIONS DEFINITVES INGRESSOS PER TRANSFERS A Turisme i BASE (si n'hi ha)</t>
  </si>
  <si>
    <r>
      <t xml:space="preserve">2022 </t>
    </r>
    <r>
      <rPr>
        <vertAlign val="superscript"/>
        <sz val="10"/>
        <rFont val="Calibri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</si>
  <si>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2022 exclou Arc Llatí </t>
    </r>
  </si>
  <si>
    <t>no comptabilitzat, infomat per plopezc</t>
  </si>
  <si>
    <t>DEUTE VIU PTE a FI D'EXERCICI</t>
  </si>
  <si>
    <t>FI 2024</t>
  </si>
  <si>
    <t>según plataforma Autoriza, saldo a 31/12/2024</t>
  </si>
  <si>
    <t>s/autoriza</t>
  </si>
  <si>
    <t>A 30 de juny de 2025</t>
  </si>
  <si>
    <t>SITUACIÓ DE DESPESES A 30/06/2025</t>
  </si>
  <si>
    <t>SITUACIÓ D'INGRESSOS A 30/06/2025</t>
  </si>
  <si>
    <t>RESUM EXECUCIÓ A 30/06/2025</t>
  </si>
  <si>
    <t>PRESSUPOST A 30/06/2025</t>
  </si>
  <si>
    <t>RESUM EXECUCIÓ TANCATS A 30/06/2025</t>
  </si>
  <si>
    <t>87000 i 87010</t>
  </si>
  <si>
    <t xml:space="preserve"> Aplicacions ingres 87010</t>
  </si>
  <si>
    <t xml:space="preserve"> Aplicacions ingres 87000</t>
  </si>
  <si>
    <t>87000 + 87010</t>
  </si>
  <si>
    <t>Venen les dades de K8</t>
  </si>
  <si>
    <t>Venen les dades de L11</t>
  </si>
  <si>
    <t>Saldo a 31/06/2025=</t>
  </si>
  <si>
    <t>Saldo a 31/06/2025 Sanitari =</t>
  </si>
  <si>
    <t>am. Fins 2T 2025</t>
  </si>
  <si>
    <t xml:space="preserve"> PENDENT 2T BALANÇ a 30/06/2025</t>
  </si>
  <si>
    <t>pòlissa BASE dispossat a 30/06/2025</t>
  </si>
  <si>
    <t>tomar el estalvi net de la liq anterior i tomar DRN caps 1a5 y descontar la transfer a TUR+BASE RD</t>
  </si>
  <si>
    <t>TRANSF. A TURISME'24</t>
  </si>
  <si>
    <t>drets de l'estalvi net de corpo</t>
  </si>
  <si>
    <t>drets de l'estalvi net de turisme</t>
  </si>
  <si>
    <t>drets de l'estalvi net de base</t>
  </si>
  <si>
    <t>se actualiza con los datos de liq definitva 2024</t>
  </si>
  <si>
    <t>Gabinet de Presidència i PERC</t>
  </si>
  <si>
    <t>Serveis Generals i Instal. Corporatives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</si>
</sst>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???,???,??0.00"/>
  </numFmts>
  <fonts count="2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theme="6" tint="-0.499984740745262"/>
      <name val="Arial"/>
      <family val="2"/>
    </font>
    <font>
      <sz val="10"/>
      <color rgb="FF0070C0"/>
      <name val="Arial"/>
      <family val="2"/>
    </font>
    <font>
      <sz val="10"/>
      <color rgb="FF00B050"/>
      <name val="Arial"/>
      <family val="2"/>
    </font>
    <font>
      <sz val="8"/>
      <name val="Arial"/>
      <family val="2"/>
    </font>
    <font>
      <i/>
      <sz val="10"/>
      <color rgb="FF00B050"/>
      <name val="Arial"/>
      <family val="2"/>
    </font>
    <font>
      <sz val="10"/>
      <color theme="1"/>
      <name val="Arial"/>
      <family val="2"/>
    </font>
    <font>
      <vertAlign val="superscript"/>
      <sz val="10"/>
      <name val="Calibri"/>
      <family val="2"/>
    </font>
    <font>
      <vertAlign val="superscript"/>
      <sz val="10"/>
      <name val="Arial"/>
      <family val="2"/>
    </font>
    <font>
      <sz val="8"/>
      <color rgb="FF00B050"/>
      <name val="Arial"/>
      <family val="2"/>
    </font>
    <font>
      <sz val="9"/>
      <color rgb="FF00B050"/>
      <name val="Arial"/>
      <family val="2"/>
    </font>
    <font>
      <b/>
      <i/>
      <u/>
      <sz val="10"/>
      <color rgb="FF00B05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22"/>
        <bgColor indexed="5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999999"/>
      </top>
      <bottom/>
      <diagonal/>
    </border>
  </borders>
  <cellStyleXfs count="10">
    <xf numFmtId="0" fontId="0" fillId="0" borderId="0"/>
    <xf numFmtId="0" fontId="10" fillId="6" borderId="15" applyNumberFormat="0" applyAlignment="0" applyProtection="0"/>
    <xf numFmtId="164" fontId="1" fillId="0" borderId="0" applyFill="0" applyBorder="0" applyAlignment="0" applyProtection="0"/>
    <xf numFmtId="0" fontId="11" fillId="7" borderId="0" applyNumberFormat="0" applyBorder="0" applyAlignment="0" applyProtection="0"/>
    <xf numFmtId="0" fontId="9" fillId="0" borderId="0"/>
    <xf numFmtId="0" fontId="1" fillId="0" borderId="0"/>
    <xf numFmtId="0" fontId="9" fillId="8" borderId="16" applyNumberFormat="0" applyFont="0" applyAlignment="0" applyProtection="0"/>
    <xf numFmtId="9" fontId="1" fillId="0" borderId="0" applyFill="0" applyBorder="0" applyAlignment="0" applyProtection="0"/>
    <xf numFmtId="0" fontId="12" fillId="0" borderId="17" applyNumberFormat="0" applyFill="0" applyAlignment="0" applyProtection="0"/>
    <xf numFmtId="0" fontId="6" fillId="0" borderId="0" applyNumberFormat="0" applyFill="0" applyBorder="0" applyAlignment="0" applyProtection="0"/>
  </cellStyleXfs>
  <cellXfs count="162">
    <xf numFmtId="0" fontId="0" fillId="0" borderId="0" xfId="0"/>
    <xf numFmtId="4" fontId="0" fillId="0" borderId="0" xfId="0" applyNumberFormat="1"/>
    <xf numFmtId="10" fontId="0" fillId="0" borderId="0" xfId="0" applyNumberFormat="1"/>
    <xf numFmtId="0" fontId="2" fillId="0" borderId="0" xfId="0" applyFont="1"/>
    <xf numFmtId="4" fontId="2" fillId="0" borderId="0" xfId="0" applyNumberFormat="1" applyFont="1"/>
    <xf numFmtId="10" fontId="2" fillId="0" borderId="0" xfId="0" applyNumberFormat="1" applyFont="1"/>
    <xf numFmtId="10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10" fontId="0" fillId="0" borderId="2" xfId="0" applyNumberForma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10" fontId="0" fillId="0" borderId="3" xfId="0" applyNumberForma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0" fillId="0" borderId="4" xfId="0" applyBorder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0" fillId="0" borderId="5" xfId="0" applyBorder="1"/>
    <xf numFmtId="4" fontId="3" fillId="0" borderId="0" xfId="0" applyNumberFormat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3" borderId="6" xfId="0" applyFont="1" applyFill="1" applyBorder="1" applyAlignment="1">
      <alignment horizontal="center"/>
    </xf>
    <xf numFmtId="4" fontId="0" fillId="0" borderId="6" xfId="0" applyNumberFormat="1" applyBorder="1"/>
    <xf numFmtId="4" fontId="2" fillId="3" borderId="6" xfId="0" applyNumberFormat="1" applyFont="1" applyFill="1" applyBorder="1"/>
    <xf numFmtId="0" fontId="2" fillId="0" borderId="6" xfId="0" applyFont="1" applyBorder="1" applyAlignment="1">
      <alignment horizontal="right"/>
    </xf>
    <xf numFmtId="4" fontId="2" fillId="0" borderId="6" xfId="0" applyNumberFormat="1" applyFont="1" applyBorder="1"/>
    <xf numFmtId="0" fontId="2" fillId="3" borderId="6" xfId="0" applyFont="1" applyFill="1" applyBorder="1" applyAlignment="1">
      <alignment horizontal="center" wrapText="1"/>
    </xf>
    <xf numFmtId="0" fontId="0" fillId="0" borderId="6" xfId="0" applyBorder="1"/>
    <xf numFmtId="0" fontId="2" fillId="3" borderId="6" xfId="0" applyFont="1" applyFill="1" applyBorder="1"/>
    <xf numFmtId="3" fontId="0" fillId="0" borderId="0" xfId="0" applyNumberFormat="1"/>
    <xf numFmtId="4" fontId="0" fillId="0" borderId="0" xfId="0" applyNumberFormat="1" applyAlignment="1">
      <alignment horizontal="right"/>
    </xf>
    <xf numFmtId="10" fontId="2" fillId="0" borderId="0" xfId="0" applyNumberFormat="1" applyFont="1" applyAlignment="1">
      <alignment wrapText="1"/>
    </xf>
    <xf numFmtId="0" fontId="0" fillId="0" borderId="7" xfId="0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0" fontId="0" fillId="0" borderId="7" xfId="0" applyNumberFormat="1" applyBorder="1" applyAlignment="1">
      <alignment horizontal="center" vertical="center"/>
    </xf>
    <xf numFmtId="4" fontId="0" fillId="9" borderId="2" xfId="0" applyNumberFormat="1" applyFill="1" applyBorder="1"/>
    <xf numFmtId="10" fontId="0" fillId="9" borderId="2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wrapText="1"/>
    </xf>
    <xf numFmtId="4" fontId="2" fillId="0" borderId="3" xfId="0" applyNumberFormat="1" applyFont="1" applyBorder="1"/>
    <xf numFmtId="10" fontId="0" fillId="0" borderId="8" xfId="0" applyNumberFormat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4" fontId="2" fillId="0" borderId="10" xfId="0" applyNumberFormat="1" applyFont="1" applyBorder="1"/>
    <xf numFmtId="9" fontId="0" fillId="0" borderId="0" xfId="0" applyNumberFormat="1"/>
    <xf numFmtId="0" fontId="1" fillId="0" borderId="0" xfId="5"/>
    <xf numFmtId="0" fontId="2" fillId="0" borderId="0" xfId="5" applyFont="1" applyAlignment="1">
      <alignment horizontal="center"/>
    </xf>
    <xf numFmtId="0" fontId="1" fillId="0" borderId="0" xfId="5" applyAlignment="1">
      <alignment vertical="center"/>
    </xf>
    <xf numFmtId="4" fontId="1" fillId="0" borderId="0" xfId="5" applyNumberFormat="1" applyAlignment="1">
      <alignment vertical="center"/>
    </xf>
    <xf numFmtId="4" fontId="1" fillId="0" borderId="0" xfId="5" applyNumberFormat="1"/>
    <xf numFmtId="0" fontId="0" fillId="0" borderId="0" xfId="5" applyFont="1"/>
    <xf numFmtId="4" fontId="5" fillId="0" borderId="0" xfId="0" applyNumberFormat="1" applyFont="1" applyAlignment="1">
      <alignment horizontal="right"/>
    </xf>
    <xf numFmtId="4" fontId="8" fillId="0" borderId="0" xfId="2" applyNumberFormat="1" applyFont="1" applyFill="1" applyBorder="1" applyAlignment="1" applyProtection="1">
      <alignment horizontal="right" vertical="top"/>
    </xf>
    <xf numFmtId="10" fontId="0" fillId="0" borderId="0" xfId="0" applyNumberFormat="1" applyAlignment="1">
      <alignment horizontal="right"/>
    </xf>
    <xf numFmtId="0" fontId="0" fillId="0" borderId="1" xfId="0" applyBorder="1"/>
    <xf numFmtId="4" fontId="0" fillId="0" borderId="1" xfId="0" applyNumberFormat="1" applyBorder="1"/>
    <xf numFmtId="0" fontId="0" fillId="0" borderId="18" xfId="0" pivotButton="1" applyBorder="1"/>
    <xf numFmtId="0" fontId="0" fillId="0" borderId="19" xfId="0" applyBorder="1"/>
    <xf numFmtId="0" fontId="0" fillId="0" borderId="18" xfId="0" applyBorder="1"/>
    <xf numFmtId="0" fontId="0" fillId="0" borderId="20" xfId="0" applyBorder="1"/>
    <xf numFmtId="0" fontId="0" fillId="0" borderId="22" xfId="0" applyBorder="1"/>
    <xf numFmtId="0" fontId="0" fillId="4" borderId="0" xfId="0" applyFill="1"/>
    <xf numFmtId="0" fontId="2" fillId="5" borderId="11" xfId="5" applyFont="1" applyFill="1" applyBorder="1" applyAlignment="1">
      <alignment horizontal="center" vertical="center" wrapText="1"/>
    </xf>
    <xf numFmtId="0" fontId="0" fillId="0" borderId="11" xfId="5" applyFont="1" applyBorder="1" applyAlignment="1">
      <alignment horizontal="right"/>
    </xf>
    <xf numFmtId="0" fontId="0" fillId="0" borderId="11" xfId="5" applyFont="1" applyBorder="1" applyAlignment="1">
      <alignment horizontal="center" vertical="center" wrapText="1"/>
    </xf>
    <xf numFmtId="4" fontId="1" fillId="0" borderId="11" xfId="5" applyNumberFormat="1" applyBorder="1" applyAlignment="1">
      <alignment horizontal="right"/>
    </xf>
    <xf numFmtId="0" fontId="2" fillId="0" borderId="11" xfId="5" applyFont="1" applyBorder="1" applyAlignment="1">
      <alignment horizontal="center" vertical="center" wrapText="1"/>
    </xf>
    <xf numFmtId="4" fontId="0" fillId="0" borderId="11" xfId="5" applyNumberFormat="1" applyFont="1" applyBorder="1" applyAlignment="1">
      <alignment horizontal="right"/>
    </xf>
    <xf numFmtId="4" fontId="1" fillId="0" borderId="11" xfId="5" applyNumberFormat="1" applyBorder="1"/>
    <xf numFmtId="10" fontId="1" fillId="0" borderId="12" xfId="7" applyNumberFormat="1" applyFill="1" applyBorder="1" applyAlignment="1" applyProtection="1"/>
    <xf numFmtId="4" fontId="1" fillId="0" borderId="12" xfId="5" applyNumberFormat="1" applyBorder="1"/>
    <xf numFmtId="0" fontId="1" fillId="0" borderId="11" xfId="5" applyBorder="1"/>
    <xf numFmtId="10" fontId="1" fillId="0" borderId="11" xfId="7" applyNumberFormat="1" applyFill="1" applyBorder="1" applyAlignment="1" applyProtection="1"/>
    <xf numFmtId="0" fontId="1" fillId="0" borderId="13" xfId="5" applyBorder="1"/>
    <xf numFmtId="10" fontId="1" fillId="0" borderId="13" xfId="7" applyNumberFormat="1" applyFill="1" applyBorder="1" applyAlignment="1" applyProtection="1"/>
    <xf numFmtId="0" fontId="1" fillId="0" borderId="14" xfId="5" applyBorder="1"/>
    <xf numFmtId="4" fontId="1" fillId="0" borderId="14" xfId="5" applyNumberFormat="1" applyBorder="1"/>
    <xf numFmtId="10" fontId="1" fillId="0" borderId="14" xfId="7" applyNumberFormat="1" applyFill="1" applyBorder="1" applyAlignment="1" applyProtection="1"/>
    <xf numFmtId="165" fontId="8" fillId="0" borderId="0" xfId="2" applyNumberFormat="1" applyFont="1" applyAlignment="1">
      <alignment horizontal="right" vertical="top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0" fillId="0" borderId="30" xfId="0" applyBorder="1"/>
    <xf numFmtId="0" fontId="0" fillId="0" borderId="27" xfId="0" applyBorder="1"/>
    <xf numFmtId="0" fontId="2" fillId="3" borderId="30" xfId="0" applyFont="1" applyFill="1" applyBorder="1"/>
    <xf numFmtId="0" fontId="2" fillId="3" borderId="27" xfId="0" applyFont="1" applyFill="1" applyBorder="1"/>
    <xf numFmtId="0" fontId="2" fillId="3" borderId="30" xfId="0" applyFont="1" applyFill="1" applyBorder="1" applyAlignment="1">
      <alignment horizontal="center"/>
    </xf>
    <xf numFmtId="4" fontId="1" fillId="0" borderId="13" xfId="5" applyNumberFormat="1" applyBorder="1"/>
    <xf numFmtId="0" fontId="13" fillId="0" borderId="0" xfId="0" applyFont="1"/>
    <xf numFmtId="10" fontId="0" fillId="10" borderId="0" xfId="0" applyNumberFormat="1" applyFill="1"/>
    <xf numFmtId="0" fontId="0" fillId="11" borderId="0" xfId="0" applyFill="1"/>
    <xf numFmtId="0" fontId="14" fillId="0" borderId="0" xfId="0" applyFont="1"/>
    <xf numFmtId="4" fontId="0" fillId="0" borderId="31" xfId="0" applyNumberFormat="1" applyBorder="1"/>
    <xf numFmtId="4" fontId="0" fillId="0" borderId="14" xfId="0" applyNumberFormat="1" applyBorder="1"/>
    <xf numFmtId="4" fontId="0" fillId="0" borderId="19" xfId="0" applyNumberFormat="1" applyBorder="1"/>
    <xf numFmtId="4" fontId="0" fillId="0" borderId="21" xfId="0" applyNumberFormat="1" applyBorder="1"/>
    <xf numFmtId="4" fontId="0" fillId="0" borderId="23" xfId="0" applyNumberFormat="1" applyBorder="1"/>
    <xf numFmtId="4" fontId="15" fillId="0" borderId="0" xfId="0" applyNumberFormat="1" applyFont="1"/>
    <xf numFmtId="0" fontId="15" fillId="0" borderId="0" xfId="0" applyFont="1"/>
    <xf numFmtId="4" fontId="13" fillId="0" borderId="0" xfId="0" quotePrefix="1" applyNumberFormat="1" applyFont="1"/>
    <xf numFmtId="10" fontId="2" fillId="0" borderId="0" xfId="0" applyNumberFormat="1" applyFont="1" applyAlignment="1">
      <alignment horizontal="center"/>
    </xf>
    <xf numFmtId="4" fontId="16" fillId="0" borderId="0" xfId="0" applyNumberFormat="1" applyFont="1"/>
    <xf numFmtId="0" fontId="14" fillId="0" borderId="0" xfId="5" applyFont="1"/>
    <xf numFmtId="4" fontId="0" fillId="0" borderId="32" xfId="0" applyNumberFormat="1" applyBorder="1"/>
    <xf numFmtId="10" fontId="0" fillId="0" borderId="32" xfId="0" applyNumberFormat="1" applyBorder="1"/>
    <xf numFmtId="4" fontId="0" fillId="12" borderId="0" xfId="0" applyNumberFormat="1" applyFill="1"/>
    <xf numFmtId="4" fontId="18" fillId="0" borderId="0" xfId="0" applyNumberFormat="1" applyFont="1"/>
    <xf numFmtId="0" fontId="0" fillId="0" borderId="0" xfId="0" quotePrefix="1" applyAlignment="1">
      <alignment horizontal="center"/>
    </xf>
    <xf numFmtId="4" fontId="2" fillId="11" borderId="0" xfId="0" applyNumberFormat="1" applyFont="1" applyFill="1"/>
    <xf numFmtId="0" fontId="19" fillId="0" borderId="0" xfId="0" applyFont="1" applyAlignment="1">
      <alignment horizontal="right"/>
    </xf>
    <xf numFmtId="4" fontId="20" fillId="0" borderId="0" xfId="0" applyNumberFormat="1" applyFont="1"/>
    <xf numFmtId="0" fontId="20" fillId="0" borderId="0" xfId="0" applyFont="1"/>
    <xf numFmtId="4" fontId="18" fillId="0" borderId="34" xfId="0" applyNumberFormat="1" applyFont="1" applyBorder="1"/>
    <xf numFmtId="0" fontId="18" fillId="0" borderId="0" xfId="0" applyFont="1"/>
    <xf numFmtId="0" fontId="0" fillId="0" borderId="13" xfId="5" applyFont="1" applyBorder="1" applyAlignment="1">
      <alignment horizontal="right"/>
    </xf>
    <xf numFmtId="0" fontId="0" fillId="0" borderId="35" xfId="0" applyBorder="1"/>
    <xf numFmtId="10" fontId="0" fillId="0" borderId="36" xfId="0" applyNumberFormat="1" applyBorder="1"/>
    <xf numFmtId="0" fontId="0" fillId="0" borderId="37" xfId="0" applyBorder="1"/>
    <xf numFmtId="4" fontId="0" fillId="0" borderId="38" xfId="0" applyNumberFormat="1" applyBorder="1"/>
    <xf numFmtId="0" fontId="0" fillId="0" borderId="38" xfId="0" applyBorder="1"/>
    <xf numFmtId="4" fontId="0" fillId="13" borderId="38" xfId="0" applyNumberFormat="1" applyFill="1" applyBorder="1"/>
    <xf numFmtId="10" fontId="0" fillId="13" borderId="38" xfId="0" applyNumberFormat="1" applyFill="1" applyBorder="1"/>
    <xf numFmtId="10" fontId="0" fillId="0" borderId="39" xfId="0" applyNumberFormat="1" applyBorder="1"/>
    <xf numFmtId="0" fontId="17" fillId="0" borderId="0" xfId="0" applyFont="1"/>
    <xf numFmtId="4" fontId="17" fillId="0" borderId="0" xfId="0" applyNumberFormat="1" applyFont="1"/>
    <xf numFmtId="0" fontId="13" fillId="0" borderId="0" xfId="0" applyFont="1" applyAlignment="1">
      <alignment horizontal="right"/>
    </xf>
    <xf numFmtId="4" fontId="17" fillId="0" borderId="38" xfId="0" applyNumberFormat="1" applyFont="1" applyBorder="1"/>
    <xf numFmtId="4" fontId="13" fillId="0" borderId="0" xfId="0" applyNumberFormat="1" applyFont="1"/>
    <xf numFmtId="0" fontId="0" fillId="0" borderId="2" xfId="0" applyBorder="1" applyAlignment="1">
      <alignment wrapText="1"/>
    </xf>
    <xf numFmtId="0" fontId="0" fillId="0" borderId="40" xfId="0" applyBorder="1"/>
    <xf numFmtId="10" fontId="0" fillId="0" borderId="41" xfId="0" applyNumberFormat="1" applyBorder="1"/>
    <xf numFmtId="4" fontId="0" fillId="13" borderId="0" xfId="0" applyNumberFormat="1" applyFill="1"/>
    <xf numFmtId="10" fontId="0" fillId="13" borderId="0" xfId="0" applyNumberFormat="1" applyFill="1"/>
    <xf numFmtId="4" fontId="21" fillId="0" borderId="0" xfId="0" applyNumberFormat="1" applyFont="1"/>
    <xf numFmtId="4" fontId="0" fillId="0" borderId="38" xfId="0" applyNumberFormat="1" applyBorder="1" applyAlignment="1">
      <alignment horizontal="right"/>
    </xf>
    <xf numFmtId="3" fontId="17" fillId="0" borderId="0" xfId="0" applyNumberFormat="1" applyFont="1" applyAlignment="1">
      <alignment horizontal="right"/>
    </xf>
    <xf numFmtId="4" fontId="24" fillId="0" borderId="0" xfId="0" applyNumberFormat="1" applyFont="1"/>
    <xf numFmtId="0" fontId="24" fillId="0" borderId="0" xfId="0" applyFont="1"/>
    <xf numFmtId="4" fontId="24" fillId="0" borderId="38" xfId="0" applyNumberFormat="1" applyFont="1" applyBorder="1"/>
    <xf numFmtId="4" fontId="25" fillId="0" borderId="33" xfId="0" applyNumberFormat="1" applyFont="1" applyBorder="1"/>
    <xf numFmtId="4" fontId="18" fillId="0" borderId="6" xfId="0" applyNumberFormat="1" applyFont="1" applyBorder="1"/>
    <xf numFmtId="4" fontId="1" fillId="12" borderId="14" xfId="5" applyNumberFormat="1" applyFill="1" applyBorder="1"/>
    <xf numFmtId="10" fontId="1" fillId="12" borderId="14" xfId="7" applyNumberFormat="1" applyFill="1" applyBorder="1" applyAlignment="1" applyProtection="1"/>
    <xf numFmtId="4" fontId="20" fillId="0" borderId="18" xfId="0" applyNumberFormat="1" applyFont="1" applyBorder="1"/>
    <xf numFmtId="4" fontId="20" fillId="0" borderId="42" xfId="0" applyNumberFormat="1" applyFont="1" applyBorder="1"/>
    <xf numFmtId="4" fontId="20" fillId="0" borderId="20" xfId="0" applyNumberFormat="1" applyFont="1" applyBorder="1"/>
    <xf numFmtId="4" fontId="26" fillId="0" borderId="20" xfId="0" applyNumberFormat="1" applyFont="1" applyBorder="1"/>
    <xf numFmtId="4" fontId="26" fillId="0" borderId="0" xfId="0" applyNumberFormat="1" applyFont="1"/>
    <xf numFmtId="10" fontId="18" fillId="0" borderId="0" xfId="0" applyNumberFormat="1" applyFont="1"/>
    <xf numFmtId="10" fontId="18" fillId="0" borderId="0" xfId="0" applyNumberFormat="1" applyFont="1" applyAlignment="1">
      <alignment horizontal="right"/>
    </xf>
    <xf numFmtId="4" fontId="17" fillId="13" borderId="38" xfId="0" applyNumberFormat="1" applyFont="1" applyFill="1" applyBorder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0">
    <cellStyle name="Entrada" xfId="1" builtinId="20" customBuiltin="1"/>
    <cellStyle name="Millares" xfId="2" builtinId="3"/>
    <cellStyle name="Neutral" xfId="3" builtinId="28" customBuiltin="1"/>
    <cellStyle name="Normal" xfId="0" builtinId="0"/>
    <cellStyle name="Normal 2" xfId="4" xr:uid="{00000000-0005-0000-0000-000004000000}"/>
    <cellStyle name="Normal 3" xfId="5" xr:uid="{00000000-0005-0000-0000-000005000000}"/>
    <cellStyle name="Notas 2" xfId="6" xr:uid="{00000000-0005-0000-0000-000006000000}"/>
    <cellStyle name="Porcentaje" xfId="7" builtinId="5"/>
    <cellStyle name="Total" xfId="8" builtinId="25" customBuiltin="1"/>
    <cellStyle name="Valor de la tabla dinámica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BCF-451A-9D63-100B10E11FAA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BCF-451A-9D63-100B10E11FAA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BCF-451A-9D63-100B10E11FAA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BCF-451A-9D63-100B10E11FAA}"/>
              </c:ext>
            </c:extLst>
          </c:dPt>
          <c:dLbls>
            <c:dLbl>
              <c:idx val="0"/>
              <c:layout>
                <c:manualLayout>
                  <c:x val="1.0187830755683226E-2"/>
                  <c:y val="-4.380692979415309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F-451A-9D63-100B10E11FAA}"/>
                </c:ext>
              </c:extLst>
            </c:dLbl>
            <c:dLbl>
              <c:idx val="1"/>
              <c:layout>
                <c:manualLayout>
                  <c:x val="2.7573418143578918E-2"/>
                  <c:y val="2.09769061886132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F-451A-9D63-100B10E11FAA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F-451A-9D63-100B10E11FAA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F-451A-9D63-100B10E11FAA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F-451A-9D63-100B10E11FA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213875169.74000004</c:v>
                </c:pt>
                <c:pt idx="1">
                  <c:v>0</c:v>
                </c:pt>
                <c:pt idx="2">
                  <c:v>600000</c:v>
                </c:pt>
                <c:pt idx="3">
                  <c:v>192223774.38999996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CF-451A-9D63-100B10E11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814096204481609"/>
          <c:y val="0.40880635203618415"/>
          <c:w val="0.21044058487904316"/>
          <c:h val="0.2704412420145594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Crèdits definitius del Pressupost consolidat</a:t>
            </a:r>
          </a:p>
        </c:rich>
      </c:tx>
      <c:layout>
        <c:manualLayout>
          <c:xMode val="edge"/>
          <c:yMode val="edge"/>
          <c:x val="0.3235625234345707"/>
          <c:y val="3.0302983971663734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hPercent val="42"/>
      <c:rotY val="18"/>
      <c:depthPercent val="100"/>
      <c:rAngAx val="1"/>
    </c:view3D>
    <c:floor>
      <c:thickness val="0"/>
      <c:spPr>
        <a:solidFill>
          <a:srgbClr val="80808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9101250047219577E-2"/>
          <c:y val="0.12987040438650818"/>
          <c:w val="0.78048761342713691"/>
          <c:h val="0.4607228683570517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A3CAP_GrauModif!$D$35</c:f>
              <c:strCache>
                <c:ptCount val="1"/>
                <c:pt idx="0">
                  <c:v>Crèdits inicials</c:v>
                </c:pt>
              </c:strCache>
            </c:strRef>
          </c:tx>
          <c:spPr>
            <a:solidFill>
              <a:srgbClr val="9999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A3CAP_GrauModif!$C$36:$C$44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A3CAP_GrauModif!$D$36:$D$44</c:f>
              <c:numCache>
                <c:formatCode>#,##0.00</c:formatCode>
                <c:ptCount val="9"/>
                <c:pt idx="0">
                  <c:v>76528283.150000036</c:v>
                </c:pt>
                <c:pt idx="1">
                  <c:v>38222376.210000001</c:v>
                </c:pt>
                <c:pt idx="2">
                  <c:v>843701</c:v>
                </c:pt>
                <c:pt idx="3">
                  <c:v>29030287.109999999</c:v>
                </c:pt>
                <c:pt idx="4">
                  <c:v>5406601.6200000001</c:v>
                </c:pt>
                <c:pt idx="5">
                  <c:v>22103422.539999999</c:v>
                </c:pt>
                <c:pt idx="6">
                  <c:v>49665328.370000005</c:v>
                </c:pt>
                <c:pt idx="7">
                  <c:v>600000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11-4711-893F-F78B1CD7410C}"/>
            </c:ext>
          </c:extLst>
        </c:ser>
        <c:ser>
          <c:idx val="1"/>
          <c:order val="1"/>
          <c:tx>
            <c:strRef>
              <c:f>A3CAP_GrauModif!$E$35</c:f>
              <c:strCache>
                <c:ptCount val="1"/>
                <c:pt idx="0">
                  <c:v>Modificacions</c:v>
                </c:pt>
              </c:strCache>
            </c:strRef>
          </c:tx>
          <c:spPr>
            <a:solidFill>
              <a:srgbClr val="993366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A3CAP_GrauModif!$C$36:$C$44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A3CAP_GrauModif!$E$36:$E$44</c:f>
              <c:numCache>
                <c:formatCode>#,##0.00</c:formatCode>
                <c:ptCount val="9"/>
                <c:pt idx="0">
                  <c:v>3295952.8500000006</c:v>
                </c:pt>
                <c:pt idx="1">
                  <c:v>18866041.839999996</c:v>
                </c:pt>
                <c:pt idx="2">
                  <c:v>51600</c:v>
                </c:pt>
                <c:pt idx="3">
                  <c:v>48128017.350000001</c:v>
                </c:pt>
                <c:pt idx="4">
                  <c:v>-985510.26</c:v>
                </c:pt>
                <c:pt idx="5">
                  <c:v>54705220.690000013</c:v>
                </c:pt>
                <c:pt idx="6">
                  <c:v>60237621.660000011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11-4711-893F-F78B1CD74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7856512"/>
        <c:axId val="142204224"/>
        <c:axId val="0"/>
      </c:bar3DChart>
      <c:catAx>
        <c:axId val="137856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162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04224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42204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7856512"/>
        <c:crosses val="autoZero"/>
        <c:crossBetween val="between"/>
        <c:dispUnits>
          <c:builtInUnit val="millions"/>
          <c:dispUnitsLbl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r>
                    <a:rPr lang="es-ES"/>
                    <a:t>Milions €</a:t>
                  </a:r>
                </a:p>
              </c:rich>
            </c:tx>
          </c:dispUnitsLbl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6322225346831644"/>
          <c:y val="0.92718548530948186"/>
          <c:w val="0.4685918947631546"/>
          <c:h val="4.85436893203883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paperSize="9" firstPageNumber="0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Pes MC sobre Crèdits Definitius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4E-4DCA-8A45-67CDB734C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4E-4DCA-8A45-67CDB734CA2C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B14E-4DCA-8A45-67CDB734CA2C}"/>
              </c:ext>
            </c:extLst>
          </c:dPt>
          <c:val>
            <c:numRef>
              <c:f>A3CAP_GrauModif!$M$3:$M$5</c:f>
              <c:numCache>
                <c:formatCode>0.00%</c:formatCode>
                <c:ptCount val="3"/>
                <c:pt idx="0">
                  <c:v>0.22657907868957908</c:v>
                </c:pt>
                <c:pt idx="1">
                  <c:v>0.27342092131042095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4E-4DCA-8A45-67CDB734C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Estat d'execució dels crèdits definitius</a:t>
            </a:r>
          </a:p>
        </c:rich>
      </c:tx>
      <c:layout>
        <c:manualLayout>
          <c:xMode val="edge"/>
          <c:yMode val="edge"/>
          <c:x val="0.30583233211863647"/>
          <c:y val="3.18626457999803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4075491250869"/>
          <c:y val="0.16176509307285222"/>
          <c:w val="0.87624527433021038"/>
          <c:h val="0.4558834441144016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A4CAP_SitCred!$K$39</c:f>
              <c:strCache>
                <c:ptCount val="1"/>
                <c:pt idx="0">
                  <c:v>Romanents no compromesos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A4CAP_SitCred!$K$40:$K$48</c:f>
              <c:numCache>
                <c:formatCode>#,##0.00</c:formatCode>
                <c:ptCount val="9"/>
                <c:pt idx="0">
                  <c:v>47873265.739999987</c:v>
                </c:pt>
                <c:pt idx="1">
                  <c:v>47929556.699999988</c:v>
                </c:pt>
                <c:pt idx="2">
                  <c:v>894985.55</c:v>
                </c:pt>
                <c:pt idx="3">
                  <c:v>69652554.319999993</c:v>
                </c:pt>
                <c:pt idx="4">
                  <c:v>4421091.3599999994</c:v>
                </c:pt>
                <c:pt idx="5">
                  <c:v>76804669.389999986</c:v>
                </c:pt>
                <c:pt idx="6">
                  <c:v>103080254.73</c:v>
                </c:pt>
                <c:pt idx="7">
                  <c:v>305300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F-4E71-BB5A-B1E20F4D3B21}"/>
            </c:ext>
          </c:extLst>
        </c:ser>
        <c:ser>
          <c:idx val="1"/>
          <c:order val="1"/>
          <c:tx>
            <c:strRef>
              <c:f>A4CAP_SitCred!$L$39</c:f>
              <c:strCache>
                <c:ptCount val="1"/>
                <c:pt idx="0">
                  <c:v>Saldo crèdits compromesos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A4CAP_SitCred!$L$40:$L$48</c:f>
              <c:numCache>
                <c:formatCode>#,##0.00</c:formatCode>
                <c:ptCount val="9"/>
                <c:pt idx="0">
                  <c:v>411026.38</c:v>
                </c:pt>
                <c:pt idx="1">
                  <c:v>24006675.989999987</c:v>
                </c:pt>
                <c:pt idx="2">
                  <c:v>0</c:v>
                </c:pt>
                <c:pt idx="3">
                  <c:v>21766560.739999995</c:v>
                </c:pt>
                <c:pt idx="4">
                  <c:v>0</c:v>
                </c:pt>
                <c:pt idx="5">
                  <c:v>9266530.9500000011</c:v>
                </c:pt>
                <c:pt idx="6">
                  <c:v>66505409.219999999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CF-4E71-BB5A-B1E20F4D3B21}"/>
            </c:ext>
          </c:extLst>
        </c:ser>
        <c:ser>
          <c:idx val="2"/>
          <c:order val="2"/>
          <c:tx>
            <c:strRef>
              <c:f>A4CAP_SitCred!$M$39</c:f>
              <c:strCache>
                <c:ptCount val="1"/>
                <c:pt idx="0">
                  <c:v>Obligacions reconegudes netes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A4CAP_SitCred!$J$40:$J$48</c:f>
              <c:strCache>
                <c:ptCount val="9"/>
                <c:pt idx="0">
                  <c:v>Despeses de personal</c:v>
                </c:pt>
                <c:pt idx="1">
                  <c:v>Despeses en béns corrents i serveis</c:v>
                </c:pt>
                <c:pt idx="2">
                  <c:v>Despeses financeres</c:v>
                </c:pt>
                <c:pt idx="3">
                  <c:v>Transferències corrents</c:v>
                </c:pt>
                <c:pt idx="4">
                  <c:v>Fons de contingència</c:v>
                </c:pt>
                <c:pt idx="5">
                  <c:v>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A4CAP_SitCred!$M$40:$M$48</c:f>
              <c:numCache>
                <c:formatCode>#,##0.00</c:formatCode>
                <c:ptCount val="9"/>
                <c:pt idx="0">
                  <c:v>31950970.260000005</c:v>
                </c:pt>
                <c:pt idx="1">
                  <c:v>11868131.490000011</c:v>
                </c:pt>
                <c:pt idx="2">
                  <c:v>315.45</c:v>
                </c:pt>
                <c:pt idx="3">
                  <c:v>22998196.650000002</c:v>
                </c:pt>
                <c:pt idx="4">
                  <c:v>0</c:v>
                </c:pt>
                <c:pt idx="5">
                  <c:v>7649646.3399999971</c:v>
                </c:pt>
                <c:pt idx="6">
                  <c:v>10547292.369999999</c:v>
                </c:pt>
                <c:pt idx="7">
                  <c:v>294700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CF-4E71-BB5A-B1E20F4D3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993216"/>
        <c:axId val="142218880"/>
      </c:barChart>
      <c:catAx>
        <c:axId val="13799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162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1888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22188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7993216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195119367960466"/>
          <c:y val="0.87136929460580914"/>
          <c:w val="0.82541715072501165"/>
          <c:h val="0.10373443983402486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Situació dels crèdits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A4CAP_SitCred!$B$49</c:f>
              <c:strCache>
                <c:ptCount val="1"/>
                <c:pt idx="0">
                  <c:v>Total Pressupost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562F-485F-BE72-6C98AB96F2F5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62F-485F-BE72-6C98AB96F2F5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62F-485F-BE72-6C98AB96F2F5}"/>
              </c:ext>
            </c:extLst>
          </c:dPt>
          <c:dPt>
            <c:idx val="3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62F-485F-BE72-6C98AB96F2F5}"/>
              </c:ext>
            </c:extLst>
          </c:dPt>
          <c:dPt>
            <c:idx val="4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562F-485F-BE72-6C98AB96F2F5}"/>
              </c:ext>
            </c:extLst>
          </c:dPt>
          <c:dLbls>
            <c:dLbl>
              <c:idx val="0"/>
              <c:layout>
                <c:manualLayout>
                  <c:x val="-9.620163891727275E-2"/>
                  <c:y val="-2.579386040694756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2F-485F-BE72-6C98AB96F2F5}"/>
                </c:ext>
              </c:extLst>
            </c:dLbl>
            <c:dLbl>
              <c:idx val="1"/>
              <c:layout>
                <c:manualLayout>
                  <c:x val="-1.0475980578763533E-3"/>
                  <c:y val="-1.331391569784184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F-485F-BE72-6C98AB96F2F5}"/>
                </c:ext>
              </c:extLst>
            </c:dLbl>
            <c:dLbl>
              <c:idx val="2"/>
              <c:layout>
                <c:manualLayout>
                  <c:x val="6.316042555749234E-3"/>
                  <c:y val="-9.6703115872271445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F-485F-BE72-6C98AB96F2F5}"/>
                </c:ext>
              </c:extLst>
            </c:dLbl>
            <c:dLbl>
              <c:idx val="3"/>
              <c:layout>
                <c:manualLayout>
                  <c:x val="-5.0514035034107153E-2"/>
                  <c:y val="9.9247155234122378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F-485F-BE72-6C98AB96F2F5}"/>
                </c:ext>
              </c:extLst>
            </c:dLbl>
            <c:dLbl>
              <c:idx val="4"/>
              <c:layout>
                <c:manualLayout>
                  <c:x val="3.0605662974678472E-2"/>
                  <c:y val="-4.306867891513560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F-485F-BE72-6C98AB96F2F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A4CAP_SitCred!$C$39:$G$39</c:f>
              <c:strCache>
                <c:ptCount val="5"/>
                <c:pt idx="0">
                  <c:v>Crèdits disponibles</c:v>
                </c:pt>
                <c:pt idx="1">
                  <c:v>Saldo crèdits retinguts</c:v>
                </c:pt>
                <c:pt idx="2">
                  <c:v>Saldo crèdits autoritzats</c:v>
                </c:pt>
                <c:pt idx="3">
                  <c:v>Saldo crèdits compromesos</c:v>
                </c:pt>
                <c:pt idx="4">
                  <c:v>Obligacions reconegudes netes</c:v>
                </c:pt>
              </c:strCache>
            </c:strRef>
          </c:cat>
          <c:val>
            <c:numRef>
              <c:f>A4CAP_SitCred!$C$49:$G$49</c:f>
              <c:numCache>
                <c:formatCode>#,##0.00</c:formatCode>
                <c:ptCount val="5"/>
                <c:pt idx="0">
                  <c:v>321389691.56999999</c:v>
                </c:pt>
                <c:pt idx="1">
                  <c:v>7112282.9199999999</c:v>
                </c:pt>
                <c:pt idx="2">
                  <c:v>22459703.300000001</c:v>
                </c:pt>
                <c:pt idx="3">
                  <c:v>121956203.27999999</c:v>
                </c:pt>
                <c:pt idx="4">
                  <c:v>85309252.560000032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2F-485F-BE72-6C98AB96F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48062885269115"/>
          <c:y val="0.27168299887278979"/>
          <c:w val="0.21632131861379922"/>
          <c:h val="0.546499806646426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Obligacions per àrea de despesa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A5PROG_SITCRED!$F$37</c:f>
              <c:strCache>
                <c:ptCount val="1"/>
                <c:pt idx="0">
                  <c:v>Obligacions</c:v>
                </c:pt>
              </c:strCache>
            </c:strRef>
          </c:tx>
          <c:dPt>
            <c:idx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8FCA-4EFC-A717-9CD450AE17B8}"/>
              </c:ext>
            </c:extLst>
          </c:dPt>
          <c:dPt>
            <c:idx val="1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8FCA-4EFC-A717-9CD450AE17B8}"/>
              </c:ext>
            </c:extLst>
          </c:dPt>
          <c:dPt>
            <c:idx val="2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8FCA-4EFC-A717-9CD450AE17B8}"/>
              </c:ext>
            </c:extLst>
          </c:dPt>
          <c:dPt>
            <c:idx val="3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FCA-4EFC-A717-9CD450AE17B8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8FCA-4EFC-A717-9CD450AE17B8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5-8FCA-4EFC-A717-9CD450AE17B8}"/>
              </c:ext>
            </c:extLst>
          </c:dPt>
          <c:dLbls>
            <c:dLbl>
              <c:idx val="0"/>
              <c:layout>
                <c:manualLayout>
                  <c:x val="-2.7080522527807235E-2"/>
                  <c:y val="-1.17052100905197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CA-4EFC-A717-9CD450AE17B8}"/>
                </c:ext>
              </c:extLst>
            </c:dLbl>
            <c:dLbl>
              <c:idx val="2"/>
              <c:layout>
                <c:manualLayout>
                  <c:x val="3.4962810880731596E-2"/>
                  <c:y val="1.106767196772041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A-4EFC-A717-9CD450AE17B8}"/>
                </c:ext>
              </c:extLst>
            </c:dLbl>
            <c:dLbl>
              <c:idx val="3"/>
              <c:layout>
                <c:manualLayout>
                  <c:x val="-2.9345185719979847E-4"/>
                  <c:y val="2.2573572051709904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A-4EFC-A717-9CD450AE17B8}"/>
                </c:ext>
              </c:extLst>
            </c:dLbl>
            <c:dLbl>
              <c:idx val="4"/>
              <c:layout>
                <c:manualLayout>
                  <c:x val="1.6535884303860299E-2"/>
                  <c:y val="-2.4293985560307398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A-4EFC-A717-9CD450AE17B8}"/>
                </c:ext>
              </c:extLst>
            </c:dLbl>
            <c:dLbl>
              <c:idx val="5"/>
              <c:layout>
                <c:manualLayout>
                  <c:x val="1.2436733373944304E-3"/>
                  <c:y val="-7.0151028744311408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A-4EFC-A717-9CD450AE17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A5PROG_SITCRED!$B$38:$B$43</c:f>
              <c:strCache>
                <c:ptCount val="6"/>
                <c:pt idx="0">
                  <c:v>Deute públic</c:v>
                </c:pt>
                <c:pt idx="1">
                  <c:v>Serveis públics bàsics</c:v>
                </c:pt>
                <c:pt idx="2">
                  <c:v>Protecció i promoció i social</c:v>
                </c:pt>
                <c:pt idx="3">
                  <c:v>Béns públics de caràcter preferent</c:v>
                </c:pt>
                <c:pt idx="4">
                  <c:v>Actuacions de caràcter econòmic</c:v>
                </c:pt>
                <c:pt idx="5">
                  <c:v>Actuacions de caràcter general</c:v>
                </c:pt>
              </c:strCache>
            </c:strRef>
          </c:cat>
          <c:val>
            <c:numRef>
              <c:f>A5PROG_SITCRED!$F$38:$F$43</c:f>
              <c:numCache>
                <c:formatCode>#,##0.00</c:formatCode>
                <c:ptCount val="6"/>
                <c:pt idx="0">
                  <c:v>0</c:v>
                </c:pt>
                <c:pt idx="1">
                  <c:v>4487179.79</c:v>
                </c:pt>
                <c:pt idx="2">
                  <c:v>2692873.3200000003</c:v>
                </c:pt>
                <c:pt idx="3">
                  <c:v>22344442.530000001</c:v>
                </c:pt>
                <c:pt idx="4">
                  <c:v>17176715.330000002</c:v>
                </c:pt>
                <c:pt idx="5">
                  <c:v>38608041.589999974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FCA-4EFC-A717-9CD450AE1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770768822436524"/>
          <c:y val="0.16747283401169058"/>
          <c:w val="0.27363900439411359"/>
          <c:h val="0.6618365095667387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421419702140634"/>
          <c:y val="4.6413502109704644E-2"/>
          <c:w val="0.41430081862996587"/>
          <c:h val="0.75927572344596161"/>
        </c:manualLayout>
      </c:layout>
      <c:barChart>
        <c:barDir val="bar"/>
        <c:grouping val="clustered"/>
        <c:varyColors val="0"/>
        <c:ser>
          <c:idx val="0"/>
          <c:order val="0"/>
          <c:tx>
            <c:v>Compromisos</c:v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DESPPROG!$B$30:$B$35</c:f>
              <c:strCache>
                <c:ptCount val="6"/>
                <c:pt idx="0">
                  <c:v>0.DEUTE PÚBLIC</c:v>
                </c:pt>
                <c:pt idx="1">
                  <c:v>1.SERVEIS PÚBLICS BÀSICS</c:v>
                </c:pt>
                <c:pt idx="2">
                  <c:v>2.ACTUACIONS DE PROTECCIÓ I PROMOCIÓ SOCIAL</c:v>
                </c:pt>
                <c:pt idx="3">
                  <c:v>3.BÉNS DE CARÀCTER PREFERENT</c:v>
                </c:pt>
                <c:pt idx="4">
                  <c:v>4.ACTUACIONS DE CARÀCTER ECONÒMIC</c:v>
                </c:pt>
                <c:pt idx="5">
                  <c:v>9.ACTUACIONS DE CARÀCTER GENERAL</c:v>
                </c:pt>
              </c:strCache>
            </c:strRef>
          </c:cat>
          <c:val>
            <c:numRef>
              <c:f>DESPPROG!$K$30:$K$35</c:f>
              <c:numCache>
                <c:formatCode>0.00%</c:formatCode>
                <c:ptCount val="6"/>
                <c:pt idx="0">
                  <c:v>0</c:v>
                </c:pt>
                <c:pt idx="1">
                  <c:v>0.64299323965470301</c:v>
                </c:pt>
                <c:pt idx="2">
                  <c:v>0.49002400961232195</c:v>
                </c:pt>
                <c:pt idx="3">
                  <c:v>0.48848382169757021</c:v>
                </c:pt>
                <c:pt idx="4">
                  <c:v>0.40268824866426317</c:v>
                </c:pt>
                <c:pt idx="5">
                  <c:v>0.54864015211669337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08-4184-89A8-59E3AA7D5DF2}"/>
            </c:ext>
          </c:extLst>
        </c:ser>
        <c:ser>
          <c:idx val="1"/>
          <c:order val="1"/>
          <c:tx>
            <c:v>Obligacions</c:v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DESPPROG!$B$30:$B$35</c:f>
              <c:strCache>
                <c:ptCount val="6"/>
                <c:pt idx="0">
                  <c:v>0.DEUTE PÚBLIC</c:v>
                </c:pt>
                <c:pt idx="1">
                  <c:v>1.SERVEIS PÚBLICS BÀSICS</c:v>
                </c:pt>
                <c:pt idx="2">
                  <c:v>2.ACTUACIONS DE PROTECCIÓ I PROMOCIÓ SOCIAL</c:v>
                </c:pt>
                <c:pt idx="3">
                  <c:v>3.BÉNS DE CARÀCTER PREFERENT</c:v>
                </c:pt>
                <c:pt idx="4">
                  <c:v>4.ACTUACIONS DE CARÀCTER ECONÒMIC</c:v>
                </c:pt>
                <c:pt idx="5">
                  <c:v>9.ACTUACIONS DE CARÀCTER GENERAL</c:v>
                </c:pt>
              </c:strCache>
            </c:strRef>
          </c:cat>
          <c:val>
            <c:numRef>
              <c:f>DESPPROG!$M$30:$M$35</c:f>
              <c:numCache>
                <c:formatCode>0.00%</c:formatCode>
                <c:ptCount val="6"/>
                <c:pt idx="0">
                  <c:v>0</c:v>
                </c:pt>
                <c:pt idx="1">
                  <c:v>0.12325220133201201</c:v>
                </c:pt>
                <c:pt idx="2">
                  <c:v>0.29401435467003295</c:v>
                </c:pt>
                <c:pt idx="3">
                  <c:v>0.27249523905220696</c:v>
                </c:pt>
                <c:pt idx="4">
                  <c:v>0.18125327188049195</c:v>
                </c:pt>
                <c:pt idx="5">
                  <c:v>0.20940782795858315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08-4184-89A8-59E3AA7D5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49195264"/>
        <c:axId val="142256960"/>
      </c:barChart>
      <c:catAx>
        <c:axId val="1491952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2256960"/>
        <c:crosses val="autoZero"/>
        <c:auto val="1"/>
        <c:lblAlgn val="ctr"/>
        <c:lblOffset val="100"/>
        <c:noMultiLvlLbl val="0"/>
      </c:catAx>
      <c:valAx>
        <c:axId val="142256960"/>
        <c:scaling>
          <c:orientation val="minMax"/>
        </c:scaling>
        <c:delete val="0"/>
        <c:axPos val="b"/>
        <c:numFmt formatCode="0.0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195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869699620880726"/>
          <c:y val="0.88889155522226393"/>
          <c:w val="0.36573826188393116"/>
          <c:h val="7.619080948214807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9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Composició dels crèdits definitius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92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Dades agregades</a:t>
            </a:r>
          </a:p>
        </c:rich>
      </c:tx>
      <c:layout>
        <c:manualLayout>
          <c:xMode val="edge"/>
          <c:yMode val="edge"/>
          <c:x val="0.35114547254904505"/>
          <c:y val="3.063475618179306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51155736488949"/>
          <c:y val="0.14223209945135079"/>
          <c:w val="0.83511512636802721"/>
          <c:h val="0.435449042935673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A6AREA_GrauModif!$C$41</c:f>
              <c:strCache>
                <c:ptCount val="1"/>
                <c:pt idx="0">
                  <c:v>Crèdits inicials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A6AREA_GrauModif!$B$42:$B$52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Instal.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A6AREA_GrauModif!$C$42:$C$52</c:f>
              <c:numCache>
                <c:formatCode>#,##0.00</c:formatCode>
                <c:ptCount val="11"/>
                <c:pt idx="0">
                  <c:v>4482651.919999999</c:v>
                </c:pt>
                <c:pt idx="1">
                  <c:v>78792451.829999998</c:v>
                </c:pt>
                <c:pt idx="2">
                  <c:v>10186417.560000001</c:v>
                </c:pt>
                <c:pt idx="3">
                  <c:v>23336567.410000004</c:v>
                </c:pt>
                <c:pt idx="4">
                  <c:v>15441886.360000001</c:v>
                </c:pt>
                <c:pt idx="5">
                  <c:v>5921619.3899999987</c:v>
                </c:pt>
                <c:pt idx="6">
                  <c:v>12609102.43</c:v>
                </c:pt>
                <c:pt idx="7">
                  <c:v>34102397.929999992</c:v>
                </c:pt>
                <c:pt idx="8">
                  <c:v>9526905.1699999999</c:v>
                </c:pt>
                <c:pt idx="9">
                  <c:v>9429999.9999999981</c:v>
                </c:pt>
                <c:pt idx="10">
                  <c:v>18570000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49-4EED-AEA8-30D70CAFB502}"/>
            </c:ext>
          </c:extLst>
        </c:ser>
        <c:ser>
          <c:idx val="1"/>
          <c:order val="1"/>
          <c:tx>
            <c:strRef>
              <c:f>A6AREA_GrauModif!$D$41</c:f>
              <c:strCache>
                <c:ptCount val="1"/>
                <c:pt idx="0">
                  <c:v>Modificacions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A6AREA_GrauModif!$B$42:$B$52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Instal.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A6AREA_GrauModif!$D$42:$D$52</c:f>
              <c:numCache>
                <c:formatCode>#,##0.00</c:formatCode>
                <c:ptCount val="11"/>
                <c:pt idx="0">
                  <c:v>426678.27</c:v>
                </c:pt>
                <c:pt idx="1">
                  <c:v>79979172.710000038</c:v>
                </c:pt>
                <c:pt idx="2">
                  <c:v>23521431.310000002</c:v>
                </c:pt>
                <c:pt idx="3">
                  <c:v>42629789.610000007</c:v>
                </c:pt>
                <c:pt idx="4">
                  <c:v>10086048.210000001</c:v>
                </c:pt>
                <c:pt idx="5">
                  <c:v>3975552.1599999997</c:v>
                </c:pt>
                <c:pt idx="6">
                  <c:v>-409979.14000000007</c:v>
                </c:pt>
                <c:pt idx="7">
                  <c:v>11220057.890000001</c:v>
                </c:pt>
                <c:pt idx="8">
                  <c:v>2549296.1799999997</c:v>
                </c:pt>
                <c:pt idx="9">
                  <c:v>4658096.04</c:v>
                </c:pt>
                <c:pt idx="10">
                  <c:v>5662800.8899999997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49-4EED-AEA8-30D70CAFB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276160"/>
        <c:axId val="142259840"/>
      </c:barChart>
      <c:catAx>
        <c:axId val="14927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598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2259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276160"/>
        <c:crossesAt val="1"/>
        <c:crossBetween val="between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807328735070908"/>
          <c:y val="0.93640558088133719"/>
          <c:w val="0.69622950619544655"/>
          <c:h val="4.3859649122807043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paperSize="9" firstPageNumber="0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Estat d'execució dels crèdits definitius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Dades agregades</a:t>
            </a:r>
          </a:p>
        </c:rich>
      </c:tx>
      <c:layout>
        <c:manualLayout>
          <c:xMode val="edge"/>
          <c:yMode val="edge"/>
          <c:x val="0.31847995471154339"/>
          <c:y val="3.04259713437459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06168282432806"/>
          <c:y val="0.1480731689682597"/>
          <c:w val="0.85059032152988912"/>
          <c:h val="0.3509131264590264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A7AREA_SitCred!$C$38</c:f>
              <c:strCache>
                <c:ptCount val="1"/>
                <c:pt idx="0">
                  <c:v>Saldos no compromesos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Instal.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A7AREA_SitCred!$C$39:$C$49</c:f>
              <c:numCache>
                <c:formatCode>#,##0.00</c:formatCode>
                <c:ptCount val="11"/>
                <c:pt idx="0">
                  <c:v>3262375.879999999</c:v>
                </c:pt>
                <c:pt idx="1">
                  <c:v>142144208.80999994</c:v>
                </c:pt>
                <c:pt idx="2">
                  <c:v>32112398.279999986</c:v>
                </c:pt>
                <c:pt idx="3">
                  <c:v>62260775.510000005</c:v>
                </c:pt>
                <c:pt idx="4">
                  <c:v>22176080.480000004</c:v>
                </c:pt>
                <c:pt idx="5">
                  <c:v>8617383.7200000025</c:v>
                </c:pt>
                <c:pt idx="6">
                  <c:v>16063058.17</c:v>
                </c:pt>
                <c:pt idx="7">
                  <c:v>31893277.880000018</c:v>
                </c:pt>
                <c:pt idx="8">
                  <c:v>10349029.439999996</c:v>
                </c:pt>
                <c:pt idx="9">
                  <c:v>11217228.199999999</c:v>
                </c:pt>
                <c:pt idx="10">
                  <c:v>17795861.420000002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74-4A2A-BC91-E3D3E562069F}"/>
            </c:ext>
          </c:extLst>
        </c:ser>
        <c:ser>
          <c:idx val="1"/>
          <c:order val="1"/>
          <c:tx>
            <c:strRef>
              <c:f>A7AREA_SitCred!$D$38</c:f>
              <c:strCache>
                <c:ptCount val="1"/>
                <c:pt idx="0">
                  <c:v>Saldos compromesos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Instal.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A7AREA_SitCred!$D$39:$D$49</c:f>
              <c:numCache>
                <c:formatCode>#,##0.00</c:formatCode>
                <c:ptCount val="11"/>
                <c:pt idx="0">
                  <c:v>83818.52</c:v>
                </c:pt>
                <c:pt idx="1">
                  <c:v>80026517.600000039</c:v>
                </c:pt>
                <c:pt idx="2">
                  <c:v>7723655.54</c:v>
                </c:pt>
                <c:pt idx="3">
                  <c:v>13200072.559999997</c:v>
                </c:pt>
                <c:pt idx="4">
                  <c:v>5485267.8000000026</c:v>
                </c:pt>
                <c:pt idx="5">
                  <c:v>2482507.08</c:v>
                </c:pt>
                <c:pt idx="6">
                  <c:v>220349.22000000003</c:v>
                </c:pt>
                <c:pt idx="7">
                  <c:v>2813007.4700000007</c:v>
                </c:pt>
                <c:pt idx="8">
                  <c:v>2416780.25</c:v>
                </c:pt>
                <c:pt idx="9">
                  <c:v>4696317.05</c:v>
                </c:pt>
                <c:pt idx="10">
                  <c:v>2807910.19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74-4A2A-BC91-E3D3E562069F}"/>
            </c:ext>
          </c:extLst>
        </c:ser>
        <c:ser>
          <c:idx val="2"/>
          <c:order val="2"/>
          <c:tx>
            <c:strRef>
              <c:f>A7AREA_SitCred!$F$38</c:f>
              <c:strCache>
                <c:ptCount val="1"/>
                <c:pt idx="0">
                  <c:v>Obligacions reconegudes netes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A7AREA_SitCred!$B$39:$B$49</c:f>
              <c:strCache>
                <c:ptCount val="11"/>
                <c:pt idx="0">
                  <c:v>Òrgans de govern i Coordinació general</c:v>
                </c:pt>
                <c:pt idx="1">
                  <c:v>Concertació i Assistència Municipal</c:v>
                </c:pt>
                <c:pt idx="2">
                  <c:v>Promoció Social i Cultural</c:v>
                </c:pt>
                <c:pt idx="3">
                  <c:v>Infraestructures del Territori</c:v>
                </c:pt>
                <c:pt idx="4">
                  <c:v>Serveis Generals i Instal. Corporatives</c:v>
                </c:pt>
                <c:pt idx="5">
                  <c:v>Gabinet de Presidència i PERC</c:v>
                </c:pt>
                <c:pt idx="6">
                  <c:v>Secretaria, Intervenció i Tresoreria</c:v>
                </c:pt>
                <c:pt idx="7">
                  <c:v>Persones i Talent</c:v>
                </c:pt>
                <c:pt idx="8">
                  <c:v>Innovació i Tecnologia</c:v>
                </c:pt>
                <c:pt idx="9">
                  <c:v>O.A. Patronat de Turisme</c:v>
                </c:pt>
                <c:pt idx="10">
                  <c:v>O.A. BASE</c:v>
                </c:pt>
              </c:strCache>
            </c:strRef>
          </c:cat>
          <c:val>
            <c:numRef>
              <c:f>A7AREA_SitCred!$F$39:$F$49</c:f>
              <c:numCache>
                <c:formatCode>#,##0.00</c:formatCode>
                <c:ptCount val="11"/>
                <c:pt idx="0">
                  <c:v>1646954.3100000005</c:v>
                </c:pt>
                <c:pt idx="1">
                  <c:v>26686457.849999987</c:v>
                </c:pt>
                <c:pt idx="2">
                  <c:v>9053005.8299999982</c:v>
                </c:pt>
                <c:pt idx="3">
                  <c:v>9865429.3299999926</c:v>
                </c:pt>
                <c:pt idx="4">
                  <c:v>3674993.5200000009</c:v>
                </c:pt>
                <c:pt idx="5">
                  <c:v>1971122.08</c:v>
                </c:pt>
                <c:pt idx="6">
                  <c:v>3066704.1200000015</c:v>
                </c:pt>
                <c:pt idx="7">
                  <c:v>15736090.509999998</c:v>
                </c:pt>
                <c:pt idx="8">
                  <c:v>2610244.1</c:v>
                </c:pt>
                <c:pt idx="9">
                  <c:v>3241921.92</c:v>
                </c:pt>
                <c:pt idx="10">
                  <c:v>7756328.9900000002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74-4A2A-BC91-E3D3E5620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9517824"/>
        <c:axId val="149317312"/>
      </c:barChart>
      <c:catAx>
        <c:axId val="14951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3173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31731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517824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096337467620468"/>
          <c:y val="0.88934426229508201"/>
          <c:w val="0.7856173468512514"/>
          <c:h val="9.016393442622949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Footer>&amp;CServei de Comptabilitat | Intervenció&amp;D5</c:oddFooter>
    </c:headerFooter>
    <c:pageMargins b="0.98425196850393704" l="0.74803149606299213" r="0.74803149606299213" t="0.98425196850393704" header="0.51181102362204722" footer="0.51181102362204722"/>
    <c:pageSetup paperSize="9" firstPageNumber="0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[2rT 2025.xlsx]A7AREA_SitCred!Tabla dinámica2</c:name>
    <c:fmtId val="0"/>
  </c:pivotSource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Obligacions reconegudes netes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  <c:dLbl>
          <c:idx val="0"/>
          <c:spPr/>
          <c:txPr>
            <a:bodyPr wrap="square" lIns="38100" tIns="19050" rIns="38100" bIns="19050" anchor="ctr">
              <a:spAutoFit/>
            </a:bodyPr>
            <a:lstStyle/>
            <a:p>
              <a:pPr>
                <a:defRPr sz="10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ca-E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A7AREA_SitCred!$L$1:$L$2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A7AREA_SitCred!$K$3:$K$14</c:f>
              <c:strCache>
                <c:ptCount val="11"/>
                <c:pt idx="0">
                  <c:v>Òrgans de govern i Coordinació general</c:v>
                </c:pt>
                <c:pt idx="1">
                  <c:v>Gabinet de Presidència i Planificació i PERC</c:v>
                </c:pt>
                <c:pt idx="2">
                  <c:v>Innovació i Tecnologia</c:v>
                </c:pt>
                <c:pt idx="3">
                  <c:v>Secretaria, Intervenció i Tresoreria</c:v>
                </c:pt>
                <c:pt idx="4">
                  <c:v>O.A. Patronat de Turisme</c:v>
                </c:pt>
                <c:pt idx="5">
                  <c:v>Serveis Generals i Instal·lacions Corporatives</c:v>
                </c:pt>
                <c:pt idx="6">
                  <c:v>O.A. BASE</c:v>
                </c:pt>
                <c:pt idx="7">
                  <c:v>Promoció Social i Cultural</c:v>
                </c:pt>
                <c:pt idx="8">
                  <c:v>Infraestructures del Territori</c:v>
                </c:pt>
                <c:pt idx="9">
                  <c:v>Persones i Talent</c:v>
                </c:pt>
                <c:pt idx="10">
                  <c:v>Concertació i Assistència Municipal</c:v>
                </c:pt>
              </c:strCache>
            </c:strRef>
          </c:cat>
          <c:val>
            <c:numRef>
              <c:f>A7AREA_SitCred!$L$3:$L$14</c:f>
              <c:numCache>
                <c:formatCode>#,##0.00</c:formatCode>
                <c:ptCount val="11"/>
                <c:pt idx="0">
                  <c:v>1646954.3100000005</c:v>
                </c:pt>
                <c:pt idx="1">
                  <c:v>1971122.08</c:v>
                </c:pt>
                <c:pt idx="2">
                  <c:v>2610244.1</c:v>
                </c:pt>
                <c:pt idx="3">
                  <c:v>3066704.1200000015</c:v>
                </c:pt>
                <c:pt idx="4">
                  <c:v>3241921.92</c:v>
                </c:pt>
                <c:pt idx="5">
                  <c:v>3674993.5200000009</c:v>
                </c:pt>
                <c:pt idx="6">
                  <c:v>7756328.9900000002</c:v>
                </c:pt>
                <c:pt idx="7">
                  <c:v>9053005.8299999982</c:v>
                </c:pt>
                <c:pt idx="8">
                  <c:v>9865429.3299999926</c:v>
                </c:pt>
                <c:pt idx="9">
                  <c:v>15736090.509999998</c:v>
                </c:pt>
                <c:pt idx="10">
                  <c:v>26686457.849999987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51-4F90-BB7D-469FF18F4B4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9519872"/>
        <c:axId val="149319040"/>
      </c:barChart>
      <c:catAx>
        <c:axId val="149519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319040"/>
        <c:crosses val="autoZero"/>
        <c:auto val="0"/>
        <c:lblAlgn val="ctr"/>
        <c:lblOffset val="100"/>
        <c:noMultiLvlLbl val="0"/>
      </c:catAx>
      <c:valAx>
        <c:axId val="149319040"/>
        <c:scaling>
          <c:orientation val="minMax"/>
        </c:scaling>
        <c:delete val="0"/>
        <c:axPos val="b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49519872"/>
        <c:crosses val="autoZero"/>
        <c:crossBetween val="between"/>
        <c:dispUnits>
          <c:builtInUnit val="thousands"/>
          <c:dispUnitsLbl>
            <c:tx>
              <c:rich>
                <a:bodyPr rot="0" vert="horz"/>
                <a:lstStyle/>
                <a:p>
                  <a:pPr algn="ctr"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Milers €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Estat d'execució d'ingressos</a:t>
            </a:r>
          </a:p>
        </c:rich>
      </c:tx>
      <c:layout>
        <c:manualLayout>
          <c:xMode val="edge"/>
          <c:yMode val="edge"/>
          <c:x val="0.36753240666345277"/>
          <c:y val="3.066037735849056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415584415584416E-2"/>
          <c:y val="0.15566055661823386"/>
          <c:w val="0.89740259740259742"/>
          <c:h val="0.4905666026756461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A8_SITINGR!$D$38</c:f>
              <c:strCache>
                <c:ptCount val="1"/>
                <c:pt idx="0">
                  <c:v>Saldo previsions definitives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A8_SITINGR!$D$39:$D$47</c:f>
              <c:numCache>
                <c:formatCode>#,##0.00</c:formatCode>
                <c:ptCount val="9"/>
                <c:pt idx="0">
                  <c:v>10708705.140000002</c:v>
                </c:pt>
                <c:pt idx="1">
                  <c:v>6941659.9400000004</c:v>
                </c:pt>
                <c:pt idx="2">
                  <c:v>19193097.669999998</c:v>
                </c:pt>
                <c:pt idx="3">
                  <c:v>86589364.599999994</c:v>
                </c:pt>
                <c:pt idx="4">
                  <c:v>5825920.5099999998</c:v>
                </c:pt>
                <c:pt idx="5">
                  <c:v>0</c:v>
                </c:pt>
                <c:pt idx="6">
                  <c:v>0</c:v>
                </c:pt>
                <c:pt idx="7">
                  <c:v>192638497.71999997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3-49CA-AF2E-BC6C0C1A59AB}"/>
            </c:ext>
          </c:extLst>
        </c:ser>
        <c:ser>
          <c:idx val="1"/>
          <c:order val="1"/>
          <c:tx>
            <c:strRef>
              <c:f>A8_SITINGR!$K$38</c:f>
              <c:strCache>
                <c:ptCount val="1"/>
                <c:pt idx="0">
                  <c:v>Drets pendents de cobrar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A8_SITINGR!$K$39:$K$47</c:f>
              <c:numCache>
                <c:formatCode>#,##0.00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164561.21999999974</c:v>
                </c:pt>
                <c:pt idx="3">
                  <c:v>141651.92000000179</c:v>
                </c:pt>
                <c:pt idx="4">
                  <c:v>53606.630000000121</c:v>
                </c:pt>
                <c:pt idx="5">
                  <c:v>0</c:v>
                </c:pt>
                <c:pt idx="6">
                  <c:v>0</c:v>
                </c:pt>
                <c:pt idx="7">
                  <c:v>3945.7900000000081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3-49CA-AF2E-BC6C0C1A59AB}"/>
            </c:ext>
          </c:extLst>
        </c:ser>
        <c:ser>
          <c:idx val="2"/>
          <c:order val="2"/>
          <c:tx>
            <c:strRef>
              <c:f>A8_SITINGR!$G$38</c:f>
              <c:strCache>
                <c:ptCount val="1"/>
                <c:pt idx="0">
                  <c:v>Recaptació neta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A8_SITINGR!$B$39:$B$47</c:f>
              <c:strCache>
                <c:ptCount val="9"/>
                <c:pt idx="0">
                  <c:v>Impostos directes</c:v>
                </c:pt>
                <c:pt idx="1">
                  <c:v>Impostos indirectes</c:v>
                </c:pt>
                <c:pt idx="2">
                  <c:v>Taxes i altres ingressos</c:v>
                </c:pt>
                <c:pt idx="3">
                  <c:v>Transferències corrents</c:v>
                </c:pt>
                <c:pt idx="4">
                  <c:v>Ingressos patrimonials</c:v>
                </c:pt>
                <c:pt idx="5">
                  <c:v>Venda d'inversions reals</c:v>
                </c:pt>
                <c:pt idx="6">
                  <c:v>Transferències de capital</c:v>
                </c:pt>
                <c:pt idx="7">
                  <c:v>Actius financers</c:v>
                </c:pt>
                <c:pt idx="8">
                  <c:v>Passius financers</c:v>
                </c:pt>
              </c:strCache>
            </c:strRef>
          </c:cat>
          <c:val>
            <c:numRef>
              <c:f>A8_SITINGR!$G$39:$G$47</c:f>
              <c:numCache>
                <c:formatCode>#,##0.00</c:formatCode>
                <c:ptCount val="9"/>
                <c:pt idx="0">
                  <c:v>9053626.0999999996</c:v>
                </c:pt>
                <c:pt idx="1">
                  <c:v>7463202.1200000001</c:v>
                </c:pt>
                <c:pt idx="2">
                  <c:v>678860.42000000016</c:v>
                </c:pt>
                <c:pt idx="3">
                  <c:v>63807650.059999987</c:v>
                </c:pt>
                <c:pt idx="4">
                  <c:v>1890062.82</c:v>
                </c:pt>
                <c:pt idx="5">
                  <c:v>2304</c:v>
                </c:pt>
                <c:pt idx="6">
                  <c:v>2833869.44</c:v>
                </c:pt>
                <c:pt idx="7">
                  <c:v>181330.88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3-49CA-AF2E-BC6C0C1A5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202880"/>
        <c:axId val="149321344"/>
      </c:barChart>
      <c:catAx>
        <c:axId val="15020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32134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32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0202880"/>
        <c:crossesAt val="1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723565804274469"/>
          <c:y val="0.9316047640271381"/>
          <c:w val="0.77894249825914608"/>
          <c:h val="5.1886792452830233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Obligacions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3F-470D-8367-20E93CA6D0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3F-470D-8367-20E93CA6D096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7F3F-470D-8367-20E93CA6D096}"/>
              </c:ext>
            </c:extLst>
          </c:dPt>
          <c:val>
            <c:numRef>
              <c:f>A1_PREGESTIONAT!$N$5:$N$7</c:f>
              <c:numCache>
                <c:formatCode>0.00%</c:formatCode>
                <c:ptCount val="3"/>
                <c:pt idx="0">
                  <c:v>0.2097602017199513</c:v>
                </c:pt>
                <c:pt idx="1">
                  <c:v>0.2902397982800487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3F-470D-8367-20E93CA6D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Grau d'execució del pressupost d'ingressos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A8_SITINGR!$B$49</c:f>
              <c:strCache>
                <c:ptCount val="1"/>
                <c:pt idx="0">
                  <c:v>Pressupost sense RLT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1BBB-4E1D-91D1-2E6EC183482F}"/>
              </c:ext>
            </c:extLst>
          </c:dPt>
          <c:dPt>
            <c:idx val="1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BBB-4E1D-91D1-2E6EC183482F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1BBB-4E1D-91D1-2E6EC183482F}"/>
              </c:ext>
            </c:extLst>
          </c:dPt>
          <c:dLbls>
            <c:dLbl>
              <c:idx val="0"/>
              <c:layout>
                <c:manualLayout>
                  <c:x val="1.2384169084127643E-2"/>
                  <c:y val="-5.3701151939340913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B-4E1D-91D1-2E6EC183482F}"/>
                </c:ext>
              </c:extLst>
            </c:dLbl>
            <c:dLbl>
              <c:idx val="1"/>
              <c:layout>
                <c:manualLayout>
                  <c:x val="2.4120044205000689E-3"/>
                  <c:y val="1.193824730242053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B-4E1D-91D1-2E6EC183482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(A8_SITINGR!$D$38,A8_SITINGR!$G$38,A8_SITINGR!$K$38)</c:f>
              <c:strCache>
                <c:ptCount val="3"/>
                <c:pt idx="0">
                  <c:v>Saldo previsions definitives</c:v>
                </c:pt>
                <c:pt idx="1">
                  <c:v>Recaptació neta</c:v>
                </c:pt>
                <c:pt idx="2">
                  <c:v>Drets pendents de cobrar</c:v>
                </c:pt>
              </c:strCache>
            </c:strRef>
          </c:cat>
          <c:val>
            <c:numRef>
              <c:f>(A8_SITINGR!$D$49,A8_SITINGR!$G$49,A8_SITINGR!$K$49)</c:f>
              <c:numCache>
                <c:formatCode>#,##0.00</c:formatCode>
                <c:ptCount val="3"/>
                <c:pt idx="0">
                  <c:v>128200498.34000005</c:v>
                </c:pt>
                <c:pt idx="1">
                  <c:v>85910905.839999974</c:v>
                </c:pt>
                <c:pt idx="2">
                  <c:v>363765.56000001729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BB-4E1D-91D1-2E6EC1834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377247417716192"/>
          <c:y val="0.32526024212371374"/>
          <c:w val="0.29517562242704154"/>
          <c:h val="0.3356405016846942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DE DESPESES</a:t>
            </a:r>
          </a:p>
        </c:rich>
      </c:tx>
      <c:layout>
        <c:manualLayout>
          <c:xMode val="edge"/>
          <c:yMode val="edge"/>
          <c:x val="0.3686385355676694"/>
          <c:y val="2.92966803807058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134818103358531"/>
          <c:y val="0.123046875"/>
          <c:w val="0.68775837114101401"/>
          <c:h val="0.73828125"/>
        </c:manualLayout>
      </c:layout>
      <c:barChart>
        <c:barDir val="bar"/>
        <c:grouping val="clustered"/>
        <c:varyColors val="0"/>
        <c:ser>
          <c:idx val="0"/>
          <c:order val="0"/>
          <c:tx>
            <c:v>COMPROMISOS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DESPCAPITOL!$B$42:$B$50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DESPCAPITOL!$K$42:$K$50</c:f>
              <c:numCache>
                <c:formatCode>0.00%</c:formatCode>
                <c:ptCount val="9"/>
                <c:pt idx="0">
                  <c:v>0.40541567651208094</c:v>
                </c:pt>
                <c:pt idx="1">
                  <c:v>0.62840780503988758</c:v>
                </c:pt>
                <c:pt idx="2">
                  <c:v>3.5233960422249052E-4</c:v>
                </c:pt>
                <c:pt idx="3">
                  <c:v>0.58016771756832353</c:v>
                </c:pt>
                <c:pt idx="4">
                  <c:v>0</c:v>
                </c:pt>
                <c:pt idx="5">
                  <c:v>0.2202379390994483</c:v>
                </c:pt>
                <c:pt idx="6">
                  <c:v>0.70109766452098943</c:v>
                </c:pt>
                <c:pt idx="7">
                  <c:v>0.49116666666666664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E-40D1-B274-300CAC1FD99E}"/>
            </c:ext>
          </c:extLst>
        </c:ser>
        <c:ser>
          <c:idx val="1"/>
          <c:order val="1"/>
          <c:tx>
            <c:v>OBLIGACIONS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DESPCAPITOL!$M$42:$M$50</c:f>
              <c:numCache>
                <c:formatCode>0.00%</c:formatCode>
                <c:ptCount val="9"/>
                <c:pt idx="0">
                  <c:v>0.40026653383816924</c:v>
                </c:pt>
                <c:pt idx="1">
                  <c:v>0.20789035491586913</c:v>
                </c:pt>
                <c:pt idx="2">
                  <c:v>3.5233960422249052E-4</c:v>
                </c:pt>
                <c:pt idx="3">
                  <c:v>0.29806508594188469</c:v>
                </c:pt>
                <c:pt idx="4">
                  <c:v>0</c:v>
                </c:pt>
                <c:pt idx="5">
                  <c:v>9.9593561587769164E-2</c:v>
                </c:pt>
                <c:pt idx="6">
                  <c:v>9.5969147025816187E-2</c:v>
                </c:pt>
                <c:pt idx="7">
                  <c:v>0.49116666666666664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E-40D1-B274-300CAC1FD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912064"/>
        <c:axId val="151488192"/>
      </c:barChart>
      <c:catAx>
        <c:axId val="1499120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8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488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99120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6492467793752507"/>
          <c:y val="0.94324935410470945"/>
          <c:w val="0.29023402439067586"/>
          <c:h val="4.6966731898238745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D'INGRESSOS</a:t>
            </a:r>
          </a:p>
        </c:rich>
      </c:tx>
      <c:layout>
        <c:manualLayout>
          <c:xMode val="edge"/>
          <c:yMode val="edge"/>
          <c:x val="0.36956556430446191"/>
          <c:y val="2.92275574112734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1606215223097115"/>
          <c:y val="0.12943632567849686"/>
          <c:w val="0.53992902887139105"/>
          <c:h val="0.71816283924843427"/>
        </c:manualLayout>
      </c:layout>
      <c:barChart>
        <c:barDir val="bar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INGRCAPITOL!$B$42:$B$50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INGRCAPITOL!$G$42:$G$50</c:f>
              <c:numCache>
                <c:formatCode>0.00%</c:formatCode>
                <c:ptCount val="9"/>
                <c:pt idx="0">
                  <c:v>0.45812540990482853</c:v>
                </c:pt>
                <c:pt idx="1">
                  <c:v>0.51810299112298475</c:v>
                </c:pt>
                <c:pt idx="2">
                  <c:v>4.2094219407612266E-2</c:v>
                </c:pt>
                <c:pt idx="3">
                  <c:v>0.4248031647471498</c:v>
                </c:pt>
                <c:pt idx="4">
                  <c:v>0.25016371005504134</c:v>
                </c:pt>
                <c:pt idx="5">
                  <c:v>1</c:v>
                </c:pt>
                <c:pt idx="6">
                  <c:v>1</c:v>
                </c:pt>
                <c:pt idx="7">
                  <c:v>9.6086009407358975E-4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F4-4B90-88E9-91184FD1C1AD}"/>
            </c:ext>
          </c:extLst>
        </c:ser>
        <c:ser>
          <c:idx val="1"/>
          <c:order val="1"/>
          <c:tx>
            <c:v>INGRESSOS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INGRCAPITOL!$B$42:$B$50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INGRCAPITOL!$J$42:$J$50</c:f>
              <c:numCache>
                <c:formatCode>0.00%</c:formatCode>
                <c:ptCount val="9"/>
                <c:pt idx="0">
                  <c:v>0.45812540990482853</c:v>
                </c:pt>
                <c:pt idx="1">
                  <c:v>0.51810299112298475</c:v>
                </c:pt>
                <c:pt idx="2">
                  <c:v>3.3881155179542023E-2</c:v>
                </c:pt>
                <c:pt idx="3">
                  <c:v>0.42386219773038192</c:v>
                </c:pt>
                <c:pt idx="4">
                  <c:v>0.24326416577072493</c:v>
                </c:pt>
                <c:pt idx="5">
                  <c:v>1</c:v>
                </c:pt>
                <c:pt idx="6">
                  <c:v>1</c:v>
                </c:pt>
                <c:pt idx="7">
                  <c:v>9.4039690164577554E-4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F4-4B90-88E9-91184FD1C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568896"/>
        <c:axId val="151489920"/>
      </c:barChart>
      <c:catAx>
        <c:axId val="151568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89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489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5688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054397200349952"/>
          <c:y val="0.93319415448851772"/>
          <c:w val="0.21603275590551174"/>
          <c:h val="5.0104384133611735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Compromisos</a:t>
            </a:r>
          </a:p>
        </c:rich>
      </c:tx>
      <c:layout>
        <c:manualLayout>
          <c:xMode val="edge"/>
          <c:yMode val="edge"/>
          <c:x val="0.42673551052020137"/>
          <c:y val="3.5927896400337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25969737840503E-2"/>
          <c:y val="0.2035931120080815"/>
          <c:w val="0.81619588500404494"/>
          <c:h val="0.3622759787202626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ANUAL_TRIM!$F$6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ANUAL_TRIM!$F$7:$F$15</c:f>
              <c:numCache>
                <c:formatCode>0.00%</c:formatCode>
                <c:ptCount val="9"/>
                <c:pt idx="0">
                  <c:v>0.2204407549444673</c:v>
                </c:pt>
                <c:pt idx="1">
                  <c:v>0.56248610661320786</c:v>
                </c:pt>
                <c:pt idx="2">
                  <c:v>0</c:v>
                </c:pt>
                <c:pt idx="3">
                  <c:v>0.56865663461914007</c:v>
                </c:pt>
                <c:pt idx="4">
                  <c:v>0</c:v>
                </c:pt>
                <c:pt idx="5">
                  <c:v>0.38433161651646164</c:v>
                </c:pt>
                <c:pt idx="6">
                  <c:v>0.74661989675676033</c:v>
                </c:pt>
                <c:pt idx="7">
                  <c:v>0.18966666666666668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9F-47EF-82D6-44F9B460C7CA}"/>
            </c:ext>
          </c:extLst>
        </c:ser>
        <c:ser>
          <c:idx val="0"/>
          <c:order val="1"/>
          <c:tx>
            <c:strRef>
              <c:f>ANUAL_TRIM!$G$6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ANUAL_TRIM!$G$7:$G$15</c:f>
              <c:numCache>
                <c:formatCode>0.00%</c:formatCode>
                <c:ptCount val="9"/>
                <c:pt idx="0">
                  <c:v>0.18497492156761364</c:v>
                </c:pt>
                <c:pt idx="1">
                  <c:v>6.592169842667972E-2</c:v>
                </c:pt>
                <c:pt idx="2">
                  <c:v>3.5233960422249052E-4</c:v>
                </c:pt>
                <c:pt idx="3">
                  <c:v>1.151108294918346E-2</c:v>
                </c:pt>
                <c:pt idx="4">
                  <c:v>0</c:v>
                </c:pt>
                <c:pt idx="5">
                  <c:v>-0.16409367741701333</c:v>
                </c:pt>
                <c:pt idx="6">
                  <c:v>-4.5522232235770899E-2</c:v>
                </c:pt>
                <c:pt idx="7">
                  <c:v>0.30149999999999999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9F-47EF-82D6-44F9B460C7CA}"/>
            </c:ext>
          </c:extLst>
        </c:ser>
        <c:ser>
          <c:idx val="4"/>
          <c:order val="2"/>
          <c:tx>
            <c:strRef>
              <c:f>ANUAL_TRIM!$H$6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ANUAL_TRIM!$H$7:$H$15</c:f>
              <c:numCache>
                <c:formatCode>0.00%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336128"/>
        <c:axId val="151492224"/>
      </c:barChart>
      <c:lineChart>
        <c:grouping val="standard"/>
        <c:varyColors val="0"/>
        <c:ser>
          <c:idx val="2"/>
          <c:order val="3"/>
          <c:tx>
            <c:strRef>
              <c:f>ANUAL_TRIM!$I$6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ANUAL_TRIM!$I$7:$I$15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6128"/>
        <c:axId val="151492224"/>
      </c:lineChart>
      <c:lineChart>
        <c:grouping val="standard"/>
        <c:varyColors val="0"/>
        <c:ser>
          <c:idx val="3"/>
          <c:order val="4"/>
          <c:tx>
            <c:strRef>
              <c:f>ANUAL_TRIM!$J$6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ANUAL_TRIM!$A$7:$A$15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ANUAL_TRIM!$J$7:$J$15</c:f>
              <c:numCache>
                <c:formatCode>0.00%</c:formatCode>
                <c:ptCount val="9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9F-47EF-82D6-44F9B460C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6640"/>
        <c:axId val="151492800"/>
      </c:lineChart>
      <c:catAx>
        <c:axId val="164336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149222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492224"/>
        <c:scaling>
          <c:orientation val="minMax"/>
          <c:min val="-0.2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64336128"/>
        <c:crosses val="autoZero"/>
        <c:crossBetween val="between"/>
      </c:valAx>
      <c:catAx>
        <c:axId val="16433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492800"/>
        <c:crosses val="autoZero"/>
        <c:auto val="0"/>
        <c:lblAlgn val="ctr"/>
        <c:lblOffset val="100"/>
        <c:noMultiLvlLbl val="0"/>
      </c:catAx>
      <c:valAx>
        <c:axId val="151492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43366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04108124567657"/>
          <c:y val="0.22522585577703688"/>
          <c:w val="6.8035997391877046E-2"/>
          <c:h val="0.318319264146035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Obligacions</a:t>
            </a:r>
          </a:p>
        </c:rich>
      </c:tx>
      <c:layout>
        <c:manualLayout>
          <c:xMode val="edge"/>
          <c:yMode val="edge"/>
          <c:x val="0.43902440316019764"/>
          <c:y val="3.58209565121725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4249037227215E-2"/>
          <c:y val="0.20298507462686566"/>
          <c:w val="0.81643132220795889"/>
          <c:h val="0.337313432835820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ANUAL_TRIM!$F$19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ANUAL_TRIM!$F$20:$F$28</c:f>
              <c:numCache>
                <c:formatCode>0.00%</c:formatCode>
                <c:ptCount val="9"/>
                <c:pt idx="0">
                  <c:v>0.21407957885259174</c:v>
                </c:pt>
                <c:pt idx="1">
                  <c:v>8.2270642299912697E-2</c:v>
                </c:pt>
                <c:pt idx="2">
                  <c:v>0</c:v>
                </c:pt>
                <c:pt idx="3">
                  <c:v>0.29188916140898619</c:v>
                </c:pt>
                <c:pt idx="4">
                  <c:v>0</c:v>
                </c:pt>
                <c:pt idx="5">
                  <c:v>3.4869812292301502E-2</c:v>
                </c:pt>
                <c:pt idx="6">
                  <c:v>1.2503100057526105E-2</c:v>
                </c:pt>
                <c:pt idx="7">
                  <c:v>0.18966666666666668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02-400F-A326-2184DD14DE23}"/>
            </c:ext>
          </c:extLst>
        </c:ser>
        <c:ser>
          <c:idx val="0"/>
          <c:order val="1"/>
          <c:tx>
            <c:strRef>
              <c:f>ANUAL_TRIM!$G$19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ANUAL_TRIM!$G$20:$G$28</c:f>
              <c:numCache>
                <c:formatCode>0.00%</c:formatCode>
                <c:ptCount val="9"/>
                <c:pt idx="0">
                  <c:v>0.1861869549855775</c:v>
                </c:pt>
                <c:pt idx="1">
                  <c:v>0.12561971261595645</c:v>
                </c:pt>
                <c:pt idx="2">
                  <c:v>3.5233960422249052E-4</c:v>
                </c:pt>
                <c:pt idx="3">
                  <c:v>6.1759245328985024E-3</c:v>
                </c:pt>
                <c:pt idx="4">
                  <c:v>0</c:v>
                </c:pt>
                <c:pt idx="5">
                  <c:v>6.4723749295467661E-2</c:v>
                </c:pt>
                <c:pt idx="6">
                  <c:v>8.3466046968290075E-2</c:v>
                </c:pt>
                <c:pt idx="7">
                  <c:v>0.30149999999999999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02-400F-A326-2184DD14DE23}"/>
            </c:ext>
          </c:extLst>
        </c:ser>
        <c:ser>
          <c:idx val="4"/>
          <c:order val="2"/>
          <c:tx>
            <c:strRef>
              <c:f>ANUAL_TRIM!$H$19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ANUAL_TRIM!$H$20:$H$28</c:f>
              <c:numCache>
                <c:formatCode>0.00%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C502-400F-A326-2184DD14D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338688"/>
        <c:axId val="150135360"/>
      </c:barChart>
      <c:lineChart>
        <c:grouping val="standard"/>
        <c:varyColors val="0"/>
        <c:ser>
          <c:idx val="2"/>
          <c:order val="3"/>
          <c:tx>
            <c:strRef>
              <c:f>ANUAL_TRIM!$I$19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ANUAL_TRIM!$I$20:$I$28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2-400F-A326-2184DD14DE23}"/>
            </c:ext>
          </c:extLst>
        </c:ser>
        <c:ser>
          <c:idx val="3"/>
          <c:order val="4"/>
          <c:tx>
            <c:strRef>
              <c:f>ANUAL_TRIM!$J$19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ANUAL_TRIM!$A$20:$A$28</c:f>
              <c:strCache>
                <c:ptCount val="9"/>
                <c:pt idx="0">
                  <c:v>1.DESPESES DE PERSONAL</c:v>
                </c:pt>
                <c:pt idx="1">
                  <c:v>2.DESPESES EN BÉNS CORRENTS I SERVEIS</c:v>
                </c:pt>
                <c:pt idx="2">
                  <c:v>3.DESPESES FINANCERES</c:v>
                </c:pt>
                <c:pt idx="3">
                  <c:v>4.TRANSFERÈNCIES CORRENTS</c:v>
                </c:pt>
                <c:pt idx="4">
                  <c:v>5.FONS DE CONTINGÈNCIA</c:v>
                </c:pt>
                <c:pt idx="5">
                  <c:v>6.INVERSIONS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ANUAL_TRIM!$J$20:$J$28</c:f>
              <c:numCache>
                <c:formatCode>0.00%</c:formatCode>
                <c:ptCount val="9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02-400F-A326-2184DD14D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339200"/>
        <c:axId val="150135936"/>
      </c:lineChart>
      <c:catAx>
        <c:axId val="164338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01353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135360"/>
        <c:scaling>
          <c:orientation val="minMax"/>
          <c:max val="0.30000000000000004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64338688"/>
        <c:crosses val="autoZero"/>
        <c:crossBetween val="between"/>
      </c:valAx>
      <c:catAx>
        <c:axId val="1643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35936"/>
        <c:crosses val="autoZero"/>
        <c:auto val="0"/>
        <c:lblAlgn val="ctr"/>
        <c:lblOffset val="100"/>
        <c:noMultiLvlLbl val="0"/>
      </c:catAx>
      <c:valAx>
        <c:axId val="15013593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4339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426183170987608"/>
          <c:y val="0.21556917660741506"/>
          <c:w val="6.8035997391877046E-2"/>
          <c:h val="0.3173655837930438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lang="en-US" sz="545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</a:t>
            </a:r>
          </a:p>
        </c:rich>
      </c:tx>
      <c:layout>
        <c:manualLayout>
          <c:xMode val="edge"/>
          <c:yMode val="edge"/>
          <c:x val="0.47051336467072596"/>
          <c:y val="3.57142857142857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025754990178023E-2"/>
          <c:y val="0.20238154058995009"/>
          <c:w val="0.81666768913723098"/>
          <c:h val="0.339286700400798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ANUAL_TRIM!$F$32</c:f>
              <c:strCache>
                <c:ptCount val="1"/>
                <c:pt idx="0">
                  <c:v>T1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ANUAL_TRIM!$F$33:$F$41</c:f>
              <c:numCache>
                <c:formatCode>0.00%</c:formatCode>
                <c:ptCount val="9"/>
                <c:pt idx="0">
                  <c:v>0.24280980121857321</c:v>
                </c:pt>
                <c:pt idx="1">
                  <c:v>0.25905149556149237</c:v>
                </c:pt>
                <c:pt idx="2">
                  <c:v>1.2536659991370528E-2</c:v>
                </c:pt>
                <c:pt idx="3">
                  <c:v>0.21338140129855571</c:v>
                </c:pt>
                <c:pt idx="4">
                  <c:v>0.1387464725358557</c:v>
                </c:pt>
                <c:pt idx="5">
                  <c:v>1</c:v>
                </c:pt>
                <c:pt idx="6">
                  <c:v>1</c:v>
                </c:pt>
                <c:pt idx="7">
                  <c:v>8.0649723182242669E-4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B7-482B-BBDF-DB36AD071CD6}"/>
            </c:ext>
          </c:extLst>
        </c:ser>
        <c:ser>
          <c:idx val="0"/>
          <c:order val="1"/>
          <c:tx>
            <c:strRef>
              <c:f>ANUAL_TRIM!$G$32</c:f>
              <c:strCache>
                <c:ptCount val="1"/>
                <c:pt idx="0">
                  <c:v>T2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ANUAL_TRIM!$G$33:$G$41</c:f>
              <c:numCache>
                <c:formatCode>0.00%</c:formatCode>
                <c:ptCount val="9"/>
                <c:pt idx="0">
                  <c:v>0.21531560868625532</c:v>
                </c:pt>
                <c:pt idx="1">
                  <c:v>0.25905149556149237</c:v>
                </c:pt>
                <c:pt idx="2">
                  <c:v>2.955755941624174E-2</c:v>
                </c:pt>
                <c:pt idx="3">
                  <c:v>0.21142176344859409</c:v>
                </c:pt>
                <c:pt idx="4">
                  <c:v>0.11141723751918564</c:v>
                </c:pt>
                <c:pt idx="5">
                  <c:v>0</c:v>
                </c:pt>
                <c:pt idx="6">
                  <c:v>0</c:v>
                </c:pt>
                <c:pt idx="7">
                  <c:v>1.5436286225116306E-4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B7-482B-BBDF-DB36AD071CD6}"/>
            </c:ext>
          </c:extLst>
        </c:ser>
        <c:ser>
          <c:idx val="4"/>
          <c:order val="2"/>
          <c:tx>
            <c:strRef>
              <c:f>ANUAL_TRIM!$H$32</c:f>
              <c:strCache>
                <c:ptCount val="1"/>
                <c:pt idx="0">
                  <c:v>T3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ANUAL_TRIM!$H$33:$H$41</c:f>
              <c:numCache>
                <c:formatCode>0.00%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13B7-482B-BBDF-DB36AD07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250048"/>
        <c:axId val="150138240"/>
      </c:barChart>
      <c:lineChart>
        <c:grouping val="standard"/>
        <c:varyColors val="0"/>
        <c:ser>
          <c:idx val="2"/>
          <c:order val="3"/>
          <c:tx>
            <c:strRef>
              <c:f>ANUAL_TRIM!$I$32</c:f>
              <c:strCache>
                <c:ptCount val="1"/>
                <c:pt idx="0">
                  <c:v>T4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ANUAL_TRIM!$I$33:$I$41</c:f>
              <c:numCache>
                <c:formatCode>0.00%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B7-482B-BBDF-DB36AD071CD6}"/>
            </c:ext>
          </c:extLst>
        </c:ser>
        <c:ser>
          <c:idx val="3"/>
          <c:order val="4"/>
          <c:tx>
            <c:strRef>
              <c:f>ANUAL_TRIM!$J$32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ANUAL_TRIM!$A$33:$A$41</c:f>
              <c:strCache>
                <c:ptCount val="9"/>
                <c:pt idx="0">
                  <c:v>1.IMPOSTOS DIRECTES</c:v>
                </c:pt>
                <c:pt idx="1">
                  <c:v>2.IMPOSTOS INDIRECTES</c:v>
                </c:pt>
                <c:pt idx="2">
                  <c:v>3.TAXES, PREUS PÚBLICS I ALTRES INGRESSOS</c:v>
                </c:pt>
                <c:pt idx="3">
                  <c:v>4.TRANSFERÈNCIES CORRENTS</c:v>
                </c:pt>
                <c:pt idx="4">
                  <c:v>5.INGRESSOS PATRIMONIALS</c:v>
                </c:pt>
                <c:pt idx="5">
                  <c:v>6.VENDA D'INVERSIONS REALS</c:v>
                </c:pt>
                <c:pt idx="6">
                  <c:v>7.TRANSFERÈNCIES DE CAPITAL</c:v>
                </c:pt>
                <c:pt idx="7">
                  <c:v>8.ACTIUS FINANCERS</c:v>
                </c:pt>
                <c:pt idx="8">
                  <c:v>9.PASSIUS FINANCERS</c:v>
                </c:pt>
              </c:strCache>
            </c:strRef>
          </c:cat>
          <c:val>
            <c:numRef>
              <c:f>ANUAL_TRIM!$J$33:$J$41</c:f>
              <c:numCache>
                <c:formatCode>0.00%</c:formatCode>
                <c:ptCount val="9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B7-482B-BBDF-DB36AD071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250560"/>
        <c:axId val="150138816"/>
      </c:lineChart>
      <c:catAx>
        <c:axId val="1652500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501382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0138240"/>
        <c:scaling>
          <c:orientation val="minMax"/>
        </c:scaling>
        <c:delete val="0"/>
        <c:axPos val="l"/>
        <c:numFmt formatCode="0.0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65250048"/>
        <c:crosses val="autoZero"/>
        <c:crossBetween val="between"/>
      </c:valAx>
      <c:catAx>
        <c:axId val="16525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138816"/>
        <c:crosses val="autoZero"/>
        <c:auto val="0"/>
        <c:lblAlgn val="ctr"/>
        <c:lblOffset val="100"/>
        <c:noMultiLvlLbl val="0"/>
      </c:catAx>
      <c:valAx>
        <c:axId val="150138816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1652505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2179614827743517"/>
          <c:y val="0.22321491063617047"/>
          <c:w val="6.7948855259591268E-2"/>
          <c:h val="0.3154771278590176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lang="en-US" sz="545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 i obligacions per exercicis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960784313725492E-2"/>
          <c:y val="0.15697944006999126"/>
          <c:w val="0.59280376717616179"/>
          <c:h val="0.64370734908136473"/>
        </c:manualLayout>
      </c:layout>
      <c:lineChart>
        <c:grouping val="standard"/>
        <c:varyColors val="0"/>
        <c:ser>
          <c:idx val="1"/>
          <c:order val="0"/>
          <c:tx>
            <c:strRef>
              <c:f>CREDDEF!$A$20</c:f>
              <c:strCache>
                <c:ptCount val="1"/>
                <c:pt idx="0">
                  <c:v>DRETS</c:v>
                </c:pt>
              </c:strCache>
            </c:strRef>
          </c:tx>
          <c:cat>
            <c:numRef>
              <c:f>CREDDEF!$B$19:$H$19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CREDDEF!$B$20:$H$20</c:f>
              <c:numCache>
                <c:formatCode>#,##0.00</c:formatCode>
                <c:ptCount val="7"/>
                <c:pt idx="0">
                  <c:v>201361790.17000002</c:v>
                </c:pt>
                <c:pt idx="1">
                  <c:v>240010936.28000003</c:v>
                </c:pt>
                <c:pt idx="2">
                  <c:v>197449511.12</c:v>
                </c:pt>
                <c:pt idx="3">
                  <c:v>189435021.37</c:v>
                </c:pt>
                <c:pt idx="4" formatCode="???,???,??0.00">
                  <c:v>161273126.72999999</c:v>
                </c:pt>
                <c:pt idx="5">
                  <c:v>158638019.75</c:v>
                </c:pt>
                <c:pt idx="6">
                  <c:v>152390901.91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E0-4406-80F8-A0FC7FBB80E8}"/>
            </c:ext>
          </c:extLst>
        </c:ser>
        <c:ser>
          <c:idx val="2"/>
          <c:order val="1"/>
          <c:tx>
            <c:strRef>
              <c:f>CREDDEF!$A$21</c:f>
              <c:strCache>
                <c:ptCount val="1"/>
                <c:pt idx="0">
                  <c:v>OBLIGACIONS</c:v>
                </c:pt>
              </c:strCache>
            </c:strRef>
          </c:tx>
          <c:cat>
            <c:numRef>
              <c:f>CREDDEF!$B$19:$H$19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CREDDEF!$B$21:$H$21</c:f>
              <c:numCache>
                <c:formatCode>#,##0.00</c:formatCode>
                <c:ptCount val="7"/>
                <c:pt idx="0">
                  <c:v>204055263.78999999</c:v>
                </c:pt>
                <c:pt idx="1">
                  <c:v>198704612.16000003</c:v>
                </c:pt>
                <c:pt idx="2">
                  <c:v>180834099.25999999</c:v>
                </c:pt>
                <c:pt idx="3">
                  <c:v>168736286.91000003</c:v>
                </c:pt>
                <c:pt idx="4" formatCode="???,???,??0.00">
                  <c:v>155181734.50999999</c:v>
                </c:pt>
                <c:pt idx="5">
                  <c:v>144233371.49000001</c:v>
                </c:pt>
                <c:pt idx="6">
                  <c:v>165748019.88999999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0-4406-80F8-A0FC7FBB8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104128"/>
        <c:axId val="150141696"/>
      </c:lineChart>
      <c:catAx>
        <c:axId val="1651041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50141696"/>
        <c:crosses val="autoZero"/>
        <c:auto val="1"/>
        <c:lblAlgn val="ctr"/>
        <c:lblOffset val="100"/>
        <c:noMultiLvlLbl val="0"/>
      </c:catAx>
      <c:valAx>
        <c:axId val="150141696"/>
        <c:scaling>
          <c:orientation val="minMax"/>
          <c:min val="100000000"/>
        </c:scaling>
        <c:delete val="0"/>
        <c:axPos val="r"/>
        <c:majorGridlines/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104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1985324415093275"/>
          <c:y val="0.88541994750656172"/>
          <c:w val="0.34558857562159573"/>
          <c:h val="7.291666666666663E-2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 Resultat Pressupostari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CREDDEF!$A$22</c:f>
              <c:strCache>
                <c:ptCount val="1"/>
                <c:pt idx="0">
                  <c:v>RP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8980767973398344E-2"/>
                  <c:y val="-7.8703339165937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97-4297-A5B7-58C04CC7E9C1}"/>
                </c:ext>
              </c:extLst>
            </c:dLbl>
            <c:dLbl>
              <c:idx val="1"/>
              <c:layout>
                <c:manualLayout>
                  <c:x val="-9.4895433444484919E-3"/>
                  <c:y val="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44-4598-8532-9CD4B4968C00}"/>
                </c:ext>
              </c:extLst>
            </c:dLbl>
            <c:dLbl>
              <c:idx val="2"/>
              <c:layout>
                <c:manualLayout>
                  <c:x val="-4.7447716722242459E-3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36-4D28-B164-6754E1B625BB}"/>
                </c:ext>
              </c:extLst>
            </c:dLbl>
            <c:dLbl>
              <c:idx val="3"/>
              <c:layout>
                <c:manualLayout>
                  <c:x val="-7.11706410364184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44-4598-8532-9CD4B4968C00}"/>
                </c:ext>
              </c:extLst>
            </c:dLbl>
            <c:dLbl>
              <c:idx val="4"/>
              <c:layout>
                <c:manualLayout>
                  <c:x val="-7.1165036754746855E-3"/>
                  <c:y val="2.7777777777777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44-4598-8532-9CD4B4968C00}"/>
                </c:ext>
              </c:extLst>
            </c:dLbl>
            <c:dLbl>
              <c:idx val="5"/>
              <c:layout>
                <c:manualLayout>
                  <c:x val="-4.7443980534461663E-3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97-4297-A5B7-58C04CC7E9C1}"/>
                </c:ext>
              </c:extLst>
            </c:dLbl>
            <c:dLbl>
              <c:idx val="6"/>
              <c:layout>
                <c:manualLayout>
                  <c:x val="-4.7447716722242442E-3"/>
                  <c:y val="2.3148512685914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78-4CD4-95C0-77B9556F8D85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CREDDEF!$B$19:$H$19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CREDDEF!$B$22:$H$22</c:f>
              <c:numCache>
                <c:formatCode>#,##0.00</c:formatCode>
                <c:ptCount val="7"/>
                <c:pt idx="0">
                  <c:v>-2693473.619999975</c:v>
                </c:pt>
                <c:pt idx="1">
                  <c:v>41306324.120000005</c:v>
                </c:pt>
                <c:pt idx="2">
                  <c:v>16615411.860000014</c:v>
                </c:pt>
                <c:pt idx="3">
                  <c:v>20698734.459999979</c:v>
                </c:pt>
                <c:pt idx="4">
                  <c:v>6091392.2199999997</c:v>
                </c:pt>
                <c:pt idx="5">
                  <c:v>14404648.25999999</c:v>
                </c:pt>
                <c:pt idx="6">
                  <c:v>-13357117.979999989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9-4E6D-B6BA-E0E7F954D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05152"/>
        <c:axId val="165045376"/>
      </c:barChart>
      <c:catAx>
        <c:axId val="16510515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45376"/>
        <c:crosses val="autoZero"/>
        <c:auto val="1"/>
        <c:lblAlgn val="ctr"/>
        <c:lblOffset val="100"/>
        <c:noMultiLvlLbl val="0"/>
      </c:catAx>
      <c:valAx>
        <c:axId val="165045376"/>
        <c:scaling>
          <c:orientation val="minMax"/>
        </c:scaling>
        <c:delete val="0"/>
        <c:axPos val="r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10515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Capacitat de finançament (milers €)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ESTABILITAT!$C$1</c:f>
              <c:strCache>
                <c:ptCount val="1"/>
                <c:pt idx="0">
                  <c:v>Capacitat de finançament (milers €)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3229443859702094E-3"/>
                  <c:y val="2.75689615978552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B9-41DA-8933-6979C4385685}"/>
                </c:ext>
              </c:extLst>
            </c:dLbl>
            <c:dLbl>
              <c:idx val="1"/>
              <c:layout>
                <c:manualLayout>
                  <c:x val="2.4423917669473398E-3"/>
                  <c:y val="2.74642070975093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E3-4373-BB0E-F3C05E403DD5}"/>
                </c:ext>
              </c:extLst>
            </c:dLbl>
            <c:dLbl>
              <c:idx val="2"/>
              <c:layout>
                <c:manualLayout>
                  <c:x val="-2.4420071383226909E-3"/>
                  <c:y val="2.24912187936699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B9-41DA-8933-6979C4385685}"/>
                </c:ext>
              </c:extLst>
            </c:dLbl>
            <c:dLbl>
              <c:idx val="3"/>
              <c:layout>
                <c:manualLayout>
                  <c:x val="2.4420024420023973E-3"/>
                  <c:y val="1.851851851851843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B9-41DA-8933-6979C4385685}"/>
                </c:ext>
              </c:extLst>
            </c:dLbl>
            <c:dLbl>
              <c:idx val="4"/>
              <c:layout>
                <c:manualLayout>
                  <c:x val="2.4414766512167525E-3"/>
                  <c:y val="2.35960827477210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B9-41DA-8933-6979C4385685}"/>
                </c:ext>
              </c:extLst>
            </c:dLbl>
            <c:dLbl>
              <c:idx val="5"/>
              <c:layout>
                <c:manualLayout>
                  <c:x val="4.884004884004884E-3"/>
                  <c:y val="1.3888888888888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E3-4373-BB0E-F3C05E403DD5}"/>
                </c:ext>
              </c:extLst>
            </c:dLbl>
            <c:dLbl>
              <c:idx val="6"/>
              <c:layout>
                <c:manualLayout>
                  <c:x val="0"/>
                  <c:y val="1.43369175627240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2-4E57-A7A3-F557EC1D12BA}"/>
                </c:ext>
              </c:extLst>
            </c:dLbl>
            <c:dLbl>
              <c:idx val="7"/>
              <c:layout>
                <c:manualLayout>
                  <c:x val="2.4423917669473623E-3"/>
                  <c:y val="2.28197346076801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E3-4373-BB0E-F3C05E403DD5}"/>
                </c:ext>
              </c:extLst>
            </c:dLbl>
            <c:dLbl>
              <c:idx val="8"/>
              <c:layout>
                <c:manualLayout>
                  <c:x val="-7.3244829004690737E-3"/>
                  <c:y val="2.683710532673062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E3-4373-BB0E-F3C05E403DD5}"/>
                </c:ext>
              </c:extLst>
            </c:dLbl>
            <c:dLbl>
              <c:idx val="9"/>
              <c:layout>
                <c:manualLayout>
                  <c:x val="2.4420024420022629E-3"/>
                  <c:y val="1.38888888888888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B9-41DA-8933-6979C4385685}"/>
                </c:ext>
              </c:extLst>
            </c:dLbl>
            <c:dLbl>
              <c:idx val="10"/>
              <c:layout>
                <c:manualLayout>
                  <c:x val="-1.7907811035456693E-16"/>
                  <c:y val="1.851851851851851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B9-41DA-8933-6979C4385685}"/>
                </c:ext>
              </c:extLst>
            </c:dLbl>
            <c:dLbl>
              <c:idx val="11"/>
              <c:layout>
                <c:manualLayout>
                  <c:x val="2.4414301953853928E-3"/>
                  <c:y val="2.81661335113922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92-4E57-A7A3-F557EC1D12B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ESTABILITAT!$A$2:$A$13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ESTABILITAT!$C$2:$C$13</c:f>
              <c:numCache>
                <c:formatCode>#,##0</c:formatCode>
                <c:ptCount val="12"/>
                <c:pt idx="0">
                  <c:v>32587</c:v>
                </c:pt>
                <c:pt idx="1">
                  <c:v>13060</c:v>
                </c:pt>
                <c:pt idx="2">
                  <c:v>31706</c:v>
                </c:pt>
                <c:pt idx="3">
                  <c:v>25633</c:v>
                </c:pt>
                <c:pt idx="4">
                  <c:v>21574</c:v>
                </c:pt>
                <c:pt idx="5">
                  <c:v>16123</c:v>
                </c:pt>
                <c:pt idx="6">
                  <c:v>19978</c:v>
                </c:pt>
                <c:pt idx="7">
                  <c:v>6996</c:v>
                </c:pt>
                <c:pt idx="8">
                  <c:v>27047</c:v>
                </c:pt>
                <c:pt idx="9">
                  <c:v>25416</c:v>
                </c:pt>
                <c:pt idx="10">
                  <c:v>40096</c:v>
                </c:pt>
                <c:pt idx="11" formatCode="#,##0.00">
                  <c:v>2315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D4-4C6B-B079-A28DE0098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648384"/>
        <c:axId val="165047680"/>
      </c:barChart>
      <c:catAx>
        <c:axId val="16564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47680"/>
        <c:crosses val="autoZero"/>
        <c:auto val="1"/>
        <c:lblAlgn val="ctr"/>
        <c:lblOffset val="100"/>
        <c:noMultiLvlLbl val="0"/>
      </c:catAx>
      <c:valAx>
        <c:axId val="165047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648384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Nivell d'endeutament</a:t>
            </a:r>
          </a:p>
        </c:rich>
      </c:tx>
      <c:overlay val="0"/>
    </c:title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ENDEUTAMENT!$D$1</c:f>
              <c:strCache>
                <c:ptCount val="1"/>
                <c:pt idx="0">
                  <c:v>Deute financer</c:v>
                </c:pt>
              </c:strCache>
            </c:strRef>
          </c:tx>
          <c:spPr>
            <a:solidFill>
              <a:srgbClr val="1F497D">
                <a:lumMod val="60000"/>
                <a:lumOff val="40000"/>
              </a:srgbClr>
            </a:solidFill>
          </c:spPr>
          <c:dLbls>
            <c:dLbl>
              <c:idx val="0"/>
              <c:layout>
                <c:manualLayout>
                  <c:x val="1.4678899082568808E-2"/>
                  <c:y val="-2.1390374331550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F8-4B0F-994F-C09E0C29F4E2}"/>
                </c:ext>
              </c:extLst>
            </c:dLbl>
            <c:dLbl>
              <c:idx val="1"/>
              <c:layout>
                <c:manualLayout>
                  <c:x val="4.893747871027008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53-4A56-8CE8-AE08F6FAAE15}"/>
                </c:ext>
              </c:extLst>
            </c:dLbl>
            <c:dLbl>
              <c:idx val="4"/>
              <c:layout>
                <c:manualLayout>
                  <c:x val="-2.4468739355135044E-3"/>
                  <c:y val="1.045454495564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3-4A56-8CE8-AE08F6FAAE15}"/>
                </c:ext>
              </c:extLst>
            </c:dLbl>
            <c:dLbl>
              <c:idx val="5"/>
              <c:layout>
                <c:manualLayout>
                  <c:x val="2.4468739355135044E-3"/>
                  <c:y val="-3.4848483185469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3-4A56-8CE8-AE08F6FAAE15}"/>
                </c:ext>
              </c:extLst>
            </c:dLbl>
            <c:dLbl>
              <c:idx val="6"/>
              <c:layout>
                <c:manualLayout>
                  <c:x val="7.3406218065404233E-3"/>
                  <c:y val="-1.0775315639450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2E-45C4-B39B-119B084BE582}"/>
                </c:ext>
              </c:extLst>
            </c:dLbl>
            <c:dLbl>
              <c:idx val="7"/>
              <c:layout>
                <c:manualLayout>
                  <c:x val="4.8941332055050428E-3"/>
                  <c:y val="-1.0775315639450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F8-4B0F-994F-C09E0C29F4E2}"/>
                </c:ext>
              </c:extLst>
            </c:dLbl>
            <c:dLbl>
              <c:idx val="8"/>
              <c:layout>
                <c:manualLayout>
                  <c:x val="-8.9703347021645455E-17"/>
                  <c:y val="-7.1301247771836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F8-4B0F-994F-C09E0C29F4E2}"/>
                </c:ext>
              </c:extLst>
            </c:dLbl>
            <c:dLbl>
              <c:idx val="9"/>
              <c:layout>
                <c:manualLayout>
                  <c:x val="4.8941332055049526E-3"/>
                  <c:y val="-3.32432577788961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82-4A75-A448-0B026A27F09A}"/>
                </c:ext>
              </c:extLst>
            </c:dLbl>
            <c:dLbl>
              <c:idx val="10"/>
              <c:layout>
                <c:manualLayout>
                  <c:x val="2.4464886010353809E-3"/>
                  <c:y val="7.2103432493274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82-4A75-A448-0B026A27F09A}"/>
                </c:ext>
              </c:extLst>
            </c:dLbl>
            <c:dLbl>
              <c:idx val="11"/>
              <c:layout>
                <c:manualLayout>
                  <c:x val="1.7126576210682396E-2"/>
                  <c:y val="-7.6345892324223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82-4A75-A448-0B026A27F09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ENDEUTAMENT!$A$7:$A$18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ENDEUTAMENT!$D$7:$D$18</c:f>
              <c:numCache>
                <c:formatCode>#,##0.00</c:formatCode>
                <c:ptCount val="12"/>
                <c:pt idx="0">
                  <c:v>62721647.148586072</c:v>
                </c:pt>
                <c:pt idx="1">
                  <c:v>52256177.159999996</c:v>
                </c:pt>
                <c:pt idx="2">
                  <c:v>41051625.280000001</c:v>
                </c:pt>
                <c:pt idx="3">
                  <c:v>33975051.270000003</c:v>
                </c:pt>
                <c:pt idx="4">
                  <c:v>28162786.509999998</c:v>
                </c:pt>
                <c:pt idx="5">
                  <c:v>4531399.2300000004</c:v>
                </c:pt>
                <c:pt idx="6">
                  <c:v>3380160.43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41900000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3-4FA3-96D2-2537F095B547}"/>
            </c:ext>
          </c:extLst>
        </c:ser>
        <c:ser>
          <c:idx val="2"/>
          <c:order val="1"/>
          <c:tx>
            <c:strRef>
              <c:f>ENDEUTAMENT!$E$1</c:f>
              <c:strCache>
                <c:ptCount val="1"/>
                <c:pt idx="0">
                  <c:v>Deute participació tributs de l'estat</c:v>
                </c:pt>
              </c:strCache>
            </c:strRef>
          </c:tx>
          <c:spPr>
            <a:solidFill>
              <a:srgbClr val="1F497D">
                <a:lumMod val="20000"/>
                <a:lumOff val="80000"/>
              </a:srgbClr>
            </a:solidFill>
            <a:ln>
              <a:solidFill>
                <a:schemeClr val="bg2">
                  <a:lumMod val="25000"/>
                </a:schemeClr>
              </a:solidFill>
            </a:ln>
          </c:spPr>
          <c:dLbls>
            <c:dLbl>
              <c:idx val="0"/>
              <c:layout>
                <c:manualLayout>
                  <c:x val="4.64942654522979E-2"/>
                  <c:y val="-7.7052465900622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43-4FA3-96D2-2537F095B547}"/>
                </c:ext>
              </c:extLst>
            </c:dLbl>
            <c:dLbl>
              <c:idx val="1"/>
              <c:layout>
                <c:manualLayout>
                  <c:x val="3.1810517165109659E-2"/>
                  <c:y val="-8.4311377508404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3-4FA3-96D2-2537F095B547}"/>
                </c:ext>
              </c:extLst>
            </c:dLbl>
            <c:dLbl>
              <c:idx val="2"/>
              <c:layout>
                <c:manualLayout>
                  <c:x val="1.2237067018913713E-2"/>
                  <c:y val="-9.960053211164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3-4FA3-96D2-2537F095B547}"/>
                </c:ext>
              </c:extLst>
            </c:dLbl>
            <c:dLbl>
              <c:idx val="3"/>
              <c:layout>
                <c:manualLayout>
                  <c:x val="1.0300375932316769E-2"/>
                  <c:y val="-8.9287027473775829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3-4FA3-96D2-2537F095B547}"/>
                </c:ext>
              </c:extLst>
            </c:dLbl>
            <c:dLbl>
              <c:idx val="4"/>
              <c:layout>
                <c:manualLayout>
                  <c:x val="-1.1560034341008683E-6"/>
                  <c:y val="-9.3092646476132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F8-4B0F-994F-C09E0C29F4E2}"/>
                </c:ext>
              </c:extLst>
            </c:dLbl>
            <c:dLbl>
              <c:idx val="5"/>
              <c:layout>
                <c:manualLayout>
                  <c:x val="-2.4461032665574374E-3"/>
                  <c:y val="-0.14180039886421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82-4A75-A448-0B026A27F09A}"/>
                </c:ext>
              </c:extLst>
            </c:dLbl>
            <c:dLbl>
              <c:idx val="6"/>
              <c:layout>
                <c:manualLayout>
                  <c:x val="-2.4449472631233363E-3"/>
                  <c:y val="-7.86719599774774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82-4A75-A448-0B026A27F09A}"/>
                </c:ext>
              </c:extLst>
            </c:dLbl>
            <c:dLbl>
              <c:idx val="7"/>
              <c:layout>
                <c:manualLayout>
                  <c:x val="-2.5751903166987009E-3"/>
                  <c:y val="-6.9822091633400543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43-4FA3-96D2-2537F095B547}"/>
                </c:ext>
              </c:extLst>
            </c:dLbl>
            <c:dLbl>
              <c:idx val="8"/>
              <c:layout>
                <c:manualLayout>
                  <c:x val="-6.608486298285602E-5"/>
                  <c:y val="-7.2103432493274514E-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43-4FA3-96D2-2537F095B547}"/>
                </c:ext>
              </c:extLst>
            </c:dLbl>
            <c:dLbl>
              <c:idx val="9"/>
              <c:layout>
                <c:manualLayout>
                  <c:x val="-1.2831638118519637E-4"/>
                  <c:y val="-0.10386796211558282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43-4FA3-96D2-2537F095B547}"/>
                </c:ext>
              </c:extLst>
            </c:dLbl>
            <c:dLbl>
              <c:idx val="10"/>
              <c:layout>
                <c:manualLayout>
                  <c:x val="1.5413379121344909E-6"/>
                  <c:y val="-0.106149851770467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F8-4B0F-994F-C09E0C29F4E2}"/>
                </c:ext>
              </c:extLst>
            </c:dLbl>
            <c:dLbl>
              <c:idx val="11"/>
              <c:layout>
                <c:manualLayout>
                  <c:x val="-4.8922065331148748E-3"/>
                  <c:y val="-4.3262059495964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F8-4B0F-994F-C09E0C29F4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ENDEUTAMENT!$A$7:$A$18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ENDEUTAMENT!$E$7:$E$18</c:f>
              <c:numCache>
                <c:formatCode>#,##0.00</c:formatCode>
                <c:ptCount val="12"/>
                <c:pt idx="0">
                  <c:v>24403657.779999997</c:v>
                </c:pt>
                <c:pt idx="1">
                  <c:v>24902433.210000001</c:v>
                </c:pt>
                <c:pt idx="2">
                  <c:v>20667557.690000001</c:v>
                </c:pt>
                <c:pt idx="3">
                  <c:v>19289720.57</c:v>
                </c:pt>
                <c:pt idx="4">
                  <c:v>17911883.449999999</c:v>
                </c:pt>
                <c:pt idx="5">
                  <c:v>16929001.460000001</c:v>
                </c:pt>
                <c:pt idx="6">
                  <c:v>15156209.210000001</c:v>
                </c:pt>
                <c:pt idx="7">
                  <c:v>13383416.960000001</c:v>
                </c:pt>
                <c:pt idx="8">
                  <c:v>12940218.897500001</c:v>
                </c:pt>
                <c:pt idx="9">
                  <c:v>16536495.199999999</c:v>
                </c:pt>
                <c:pt idx="10">
                  <c:v>11125197.130000001</c:v>
                </c:pt>
                <c:pt idx="11">
                  <c:v>9330810.5800000001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43-4FA3-96D2-2537F095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5381632"/>
        <c:axId val="165050560"/>
      </c:areaChart>
      <c:lineChart>
        <c:grouping val="standard"/>
        <c:varyColors val="0"/>
        <c:ser>
          <c:idx val="3"/>
          <c:order val="2"/>
          <c:tx>
            <c:strRef>
              <c:f>ENDEUTAMENT!$H$1</c:f>
              <c:strCache>
                <c:ptCount val="1"/>
                <c:pt idx="0">
                  <c:v>%/DRN cts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4.1583562864237436E-2"/>
                  <c:y val="-3.285224133370359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82-4A75-A448-0B026A27F09A}"/>
                </c:ext>
              </c:extLst>
            </c:dLbl>
            <c:dLbl>
              <c:idx val="1"/>
              <c:layout>
                <c:manualLayout>
                  <c:x val="-4.0274966976835233E-2"/>
                  <c:y val="-2.9286994546075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82-4A75-A448-0B026A27F09A}"/>
                </c:ext>
              </c:extLst>
            </c:dLbl>
            <c:dLbl>
              <c:idx val="2"/>
              <c:layout>
                <c:manualLayout>
                  <c:x val="-4.5168907515101261E-2"/>
                  <c:y val="-4.3451668172194376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F8-4B0F-994F-C09E0C29F4E2}"/>
                </c:ext>
              </c:extLst>
            </c:dLbl>
            <c:dLbl>
              <c:idx val="3"/>
              <c:layout>
                <c:manualLayout>
                  <c:x val="-5.2509336654402758E-2"/>
                  <c:y val="-3.25465625126908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82-4A75-A448-0B026A27F09A}"/>
                </c:ext>
              </c:extLst>
            </c:dLbl>
            <c:dLbl>
              <c:idx val="4"/>
              <c:layout>
                <c:manualLayout>
                  <c:x val="-4.7613469443746559E-2"/>
                  <c:y val="-3.261159472147006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F8-4B0F-994F-C09E0C29F4E2}"/>
                </c:ext>
              </c:extLst>
            </c:dLbl>
            <c:dLbl>
              <c:idx val="5"/>
              <c:layout>
                <c:manualLayout>
                  <c:x val="-4.7615010781658695E-2"/>
                  <c:y val="-4.8701990040468143E-2"/>
                </c:manualLayout>
              </c:layout>
              <c:tx>
                <c:rich>
                  <a:bodyPr/>
                  <a:lstStyle/>
                  <a:p>
                    <a:fld id="{31AC726A-9F89-41E8-BCE2-08AFAE202203}" type="VALUE">
                      <a:rPr lang="en-US" sz="800"/>
                      <a:pPr/>
                      <a:t>[VALOR]</a:t>
                    </a:fld>
                    <a:endParaRPr lang="ca-E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B82-4A75-A448-0B026A27F09A}"/>
                </c:ext>
              </c:extLst>
            </c:dLbl>
            <c:dLbl>
              <c:idx val="6"/>
              <c:layout>
                <c:manualLayout>
                  <c:x val="-4.516832951338421E-2"/>
                  <c:y val="-2.912674640292310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82-4A75-A448-0B026A27F09A}"/>
                </c:ext>
              </c:extLst>
            </c:dLbl>
            <c:dLbl>
              <c:idx val="7"/>
              <c:layout>
                <c:manualLayout>
                  <c:x val="-3.7825973701692543E-2"/>
                  <c:y val="-3.3814553385132395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F8-4B0F-994F-C09E0C29F4E2}"/>
                </c:ext>
              </c:extLst>
            </c:dLbl>
            <c:dLbl>
              <c:idx val="8"/>
              <c:layout>
                <c:manualLayout>
                  <c:x val="-3.7825588367214599E-2"/>
                  <c:y val="-3.2691718793046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82-4A75-A448-0B026A27F09A}"/>
                </c:ext>
              </c:extLst>
            </c:dLbl>
            <c:dLbl>
              <c:idx val="9"/>
              <c:layout>
                <c:manualLayout>
                  <c:x val="-3.6517955816007412E-2"/>
                  <c:y val="-3.6016044570935594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F8-4B0F-994F-C09E0C29F4E2}"/>
                </c:ext>
              </c:extLst>
            </c:dLbl>
            <c:dLbl>
              <c:idx val="10"/>
              <c:layout>
                <c:manualLayout>
                  <c:x val="-4.3859279058007836E-2"/>
                  <c:y val="-4.314623773632587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F8-4B0F-994F-C09E0C29F4E2}"/>
                </c:ext>
              </c:extLst>
            </c:dLbl>
            <c:dLbl>
              <c:idx val="11"/>
              <c:layout>
                <c:manualLayout>
                  <c:x val="-4.5167366177189125E-2"/>
                  <c:y val="-2.6363837921076692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F8-4B0F-994F-C09E0C29F4E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ENDEUTAMENT!$A$5:$A$16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ENDEUTAMENT!$H$7:$H$18</c:f>
              <c:numCache>
                <c:formatCode>0.00%</c:formatCode>
                <c:ptCount val="12"/>
                <c:pt idx="0">
                  <c:v>0.61389782011304439</c:v>
                </c:pt>
                <c:pt idx="1">
                  <c:v>0.54993744026362223</c:v>
                </c:pt>
                <c:pt idx="2">
                  <c:v>0.41316050311604452</c:v>
                </c:pt>
                <c:pt idx="3">
                  <c:v>0.36021599721962672</c:v>
                </c:pt>
                <c:pt idx="4">
                  <c:v>0.31548963578696432</c:v>
                </c:pt>
                <c:pt idx="5">
                  <c:v>0.14084850017375977</c:v>
                </c:pt>
                <c:pt idx="6">
                  <c:v>0.11765112900278139</c:v>
                </c:pt>
                <c:pt idx="7">
                  <c:v>8.2973461426681633E-2</c:v>
                </c:pt>
                <c:pt idx="8">
                  <c:v>7.1328154175594766E-2</c:v>
                </c:pt>
                <c:pt idx="9">
                  <c:v>8.6134668700396905E-2</c:v>
                </c:pt>
                <c:pt idx="10">
                  <c:v>4.7592120654599716E-2</c:v>
                </c:pt>
                <c:pt idx="11">
                  <c:v>0.2191586261228167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43-4FA3-96D2-2537F095B547}"/>
            </c:ext>
          </c:extLst>
        </c:ser>
        <c:ser>
          <c:idx val="4"/>
          <c:order val="3"/>
          <c:tx>
            <c:strRef>
              <c:f>ENDEUTAMENT!$I$1</c:f>
              <c:strCache>
                <c:ptCount val="1"/>
                <c:pt idx="0">
                  <c:v>Límit 110%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ln>
                <a:noFill/>
              </a:ln>
            </c:spPr>
          </c:marker>
          <c:cat>
            <c:numRef>
              <c:f>ENDEUTAMENT!$A$5:$A$16</c:f>
              <c:numCache>
                <c:formatCode>General</c:formatCode>
                <c:ptCount val="12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</c:numCache>
            </c:numRef>
          </c:cat>
          <c:val>
            <c:numRef>
              <c:f>ENDEUTAMENT!$I$7:$I$18</c:f>
              <c:numCache>
                <c:formatCode>0.00%</c:formatCode>
                <c:ptCount val="12"/>
                <c:pt idx="0">
                  <c:v>1.1000000000000001</c:v>
                </c:pt>
                <c:pt idx="1">
                  <c:v>1.1000000000000001</c:v>
                </c:pt>
                <c:pt idx="2">
                  <c:v>1.1000000000000001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1.1000000000000001</c:v>
                </c:pt>
                <c:pt idx="6">
                  <c:v>1.1000000000000001</c:v>
                </c:pt>
                <c:pt idx="7">
                  <c:v>1.1000000000000001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1.1000000000000001</c:v>
                </c:pt>
                <c:pt idx="11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B43-4FA3-96D2-2537F095B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82144"/>
        <c:axId val="165051136"/>
      </c:lineChart>
      <c:catAx>
        <c:axId val="16538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050560"/>
        <c:crosses val="autoZero"/>
        <c:auto val="1"/>
        <c:lblAlgn val="ctr"/>
        <c:lblOffset val="100"/>
        <c:noMultiLvlLbl val="0"/>
      </c:catAx>
      <c:valAx>
        <c:axId val="1650505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381632"/>
        <c:crosses val="autoZero"/>
        <c:crossBetween val="between"/>
        <c:dispUnits>
          <c:builtInUnit val="millions"/>
          <c:dispUnitsLbl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Milions €</a:t>
                  </a:r>
                </a:p>
              </c:rich>
            </c:tx>
          </c:dispUnitsLbl>
        </c:dispUnits>
      </c:valAx>
      <c:catAx>
        <c:axId val="165382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051136"/>
        <c:crosses val="autoZero"/>
        <c:auto val="1"/>
        <c:lblAlgn val="ctr"/>
        <c:lblOffset val="100"/>
        <c:noMultiLvlLbl val="0"/>
      </c:catAx>
      <c:valAx>
        <c:axId val="16505113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38214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4.7080931397336802E-2"/>
          <c:y val="0.8618538324420677"/>
          <c:w val="0.90081764550073451"/>
          <c:h val="0.11408199643493755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Drets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E5D-4C38-B05D-18B316EFDB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E5D-4C38-B05D-18B316EFDBF6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8E5D-4C38-B05D-18B316EFDBF6}"/>
              </c:ext>
            </c:extLst>
          </c:dPt>
          <c:val>
            <c:numRef>
              <c:f>A1_PREGESTIONAT!$N$11:$N$13</c:f>
              <c:numCache>
                <c:formatCode>0.00%</c:formatCode>
                <c:ptCount val="3"/>
                <c:pt idx="0">
                  <c:v>0.40225948535015693</c:v>
                </c:pt>
                <c:pt idx="1">
                  <c:v>9.7740514649843069E-2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5D-4C38-B05D-18B316EFD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Pressupost consolidat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Corporació amb ajustos de consolidació</c:v>
          </c:tx>
          <c:invertIfNegative val="0"/>
          <c:cat>
            <c:numRef>
              <c:f>CREDDEF!$I$1:$N$1</c:f>
              <c:numCache>
                <c:formatCode>General</c:formatCode>
                <c:ptCount val="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</c:numCache>
            </c:numRef>
          </c:cat>
          <c:val>
            <c:numRef>
              <c:f>CREDDEF!$H$14:$M$14</c:f>
              <c:numCache>
                <c:formatCode>#,##0.00</c:formatCode>
                <c:ptCount val="6"/>
                <c:pt idx="0">
                  <c:v>279810992.48000002</c:v>
                </c:pt>
                <c:pt idx="1">
                  <c:v>262691163.53999999</c:v>
                </c:pt>
                <c:pt idx="2">
                  <c:v>259918271.10000002</c:v>
                </c:pt>
                <c:pt idx="3">
                  <c:v>230905047</c:v>
                </c:pt>
                <c:pt idx="4">
                  <c:v>234440904.22999999</c:v>
                </c:pt>
                <c:pt idx="5">
                  <c:v>210526738.22000003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DB-49BC-8F0F-6CE3DC439901}"/>
            </c:ext>
          </c:extLst>
        </c:ser>
        <c:ser>
          <c:idx val="1"/>
          <c:order val="1"/>
          <c:tx>
            <c:v>Organismes autònoms</c:v>
          </c:tx>
          <c:invertIfNegative val="0"/>
          <c:cat>
            <c:numRef>
              <c:f>CREDDEF!$I$1:$N$1</c:f>
              <c:numCache>
                <c:formatCode>General</c:formatCode>
                <c:ptCount val="6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</c:numCache>
            </c:numRef>
          </c:cat>
          <c:val>
            <c:numRef>
              <c:f>CREDDEF!$H$15:$M$15</c:f>
              <c:numCache>
                <c:formatCode>#,##0.00</c:formatCode>
                <c:ptCount val="6"/>
                <c:pt idx="0">
                  <c:v>32247720.829999983</c:v>
                </c:pt>
                <c:pt idx="1">
                  <c:v>30080259.620000035</c:v>
                </c:pt>
                <c:pt idx="2">
                  <c:v>31784275.469999999</c:v>
                </c:pt>
                <c:pt idx="3">
                  <c:v>30054115.130000025</c:v>
                </c:pt>
                <c:pt idx="4">
                  <c:v>27360718.329999983</c:v>
                </c:pt>
                <c:pt idx="5">
                  <c:v>24999872.00999999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DB-49BC-8F0F-6CE3DC439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5529088"/>
        <c:axId val="164790848"/>
      </c:barChart>
      <c:catAx>
        <c:axId val="16552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4790848"/>
        <c:crosses val="autoZero"/>
        <c:auto val="1"/>
        <c:lblAlgn val="ctr"/>
        <c:lblOffset val="100"/>
        <c:noMultiLvlLbl val="0"/>
      </c:catAx>
      <c:valAx>
        <c:axId val="16479084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655290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13162118780096"/>
          <c:y val="0.47386759581881532"/>
          <c:w val="0.3258426966292135"/>
          <c:h val="0.1533101045296166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A9DB-4A93-A65F-A445C9B6CB21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A9DB-4A93-A65F-A445C9B6CB21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A9DB-4A93-A65F-A445C9B6CB21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A9DB-4A93-A65F-A445C9B6CB21}"/>
              </c:ext>
            </c:extLst>
          </c:dPt>
          <c:dLbls>
            <c:dLbl>
              <c:idx val="0"/>
              <c:layout>
                <c:manualLayout>
                  <c:x val="1.0187830755683226E-2"/>
                  <c:y val="-4.3806929794153092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DB-4A93-A65F-A445C9B6CB21}"/>
                </c:ext>
              </c:extLst>
            </c:dLbl>
            <c:dLbl>
              <c:idx val="1"/>
              <c:layout>
                <c:manualLayout>
                  <c:x val="2.7573418143578918E-2"/>
                  <c:y val="2.09769061886132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DB-4A93-A65F-A445C9B6CB21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DB-4A93-A65F-A445C9B6CB21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DB-4A93-A65F-A445C9B6CB21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DB-4A93-A65F-A445C9B6CB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213875169.74000004</c:v>
                </c:pt>
                <c:pt idx="1">
                  <c:v>0</c:v>
                </c:pt>
                <c:pt idx="2">
                  <c:v>600000</c:v>
                </c:pt>
                <c:pt idx="3">
                  <c:v>192223774.38999996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9DB-4A93-A65F-A445C9B6C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7850162866449513"/>
          <c:y val="0.40880635203618415"/>
          <c:w val="0.21009771986970682"/>
          <c:h val="0.27044124201455949"/>
        </c:manualLayout>
      </c:layout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Pressupost consolidat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a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Corporació amb ajustos de consolidació</c:v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CREDDEF!$B$14:$H$14</c:f>
              <c:numCache>
                <c:formatCode>#,##0.00</c:formatCode>
                <c:ptCount val="7"/>
                <c:pt idx="0">
                  <c:v>368378047.19999999</c:v>
                </c:pt>
                <c:pt idx="1">
                  <c:v>352972591.54000002</c:v>
                </c:pt>
                <c:pt idx="2">
                  <c:v>280713647.94</c:v>
                </c:pt>
                <c:pt idx="3">
                  <c:v>306013047.02999997</c:v>
                </c:pt>
                <c:pt idx="4">
                  <c:v>277688031.46999997</c:v>
                </c:pt>
                <c:pt idx="5">
                  <c:v>270087017.47000003</c:v>
                </c:pt>
                <c:pt idx="6">
                  <c:v>279810992.48000002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6-439E-88CE-06C1AEF01CAF}"/>
            </c:ext>
          </c:extLst>
        </c:ser>
        <c:ser>
          <c:idx val="1"/>
          <c:order val="1"/>
          <c:tx>
            <c:v>Organismes autònoms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CREDDEF!$B$1:$H$1</c:f>
              <c:numCache>
                <c:formatCode>General</c:formatCode>
                <c:ptCount val="7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</c:numCache>
            </c:numRef>
          </c:cat>
          <c:val>
            <c:numRef>
              <c:f>CREDDEF!$B$15:$H$15</c:f>
              <c:numCache>
                <c:formatCode>#,##0.00</c:formatCode>
                <c:ptCount val="7"/>
                <c:pt idx="0">
                  <c:v>38320896.93</c:v>
                </c:pt>
                <c:pt idx="1">
                  <c:v>37507926.949999988</c:v>
                </c:pt>
                <c:pt idx="2">
                  <c:v>31562710.479999959</c:v>
                </c:pt>
                <c:pt idx="3">
                  <c:v>36620045.639999986</c:v>
                </c:pt>
                <c:pt idx="4">
                  <c:v>33597231.380000055</c:v>
                </c:pt>
                <c:pt idx="5">
                  <c:v>31043774.210000038</c:v>
                </c:pt>
                <c:pt idx="6">
                  <c:v>32247720.829999983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96-439E-88CE-06C1AEF01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037568"/>
        <c:axId val="13306323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spPr>
                  <a:solidFill>
                    <a:schemeClr val="accent1">
                      <a:tint val="6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CREDDEF!$B$1:$H$1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2025</c:v>
                      </c:pt>
                      <c:pt idx="1">
                        <c:v>2024</c:v>
                      </c:pt>
                      <c:pt idx="2">
                        <c:v>2023</c:v>
                      </c:pt>
                      <c:pt idx="3">
                        <c:v>2022</c:v>
                      </c:pt>
                      <c:pt idx="4">
                        <c:v>2021</c:v>
                      </c:pt>
                      <c:pt idx="5">
                        <c:v>2020</c:v>
                      </c:pt>
                      <c:pt idx="6">
                        <c:v>2019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CREDDEF!$C$15:$I$15</c15:sqref>
                        </c15:formulaRef>
                      </c:ext>
                    </c:extLst>
                    <c:numCache>
                      <c:formatCode>#,##0.00</c:formatCode>
                      <c:ptCount val="7"/>
                      <c:pt idx="0">
                        <c:v>37507926.949999988</c:v>
                      </c:pt>
                      <c:pt idx="1">
                        <c:v>31562710.479999959</c:v>
                      </c:pt>
                      <c:pt idx="2">
                        <c:v>36620045.639999986</c:v>
                      </c:pt>
                      <c:pt idx="3">
                        <c:v>33597231.380000055</c:v>
                      </c:pt>
                      <c:pt idx="4">
                        <c:v>31043774.210000038</c:v>
                      </c:pt>
                      <c:pt idx="5">
                        <c:v>32247720.829999983</c:v>
                      </c:pt>
                      <c:pt idx="6">
                        <c:v>30080259.620000035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D8E-4E8F-A7E9-C874971CCAFC}"/>
                  </c:ext>
                </c:extLst>
              </c15:ser>
            </c15:filteredBarSeries>
          </c:ext>
        </c:extLst>
      </c:barChart>
      <c:catAx>
        <c:axId val="1330375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33063232"/>
        <c:crosses val="autoZero"/>
        <c:auto val="1"/>
        <c:lblAlgn val="ctr"/>
        <c:lblOffset val="100"/>
        <c:noMultiLvlLbl val="0"/>
      </c:catAx>
      <c:valAx>
        <c:axId val="13306323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a-ES"/>
          </a:p>
        </c:txPr>
        <c:crossAx val="13303756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 algn="ctr">
                    <a:defRPr sz="1000" b="0" i="0" u="none" strike="noStrike" kern="1200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r>
                    <a:rPr lang="es-ES"/>
                    <a:t>Milions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</c:dispUnitsLbl>
        </c:dispUnits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935703791743015"/>
          <c:y val="0.88850174216027877"/>
          <c:w val="0.69064180656663188"/>
          <c:h val="8.4008889132760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Finançament del pressupost</a:t>
            </a:r>
          </a:p>
        </c:rich>
      </c:tx>
      <c:overlay val="0"/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FINANÇAMENT!$B$4</c:f>
              <c:strCache>
                <c:ptCount val="1"/>
                <c:pt idx="0">
                  <c:v>DADES CONSOLIDADES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4EF5-40F6-B354-3A5320AA7DBE}"/>
              </c:ext>
            </c:extLst>
          </c:dPt>
          <c:dPt>
            <c:idx val="1"/>
            <c:bubble3D val="0"/>
            <c:spPr>
              <a:solidFill>
                <a:schemeClr val="accent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4EF5-40F6-B354-3A5320AA7DBE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4EF5-40F6-B354-3A5320AA7DBE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4EF5-40F6-B354-3A5320AA7DBE}"/>
              </c:ext>
            </c:extLst>
          </c:dPt>
          <c:dLbls>
            <c:dLbl>
              <c:idx val="0"/>
              <c:layout>
                <c:manualLayout>
                  <c:x val="4.1783450054525099E-2"/>
                  <c:y val="6.3498959181826414E-3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F5-40F6-B354-3A5320AA7DBE}"/>
                </c:ext>
              </c:extLst>
            </c:dLbl>
            <c:dLbl>
              <c:idx val="1"/>
              <c:layout>
                <c:manualLayout>
                  <c:x val="1.9147914567551015E-2"/>
                  <c:y val="1.2617513719875906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F5-40F6-B354-3A5320AA7DBE}"/>
                </c:ext>
              </c:extLst>
            </c:dLbl>
            <c:dLbl>
              <c:idx val="2"/>
              <c:layout>
                <c:manualLayout>
                  <c:x val="-4.8279600229124454E-2"/>
                  <c:y val="-2.814638736195711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5-40F6-B354-3A5320AA7DBE}"/>
                </c:ext>
              </c:extLst>
            </c:dLbl>
            <c:dLbl>
              <c:idx val="3"/>
              <c:layout>
                <c:manualLayout>
                  <c:x val="8.4770918293193762E-3"/>
                  <c:y val="-2.9779626603278365E-2"/>
                </c:manualLayout>
              </c:layout>
              <c:spPr/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5-40F6-B354-3A5320AA7DBE}"/>
                </c:ext>
              </c:extLst>
            </c:dLbl>
            <c:dLbl>
              <c:idx val="4"/>
              <c:layout>
                <c:manualLayout>
                  <c:x val="7.3456615968606528E-3"/>
                  <c:y val="-0.18351408904075669"/>
                </c:manualLayout>
              </c:layout>
              <c:spPr/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5-40F6-B354-3A5320AA7DB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a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FINANÇAMENT!$A$5:$A$8</c:f>
              <c:strCache>
                <c:ptCount val="4"/>
                <c:pt idx="0">
                  <c:v>Recursos no financers</c:v>
                </c:pt>
                <c:pt idx="1">
                  <c:v>Endeutament</c:v>
                </c:pt>
                <c:pt idx="2">
                  <c:v>Actius financers no RLT</c:v>
                </c:pt>
                <c:pt idx="3">
                  <c:v>Romanent de tresoreria</c:v>
                </c:pt>
              </c:strCache>
            </c:strRef>
          </c:cat>
          <c:val>
            <c:numRef>
              <c:f>FINANÇAMENT!$B$5:$B$8</c:f>
              <c:numCache>
                <c:formatCode>#,##0.00</c:formatCode>
                <c:ptCount val="4"/>
                <c:pt idx="0">
                  <c:v>213875169.74000004</c:v>
                </c:pt>
                <c:pt idx="1">
                  <c:v>0</c:v>
                </c:pt>
                <c:pt idx="2">
                  <c:v>600000</c:v>
                </c:pt>
                <c:pt idx="3">
                  <c:v>192223774.38999996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F5-40F6-B354-3A5320AA7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904345290172048"/>
          <c:y val="0.18913336459901761"/>
          <c:w val="0.20941582302212225"/>
          <c:h val="0.55799405951998948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Drets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4E-455D-A64A-211D107F9D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4E-455D-A64A-211D107F9D9A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594E-455D-A64A-211D107F9D9A}"/>
              </c:ext>
            </c:extLst>
          </c:dPt>
          <c:val>
            <c:numRef>
              <c:f>A1B_FINANÇAMENT!$M$8:$M$10</c:f>
              <c:numCache>
                <c:formatCode>0.00%</c:formatCode>
                <c:ptCount val="3"/>
                <c:pt idx="0">
                  <c:v>0.40225948535015704</c:v>
                </c:pt>
                <c:pt idx="1">
                  <c:v>9.7740514649842958E-2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4E-455D-A64A-211D107F9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Recaptació</a:t>
            </a:r>
          </a:p>
        </c:rich>
      </c:tx>
      <c:overlay val="0"/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00-49B5-9D06-D31170CEC6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00-49B5-9D06-D31170CEC649}"/>
              </c:ext>
            </c:extLst>
          </c:dPt>
          <c:dPt>
            <c:idx val="2"/>
            <c:bubble3D val="0"/>
            <c:spPr>
              <a:noFill/>
            </c:spPr>
            <c:extLst>
              <c:ext xmlns:c16="http://schemas.microsoft.com/office/drawing/2014/chart" uri="{C3380CC4-5D6E-409C-BE32-E72D297353CC}">
                <c16:uniqueId val="{00000002-EB00-49B5-9D06-D31170CEC649}"/>
              </c:ext>
            </c:extLst>
          </c:dPt>
          <c:val>
            <c:numRef>
              <c:f>A1B_FINANÇAMENT!$M$14:$M$16</c:f>
              <c:numCache>
                <c:formatCode>0.00%</c:formatCode>
                <c:ptCount val="3"/>
                <c:pt idx="0">
                  <c:v>0.49789181718054043</c:v>
                </c:pt>
                <c:pt idx="1">
                  <c:v>2.1081828194595698E-3</c:v>
                </c:pt>
                <c:pt idx="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B00-49B5-9D06-D31170CEC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a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DRETS I OBLIGACIONS PER ENS</a:t>
            </a:r>
          </a:p>
        </c:rich>
      </c:tx>
      <c:layout>
        <c:manualLayout>
          <c:xMode val="edge"/>
          <c:yMode val="edge"/>
          <c:x val="0.33482851246815232"/>
          <c:y val="3.592789640033734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5568885035912114"/>
          <c:w val="0.83258716453423443"/>
          <c:h val="0.64371351590790471"/>
        </c:manualLayout>
      </c:layout>
      <c:barChart>
        <c:barDir val="bar"/>
        <c:grouping val="clustered"/>
        <c:varyColors val="0"/>
        <c:ser>
          <c:idx val="0"/>
          <c:order val="0"/>
          <c:tx>
            <c:v>DRETS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H_CORP!$A$34:$A$36</c:f>
              <c:strCache>
                <c:ptCount val="3"/>
                <c:pt idx="0">
                  <c:v>Corporació</c:v>
                </c:pt>
                <c:pt idx="1">
                  <c:v>Turisme</c:v>
                </c:pt>
                <c:pt idx="2">
                  <c:v>BASE</c:v>
                </c:pt>
              </c:strCache>
            </c:strRef>
          </c:cat>
          <c:val>
            <c:numRef>
              <c:f>H_CORP!$B$34:$B$36</c:f>
              <c:numCache>
                <c:formatCode>0.00%</c:formatCode>
                <c:ptCount val="3"/>
                <c:pt idx="0">
                  <c:v>0.22621879134596928</c:v>
                </c:pt>
                <c:pt idx="1">
                  <c:v>7.5829104725495616E-2</c:v>
                </c:pt>
                <c:pt idx="2">
                  <c:v>1.2571838946017931E-2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78-4AE6-87AE-A8854E83F53D}"/>
            </c:ext>
          </c:extLst>
        </c:ser>
        <c:ser>
          <c:idx val="1"/>
          <c:order val="1"/>
          <c:tx>
            <c:v>OBLIGACIONS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H_CORP!$A$34:$A$36</c:f>
              <c:strCache>
                <c:ptCount val="3"/>
                <c:pt idx="0">
                  <c:v>Corporació</c:v>
                </c:pt>
                <c:pt idx="1">
                  <c:v>Turisme</c:v>
                </c:pt>
                <c:pt idx="2">
                  <c:v>BASE</c:v>
                </c:pt>
              </c:strCache>
            </c:strRef>
          </c:cat>
          <c:val>
            <c:numRef>
              <c:f>H_CORP!$C$34:$C$36</c:f>
              <c:numCache>
                <c:formatCode>0.00%</c:formatCode>
                <c:ptCount val="3"/>
                <c:pt idx="0">
                  <c:v>0.19800002212689036</c:v>
                </c:pt>
                <c:pt idx="1">
                  <c:v>0.23011781796456299</c:v>
                </c:pt>
                <c:pt idx="2">
                  <c:v>0.32007562911148069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78-4AE6-87AE-A8854E83F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432320"/>
        <c:axId val="142199616"/>
      </c:barChart>
      <c:catAx>
        <c:axId val="133432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199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199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34323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2899912767126652"/>
          <c:y val="0.91291543512015949"/>
          <c:w val="0.33333364076196187"/>
          <c:h val="6.6066381341971847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EXECUCIÓ COMPARATIVA DEL TRIMESTRE </a:t>
            </a:r>
          </a:p>
        </c:rich>
      </c:tx>
      <c:layout>
        <c:manualLayout>
          <c:xMode val="edge"/>
          <c:yMode val="edge"/>
          <c:x val="0.30447771281808661"/>
          <c:y val="3.99201986544134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8722471922769316E-2"/>
          <c:y val="0.16765951425883086"/>
          <c:w val="0.88656781029020693"/>
          <c:h val="0.61377335237730457"/>
        </c:manualLayout>
      </c:layout>
      <c:lineChart>
        <c:grouping val="standard"/>
        <c:varyColors val="0"/>
        <c:ser>
          <c:idx val="0"/>
          <c:order val="0"/>
          <c:tx>
            <c:strRef>
              <c:f>H_CORP!$E$2</c:f>
              <c:strCache>
                <c:ptCount val="1"/>
                <c:pt idx="0">
                  <c:v>Compromisos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2"/>
              <c:layout>
                <c:manualLayout>
                  <c:x val="-3.2436889594809233E-2"/>
                  <c:y val="-2.4752849290065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E0-47CD-9E2C-FD677B872134}"/>
                </c:ext>
              </c:extLst>
            </c:dLbl>
            <c:dLbl>
              <c:idx val="3"/>
              <c:layout>
                <c:manualLayout>
                  <c:x val="-3.2436889594809268E-2"/>
                  <c:y val="-2.8346739676408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E0-47CD-9E2C-FD677B872134}"/>
                </c:ext>
              </c:extLst>
            </c:dLbl>
            <c:dLbl>
              <c:idx val="5"/>
              <c:layout>
                <c:manualLayout>
                  <c:x val="-3.2436889594809233E-2"/>
                  <c:y val="-2.8346739676408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E0-47CD-9E2C-FD677B872134}"/>
                </c:ext>
              </c:extLst>
            </c:dLbl>
            <c:dLbl>
              <c:idx val="6"/>
              <c:layout>
                <c:manualLayout>
                  <c:x val="-3.2436889594809303E-2"/>
                  <c:y val="-3.553452044909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E0-47CD-9E2C-FD677B872134}"/>
                </c:ext>
              </c:extLst>
            </c:dLbl>
            <c:dLbl>
              <c:idx val="7"/>
              <c:layout>
                <c:manualLayout>
                  <c:x val="-3.4344376480836963E-2"/>
                  <c:y val="-3.1940630062751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E0-47CD-9E2C-FD677B872134}"/>
                </c:ext>
              </c:extLst>
            </c:dLbl>
            <c:dLbl>
              <c:idx val="8"/>
              <c:layout>
                <c:manualLayout>
                  <c:x val="-3.8159350252892209E-2"/>
                  <c:y val="-2.8346739676408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E0-47CD-9E2C-FD677B872134}"/>
                </c:ext>
              </c:extLst>
            </c:dLbl>
            <c:dLbl>
              <c:idx val="9"/>
              <c:layout>
                <c:manualLayout>
                  <c:x val="-3.2436889594809372E-2"/>
                  <c:y val="-3.912841083543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E0-47CD-9E2C-FD677B872134}"/>
                </c:ext>
              </c:extLst>
            </c:dLbl>
            <c:dLbl>
              <c:idx val="10"/>
              <c:layout>
                <c:manualLayout>
                  <c:x val="-3.2436889594809233E-2"/>
                  <c:y val="-2.8346739676408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E0-47CD-9E2C-FD677B872134}"/>
                </c:ext>
              </c:extLst>
            </c:dLbl>
            <c:dLbl>
              <c:idx val="11"/>
              <c:layout>
                <c:manualLayout>
                  <c:x val="-2.4806942050698597E-2"/>
                  <c:y val="-3.1940630062751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E0-47CD-9E2C-FD677B872134}"/>
                </c:ext>
              </c:extLst>
            </c:dLbl>
            <c:dLbl>
              <c:idx val="12"/>
              <c:layout>
                <c:manualLayout>
                  <c:x val="-3.2436889594809233E-2"/>
                  <c:y val="-3.194063006275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E0-47CD-9E2C-FD677B872134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H_CORP!$E$9:$E$21</c:f>
              <c:numCache>
                <c:formatCode>0.00%</c:formatCode>
                <c:ptCount val="13"/>
                <c:pt idx="0">
                  <c:v>0.38340000000000002</c:v>
                </c:pt>
                <c:pt idx="1">
                  <c:v>0.43540000000000001</c:v>
                </c:pt>
                <c:pt idx="2">
                  <c:v>0.50850000000000006</c:v>
                </c:pt>
                <c:pt idx="3">
                  <c:v>0.45400000000000001</c:v>
                </c:pt>
                <c:pt idx="4">
                  <c:v>0.48328585572219462</c:v>
                </c:pt>
                <c:pt idx="5">
                  <c:v>0.55874316060234619</c:v>
                </c:pt>
                <c:pt idx="6">
                  <c:v>0.50660000000000005</c:v>
                </c:pt>
                <c:pt idx="7">
                  <c:v>0.46768003367225186</c:v>
                </c:pt>
                <c:pt idx="8">
                  <c:v>0.55906199213598473</c:v>
                </c:pt>
                <c:pt idx="9">
                  <c:v>0.53970535608210568</c:v>
                </c:pt>
                <c:pt idx="10">
                  <c:v>0.55189999999999995</c:v>
                </c:pt>
                <c:pt idx="11">
                  <c:v>0.41420000000000001</c:v>
                </c:pt>
                <c:pt idx="12">
                  <c:v>0.50962870406112559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5-453D-AB36-B0898C13D44A}"/>
            </c:ext>
          </c:extLst>
        </c:ser>
        <c:ser>
          <c:idx val="1"/>
          <c:order val="1"/>
          <c:tx>
            <c:strRef>
              <c:f>H_CORP!$F$2</c:f>
              <c:strCache>
                <c:ptCount val="1"/>
                <c:pt idx="0">
                  <c:v>Obligacions</c:v>
                </c:pt>
              </c:strCache>
            </c:strRef>
          </c:tx>
          <c:dLbls>
            <c:dLbl>
              <c:idx val="0"/>
              <c:layout>
                <c:manualLayout>
                  <c:x val="-2.2889842632331903E-2"/>
                  <c:y val="3.2345013477088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E0-47CD-9E2C-FD677B872134}"/>
                </c:ext>
              </c:extLst>
            </c:dLbl>
            <c:dLbl>
              <c:idx val="1"/>
              <c:layout>
                <c:manualLayout>
                  <c:x val="-2.8612303290414913E-2"/>
                  <c:y val="3.5938903863432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E0-47CD-9E2C-FD677B872134}"/>
                </c:ext>
              </c:extLst>
            </c:dLbl>
            <c:dLbl>
              <c:idx val="2"/>
              <c:layout>
                <c:manualLayout>
                  <c:x val="-2.6704816404387221E-2"/>
                  <c:y val="-3.593890386343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E0-47CD-9E2C-FD677B872134}"/>
                </c:ext>
              </c:extLst>
            </c:dLbl>
            <c:dLbl>
              <c:idx val="3"/>
              <c:layout>
                <c:manualLayout>
                  <c:x val="-3.8149737720553203E-2"/>
                  <c:y val="-3.5938903863432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E0-47CD-9E2C-FD677B872134}"/>
                </c:ext>
              </c:extLst>
            </c:dLbl>
            <c:dLbl>
              <c:idx val="4"/>
              <c:layout>
                <c:manualLayout>
                  <c:x val="-1.335240820219361E-2"/>
                  <c:y val="-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E0-47CD-9E2C-FD677B872134}"/>
                </c:ext>
              </c:extLst>
            </c:dLbl>
            <c:dLbl>
              <c:idx val="5"/>
              <c:layout>
                <c:manualLayout>
                  <c:x val="-2.479732951835956E-2"/>
                  <c:y val="-4.6720575022461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E0-47CD-9E2C-FD677B872134}"/>
                </c:ext>
              </c:extLst>
            </c:dLbl>
            <c:dLbl>
              <c:idx val="6"/>
              <c:layout>
                <c:manualLayout>
                  <c:x val="-3.0519790176442536E-2"/>
                  <c:y val="-3.2345013477089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E0-47CD-9E2C-FD677B872134}"/>
                </c:ext>
              </c:extLst>
            </c:dLbl>
            <c:dLbl>
              <c:idx val="7"/>
              <c:layout>
                <c:manualLayout>
                  <c:x val="-3.4334763948497854E-2"/>
                  <c:y val="3.5938903863432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E0-47CD-9E2C-FD677B872134}"/>
                </c:ext>
              </c:extLst>
            </c:dLbl>
            <c:dLbl>
              <c:idx val="8"/>
              <c:layout>
                <c:manualLayout>
                  <c:x val="-3.6242250834525515E-2"/>
                  <c:y val="-3.593890386343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E0-47CD-9E2C-FD677B872134}"/>
                </c:ext>
              </c:extLst>
            </c:dLbl>
            <c:dLbl>
              <c:idx val="9"/>
              <c:layout>
                <c:manualLayout>
                  <c:x val="-3.4334763948497854E-2"/>
                  <c:y val="4.6720575022461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E0-47CD-9E2C-FD677B872134}"/>
                </c:ext>
              </c:extLst>
            </c:dLbl>
            <c:dLbl>
              <c:idx val="10"/>
              <c:layout>
                <c:manualLayout>
                  <c:x val="-3.0519790176442536E-2"/>
                  <c:y val="2.875112309074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0-40DC-8F15-B808701A3F0F}"/>
                </c:ext>
              </c:extLst>
            </c:dLbl>
            <c:dLbl>
              <c:idx val="11"/>
              <c:layout>
                <c:manualLayout>
                  <c:x val="-2.479732951835956E-2"/>
                  <c:y val="-3.9532794249775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0-40DC-8F15-B808701A3F0F}"/>
                </c:ext>
              </c:extLst>
            </c:dLbl>
            <c:dLbl>
              <c:idx val="12"/>
              <c:layout>
                <c:manualLayout>
                  <c:x val="-2.2889842632331903E-2"/>
                  <c:y val="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0-40DC-8F15-B808701A3F0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H_CORP!$F$9:$F$21</c:f>
              <c:numCache>
                <c:formatCode>0.00%</c:formatCode>
                <c:ptCount val="13"/>
                <c:pt idx="0">
                  <c:v>0.22639999999999999</c:v>
                </c:pt>
                <c:pt idx="1">
                  <c:v>0.24929999999999999</c:v>
                </c:pt>
                <c:pt idx="2">
                  <c:v>0.2429</c:v>
                </c:pt>
                <c:pt idx="3">
                  <c:v>0.24249999999999999</c:v>
                </c:pt>
                <c:pt idx="4">
                  <c:v>0.33242481837150534</c:v>
                </c:pt>
                <c:pt idx="5">
                  <c:v>0.25602113208082916</c:v>
                </c:pt>
                <c:pt idx="6">
                  <c:v>0.2515</c:v>
                </c:pt>
                <c:pt idx="7">
                  <c:v>0.21408752344022461</c:v>
                </c:pt>
                <c:pt idx="8">
                  <c:v>0.25709970892511619</c:v>
                </c:pt>
                <c:pt idx="9">
                  <c:v>0.23358447715933997</c:v>
                </c:pt>
                <c:pt idx="10">
                  <c:v>0.24610000000000001</c:v>
                </c:pt>
                <c:pt idx="11">
                  <c:v>0.1661</c:v>
                </c:pt>
                <c:pt idx="12">
                  <c:v>0.20976020171995138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5-453D-AB36-B0898C13D44A}"/>
            </c:ext>
          </c:extLst>
        </c:ser>
        <c:ser>
          <c:idx val="2"/>
          <c:order val="2"/>
          <c:tx>
            <c:strRef>
              <c:f>H_CORP!$G$2</c:f>
              <c:strCache>
                <c:ptCount val="1"/>
                <c:pt idx="0">
                  <c:v>Drets</c:v>
                </c:pt>
              </c:strCache>
            </c:strRef>
          </c:tx>
          <c:dLbls>
            <c:dLbl>
              <c:idx val="0"/>
              <c:layout>
                <c:manualLayout>
                  <c:x val="-1.9074868860276584E-2"/>
                  <c:y val="-2.15633423180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E0-47CD-9E2C-FD677B872134}"/>
                </c:ext>
              </c:extLst>
            </c:dLbl>
            <c:dLbl>
              <c:idx val="1"/>
              <c:layout>
                <c:manualLayout>
                  <c:x val="-3.4334763948497889E-2"/>
                  <c:y val="-3.9532794249775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E0-47CD-9E2C-FD677B872134}"/>
                </c:ext>
              </c:extLst>
            </c:dLbl>
            <c:dLbl>
              <c:idx val="2"/>
              <c:layout>
                <c:manualLayout>
                  <c:x val="-2.8612303290414844E-2"/>
                  <c:y val="3.95327942497753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E0-47CD-9E2C-FD677B872134}"/>
                </c:ext>
              </c:extLst>
            </c:dLbl>
            <c:dLbl>
              <c:idx val="3"/>
              <c:layout>
                <c:manualLayout>
                  <c:x val="-3.4334763948497889E-2"/>
                  <c:y val="3.5938903863432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E0-47CD-9E2C-FD677B872134}"/>
                </c:ext>
              </c:extLst>
            </c:dLbl>
            <c:dLbl>
              <c:idx val="4"/>
              <c:layout>
                <c:manualLayout>
                  <c:x val="-3.6242250834525584E-2"/>
                  <c:y val="3.5938903863432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E0-47CD-9E2C-FD677B872134}"/>
                </c:ext>
              </c:extLst>
            </c:dLbl>
            <c:dLbl>
              <c:idx val="5"/>
              <c:layout>
                <c:manualLayout>
                  <c:x val="-3.2427277062470262E-2"/>
                  <c:y val="4.3126684636118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E0-47CD-9E2C-FD677B872134}"/>
                </c:ext>
              </c:extLst>
            </c:dLbl>
            <c:dLbl>
              <c:idx val="6"/>
              <c:layout>
                <c:manualLayout>
                  <c:x val="-3.2427277062470193E-2"/>
                  <c:y val="3.5938903863432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E0-47CD-9E2C-FD677B872134}"/>
                </c:ext>
              </c:extLst>
            </c:dLbl>
            <c:dLbl>
              <c:idx val="7"/>
              <c:layout>
                <c:manualLayout>
                  <c:x val="-3.4334763948497854E-2"/>
                  <c:y val="-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E0-47CD-9E2C-FD677B872134}"/>
                </c:ext>
              </c:extLst>
            </c:dLbl>
            <c:dLbl>
              <c:idx val="8"/>
              <c:layout>
                <c:manualLayout>
                  <c:x val="-2.2889842632331903E-2"/>
                  <c:y val="4.3126684636118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0-40DC-8F15-B808701A3F0F}"/>
                </c:ext>
              </c:extLst>
            </c:dLbl>
            <c:dLbl>
              <c:idx val="9"/>
              <c:layout>
                <c:manualLayout>
                  <c:x val="-3.6242250834525654E-2"/>
                  <c:y val="-2.15633423180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0-40DC-8F15-B808701A3F0F}"/>
                </c:ext>
              </c:extLst>
            </c:dLbl>
            <c:dLbl>
              <c:idx val="10"/>
              <c:layout>
                <c:manualLayout>
                  <c:x val="-2.479732951835956E-2"/>
                  <c:y val="-2.8751123090745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B0-40DC-8F15-B808701A3F0F}"/>
                </c:ext>
              </c:extLst>
            </c:dLbl>
            <c:dLbl>
              <c:idx val="11"/>
              <c:layout>
                <c:manualLayout>
                  <c:x val="-2.8612303290414878E-2"/>
                  <c:y val="3.23450134770889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0-40DC-8F15-B808701A3F0F}"/>
                </c:ext>
              </c:extLst>
            </c:dLbl>
            <c:dLbl>
              <c:idx val="12"/>
              <c:layout>
                <c:manualLayout>
                  <c:x val="-1.7167381974248927E-2"/>
                  <c:y val="-2.5157232704402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0-40DC-8F15-B808701A3F0F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H_CORP!$A$9:$A$21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H_CORP!$G$9:$G$21</c:f>
              <c:numCache>
                <c:formatCode>0.00%</c:formatCode>
                <c:ptCount val="13"/>
                <c:pt idx="0">
                  <c:v>0.3049</c:v>
                </c:pt>
                <c:pt idx="1">
                  <c:v>0.27910000000000001</c:v>
                </c:pt>
                <c:pt idx="2">
                  <c:v>0.21690000000000001</c:v>
                </c:pt>
                <c:pt idx="3">
                  <c:v>0.24310000000000001</c:v>
                </c:pt>
                <c:pt idx="4">
                  <c:v>0.23821803557665586</c:v>
                </c:pt>
                <c:pt idx="5">
                  <c:v>0.22392942557242876</c:v>
                </c:pt>
                <c:pt idx="6">
                  <c:v>0.21809999999999999</c:v>
                </c:pt>
                <c:pt idx="7">
                  <c:v>0.23452613146051912</c:v>
                </c:pt>
                <c:pt idx="8">
                  <c:v>0.2366076166132626</c:v>
                </c:pt>
                <c:pt idx="9">
                  <c:v>0.25863549573768158</c:v>
                </c:pt>
                <c:pt idx="10">
                  <c:v>0.25719999999999998</c:v>
                </c:pt>
                <c:pt idx="11">
                  <c:v>0.1623</c:v>
                </c:pt>
                <c:pt idx="12">
                  <c:v>0.21213399406422501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35-453D-AB36-B0898C13D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433856"/>
        <c:axId val="142201344"/>
      </c:lineChart>
      <c:catAx>
        <c:axId val="13343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4220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220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a-ES"/>
          </a:p>
        </c:txPr>
        <c:crossAx val="1334338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434670451601277"/>
          <c:y val="0.88382395596776819"/>
          <c:w val="0.49154495173081908"/>
          <c:h val="8.3831030555142849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a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image" Target="../media/image1.jpeg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image" Target="../media/image1.jpeg"/><Relationship Id="rId1" Type="http://schemas.openxmlformats.org/officeDocument/2006/relationships/chart" Target="../charts/chart17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1.jpeg"/><Relationship Id="rId1" Type="http://schemas.openxmlformats.org/officeDocument/2006/relationships/chart" Target="../charts/chart19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image" Target="../media/image1.jpeg"/><Relationship Id="rId1" Type="http://schemas.openxmlformats.org/officeDocument/2006/relationships/chart" Target="../charts/chart21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4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Relationship Id="rId4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image" Target="../media/image1.jpeg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1.jpeg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1085850</xdr:colOff>
      <xdr:row>50</xdr:row>
      <xdr:rowOff>28575</xdr:rowOff>
    </xdr:to>
    <xdr:pic>
      <xdr:nvPicPr>
        <xdr:cNvPr id="10100" name="Picture 1" descr="C:\Documents and Settings\user\Mis documentos\Mis imágenes\DIPTA_Vertical.JPG">
          <a:extLst>
            <a:ext uri="{FF2B5EF4-FFF2-40B4-BE49-F238E27FC236}">
              <a16:creationId xmlns:a16="http://schemas.microsoft.com/office/drawing/2014/main" id="{A766B488-9841-4709-902B-9B117F54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866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0.36134</cdr:x>
      <cdr:y>0.62734</cdr:y>
    </cdr:from>
    <cdr:to>
      <cdr:x>0.66823</cdr:x>
      <cdr:y>0.74335</cdr:y>
    </cdr:to>
    <cdr:sp macro="" textlink="A3CAP_GrauModif!$L$3">
      <cdr:nvSpPr>
        <cdr:cNvPr id="2" name="1 CuadroTexto"/>
        <cdr:cNvSpPr txBox="1"/>
      </cdr:nvSpPr>
      <cdr:spPr>
        <a:xfrm xmlns:a="http://schemas.openxmlformats.org/drawingml/2006/main">
          <a:off x="1127526" y="1541179"/>
          <a:ext cx="1097561" cy="3151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60C62BA-CD11-41F8-89A6-C4AC9C1A1C48}" type="TxLink">
            <a:rPr lang="ca-ES" sz="1600">
              <a:latin typeface="Arial Black" pitchFamily="34" charset="0"/>
            </a:rPr>
            <a:pPr/>
            <a:t>45,32%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0.07644</cdr:x>
      <cdr:y>0.58607</cdr:y>
    </cdr:from>
    <cdr:to>
      <cdr:x>0.29246</cdr:x>
      <cdr:y>0.69613</cdr:y>
    </cdr:to>
    <cdr:sp macro="" textlink="A3CAP_GrauModif!$K$5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E0F1C23-AD5B-405E-930F-27EABACD87DA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0.6945</cdr:x>
      <cdr:y>0.57846</cdr:y>
    </cdr:from>
    <cdr:to>
      <cdr:x>0.94852</cdr:x>
      <cdr:y>0.68899</cdr:y>
    </cdr:to>
    <cdr:sp macro="" textlink="A3CAP_GrauModif!$L$5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DCDA3AA-3043-43F4-A5BF-153B9E71F441}" type="TxLink">
            <a:rPr lang="ca-ES" sz="1100"/>
            <a:pPr/>
            <a:t>100,00%</a:t>
          </a:fld>
          <a:endParaRPr lang="ca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8</xdr:row>
      <xdr:rowOff>38100</xdr:rowOff>
    </xdr:from>
    <xdr:to>
      <xdr:col>7</xdr:col>
      <xdr:colOff>714375</xdr:colOff>
      <xdr:row>36</xdr:row>
      <xdr:rowOff>95250</xdr:rowOff>
    </xdr:to>
    <xdr:graphicFrame macro="">
      <xdr:nvGraphicFramePr>
        <xdr:cNvPr id="22999361" name="Gráfico 1">
          <a:extLst>
            <a:ext uri="{FF2B5EF4-FFF2-40B4-BE49-F238E27FC236}">
              <a16:creationId xmlns:a16="http://schemas.microsoft.com/office/drawing/2014/main" id="{53AAC963-C77B-4BC5-9417-C09C7CA4B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</xdr:colOff>
      <xdr:row>0</xdr:row>
      <xdr:rowOff>0</xdr:rowOff>
    </xdr:from>
    <xdr:to>
      <xdr:col>0</xdr:col>
      <xdr:colOff>1095375</xdr:colOff>
      <xdr:row>60</xdr:row>
      <xdr:rowOff>9525</xdr:rowOff>
    </xdr:to>
    <xdr:pic>
      <xdr:nvPicPr>
        <xdr:cNvPr id="22999362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BEC915C5-876A-4135-9F06-8F028EE56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50</xdr:row>
      <xdr:rowOff>0</xdr:rowOff>
    </xdr:from>
    <xdr:to>
      <xdr:col>7</xdr:col>
      <xdr:colOff>676275</xdr:colOff>
      <xdr:row>68</xdr:row>
      <xdr:rowOff>123825</xdr:rowOff>
    </xdr:to>
    <xdr:graphicFrame macro="">
      <xdr:nvGraphicFramePr>
        <xdr:cNvPr id="22999363" name="2 Gráfico">
          <a:extLst>
            <a:ext uri="{FF2B5EF4-FFF2-40B4-BE49-F238E27FC236}">
              <a16:creationId xmlns:a16="http://schemas.microsoft.com/office/drawing/2014/main" id="{559929C9-0E6F-4B3D-9832-5F5177614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59</xdr:row>
      <xdr:rowOff>152400</xdr:rowOff>
    </xdr:to>
    <xdr:pic>
      <xdr:nvPicPr>
        <xdr:cNvPr id="23002433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55836CBE-3CB9-47C6-BD97-F86A4C7E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95375" cy="1002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9</xdr:row>
      <xdr:rowOff>38100</xdr:rowOff>
    </xdr:from>
    <xdr:to>
      <xdr:col>6</xdr:col>
      <xdr:colOff>866775</xdr:colOff>
      <xdr:row>33</xdr:row>
      <xdr:rowOff>95250</xdr:rowOff>
    </xdr:to>
    <xdr:graphicFrame macro="">
      <xdr:nvGraphicFramePr>
        <xdr:cNvPr id="23002434" name="4 Gráfico">
          <a:extLst>
            <a:ext uri="{FF2B5EF4-FFF2-40B4-BE49-F238E27FC236}">
              <a16:creationId xmlns:a16="http://schemas.microsoft.com/office/drawing/2014/main" id="{E686459B-E66B-4EAA-A0F3-8EA6F4DE0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45</xdr:row>
      <xdr:rowOff>9525</xdr:rowOff>
    </xdr:from>
    <xdr:to>
      <xdr:col>6</xdr:col>
      <xdr:colOff>876300</xdr:colOff>
      <xdr:row>63</xdr:row>
      <xdr:rowOff>95250</xdr:rowOff>
    </xdr:to>
    <xdr:graphicFrame macro="">
      <xdr:nvGraphicFramePr>
        <xdr:cNvPr id="23002435" name="5 Gráfico">
          <a:extLst>
            <a:ext uri="{FF2B5EF4-FFF2-40B4-BE49-F238E27FC236}">
              <a16:creationId xmlns:a16="http://schemas.microsoft.com/office/drawing/2014/main" id="{96401BA0-25BA-4B0C-8008-3411E0494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28575</xdr:rowOff>
    </xdr:from>
    <xdr:to>
      <xdr:col>5</xdr:col>
      <xdr:colOff>704850</xdr:colOff>
      <xdr:row>36</xdr:row>
      <xdr:rowOff>0</xdr:rowOff>
    </xdr:to>
    <xdr:graphicFrame macro="">
      <xdr:nvGraphicFramePr>
        <xdr:cNvPr id="23005398" name="Gráfico 1">
          <a:extLst>
            <a:ext uri="{FF2B5EF4-FFF2-40B4-BE49-F238E27FC236}">
              <a16:creationId xmlns:a16="http://schemas.microsoft.com/office/drawing/2014/main" id="{85A36195-119A-4665-858C-3DC343B0F5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1074420</xdr:colOff>
      <xdr:row>61</xdr:row>
      <xdr:rowOff>7620</xdr:rowOff>
    </xdr:to>
    <xdr:pic>
      <xdr:nvPicPr>
        <xdr:cNvPr id="23005399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1DB88581-656A-4F9E-9050-A8F58864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7</xdr:row>
      <xdr:rowOff>47625</xdr:rowOff>
    </xdr:from>
    <xdr:to>
      <xdr:col>6</xdr:col>
      <xdr:colOff>838200</xdr:colOff>
      <xdr:row>36</xdr:row>
      <xdr:rowOff>0</xdr:rowOff>
    </xdr:to>
    <xdr:graphicFrame macro="">
      <xdr:nvGraphicFramePr>
        <xdr:cNvPr id="23007553" name="Gráfico 1">
          <a:extLst>
            <a:ext uri="{FF2B5EF4-FFF2-40B4-BE49-F238E27FC236}">
              <a16:creationId xmlns:a16="http://schemas.microsoft.com/office/drawing/2014/main" id="{10653046-232F-4A37-9420-E480F22C9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1304925</xdr:colOff>
      <xdr:row>66</xdr:row>
      <xdr:rowOff>66675</xdr:rowOff>
    </xdr:to>
    <xdr:pic>
      <xdr:nvPicPr>
        <xdr:cNvPr id="23007554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5C1171BA-C39B-4E73-8455-B6B17D62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304925" cy="11220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</xdr:colOff>
      <xdr:row>51</xdr:row>
      <xdr:rowOff>0</xdr:rowOff>
    </xdr:from>
    <xdr:to>
      <xdr:col>6</xdr:col>
      <xdr:colOff>666750</xdr:colOff>
      <xdr:row>70</xdr:row>
      <xdr:rowOff>95250</xdr:rowOff>
    </xdr:to>
    <xdr:graphicFrame macro="">
      <xdr:nvGraphicFramePr>
        <xdr:cNvPr id="23007555" name="1 Gráfico">
          <a:extLst>
            <a:ext uri="{FF2B5EF4-FFF2-40B4-BE49-F238E27FC236}">
              <a16:creationId xmlns:a16="http://schemas.microsoft.com/office/drawing/2014/main" id="{FCA626BA-FC03-4673-9E43-2BD3250A5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1066800</xdr:colOff>
      <xdr:row>10</xdr:row>
      <xdr:rowOff>47625</xdr:rowOff>
    </xdr:from>
    <xdr:to>
      <xdr:col>7</xdr:col>
      <xdr:colOff>866775</xdr:colOff>
      <xdr:row>35</xdr:row>
      <xdr:rowOff>38100</xdr:rowOff>
    </xdr:to>
    <xdr:graphicFrame macro="">
      <xdr:nvGraphicFramePr>
        <xdr:cNvPr id="23010625" name="Gráfico 1">
          <a:extLst>
            <a:ext uri="{FF2B5EF4-FFF2-40B4-BE49-F238E27FC236}">
              <a16:creationId xmlns:a16="http://schemas.microsoft.com/office/drawing/2014/main" id="{163EAC64-7A74-45F3-BA7B-134AB55BA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1085850</xdr:colOff>
      <xdr:row>60</xdr:row>
      <xdr:rowOff>19050</xdr:rowOff>
    </xdr:to>
    <xdr:pic>
      <xdr:nvPicPr>
        <xdr:cNvPr id="23010626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A642E79F-24AF-417F-8E28-DC24A801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0210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49</xdr:row>
      <xdr:rowOff>66675</xdr:rowOff>
    </xdr:from>
    <xdr:to>
      <xdr:col>7</xdr:col>
      <xdr:colOff>819150</xdr:colOff>
      <xdr:row>66</xdr:row>
      <xdr:rowOff>66675</xdr:rowOff>
    </xdr:to>
    <xdr:graphicFrame macro="">
      <xdr:nvGraphicFramePr>
        <xdr:cNvPr id="23010627" name="2 Gráfico">
          <a:extLst>
            <a:ext uri="{FF2B5EF4-FFF2-40B4-BE49-F238E27FC236}">
              <a16:creationId xmlns:a16="http://schemas.microsoft.com/office/drawing/2014/main" id="{2B9DA728-B70A-43CE-8D2D-C67AE2843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8</xdr:row>
      <xdr:rowOff>57150</xdr:rowOff>
    </xdr:from>
    <xdr:to>
      <xdr:col>7</xdr:col>
      <xdr:colOff>876300</xdr:colOff>
      <xdr:row>38</xdr:row>
      <xdr:rowOff>66675</xdr:rowOff>
    </xdr:to>
    <xdr:graphicFrame macro="">
      <xdr:nvGraphicFramePr>
        <xdr:cNvPr id="23013697" name="Gráfico 4">
          <a:extLst>
            <a:ext uri="{FF2B5EF4-FFF2-40B4-BE49-F238E27FC236}">
              <a16:creationId xmlns:a16="http://schemas.microsoft.com/office/drawing/2014/main" id="{178FA7E8-2339-4774-8213-196DE2F08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62</xdr:row>
      <xdr:rowOff>47625</xdr:rowOff>
    </xdr:to>
    <xdr:pic>
      <xdr:nvPicPr>
        <xdr:cNvPr id="23013699" name="Picture 6" descr="C:\Documents and Settings\user\Mis documentos\Mis imágenes\DIPTA_Vertical.JPG">
          <a:extLst>
            <a:ext uri="{FF2B5EF4-FFF2-40B4-BE49-F238E27FC236}">
              <a16:creationId xmlns:a16="http://schemas.microsoft.com/office/drawing/2014/main" id="{8E1B07C4-1DC6-4C00-A111-359697DF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39</xdr:row>
      <xdr:rowOff>66675</xdr:rowOff>
    </xdr:from>
    <xdr:to>
      <xdr:col>7</xdr:col>
      <xdr:colOff>762000</xdr:colOff>
      <xdr:row>67</xdr:row>
      <xdr:rowOff>95250</xdr:rowOff>
    </xdr:to>
    <xdr:graphicFrame macro="">
      <xdr:nvGraphicFramePr>
        <xdr:cNvPr id="23013698" name="Gráfico 5">
          <a:extLst>
            <a:ext uri="{FF2B5EF4-FFF2-40B4-BE49-F238E27FC236}">
              <a16:creationId xmlns:a16="http://schemas.microsoft.com/office/drawing/2014/main" id="{CABE82A5-29AB-4A96-9F90-494A724E84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8</xdr:row>
      <xdr:rowOff>28575</xdr:rowOff>
    </xdr:from>
    <xdr:to>
      <xdr:col>7</xdr:col>
      <xdr:colOff>714375</xdr:colOff>
      <xdr:row>27</xdr:row>
      <xdr:rowOff>123825</xdr:rowOff>
    </xdr:to>
    <xdr:graphicFrame macro="">
      <xdr:nvGraphicFramePr>
        <xdr:cNvPr id="23016877" name="Gráfico 4">
          <a:extLst>
            <a:ext uri="{FF2B5EF4-FFF2-40B4-BE49-F238E27FC236}">
              <a16:creationId xmlns:a16="http://schemas.microsoft.com/office/drawing/2014/main" id="{DE6FC0C8-F574-43E8-AE56-5B021AC17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142875</xdr:colOff>
      <xdr:row>28</xdr:row>
      <xdr:rowOff>152400</xdr:rowOff>
    </xdr:from>
    <xdr:to>
      <xdr:col>7</xdr:col>
      <xdr:colOff>666750</xdr:colOff>
      <xdr:row>48</xdr:row>
      <xdr:rowOff>95250</xdr:rowOff>
    </xdr:to>
    <xdr:graphicFrame macro="">
      <xdr:nvGraphicFramePr>
        <xdr:cNvPr id="23016878" name="Gráfico 5">
          <a:extLst>
            <a:ext uri="{FF2B5EF4-FFF2-40B4-BE49-F238E27FC236}">
              <a16:creationId xmlns:a16="http://schemas.microsoft.com/office/drawing/2014/main" id="{5A34E572-F871-4C4F-A3BA-A8C94E76C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114300</xdr:colOff>
      <xdr:row>50</xdr:row>
      <xdr:rowOff>0</xdr:rowOff>
    </xdr:from>
    <xdr:to>
      <xdr:col>8</xdr:col>
      <xdr:colOff>209550</xdr:colOff>
      <xdr:row>69</xdr:row>
      <xdr:rowOff>123825</xdr:rowOff>
    </xdr:to>
    <xdr:graphicFrame macro="">
      <xdr:nvGraphicFramePr>
        <xdr:cNvPr id="23016879" name="Gráfico 6">
          <a:extLst>
            <a:ext uri="{FF2B5EF4-FFF2-40B4-BE49-F238E27FC236}">
              <a16:creationId xmlns:a16="http://schemas.microsoft.com/office/drawing/2014/main" id="{7A890A2F-7046-4163-9F98-B5EA6EB37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9525</xdr:colOff>
      <xdr:row>0</xdr:row>
      <xdr:rowOff>66675</xdr:rowOff>
    </xdr:from>
    <xdr:to>
      <xdr:col>1</xdr:col>
      <xdr:colOff>0</xdr:colOff>
      <xdr:row>62</xdr:row>
      <xdr:rowOff>114300</xdr:rowOff>
    </xdr:to>
    <xdr:pic>
      <xdr:nvPicPr>
        <xdr:cNvPr id="6" name="Picture 6" descr="C:\Documents and Settings\user\Mis documentos\Mis imágenes\DIPTA_Vertical.JPG">
          <a:extLst>
            <a:ext uri="{FF2B5EF4-FFF2-40B4-BE49-F238E27FC236}">
              <a16:creationId xmlns:a16="http://schemas.microsoft.com/office/drawing/2014/main" id="{13EC6F90-FC76-4637-9758-638E132AD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085850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52</xdr:row>
      <xdr:rowOff>76200</xdr:rowOff>
    </xdr:to>
    <xdr:pic>
      <xdr:nvPicPr>
        <xdr:cNvPr id="23020865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C471AE93-B75F-4F19-99E2-9B0248CDC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5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24</xdr:row>
      <xdr:rowOff>0</xdr:rowOff>
    </xdr:from>
    <xdr:to>
      <xdr:col>6</xdr:col>
      <xdr:colOff>447675</xdr:colOff>
      <xdr:row>40</xdr:row>
      <xdr:rowOff>152400</xdr:rowOff>
    </xdr:to>
    <xdr:graphicFrame macro="">
      <xdr:nvGraphicFramePr>
        <xdr:cNvPr id="23020866" name="4 Gráfico">
          <a:extLst>
            <a:ext uri="{FF2B5EF4-FFF2-40B4-BE49-F238E27FC236}">
              <a16:creationId xmlns:a16="http://schemas.microsoft.com/office/drawing/2014/main" id="{396DC8E7-605F-4DAB-819F-E56952AE6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42</xdr:row>
      <xdr:rowOff>0</xdr:rowOff>
    </xdr:from>
    <xdr:to>
      <xdr:col>6</xdr:col>
      <xdr:colOff>457200</xdr:colOff>
      <xdr:row>58</xdr:row>
      <xdr:rowOff>152400</xdr:rowOff>
    </xdr:to>
    <xdr:graphicFrame macro="">
      <xdr:nvGraphicFramePr>
        <xdr:cNvPr id="23020867" name="5 Gráfico">
          <a:extLst>
            <a:ext uri="{FF2B5EF4-FFF2-40B4-BE49-F238E27FC236}">
              <a16:creationId xmlns:a16="http://schemas.microsoft.com/office/drawing/2014/main" id="{A2E1AB04-69E8-4791-8868-4EA76BFC0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54</xdr:row>
      <xdr:rowOff>95250</xdr:rowOff>
    </xdr:to>
    <xdr:pic>
      <xdr:nvPicPr>
        <xdr:cNvPr id="23023937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7BC14069-84BF-47B9-AA24-B30EDFEE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5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8</xdr:row>
      <xdr:rowOff>9525</xdr:rowOff>
    </xdr:from>
    <xdr:to>
      <xdr:col>6</xdr:col>
      <xdr:colOff>314325</xdr:colOff>
      <xdr:row>25</xdr:row>
      <xdr:rowOff>0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BEFB550-127D-4742-B01E-9B7447450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38100</xdr:colOff>
      <xdr:row>26</xdr:row>
      <xdr:rowOff>142875</xdr:rowOff>
    </xdr:from>
    <xdr:to>
      <xdr:col>6</xdr:col>
      <xdr:colOff>333375</xdr:colOff>
      <xdr:row>48</xdr:row>
      <xdr:rowOff>142875</xdr:rowOff>
    </xdr:to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CE6B223-DDC8-4FBB-942C-7F19E8B91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48</xdr:row>
      <xdr:rowOff>9525</xdr:rowOff>
    </xdr:to>
    <xdr:pic>
      <xdr:nvPicPr>
        <xdr:cNvPr id="22984216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3B1CE2FD-717E-494A-926E-FC2D87D6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6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65</xdr:row>
      <xdr:rowOff>0</xdr:rowOff>
    </xdr:from>
    <xdr:to>
      <xdr:col>7</xdr:col>
      <xdr:colOff>485775</xdr:colOff>
      <xdr:row>83</xdr:row>
      <xdr:rowOff>114300</xdr:rowOff>
    </xdr:to>
    <xdr:graphicFrame macro="">
      <xdr:nvGraphicFramePr>
        <xdr:cNvPr id="22984218" name="4 Gráfico">
          <a:extLst>
            <a:ext uri="{FF2B5EF4-FFF2-40B4-BE49-F238E27FC236}">
              <a16:creationId xmlns:a16="http://schemas.microsoft.com/office/drawing/2014/main" id="{9F2473FE-C403-419F-858F-60C935424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419100</xdr:colOff>
      <xdr:row>37</xdr:row>
      <xdr:rowOff>133350</xdr:rowOff>
    </xdr:from>
    <xdr:to>
      <xdr:col>3</xdr:col>
      <xdr:colOff>914400</xdr:colOff>
      <xdr:row>52</xdr:row>
      <xdr:rowOff>0</xdr:rowOff>
    </xdr:to>
    <xdr:graphicFrame macro="">
      <xdr:nvGraphicFramePr>
        <xdr:cNvPr id="22984219" name="5 Gráfico">
          <a:extLst>
            <a:ext uri="{FF2B5EF4-FFF2-40B4-BE49-F238E27FC236}">
              <a16:creationId xmlns:a16="http://schemas.microsoft.com/office/drawing/2014/main" id="{34521152-129D-4CCF-A76A-2AE1290B5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0</xdr:colOff>
      <xdr:row>37</xdr:row>
      <xdr:rowOff>133350</xdr:rowOff>
    </xdr:from>
    <xdr:to>
      <xdr:col>8</xdr:col>
      <xdr:colOff>0</xdr:colOff>
      <xdr:row>51</xdr:row>
      <xdr:rowOff>152400</xdr:rowOff>
    </xdr:to>
    <xdr:graphicFrame macro="">
      <xdr:nvGraphicFramePr>
        <xdr:cNvPr id="22984220" name="8 Gráfico">
          <a:extLst>
            <a:ext uri="{FF2B5EF4-FFF2-40B4-BE49-F238E27FC236}">
              <a16:creationId xmlns:a16="http://schemas.microsoft.com/office/drawing/2014/main" id="{781CE24B-A78D-4BFA-8764-BB0A3AE23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9525</xdr:colOff>
      <xdr:row>20</xdr:row>
      <xdr:rowOff>133350</xdr:rowOff>
    </xdr:from>
    <xdr:to>
      <xdr:col>7</xdr:col>
      <xdr:colOff>581025</xdr:colOff>
      <xdr:row>37</xdr:row>
      <xdr:rowOff>114300</xdr:rowOff>
    </xdr:to>
    <xdr:graphicFrame macro="">
      <xdr:nvGraphicFramePr>
        <xdr:cNvPr id="8" name="3 Gráfico">
          <a:extLst>
            <a:ext uri="{FF2B5EF4-FFF2-40B4-BE49-F238E27FC236}">
              <a16:creationId xmlns:a16="http://schemas.microsoft.com/office/drawing/2014/main" id="{B8465E48-F0A3-4E8B-A985-8F2B2ED79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51</xdr:row>
      <xdr:rowOff>133350</xdr:rowOff>
    </xdr:to>
    <xdr:pic>
      <xdr:nvPicPr>
        <xdr:cNvPr id="23031105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C04813B7-0FC5-4F09-8588-FEE7E2C1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4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428625</xdr:colOff>
      <xdr:row>16</xdr:row>
      <xdr:rowOff>28575</xdr:rowOff>
    </xdr:from>
    <xdr:to>
      <xdr:col>7</xdr:col>
      <xdr:colOff>581025</xdr:colOff>
      <xdr:row>33</xdr:row>
      <xdr:rowOff>9525</xdr:rowOff>
    </xdr:to>
    <xdr:graphicFrame macro="">
      <xdr:nvGraphicFramePr>
        <xdr:cNvPr id="23031106" name="3 Gráfico">
          <a:extLst>
            <a:ext uri="{FF2B5EF4-FFF2-40B4-BE49-F238E27FC236}">
              <a16:creationId xmlns:a16="http://schemas.microsoft.com/office/drawing/2014/main" id="{453A55C2-A05E-4AD8-9008-6586C9FD7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419100</xdr:colOff>
      <xdr:row>35</xdr:row>
      <xdr:rowOff>0</xdr:rowOff>
    </xdr:from>
    <xdr:to>
      <xdr:col>7</xdr:col>
      <xdr:colOff>485775</xdr:colOff>
      <xdr:row>53</xdr:row>
      <xdr:rowOff>114300</xdr:rowOff>
    </xdr:to>
    <xdr:graphicFrame macro="">
      <xdr:nvGraphicFramePr>
        <xdr:cNvPr id="23031107" name="4 Gráfico">
          <a:extLst>
            <a:ext uri="{FF2B5EF4-FFF2-40B4-BE49-F238E27FC236}">
              <a16:creationId xmlns:a16="http://schemas.microsoft.com/office/drawing/2014/main" id="{A741F2C4-2E5B-411E-9B0D-917E466B9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0.34527</cdr:x>
      <cdr:y>0.61434</cdr:y>
    </cdr:from>
    <cdr:to>
      <cdr:x>0.63112</cdr:x>
      <cdr:y>0.74635</cdr:y>
    </cdr:to>
    <cdr:sp macro="" textlink="A1_PREGESTIONAT!$M$5">
      <cdr:nvSpPr>
        <cdr:cNvPr id="2" name="1 CuadroTexto"/>
        <cdr:cNvSpPr txBox="1"/>
      </cdr:nvSpPr>
      <cdr:spPr>
        <a:xfrm xmlns:a="http://schemas.openxmlformats.org/drawingml/2006/main">
          <a:off x="942487" y="1393508"/>
          <a:ext cx="1010138" cy="359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032B25-58B9-4B7E-9225-6CECDED5DD41}" type="TxLink">
            <a:rPr lang="ca-ES" sz="1600">
              <a:latin typeface="Arial Black" pitchFamily="34" charset="0"/>
            </a:rPr>
            <a:pPr/>
            <a:t>20,98%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0.12958</cdr:x>
      <cdr:y>0.58181</cdr:y>
    </cdr:from>
    <cdr:to>
      <cdr:x>0.33951</cdr:x>
      <cdr:y>0.68281</cdr:y>
    </cdr:to>
    <cdr:sp macro="" textlink="A1_PREGESTIONAT!$M$1">
      <cdr:nvSpPr>
        <cdr:cNvPr id="3" name="2 CuadroTexto"/>
        <cdr:cNvSpPr txBox="1"/>
      </cdr:nvSpPr>
      <cdr:spPr>
        <a:xfrm xmlns:a="http://schemas.openxmlformats.org/drawingml/2006/main">
          <a:off x="323849" y="1304925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1E6B7B4-9473-487C-9C95-92CB5216A7FF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0.69948</cdr:x>
      <cdr:y>0.5901</cdr:y>
    </cdr:from>
    <cdr:to>
      <cdr:x>0.96849</cdr:x>
      <cdr:y>0.69111</cdr:y>
    </cdr:to>
    <cdr:sp macro="" textlink="A1_PREGESTIONAT!$M$2">
      <cdr:nvSpPr>
        <cdr:cNvPr id="4" name="1 CuadroTexto"/>
        <cdr:cNvSpPr txBox="1"/>
      </cdr:nvSpPr>
      <cdr:spPr>
        <a:xfrm xmlns:a="http://schemas.openxmlformats.org/drawingml/2006/main">
          <a:off x="2193925" y="13271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AFEB345-909B-45C6-93E9-47945D6CB1E4}" type="TxLink">
            <a:rPr lang="ca-ES" sz="1100"/>
            <a:pPr/>
            <a:t>50,00%</a:t>
          </a:fld>
          <a:endParaRPr lang="ca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0.35805</cdr:x>
      <cdr:y>0.62364</cdr:y>
    </cdr:from>
    <cdr:to>
      <cdr:x>0.64678</cdr:x>
      <cdr:y>0.75159</cdr:y>
    </cdr:to>
    <cdr:sp macro="" textlink="A1_PREGESTIONAT!$M$11">
      <cdr:nvSpPr>
        <cdr:cNvPr id="2" name="1 CuadroTexto"/>
        <cdr:cNvSpPr txBox="1"/>
      </cdr:nvSpPr>
      <cdr:spPr>
        <a:xfrm xmlns:a="http://schemas.openxmlformats.org/drawingml/2006/main">
          <a:off x="971062" y="1412558"/>
          <a:ext cx="1048238" cy="3590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561F76-C150-4956-9976-0B522ED44F39}" type="TxLink">
            <a:rPr lang="ca-ES" sz="1600">
              <a:latin typeface="Arial Black" pitchFamily="34" charset="0"/>
            </a:rPr>
            <a:pPr/>
            <a:t>40,23%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0.08589</cdr:x>
      <cdr:y>0.58606</cdr:y>
    </cdr:from>
    <cdr:to>
      <cdr:x>0.31376</cdr:x>
      <cdr:y>0.68492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1E6B7B4-9473-487C-9C95-92CB5216A7FF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0.67953</cdr:x>
      <cdr:y>0.57964</cdr:y>
    </cdr:from>
    <cdr:to>
      <cdr:x>0.94441</cdr:x>
      <cdr:y>0.67682</cdr:y>
    </cdr:to>
    <cdr:sp macro="" textlink="A1_PREGESTIONAT!$M$13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F4A2F67-99B5-46EB-A9ED-6AB111CC8C9B}" type="TxLink">
            <a:rPr lang="ca-ES" sz="1100"/>
            <a:pPr/>
            <a:t>50,00%</a:t>
          </a:fld>
          <a:endParaRPr lang="ca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315686</xdr:colOff>
      <xdr:row>48</xdr:row>
      <xdr:rowOff>27214</xdr:rowOff>
    </xdr:to>
    <xdr:pic>
      <xdr:nvPicPr>
        <xdr:cNvPr id="22989228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2A185E01-4038-49C6-8E75-76046F7A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80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19</xdr:row>
      <xdr:rowOff>133350</xdr:rowOff>
    </xdr:from>
    <xdr:to>
      <xdr:col>7</xdr:col>
      <xdr:colOff>523875</xdr:colOff>
      <xdr:row>38</xdr:row>
      <xdr:rowOff>95250</xdr:rowOff>
    </xdr:to>
    <xdr:graphicFrame macro="">
      <xdr:nvGraphicFramePr>
        <xdr:cNvPr id="22989229" name="4 Gráfico">
          <a:extLst>
            <a:ext uri="{FF2B5EF4-FFF2-40B4-BE49-F238E27FC236}">
              <a16:creationId xmlns:a16="http://schemas.microsoft.com/office/drawing/2014/main" id="{DE6B9E75-7F5E-4FE4-97BC-C5A7D58850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400050</xdr:colOff>
      <xdr:row>40</xdr:row>
      <xdr:rowOff>0</xdr:rowOff>
    </xdr:from>
    <xdr:to>
      <xdr:col>3</xdr:col>
      <xdr:colOff>895350</xdr:colOff>
      <xdr:row>54</xdr:row>
      <xdr:rowOff>28575</xdr:rowOff>
    </xdr:to>
    <xdr:graphicFrame macro="">
      <xdr:nvGraphicFramePr>
        <xdr:cNvPr id="22989230" name="5 Gráfico">
          <a:extLst>
            <a:ext uri="{FF2B5EF4-FFF2-40B4-BE49-F238E27FC236}">
              <a16:creationId xmlns:a16="http://schemas.microsoft.com/office/drawing/2014/main" id="{5D94B4F0-41CC-4AC7-A6B0-8122D5984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904875</xdr:colOff>
      <xdr:row>39</xdr:row>
      <xdr:rowOff>85725</xdr:rowOff>
    </xdr:from>
    <xdr:to>
      <xdr:col>7</xdr:col>
      <xdr:colOff>571500</xdr:colOff>
      <xdr:row>54</xdr:row>
      <xdr:rowOff>152400</xdr:rowOff>
    </xdr:to>
    <xdr:graphicFrame macro="">
      <xdr:nvGraphicFramePr>
        <xdr:cNvPr id="22989231" name="8 Gráfico">
          <a:extLst>
            <a:ext uri="{FF2B5EF4-FFF2-40B4-BE49-F238E27FC236}">
              <a16:creationId xmlns:a16="http://schemas.microsoft.com/office/drawing/2014/main" id="{EC490CD5-BC1E-4C38-9B3C-0E61C73C8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0.34658</cdr:x>
      <cdr:y>0.61731</cdr:y>
    </cdr:from>
    <cdr:to>
      <cdr:x>0.65516</cdr:x>
      <cdr:y>0.74635</cdr:y>
    </cdr:to>
    <cdr:sp macro="" textlink="A1B_FINANÇAMENT!$L$8">
      <cdr:nvSpPr>
        <cdr:cNvPr id="2" name="1 CuadroTexto"/>
        <cdr:cNvSpPr txBox="1"/>
      </cdr:nvSpPr>
      <cdr:spPr>
        <a:xfrm xmlns:a="http://schemas.openxmlformats.org/drawingml/2006/main">
          <a:off x="961537" y="1403032"/>
          <a:ext cx="1086338" cy="3495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9CCBCCF-B8AF-408D-99E5-960728CFE72B}" type="TxLink">
            <a:rPr lang="ca-ES" sz="1600">
              <a:latin typeface="Arial Black" pitchFamily="34" charset="0"/>
            </a:rPr>
            <a:pPr/>
            <a:t>40,23%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0.12764</cdr:x>
      <cdr:y>0.58181</cdr:y>
    </cdr:from>
    <cdr:to>
      <cdr:x>0.33611</cdr:x>
      <cdr:y>0.68281</cdr:y>
    </cdr:to>
    <cdr:sp macro="" textlink="A1B_FINANÇAMENT!$L$4">
      <cdr:nvSpPr>
        <cdr:cNvPr id="3" name="2 CuadroTexto"/>
        <cdr:cNvSpPr txBox="1"/>
      </cdr:nvSpPr>
      <cdr:spPr>
        <a:xfrm xmlns:a="http://schemas.openxmlformats.org/drawingml/2006/main">
          <a:off x="323849" y="1304925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3BA64A-03AE-4A42-A78E-33145FF494A8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0.69655</cdr:x>
      <cdr:y>0.5901</cdr:y>
    </cdr:from>
    <cdr:to>
      <cdr:x>0.96848</cdr:x>
      <cdr:y>0.69111</cdr:y>
    </cdr:to>
    <cdr:sp macro="" textlink="A1B_FINANÇAMENT!$L$5">
      <cdr:nvSpPr>
        <cdr:cNvPr id="4" name="1 CuadroTexto"/>
        <cdr:cNvSpPr txBox="1"/>
      </cdr:nvSpPr>
      <cdr:spPr>
        <a:xfrm xmlns:a="http://schemas.openxmlformats.org/drawingml/2006/main">
          <a:off x="2193925" y="13271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fld id="{70DC2F04-0D06-4983-8D1B-7BE07584EEE3}" type="TxLink">
            <a:rPr lang="en-US"/>
            <a:pPr/>
            <a:t>50,00%</a:t>
          </a:fld>
          <a:endParaRPr 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0.36882</cdr:x>
      <cdr:y>0.60569</cdr:y>
    </cdr:from>
    <cdr:to>
      <cdr:x>0.65271</cdr:x>
      <cdr:y>0.73845</cdr:y>
    </cdr:to>
    <cdr:sp macro="" textlink="A1B_FINANÇAMENT!$L$14">
      <cdr:nvSpPr>
        <cdr:cNvPr id="2" name="1 CuadroTexto"/>
        <cdr:cNvSpPr txBox="1"/>
      </cdr:nvSpPr>
      <cdr:spPr>
        <a:xfrm xmlns:a="http://schemas.openxmlformats.org/drawingml/2006/main">
          <a:off x="1037737" y="1484019"/>
          <a:ext cx="1010138" cy="401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B868F3-EBF4-4CD4-A966-D4AEDE5D5DBE}" type="TxLink">
            <a:rPr lang="ca-ES" sz="1600">
              <a:latin typeface="Arial Black" pitchFamily="34" charset="0"/>
            </a:rPr>
            <a:pPr/>
            <a:t>99,58%</a:t>
          </a:fld>
          <a:endParaRPr lang="ca-ES" sz="1600">
            <a:latin typeface="Arial Black" pitchFamily="34" charset="0"/>
          </a:endParaRPr>
        </a:p>
      </cdr:txBody>
    </cdr:sp>
  </cdr:relSizeAnchor>
  <cdr:relSizeAnchor xmlns:cdr="http://schemas.openxmlformats.org/drawingml/2006/chartDrawing">
    <cdr:from>
      <cdr:x>0.08709</cdr:x>
      <cdr:y>0.58683</cdr:y>
    </cdr:from>
    <cdr:to>
      <cdr:x>0.3055</cdr:x>
      <cdr:y>0.68682</cdr:y>
    </cdr:to>
    <cdr:sp macro="" textlink="A1B_FINANÇAMENT!$L$4">
      <cdr:nvSpPr>
        <cdr:cNvPr id="3" name="1 CuadroTexto"/>
        <cdr:cNvSpPr txBox="1"/>
      </cdr:nvSpPr>
      <cdr:spPr>
        <a:xfrm xmlns:a="http://schemas.openxmlformats.org/drawingml/2006/main">
          <a:off x="212725" y="1308100"/>
          <a:ext cx="600075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E3C37FC-B97C-427B-B6DB-F6135EED4191}" type="TxLink">
            <a:rPr lang="ca-ES" sz="1100"/>
            <a:pPr/>
            <a:t>0,00%</a:t>
          </a:fld>
          <a:endParaRPr lang="ca-ES" sz="1100"/>
        </a:p>
      </cdr:txBody>
    </cdr:sp>
  </cdr:relSizeAnchor>
  <cdr:relSizeAnchor xmlns:cdr="http://schemas.openxmlformats.org/drawingml/2006/chartDrawing">
    <cdr:from>
      <cdr:x>0.67802</cdr:x>
      <cdr:y>0.57994</cdr:y>
    </cdr:from>
    <cdr:to>
      <cdr:x>0.94197</cdr:x>
      <cdr:y>0.67967</cdr:y>
    </cdr:to>
    <cdr:sp macro="" textlink="A1B_FINANÇAMENT!$L$16">
      <cdr:nvSpPr>
        <cdr:cNvPr id="4" name="1 CuadroTexto"/>
        <cdr:cNvSpPr txBox="1"/>
      </cdr:nvSpPr>
      <cdr:spPr>
        <a:xfrm xmlns:a="http://schemas.openxmlformats.org/drawingml/2006/main">
          <a:off x="2136775" y="1289050"/>
          <a:ext cx="692150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95EC994-FC24-4FCD-AA74-6D1084EA442F}" type="TxLink">
            <a:rPr lang="ca-ES" sz="1100"/>
            <a:pPr/>
            <a:t>100,00%</a:t>
          </a:fld>
          <a:endParaRPr lang="ca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34</xdr:row>
      <xdr:rowOff>38100</xdr:rowOff>
    </xdr:from>
    <xdr:to>
      <xdr:col>6</xdr:col>
      <xdr:colOff>847725</xdr:colOff>
      <xdr:row>53</xdr:row>
      <xdr:rowOff>133350</xdr:rowOff>
    </xdr:to>
    <xdr:graphicFrame macro="">
      <xdr:nvGraphicFramePr>
        <xdr:cNvPr id="22993218" name="Gráfico 4">
          <a:extLst>
            <a:ext uri="{FF2B5EF4-FFF2-40B4-BE49-F238E27FC236}">
              <a16:creationId xmlns:a16="http://schemas.microsoft.com/office/drawing/2014/main" id="{80768C87-CC0E-4A5C-AC93-CDCC9E896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1076325</xdr:colOff>
      <xdr:row>62</xdr:row>
      <xdr:rowOff>47625</xdr:rowOff>
    </xdr:to>
    <xdr:pic>
      <xdr:nvPicPr>
        <xdr:cNvPr id="22993219" name="Picture 5" descr="C:\Documents and Settings\user\Mis documentos\Mis imágenes\DIPTA_Vertical.JPG">
          <a:extLst>
            <a:ext uri="{FF2B5EF4-FFF2-40B4-BE49-F238E27FC236}">
              <a16:creationId xmlns:a16="http://schemas.microsoft.com/office/drawing/2014/main" id="{5B277BBB-291B-419B-863B-190FC8A09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10201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1066800</xdr:colOff>
      <xdr:row>11</xdr:row>
      <xdr:rowOff>38100</xdr:rowOff>
    </xdr:from>
    <xdr:to>
      <xdr:col>7</xdr:col>
      <xdr:colOff>57150</xdr:colOff>
      <xdr:row>33</xdr:row>
      <xdr:rowOff>9525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73A40D36-F58E-4D0C-9AF5-7BB6BB4D2D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8</xdr:row>
      <xdr:rowOff>28575</xdr:rowOff>
    </xdr:from>
    <xdr:to>
      <xdr:col>7</xdr:col>
      <xdr:colOff>790575</xdr:colOff>
      <xdr:row>32</xdr:row>
      <xdr:rowOff>66675</xdr:rowOff>
    </xdr:to>
    <xdr:graphicFrame macro="">
      <xdr:nvGraphicFramePr>
        <xdr:cNvPr id="22996289" name="Gráfico 1">
          <a:extLst>
            <a:ext uri="{FF2B5EF4-FFF2-40B4-BE49-F238E27FC236}">
              <a16:creationId xmlns:a16="http://schemas.microsoft.com/office/drawing/2014/main" id="{FBB26BF0-6CF1-4D4E-999E-5AD59C3C9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314325</xdr:colOff>
      <xdr:row>53</xdr:row>
      <xdr:rowOff>66675</xdr:rowOff>
    </xdr:to>
    <xdr:pic>
      <xdr:nvPicPr>
        <xdr:cNvPr id="22996290" name="Picture 2" descr="C:\Documents and Settings\user\Mis documentos\Mis imágenes\DIPTA_Vertical.JPG">
          <a:extLst>
            <a:ext uri="{FF2B5EF4-FFF2-40B4-BE49-F238E27FC236}">
              <a16:creationId xmlns:a16="http://schemas.microsoft.com/office/drawing/2014/main" id="{3B7C0E6C-C3E6-4FB5-8202-CF8EBC19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6325" cy="896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1400175</xdr:colOff>
      <xdr:row>46</xdr:row>
      <xdr:rowOff>38100</xdr:rowOff>
    </xdr:from>
    <xdr:to>
      <xdr:col>5</xdr:col>
      <xdr:colOff>762000</xdr:colOff>
      <xdr:row>61</xdr:row>
      <xdr:rowOff>95250</xdr:rowOff>
    </xdr:to>
    <xdr:graphicFrame macro="">
      <xdr:nvGraphicFramePr>
        <xdr:cNvPr id="22996291" name="8 Gráfico">
          <a:extLst>
            <a:ext uri="{FF2B5EF4-FFF2-40B4-BE49-F238E27FC236}">
              <a16:creationId xmlns:a16="http://schemas.microsoft.com/office/drawing/2014/main" id="{199E4956-D732-49B9-ABCC-1AC6CCE28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SDEPTS\DEPTS\Users\Manel\AppData\Local\Temp\TAULES%20DICTAMEN%202020T2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INT\COMPTABILITAT\Pressupost\PRE2025\Trimple\1T\TAULES%20DICTAMEN%202025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DEF"/>
      <sheetName val="DESPAREA"/>
      <sheetName val="DESPCAPITOL"/>
      <sheetName val="DESPPROG"/>
      <sheetName val="INGRCAPITOL"/>
      <sheetName val="FINANÇAMENT"/>
      <sheetName val="ANUAL_TRIM"/>
      <sheetName val="H_CORP"/>
      <sheetName val="PREVISIONSFIANY"/>
      <sheetName val="ESTABILITAT"/>
      <sheetName val="REGLADESPESA"/>
      <sheetName val="ENDEUTAMENT"/>
      <sheetName val="TCTS_DESPRGC"/>
      <sheetName val="TCTS_INGRCAP"/>
      <sheetName val="Portada"/>
      <sheetName val="A1_PREGESTIONAT"/>
      <sheetName val="A1B_FINANÇAMENT"/>
      <sheetName val="A2_EVOL"/>
      <sheetName val="A3CAP_GrauModif"/>
      <sheetName val="A4CAP_SitCred"/>
      <sheetName val="A5PROG_SITCRED"/>
      <sheetName val="A6AREA_GrauModif"/>
      <sheetName val="A7AREA_SitCred"/>
      <sheetName val="A8_SITINGR"/>
      <sheetName val="A9_EXEC"/>
      <sheetName val="A10_trimestres"/>
      <sheetName val="A11_PREVISIONS"/>
      <sheetName val="A12_LOEPSF"/>
      <sheetName val="Dades globals"/>
      <sheetName val="Full11"/>
      <sheetName val="A1_PREGESTIONAT_old"/>
    </sheetNames>
    <sheetDataSet>
      <sheetData sheetId="0"/>
      <sheetData sheetId="1"/>
      <sheetData sheetId="2">
        <row r="11">
          <cell r="B11" t="str">
            <v>Corporació</v>
          </cell>
        </row>
        <row r="21">
          <cell r="B21" t="str">
            <v>Turisme</v>
          </cell>
        </row>
        <row r="31">
          <cell r="B31" t="str">
            <v>BASE</v>
          </cell>
        </row>
      </sheetData>
      <sheetData sheetId="3"/>
      <sheetData sheetId="4">
        <row r="11">
          <cell r="G11">
            <v>0.24177607251410935</v>
          </cell>
        </row>
      </sheetData>
      <sheetData sheetId="5"/>
      <sheetData sheetId="6"/>
      <sheetData sheetId="7"/>
      <sheetData sheetId="8">
        <row r="8">
          <cell r="G8">
            <v>159294352.03999999</v>
          </cell>
        </row>
      </sheetData>
      <sheetData sheetId="9">
        <row r="7">
          <cell r="E7">
            <v>147868979.31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DEF"/>
      <sheetName val="DESPAREA"/>
      <sheetName val="DESPCAPITOL"/>
      <sheetName val="DESPPROG"/>
      <sheetName val="INGRCAPITOL"/>
      <sheetName val="TCTS_DESPRGC"/>
      <sheetName val="TCTS_INGRCAP"/>
      <sheetName val="FINANÇAMENT"/>
      <sheetName val="ANUAL_TRIM"/>
      <sheetName val="H_CORP"/>
      <sheetName val="PREVISIONSFIANY"/>
      <sheetName val="ESTABILITAT"/>
      <sheetName val="REGLADESPESA"/>
      <sheetName val="ENDEUTAMENT"/>
      <sheetName val="Dades globals"/>
      <sheetName val="Portada"/>
      <sheetName val="A1_PREGESTIONAT"/>
      <sheetName val="A1B_FINANÇAMENT"/>
      <sheetName val="A2_EVOL"/>
      <sheetName val="A3CAP_GrauModif"/>
      <sheetName val="A4CAP_SitCred"/>
      <sheetName val="A5PROG_SITCRED"/>
      <sheetName val="A6AREA_GrauModif"/>
      <sheetName val="A7AREA_SitCred"/>
      <sheetName val="A8_SITINGR"/>
      <sheetName val="A9_EXEC"/>
      <sheetName val="A10_trimestres"/>
      <sheetName val="A11_PREVISIONS"/>
      <sheetName val="A12_LOEPSF"/>
      <sheetName val="Hoja1"/>
      <sheetName val="Full11"/>
      <sheetName val="A1_PREGESTIONAT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G8">
            <v>196035608.64000002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905.516503587962" createdVersion="6" refreshedVersion="8" recordCount="12" xr:uid="{00000000-000A-0000-FFFF-FFFF01000000}">
  <cacheSource type="worksheet">
    <worksheetSource ref="B38:F50" sheet="A7AREA_SitCred"/>
  </cacheSource>
  <cacheFields count="5">
    <cacheField name="Àrea de coordinació" numFmtId="0">
      <sharedItems count="23">
        <s v="Òrgans de govern i Coordinació general"/>
        <s v="Concertació i Assistència Municipal"/>
        <s v="Promoció Social i Cultural"/>
        <s v="Infraestructures del Territori"/>
        <s v="Serveis Generals i Instal·lacions Corporatives"/>
        <s v="Gabinet de Presidència i Planificació i PERC"/>
        <s v="Secretaria, Intervenció i Tresoreria"/>
        <s v="Persones i Talent"/>
        <s v="Innovació i Tecnologia"/>
        <s v="O.A. Patronat de Turisme"/>
        <s v="O.A. BASE"/>
        <s v="Total Pressupost"/>
        <s v="Serveis interns" u="1"/>
        <s v="Presidència i planificació" u="1"/>
        <s v="Òrgans de govern" u="1"/>
        <s v="Recursos Humans i PAO" u="1"/>
        <s v="Projectes Europeus i Regió del Coneixement" u="1"/>
        <s v="Presidència" u="1"/>
        <s v="Servei d'Assistència al Territori (SAT)" u="1"/>
        <s v="Servei d'Assistència al Ciutadà (SAC)" u="1"/>
        <s v="Servei d'Assistència al Municipi (SAM)" u="1"/>
        <s v="Tecnologia de la Informació i Comunicació" u="1"/>
        <s v="Coneixement i Qualitat" u="1"/>
      </sharedItems>
    </cacheField>
    <cacheField name="Saldos no compromesos" numFmtId="4">
      <sharedItems containsSemiMixedTypes="0" containsString="0" containsNumber="1" minValue="3262375.879999999" maxValue="357891677.78999996"/>
    </cacheField>
    <cacheField name="Saldos compromesos" numFmtId="4">
      <sharedItems containsSemiMixedTypes="0" containsString="0" containsNumber="1" minValue="83818.52" maxValue="121956203.28000003"/>
    </cacheField>
    <cacheField name="% Exec. Compr." numFmtId="0">
      <sharedItems containsString="0" containsBlank="1" containsNumber="1" minValue="0.16987257868262287" maxValue="0.42881211473689618"/>
    </cacheField>
    <cacheField name="Obligacions reconegudes netes" numFmtId="4">
      <sharedItems containsSemiMixedTypes="0" containsString="0" containsNumber="1" minValue="1646954.3100000005" maxValue="85309252.5599999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3262375.879999999"/>
    <n v="83818.52"/>
    <n v="0.3466295378973403"/>
    <n v="1646954.3100000005"/>
  </r>
  <r>
    <x v="1"/>
    <n v="142144208.80999994"/>
    <n v="80026517.600000039"/>
    <n v="0.42881211473689618"/>
    <n v="26686457.849999987"/>
  </r>
  <r>
    <x v="2"/>
    <n v="32112398.279999986"/>
    <n v="7723655.54"/>
    <n v="0.34315778397263574"/>
    <n v="9053005.8299999982"/>
  </r>
  <r>
    <x v="3"/>
    <n v="62260775.510000005"/>
    <n v="13200072.559999997"/>
    <n v="0.27032120224665968"/>
    <n v="9865429.3299999926"/>
  </r>
  <r>
    <x v="4"/>
    <n v="22176080.480000004"/>
    <n v="5485267.8000000026"/>
    <n v="0.29232069839115687"/>
    <n v="3674993.5200000009"/>
  </r>
  <r>
    <x v="5"/>
    <n v="8617383.7200000025"/>
    <n v="2482507.08"/>
    <n v="0.34072563472219602"/>
    <n v="1971122.08"/>
  </r>
  <r>
    <x v="6"/>
    <n v="16063058.17"/>
    <n v="220349.22000000003"/>
    <n v="0.16987257868262287"/>
    <n v="3066704.1200000015"/>
  </r>
  <r>
    <x v="7"/>
    <n v="31893277.880000018"/>
    <n v="2813007.4700000007"/>
    <n v="0.36772847558731131"/>
    <n v="15736090.509999998"/>
  </r>
  <r>
    <x v="8"/>
    <n v="10349029.439999996"/>
    <n v="2416780.25"/>
    <n v="0.32693852523261763"/>
    <n v="2610244.1"/>
  </r>
  <r>
    <x v="9"/>
    <n v="11217228.199999999"/>
    <n v="4696317.05"/>
    <n v="0.4144111391045755"/>
    <n v="3241921.92"/>
  </r>
  <r>
    <x v="10"/>
    <n v="17795861.420000002"/>
    <n v="2807910.19"/>
    <n v="0.37250358625314606"/>
    <n v="7756328.9900000002"/>
  </r>
  <r>
    <x v="11"/>
    <n v="357891677.78999996"/>
    <n v="121956203.28000003"/>
    <m/>
    <n v="85309252.5599999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600-000000000000}" name="Tabla dinámica2" cacheId="0" dataOnRows="1" applyNumberFormats="0" applyBorderFormats="0" applyFontFormats="0" applyPatternFormats="0" applyAlignmentFormats="0" applyWidthHeightFormats="1" dataCaption="Datos" updatedVersion="8" minRefreshableVersion="3" showMemberPropertyTips="0" useAutoFormatting="1" itemPrintTitles="1" createdVersion="6" indent="0" compact="0" compactData="0" gridDropZones="1" chartFormat="1">
  <location ref="K1:L14" firstHeaderRow="2" firstDataRow="2" firstDataCol="1"/>
  <pivotFields count="5">
    <pivotField axis="axisRow" compact="0" outline="0" subtotalTop="0" showAll="0" includeNewItemsInFilter="1" sortType="ascending">
      <items count="24">
        <item m="1" x="22"/>
        <item x="10"/>
        <item x="9"/>
        <item m="1" x="14"/>
        <item m="1" x="17"/>
        <item m="1" x="13"/>
        <item m="1" x="16"/>
        <item m="1" x="15"/>
        <item x="6"/>
        <item m="1" x="19"/>
        <item m="1" x="20"/>
        <item m="1" x="18"/>
        <item m="1" x="12"/>
        <item m="1" x="21"/>
        <item h="1" x="11"/>
        <item x="0"/>
        <item x="1"/>
        <item x="2"/>
        <item x="3"/>
        <item x="4"/>
        <item x="5"/>
        <item x="7"/>
        <item x="8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numFmtId="4" outline="0" subtotalTop="0" showAll="0" includeNewItemsInFilter="1" defaultSubtotal="0"/>
    <pivotField compact="0" numFmtId="4" outline="0" subtotalTop="0" showAll="0" includeNewItemsInFilter="1" defaultSubtotal="0"/>
    <pivotField compact="0" outline="0" subtotalTop="0" showAll="0" includeNewItemsInFilter="1" defaultSubtotal="0"/>
    <pivotField dataField="1" compact="0" numFmtId="4" outline="0" subtotalTop="0" showAll="0" defaultSubtotal="0"/>
  </pivotFields>
  <rowFields count="1">
    <field x="0"/>
  </rowFields>
  <rowItems count="12">
    <i>
      <x v="15"/>
    </i>
    <i>
      <x v="20"/>
    </i>
    <i>
      <x v="22"/>
    </i>
    <i>
      <x v="8"/>
    </i>
    <i>
      <x v="2"/>
    </i>
    <i>
      <x v="19"/>
    </i>
    <i>
      <x v="1"/>
    </i>
    <i>
      <x v="17"/>
    </i>
    <i>
      <x v="18"/>
    </i>
    <i>
      <x v="21"/>
    </i>
    <i>
      <x v="16"/>
    </i>
    <i t="grand">
      <x/>
    </i>
  </rowItems>
  <colItems count="1">
    <i/>
  </colItems>
  <dataFields count="1">
    <dataField name="Suma de Obligacions reconegudes netes" fld="4" baseField="0" baseItem="0" numFmtId="4"/>
  </dataFields>
  <chartFormats count="2">
    <chartFormat chart="0" format="1" series="1">
      <pivotArea type="data" outline="0" fieldPosition="0"/>
    </chartFormat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8.bin"/><Relationship Id="rId1" Type="http://schemas.openxmlformats.org/officeDocument/2006/relationships/pivotTable" Target="../pivotTables/pivotTable1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T31"/>
  <sheetViews>
    <sheetView zoomScale="85" zoomScaleNormal="85" workbookViewId="0">
      <selection activeCell="D10" sqref="D10"/>
    </sheetView>
  </sheetViews>
  <sheetFormatPr baseColWidth="10" defaultColWidth="9.140625" defaultRowHeight="12.75" x14ac:dyDescent="0.2"/>
  <cols>
    <col min="1" max="3" width="14.140625" customWidth="1"/>
    <col min="4" max="4" width="14.85546875" bestFit="1" customWidth="1"/>
    <col min="5" max="5" width="14.140625" customWidth="1"/>
    <col min="6" max="14" width="14.28515625" bestFit="1" customWidth="1"/>
    <col min="15" max="16" width="13.5703125" customWidth="1"/>
  </cols>
  <sheetData>
    <row r="1" spans="1:20" x14ac:dyDescent="0.2">
      <c r="A1" t="s">
        <v>239</v>
      </c>
      <c r="B1">
        <v>2025</v>
      </c>
      <c r="C1">
        <v>2024</v>
      </c>
      <c r="D1">
        <v>2023</v>
      </c>
      <c r="E1">
        <v>2022</v>
      </c>
      <c r="F1">
        <v>2021</v>
      </c>
      <c r="G1">
        <v>2020</v>
      </c>
      <c r="H1">
        <v>2019</v>
      </c>
      <c r="I1">
        <v>2018</v>
      </c>
      <c r="J1">
        <v>2017</v>
      </c>
      <c r="K1">
        <v>2016</v>
      </c>
      <c r="L1">
        <v>2015</v>
      </c>
      <c r="M1">
        <v>2014</v>
      </c>
      <c r="N1">
        <v>2013</v>
      </c>
    </row>
    <row r="2" spans="1:20" x14ac:dyDescent="0.2">
      <c r="A2" t="s">
        <v>20</v>
      </c>
      <c r="B2" s="115">
        <v>375308047.19999999</v>
      </c>
      <c r="C2" s="1">
        <v>361088239.92000002</v>
      </c>
      <c r="D2" s="1">
        <v>325910724.11000001</v>
      </c>
      <c r="E2" s="1">
        <v>311448047.02999997</v>
      </c>
      <c r="F2" s="1">
        <v>284984426.58999997</v>
      </c>
      <c r="G2" s="1">
        <v>276553417.47000003</v>
      </c>
      <c r="H2" s="1">
        <v>285958423.12</v>
      </c>
      <c r="I2" s="1">
        <v>267779167.31</v>
      </c>
      <c r="J2" s="1">
        <v>265101171.10000002</v>
      </c>
      <c r="K2" s="1">
        <v>236089247</v>
      </c>
      <c r="L2" s="1">
        <v>239297904.22999999</v>
      </c>
      <c r="M2" s="1">
        <v>214796284.22000003</v>
      </c>
      <c r="N2" s="1">
        <v>193039014.01000002</v>
      </c>
      <c r="O2" s="1"/>
      <c r="P2" s="1"/>
      <c r="Q2" s="1"/>
      <c r="R2" s="1"/>
      <c r="S2" s="1"/>
      <c r="T2" s="1"/>
    </row>
    <row r="3" spans="1:20" x14ac:dyDescent="0.2">
      <c r="A3" t="s">
        <v>32</v>
      </c>
      <c r="B3" s="115">
        <v>24232800.890000001</v>
      </c>
      <c r="C3" s="1">
        <v>23816550.300000001</v>
      </c>
      <c r="D3" s="1">
        <v>23660402.920000002</v>
      </c>
      <c r="E3" s="1">
        <v>21312887.949999999</v>
      </c>
      <c r="F3" s="1">
        <v>20789659.030000001</v>
      </c>
      <c r="G3" s="1">
        <v>19490781.539999999</v>
      </c>
      <c r="H3" s="1">
        <v>20687368.449999999</v>
      </c>
      <c r="I3" s="1">
        <v>19770480.77</v>
      </c>
      <c r="J3" s="1">
        <v>18119475.199999999</v>
      </c>
      <c r="K3" s="1">
        <v>21781885.210000001</v>
      </c>
      <c r="L3" s="1">
        <v>21071154.869999997</v>
      </c>
      <c r="M3" s="1">
        <v>19403862.23</v>
      </c>
      <c r="N3" s="1">
        <v>18393041.609999999</v>
      </c>
      <c r="O3" s="1"/>
      <c r="P3" s="1"/>
      <c r="Q3" s="1"/>
      <c r="R3" s="1"/>
      <c r="S3" s="1"/>
      <c r="T3" s="1"/>
    </row>
    <row r="4" spans="1:20" x14ac:dyDescent="0.2">
      <c r="A4" t="s">
        <v>30</v>
      </c>
      <c r="B4" s="115">
        <v>14088096.039999999</v>
      </c>
      <c r="C4" s="1">
        <v>13691376.65</v>
      </c>
      <c r="D4" s="1">
        <v>13451148.859999999</v>
      </c>
      <c r="E4" s="1">
        <v>15307157.689999999</v>
      </c>
      <c r="F4" s="1">
        <v>12807572.35</v>
      </c>
      <c r="G4" s="1">
        <v>11552992.67</v>
      </c>
      <c r="H4" s="1">
        <v>11560352.379999999</v>
      </c>
      <c r="I4" s="1">
        <v>10309778.85</v>
      </c>
      <c r="J4" s="1">
        <v>8620598.629999999</v>
      </c>
      <c r="K4" s="1">
        <v>10002390.26</v>
      </c>
      <c r="L4" s="1">
        <v>8982960.2599999998</v>
      </c>
      <c r="M4" s="1">
        <v>7956856.0999999996</v>
      </c>
      <c r="N4" s="1">
        <v>6606830.4000000004</v>
      </c>
      <c r="O4" s="1"/>
      <c r="P4" s="1"/>
      <c r="Q4" s="1"/>
      <c r="R4" s="1"/>
      <c r="S4" s="1"/>
      <c r="T4" s="1"/>
    </row>
    <row r="5" spans="1:20" x14ac:dyDescent="0.2">
      <c r="A5" t="s">
        <v>144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">
      <c r="A6" t="s">
        <v>145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">
      <c r="A7" t="s">
        <v>146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">
      <c r="A8" t="s">
        <v>147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"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">
      <c r="A10" t="s">
        <v>142</v>
      </c>
      <c r="B10" s="1">
        <f>SUM(B2:B4)</f>
        <v>413628944.13</v>
      </c>
      <c r="C10" s="1">
        <v>398596166.87</v>
      </c>
      <c r="D10" s="1">
        <v>317976308.41999996</v>
      </c>
      <c r="E10" s="1">
        <f>SUM(E2:E9)</f>
        <v>348068092.66999996</v>
      </c>
      <c r="F10" s="1">
        <f>SUM(F2:F9)</f>
        <v>318581657.97000003</v>
      </c>
      <c r="G10" s="1">
        <f t="shared" ref="G10:I10" si="0">SUM(G2:G9)</f>
        <v>307597191.68000007</v>
      </c>
      <c r="H10" s="1">
        <f t="shared" si="0"/>
        <v>318206143.94999999</v>
      </c>
      <c r="I10" s="1">
        <f t="shared" si="0"/>
        <v>297859426.93000001</v>
      </c>
      <c r="J10" s="1">
        <v>267873522.47</v>
      </c>
      <c r="K10" s="1">
        <v>269352019.36000001</v>
      </c>
      <c r="L10" s="1">
        <v>242157002.55000001</v>
      </c>
      <c r="M10" s="1">
        <v>218038886.02000001</v>
      </c>
      <c r="N10" s="1">
        <v>234944096.97999999</v>
      </c>
      <c r="O10" s="1"/>
      <c r="P10" s="1"/>
      <c r="Q10" s="1"/>
      <c r="R10" s="1"/>
      <c r="S10" s="1"/>
      <c r="T10" s="1"/>
    </row>
    <row r="11" spans="1:20" x14ac:dyDescent="0.2">
      <c r="A11" t="s">
        <v>139</v>
      </c>
      <c r="B11" s="115">
        <v>6930000</v>
      </c>
      <c r="C11" s="1">
        <v>8115648.3799999999</v>
      </c>
      <c r="D11" s="1">
        <v>5699950</v>
      </c>
      <c r="E11" s="1">
        <v>5435000</v>
      </c>
      <c r="F11" s="1">
        <v>7296395.1200000001</v>
      </c>
      <c r="G11" s="1">
        <v>6466400</v>
      </c>
      <c r="H11" s="58">
        <v>6147430.6399999997</v>
      </c>
      <c r="I11" s="1">
        <v>5088003.7699999996</v>
      </c>
      <c r="J11" s="1">
        <v>5182900</v>
      </c>
      <c r="K11" s="1">
        <v>5184200</v>
      </c>
      <c r="L11" s="1">
        <v>4857000</v>
      </c>
      <c r="M11" s="1">
        <v>4269546</v>
      </c>
      <c r="N11" s="1">
        <v>4429392.2800000254</v>
      </c>
      <c r="O11" s="1"/>
      <c r="P11" s="1"/>
      <c r="Q11" s="1"/>
      <c r="R11" s="1"/>
      <c r="S11" s="1"/>
      <c r="T11" s="1"/>
    </row>
    <row r="12" spans="1:20" x14ac:dyDescent="0.2">
      <c r="A12" t="s">
        <v>143</v>
      </c>
      <c r="B12" s="1">
        <f>B10-B11</f>
        <v>406698944.13</v>
      </c>
      <c r="C12" s="1">
        <v>390480518.49000001</v>
      </c>
      <c r="D12" s="1">
        <v>312276358.41999996</v>
      </c>
      <c r="E12" s="1">
        <f t="shared" ref="E12:I12" si="1">E10-E11</f>
        <v>342633092.66999996</v>
      </c>
      <c r="F12" s="1">
        <f t="shared" si="1"/>
        <v>311285262.85000002</v>
      </c>
      <c r="G12" s="1">
        <f t="shared" si="1"/>
        <v>301130791.68000007</v>
      </c>
      <c r="H12" s="1">
        <f t="shared" si="1"/>
        <v>312058713.31</v>
      </c>
      <c r="I12" s="1">
        <f t="shared" si="1"/>
        <v>292771423.16000003</v>
      </c>
      <c r="J12" s="1">
        <v>262690622.47</v>
      </c>
      <c r="K12" s="1">
        <v>264167819.36000001</v>
      </c>
      <c r="L12" s="1">
        <v>237300002.55000001</v>
      </c>
      <c r="M12" s="1">
        <v>213769340.02000001</v>
      </c>
      <c r="N12" s="1">
        <v>230514704.69999996</v>
      </c>
      <c r="O12" s="1"/>
      <c r="P12" s="1"/>
      <c r="Q12" s="1"/>
      <c r="R12" s="1"/>
      <c r="S12" s="1"/>
      <c r="T12" s="1"/>
    </row>
    <row r="13" spans="1:20" x14ac:dyDescent="0.2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">
      <c r="A14" t="s">
        <v>140</v>
      </c>
      <c r="B14" s="1">
        <f>B2-B11</f>
        <v>368378047.19999999</v>
      </c>
      <c r="C14" s="1">
        <f>C2-C11</f>
        <v>352972591.54000002</v>
      </c>
      <c r="D14" s="1">
        <v>280713647.94</v>
      </c>
      <c r="E14" s="1">
        <f t="shared" ref="E14:N14" si="2">E2-E11</f>
        <v>306013047.02999997</v>
      </c>
      <c r="F14" s="1">
        <f t="shared" si="2"/>
        <v>277688031.46999997</v>
      </c>
      <c r="G14" s="1">
        <f t="shared" si="2"/>
        <v>270087017.47000003</v>
      </c>
      <c r="H14" s="1">
        <f t="shared" si="2"/>
        <v>279810992.48000002</v>
      </c>
      <c r="I14" s="1">
        <f t="shared" si="2"/>
        <v>262691163.53999999</v>
      </c>
      <c r="J14" s="1">
        <f t="shared" si="2"/>
        <v>259918271.10000002</v>
      </c>
      <c r="K14" s="1">
        <f t="shared" si="2"/>
        <v>230905047</v>
      </c>
      <c r="L14" s="1">
        <f t="shared" si="2"/>
        <v>234440904.22999999</v>
      </c>
      <c r="M14" s="1">
        <f t="shared" si="2"/>
        <v>210526738.22000003</v>
      </c>
      <c r="N14" s="1">
        <f t="shared" si="2"/>
        <v>188609621.72999999</v>
      </c>
      <c r="O14" s="1"/>
      <c r="P14" s="1"/>
      <c r="Q14" s="1"/>
      <c r="R14" s="1"/>
      <c r="S14" s="1"/>
      <c r="T14" s="1"/>
    </row>
    <row r="15" spans="1:20" x14ac:dyDescent="0.2">
      <c r="A15" t="s">
        <v>141</v>
      </c>
      <c r="B15" s="1">
        <f>B3+B4</f>
        <v>38320896.93</v>
      </c>
      <c r="C15" s="1">
        <f>C12-C14</f>
        <v>37507926.949999988</v>
      </c>
      <c r="D15" s="1">
        <v>31562710.479999959</v>
      </c>
      <c r="E15" s="1">
        <f>E12-E14</f>
        <v>36620045.639999986</v>
      </c>
      <c r="F15" s="1">
        <f t="shared" ref="F15:I15" si="3">F12-F14</f>
        <v>33597231.380000055</v>
      </c>
      <c r="G15" s="1">
        <f t="shared" si="3"/>
        <v>31043774.210000038</v>
      </c>
      <c r="H15" s="1">
        <f t="shared" si="3"/>
        <v>32247720.829999983</v>
      </c>
      <c r="I15" s="1">
        <f t="shared" si="3"/>
        <v>30080259.620000035</v>
      </c>
      <c r="J15" s="1">
        <v>31784275.469999999</v>
      </c>
      <c r="K15" s="1">
        <v>30054115.130000025</v>
      </c>
      <c r="L15" s="1">
        <v>27360718.329999983</v>
      </c>
      <c r="M15" s="1">
        <v>24999872.00999999</v>
      </c>
      <c r="N15" s="1">
        <v>33217291.399999976</v>
      </c>
      <c r="O15" s="1"/>
      <c r="P15" s="1"/>
      <c r="Q15" s="1"/>
      <c r="R15" s="1"/>
      <c r="S15" s="1"/>
      <c r="T15" s="1"/>
    </row>
    <row r="16" spans="1:20" x14ac:dyDescent="0.2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">
      <c r="A19" t="s">
        <v>143</v>
      </c>
      <c r="B19">
        <v>2025</v>
      </c>
      <c r="C19">
        <v>2024</v>
      </c>
      <c r="D19">
        <v>2023</v>
      </c>
      <c r="E19">
        <v>2022</v>
      </c>
      <c r="F19">
        <v>2021</v>
      </c>
      <c r="G19">
        <v>2020</v>
      </c>
      <c r="H19">
        <v>2019</v>
      </c>
      <c r="I19">
        <v>2018</v>
      </c>
      <c r="J19">
        <v>2017</v>
      </c>
      <c r="K19">
        <v>2016</v>
      </c>
      <c r="L19">
        <v>2015</v>
      </c>
      <c r="M19">
        <v>2014</v>
      </c>
      <c r="N19">
        <v>2013</v>
      </c>
      <c r="O19" s="1"/>
      <c r="P19" s="1"/>
      <c r="Q19" s="1"/>
      <c r="R19" s="1"/>
      <c r="S19" s="1"/>
      <c r="T19" s="1"/>
    </row>
    <row r="20" spans="1:20" x14ac:dyDescent="0.2">
      <c r="A20" t="s">
        <v>169</v>
      </c>
      <c r="B20" s="1">
        <f>PREVISIONSFIANY!G15</f>
        <v>201361790.17000002</v>
      </c>
      <c r="C20" s="1">
        <v>240010936.28000003</v>
      </c>
      <c r="D20" s="1">
        <v>197449511.12</v>
      </c>
      <c r="E20" s="1">
        <v>189435021.37</v>
      </c>
      <c r="F20" s="84">
        <v>161273126.72999999</v>
      </c>
      <c r="G20" s="1">
        <v>158638019.75</v>
      </c>
      <c r="H20" s="1">
        <v>152390901.91</v>
      </c>
      <c r="I20" s="1">
        <v>155673607.15000001</v>
      </c>
      <c r="J20" s="1">
        <v>163767467.45999998</v>
      </c>
      <c r="K20" s="1">
        <v>161594616.63</v>
      </c>
      <c r="L20" s="1">
        <v>148736659.74000001</v>
      </c>
      <c r="M20" s="1">
        <v>141921508.88</v>
      </c>
      <c r="N20" s="1">
        <v>136806160.34</v>
      </c>
      <c r="O20" s="1"/>
      <c r="P20" s="1"/>
      <c r="Q20" s="1"/>
      <c r="R20" s="1"/>
      <c r="S20" s="1"/>
      <c r="T20" s="1"/>
    </row>
    <row r="21" spans="1:20" x14ac:dyDescent="0.2">
      <c r="A21" t="s">
        <v>170</v>
      </c>
      <c r="B21" s="1">
        <f>PREVISIONSFIANY!G30</f>
        <v>204055263.78999999</v>
      </c>
      <c r="C21" s="1">
        <v>198704612.16000003</v>
      </c>
      <c r="D21" s="1">
        <v>180834099.25999999</v>
      </c>
      <c r="E21" s="1">
        <v>168736286.91000003</v>
      </c>
      <c r="F21" s="84">
        <v>155181734.50999999</v>
      </c>
      <c r="G21" s="1">
        <v>144233371.49000001</v>
      </c>
      <c r="H21" s="1">
        <v>165748019.88999999</v>
      </c>
      <c r="I21" s="1">
        <v>140756707.94</v>
      </c>
      <c r="J21" s="1">
        <v>146433211.19999999</v>
      </c>
      <c r="K21" s="1">
        <v>150822965.71000004</v>
      </c>
      <c r="L21" s="1">
        <v>144263067.00999999</v>
      </c>
      <c r="M21" s="1">
        <v>126925615.11</v>
      </c>
      <c r="N21" s="1">
        <v>126720971.13</v>
      </c>
      <c r="O21" s="1"/>
      <c r="P21" s="1"/>
      <c r="Q21" s="1"/>
      <c r="R21" s="1"/>
      <c r="S21" s="1"/>
      <c r="T21" s="1"/>
    </row>
    <row r="22" spans="1:20" x14ac:dyDescent="0.2">
      <c r="A22" t="s">
        <v>168</v>
      </c>
      <c r="B22" s="1">
        <f>B20-B21</f>
        <v>-2693473.619999975</v>
      </c>
      <c r="C22" s="1">
        <f>C20-C21</f>
        <v>41306324.120000005</v>
      </c>
      <c r="D22" s="1">
        <f>D20-D21</f>
        <v>16615411.860000014</v>
      </c>
      <c r="E22" s="1">
        <f>E20-E21</f>
        <v>20698734.459999979</v>
      </c>
      <c r="F22" s="1">
        <v>6091392.2199999997</v>
      </c>
      <c r="G22" s="1">
        <v>14404648.25999999</v>
      </c>
      <c r="H22" s="1">
        <v>-13357117.979999989</v>
      </c>
      <c r="I22" s="1">
        <v>14916899.210000008</v>
      </c>
      <c r="J22" s="1">
        <v>17334256.259999961</v>
      </c>
      <c r="K22" s="1">
        <v>10771650.919999957</v>
      </c>
      <c r="L22" s="1">
        <v>4473592.7300000191</v>
      </c>
      <c r="M22" s="1">
        <v>14995893.769999996</v>
      </c>
      <c r="N22" s="1">
        <v>10085189.210000008</v>
      </c>
    </row>
    <row r="23" spans="1:20" x14ac:dyDescent="0.2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6" spans="1:20" x14ac:dyDescent="0.2">
      <c r="A26" s="97"/>
      <c r="B26" s="97"/>
    </row>
    <row r="27" spans="1:20" x14ac:dyDescent="0.2">
      <c r="A27" s="97"/>
      <c r="B27" s="97"/>
    </row>
    <row r="29" spans="1:20" x14ac:dyDescent="0.2">
      <c r="A29" s="100"/>
      <c r="B29" s="100"/>
    </row>
    <row r="30" spans="1:20" x14ac:dyDescent="0.2">
      <c r="A30" s="100"/>
      <c r="B30" s="100"/>
    </row>
    <row r="31" spans="1:20" x14ac:dyDescent="0.2">
      <c r="A31" s="100"/>
      <c r="B31" s="100"/>
    </row>
  </sheetData>
  <pageMargins left="0.7" right="0.7" top="0.75" bottom="0.75" header="0.3" footer="0.3"/>
  <pageSetup paperSize="9" orientation="portrait" r:id="rId1"/>
  <ignoredErrors>
    <ignoredError sqref="B10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M36"/>
  <sheetViews>
    <sheetView topLeftCell="E10" workbookViewId="0">
      <selection activeCell="K18" sqref="K18"/>
    </sheetView>
  </sheetViews>
  <sheetFormatPr baseColWidth="10" defaultColWidth="9.140625" defaultRowHeight="12.75" x14ac:dyDescent="0.2"/>
  <cols>
    <col min="7" max="7" width="8.28515625" customWidth="1"/>
    <col min="11" max="11" width="12.42578125" bestFit="1" customWidth="1"/>
    <col min="12" max="12" width="10.7109375" bestFit="1" customWidth="1"/>
  </cols>
  <sheetData>
    <row r="1" spans="1:13" x14ac:dyDescent="0.2">
      <c r="C1" s="25" t="s">
        <v>97</v>
      </c>
      <c r="F1" s="25" t="s">
        <v>99</v>
      </c>
      <c r="I1" s="25" t="s">
        <v>100</v>
      </c>
      <c r="L1" s="25" t="s">
        <v>101</v>
      </c>
    </row>
    <row r="2" spans="1:13" x14ac:dyDescent="0.2">
      <c r="B2" t="s">
        <v>8</v>
      </c>
      <c r="C2" t="s">
        <v>10</v>
      </c>
      <c r="D2" t="s">
        <v>98</v>
      </c>
      <c r="E2" t="s">
        <v>8</v>
      </c>
      <c r="F2" t="s">
        <v>10</v>
      </c>
      <c r="G2" t="s">
        <v>98</v>
      </c>
      <c r="H2" t="s">
        <v>8</v>
      </c>
      <c r="I2" t="s">
        <v>10</v>
      </c>
      <c r="J2" t="s">
        <v>98</v>
      </c>
      <c r="K2" t="s">
        <v>8</v>
      </c>
      <c r="L2" t="s">
        <v>10</v>
      </c>
      <c r="M2" t="s">
        <v>98</v>
      </c>
    </row>
    <row r="3" spans="1:13" x14ac:dyDescent="0.2">
      <c r="A3" s="67">
        <v>2007</v>
      </c>
      <c r="B3" s="2">
        <v>0.51619999999999999</v>
      </c>
      <c r="C3" s="2">
        <v>0.1643</v>
      </c>
      <c r="D3" s="2">
        <v>0.1552</v>
      </c>
      <c r="E3" s="2">
        <v>0.65100000000000002</v>
      </c>
      <c r="F3" s="2">
        <v>0.3009</v>
      </c>
      <c r="G3" s="2">
        <v>0.25979999999999998</v>
      </c>
      <c r="H3" s="2">
        <v>0.72289999999999999</v>
      </c>
      <c r="I3" s="2">
        <v>0.41049999999999998</v>
      </c>
      <c r="J3" s="2">
        <v>0.38779999999999998</v>
      </c>
      <c r="K3" s="2"/>
      <c r="L3" s="2"/>
      <c r="M3" s="2"/>
    </row>
    <row r="4" spans="1:13" x14ac:dyDescent="0.2">
      <c r="A4" s="67">
        <v>2008</v>
      </c>
      <c r="B4" s="2">
        <v>0.4103</v>
      </c>
      <c r="C4" s="2">
        <v>0.1215</v>
      </c>
      <c r="D4" s="2">
        <v>0.13389999999999999</v>
      </c>
      <c r="E4" s="2">
        <v>0.53769999999999996</v>
      </c>
      <c r="F4" s="2">
        <v>0.28539999999999999</v>
      </c>
      <c r="G4" s="2">
        <v>0.25850000000000001</v>
      </c>
      <c r="H4" s="2">
        <v>0.70630000000000004</v>
      </c>
      <c r="I4" s="2">
        <v>0.41570000000000001</v>
      </c>
      <c r="J4" s="2">
        <v>0.41349999999999998</v>
      </c>
      <c r="K4" s="2"/>
      <c r="L4" s="2"/>
      <c r="M4" s="2"/>
    </row>
    <row r="5" spans="1:13" x14ac:dyDescent="0.2">
      <c r="A5" s="67">
        <v>2009</v>
      </c>
      <c r="B5" s="2">
        <v>0.4163</v>
      </c>
      <c r="C5" s="2">
        <v>0.1215</v>
      </c>
      <c r="D5" s="2">
        <v>0.129</v>
      </c>
      <c r="E5" s="2">
        <v>0.57189999999999996</v>
      </c>
      <c r="F5" s="2">
        <v>0.27629999999999999</v>
      </c>
      <c r="G5" s="2">
        <v>0.25750000000000001</v>
      </c>
      <c r="H5" s="2">
        <v>0.67700000000000005</v>
      </c>
      <c r="I5" s="2">
        <v>0.36030000000000001</v>
      </c>
      <c r="J5" s="2">
        <v>0.43159999999999998</v>
      </c>
      <c r="K5" s="2"/>
      <c r="L5" s="2"/>
      <c r="M5" s="2"/>
    </row>
    <row r="6" spans="1:13" x14ac:dyDescent="0.2">
      <c r="A6" s="67">
        <v>2010</v>
      </c>
      <c r="B6" s="2">
        <v>0.51580000000000004</v>
      </c>
      <c r="C6" s="2">
        <v>0.12989999999999999</v>
      </c>
      <c r="D6" s="2">
        <v>0.1106</v>
      </c>
      <c r="E6" s="2">
        <v>0.61909999999999998</v>
      </c>
      <c r="F6" s="2">
        <v>0.2838</v>
      </c>
      <c r="G6" s="2">
        <v>0.31569999999999998</v>
      </c>
      <c r="H6" s="2">
        <v>0.71299999999999997</v>
      </c>
      <c r="I6" s="2">
        <v>0.37919999999999998</v>
      </c>
      <c r="J6" s="2">
        <v>0.42509999999999998</v>
      </c>
      <c r="K6" s="2"/>
      <c r="L6" s="2"/>
      <c r="M6" s="2"/>
    </row>
    <row r="7" spans="1:13" x14ac:dyDescent="0.2">
      <c r="A7" s="67">
        <v>2011</v>
      </c>
      <c r="B7" s="2">
        <v>0.47789999999999999</v>
      </c>
      <c r="C7" s="2">
        <v>0.1462</v>
      </c>
      <c r="D7" s="2">
        <v>0.13020000000000001</v>
      </c>
      <c r="E7" s="2">
        <v>0.64159999999999995</v>
      </c>
      <c r="F7" s="2">
        <v>0.31419999999999998</v>
      </c>
      <c r="G7" s="2">
        <v>0.25530000000000003</v>
      </c>
      <c r="H7" s="2">
        <v>0.73860000000000003</v>
      </c>
      <c r="I7" s="2">
        <v>0.44550000000000001</v>
      </c>
      <c r="J7" s="2">
        <v>0.3836</v>
      </c>
      <c r="K7" s="2"/>
      <c r="L7" s="2"/>
      <c r="M7" s="2"/>
    </row>
    <row r="8" spans="1:13" x14ac:dyDescent="0.2">
      <c r="A8" s="67">
        <v>2012</v>
      </c>
      <c r="B8" s="2">
        <v>0.35349999999999998</v>
      </c>
      <c r="C8" s="2">
        <v>0.1135</v>
      </c>
      <c r="D8" s="2">
        <v>0.2072</v>
      </c>
      <c r="E8" s="2">
        <v>0.51929999999999998</v>
      </c>
      <c r="F8" s="2">
        <v>0.30099999999999999</v>
      </c>
      <c r="G8" s="2">
        <v>0.34449999999999997</v>
      </c>
      <c r="H8" s="2">
        <v>0.62090000000000001</v>
      </c>
      <c r="I8" s="2">
        <v>0.40849999999999997</v>
      </c>
      <c r="J8" s="2">
        <v>0.47710000000000002</v>
      </c>
      <c r="K8" s="2"/>
      <c r="L8" s="2"/>
      <c r="M8" s="2"/>
    </row>
    <row r="9" spans="1:13" x14ac:dyDescent="0.2">
      <c r="A9" s="67">
        <v>2013</v>
      </c>
      <c r="B9" s="2">
        <v>0.27400000000000002</v>
      </c>
      <c r="C9" s="2">
        <v>0.1019</v>
      </c>
      <c r="D9" s="2">
        <v>0.14849999999999999</v>
      </c>
      <c r="E9" s="2">
        <v>0.38340000000000002</v>
      </c>
      <c r="F9" s="2">
        <v>0.22639999999999999</v>
      </c>
      <c r="G9" s="2">
        <v>0.3049</v>
      </c>
      <c r="H9" s="2">
        <v>0.57630000000000003</v>
      </c>
      <c r="I9" s="2">
        <v>0.40260000000000001</v>
      </c>
      <c r="J9" s="2">
        <v>0.46450000000000002</v>
      </c>
      <c r="K9" s="2"/>
      <c r="L9" s="2"/>
      <c r="M9" s="2"/>
    </row>
    <row r="10" spans="1:13" x14ac:dyDescent="0.2">
      <c r="A10">
        <v>2014</v>
      </c>
      <c r="B10" s="2">
        <v>0.32200000000000001</v>
      </c>
      <c r="C10" s="2">
        <v>0.10440000000000001</v>
      </c>
      <c r="D10" s="2">
        <v>0.14449999999999999</v>
      </c>
      <c r="E10" s="2">
        <v>0.43540000000000001</v>
      </c>
      <c r="F10" s="2">
        <v>0.24929999999999999</v>
      </c>
      <c r="G10" s="2">
        <v>0.27910000000000001</v>
      </c>
      <c r="H10" s="2">
        <v>0.60760000000000003</v>
      </c>
      <c r="I10" s="2">
        <v>0.3639</v>
      </c>
      <c r="J10" s="2">
        <v>0.42680000000000001</v>
      </c>
      <c r="K10" s="2"/>
      <c r="L10" s="2"/>
      <c r="M10" s="2"/>
    </row>
    <row r="11" spans="1:13" x14ac:dyDescent="0.2">
      <c r="A11">
        <v>2015</v>
      </c>
      <c r="B11" s="2">
        <v>0.34129999999999999</v>
      </c>
      <c r="C11" s="2">
        <v>0.1113</v>
      </c>
      <c r="D11" s="2">
        <v>0.12809999999999999</v>
      </c>
      <c r="E11" s="2">
        <v>0.50850000000000006</v>
      </c>
      <c r="F11" s="2">
        <v>0.2429</v>
      </c>
      <c r="G11" s="2">
        <v>0.21690000000000001</v>
      </c>
      <c r="H11" s="2">
        <v>0.62009999999999998</v>
      </c>
      <c r="I11" s="2">
        <v>0.38819999999999999</v>
      </c>
      <c r="J11" s="2">
        <v>0.38909999999999995</v>
      </c>
    </row>
    <row r="12" spans="1:13" x14ac:dyDescent="0.2">
      <c r="A12">
        <v>2016</v>
      </c>
      <c r="B12" s="2">
        <v>0.34339999999999998</v>
      </c>
      <c r="C12" s="2">
        <v>0.1208</v>
      </c>
      <c r="D12" s="2">
        <v>0.161</v>
      </c>
      <c r="E12" s="2">
        <v>0.45400000000000001</v>
      </c>
      <c r="F12" s="2">
        <v>0.24249999999999999</v>
      </c>
      <c r="G12" s="2">
        <v>0.24310000000000001</v>
      </c>
      <c r="H12" s="2">
        <v>0.62512735466510172</v>
      </c>
      <c r="I12" s="2">
        <v>0.41064534666561747</v>
      </c>
      <c r="J12" s="2">
        <v>0.35876317138333674</v>
      </c>
    </row>
    <row r="13" spans="1:13" x14ac:dyDescent="0.2">
      <c r="A13">
        <v>2017</v>
      </c>
      <c r="B13" s="2">
        <v>0.39517330038863474</v>
      </c>
      <c r="C13" s="2">
        <v>0.19696500182028451</v>
      </c>
      <c r="D13" s="2">
        <v>0.12437951134655878</v>
      </c>
      <c r="E13" s="2">
        <v>0.48328585572219462</v>
      </c>
      <c r="F13" s="2">
        <v>0.33242481837150534</v>
      </c>
      <c r="G13" s="2">
        <v>0.23821803557665586</v>
      </c>
      <c r="H13" s="2">
        <v>0.62231479141684631</v>
      </c>
      <c r="I13" s="2">
        <v>0.42168601164612574</v>
      </c>
      <c r="J13" s="2">
        <v>0.37791398576923479</v>
      </c>
    </row>
    <row r="14" spans="1:13" x14ac:dyDescent="0.2">
      <c r="A14">
        <v>2018</v>
      </c>
      <c r="B14" s="2">
        <v>0.40692284565516967</v>
      </c>
      <c r="C14" s="2">
        <v>0.12198576837105285</v>
      </c>
      <c r="D14" s="2">
        <v>0.11149575782339316</v>
      </c>
      <c r="E14" s="2">
        <v>0.55874316060234619</v>
      </c>
      <c r="F14" s="2">
        <v>0.25602113208082916</v>
      </c>
      <c r="G14" s="2">
        <v>0.22392942557242876</v>
      </c>
      <c r="H14" s="2">
        <v>0.66243114998501229</v>
      </c>
      <c r="I14" s="2">
        <v>0.33406071529152648</v>
      </c>
      <c r="J14" s="2">
        <v>0.35289330165778887</v>
      </c>
    </row>
    <row r="15" spans="1:13" x14ac:dyDescent="0.2">
      <c r="A15">
        <v>2019</v>
      </c>
      <c r="B15" s="2">
        <v>0.40564183188782699</v>
      </c>
      <c r="C15" s="2">
        <v>0.12989774023568892</v>
      </c>
      <c r="D15" s="2">
        <v>0.12188206068069649</v>
      </c>
      <c r="E15" s="59">
        <v>0.50660000000000005</v>
      </c>
      <c r="F15" s="59">
        <v>0.2515</v>
      </c>
      <c r="G15" s="59">
        <v>0.21809999999999999</v>
      </c>
      <c r="H15" s="59">
        <v>0.59370000000000001</v>
      </c>
      <c r="I15" s="59">
        <v>0.33650000000000002</v>
      </c>
      <c r="J15" s="59">
        <v>0.32429999999999998</v>
      </c>
    </row>
    <row r="16" spans="1:13" x14ac:dyDescent="0.2">
      <c r="A16">
        <v>2020</v>
      </c>
      <c r="B16" s="2">
        <v>0.36647859815265965</v>
      </c>
      <c r="C16" s="2">
        <v>9.0587541799626164E-2</v>
      </c>
      <c r="D16" s="2">
        <v>0.12421450745944236</v>
      </c>
      <c r="E16" s="2">
        <v>0.46768003367225186</v>
      </c>
      <c r="F16" s="2">
        <v>0.21408752344022461</v>
      </c>
      <c r="G16" s="2">
        <v>0.23452613146051912</v>
      </c>
      <c r="H16" s="2">
        <v>0.51007608230314849</v>
      </c>
      <c r="I16" s="2">
        <v>0.31069433298655058</v>
      </c>
      <c r="J16" s="2">
        <v>0.34214824949058281</v>
      </c>
    </row>
    <row r="17" spans="1:10" x14ac:dyDescent="0.2">
      <c r="A17">
        <v>2021</v>
      </c>
      <c r="B17" s="2">
        <v>0.51319429270797123</v>
      </c>
      <c r="C17" s="2">
        <v>0.10448601817810367</v>
      </c>
      <c r="D17" s="2">
        <v>0.12846799990346702</v>
      </c>
      <c r="E17" s="2">
        <v>0.55906199213598473</v>
      </c>
      <c r="F17" s="2">
        <v>0.25709970892511619</v>
      </c>
      <c r="G17" s="2">
        <v>0.2366076166132626</v>
      </c>
      <c r="H17" s="2">
        <v>0.60986182951106427</v>
      </c>
      <c r="I17" s="2">
        <v>0.35744800081869493</v>
      </c>
      <c r="J17" s="2">
        <v>0.352904583539775</v>
      </c>
    </row>
    <row r="18" spans="1:10" x14ac:dyDescent="0.2">
      <c r="A18">
        <v>2022</v>
      </c>
      <c r="B18" s="2">
        <v>0.51034684541004682</v>
      </c>
      <c r="C18" s="2">
        <v>9.7866151914800165E-2</v>
      </c>
      <c r="D18" s="2">
        <v>0.11612158014473699</v>
      </c>
      <c r="E18" s="2">
        <v>0.53970535608210568</v>
      </c>
      <c r="F18" s="2">
        <v>0.23358447715933997</v>
      </c>
      <c r="G18" s="2">
        <v>0.25863549573768158</v>
      </c>
      <c r="H18" s="2">
        <v>0.63021685151070417</v>
      </c>
      <c r="I18" s="2">
        <v>0.32794664566754184</v>
      </c>
      <c r="J18" s="2">
        <v>0.39711958972096872</v>
      </c>
    </row>
    <row r="19" spans="1:10" x14ac:dyDescent="0.2">
      <c r="A19">
        <v>2023</v>
      </c>
      <c r="B19" s="2">
        <v>0.53759999999999997</v>
      </c>
      <c r="C19" s="2">
        <v>0.23269999999999999</v>
      </c>
      <c r="D19" s="2">
        <v>0.2576</v>
      </c>
      <c r="E19" s="2">
        <v>0.55189999999999995</v>
      </c>
      <c r="F19" s="2">
        <v>0.24610000000000001</v>
      </c>
      <c r="G19" s="2">
        <v>0.25719999999999998</v>
      </c>
      <c r="H19" s="2">
        <v>0.62278069295595495</v>
      </c>
      <c r="I19" s="2">
        <v>0.33860652217735415</v>
      </c>
      <c r="J19" s="2">
        <v>0.38841993280018594</v>
      </c>
    </row>
    <row r="20" spans="1:10" x14ac:dyDescent="0.2">
      <c r="A20">
        <v>2024</v>
      </c>
      <c r="B20" s="2">
        <v>0.41670000000000001</v>
      </c>
      <c r="C20" s="2">
        <v>9.2100000000000001E-2</v>
      </c>
      <c r="D20" s="2">
        <v>0.1341</v>
      </c>
      <c r="E20" s="59">
        <v>0.41420000000000001</v>
      </c>
      <c r="F20" s="59">
        <v>0.1661</v>
      </c>
      <c r="G20" s="59">
        <v>0.1623</v>
      </c>
      <c r="H20" s="2">
        <v>0.62560000000000004</v>
      </c>
      <c r="I20" s="2">
        <v>0.32579999999999998</v>
      </c>
      <c r="J20" s="2">
        <v>0.44520000000000004</v>
      </c>
    </row>
    <row r="21" spans="1:10" x14ac:dyDescent="0.2">
      <c r="A21">
        <v>2025</v>
      </c>
      <c r="B21" s="2">
        <v>0.45288436570743568</v>
      </c>
      <c r="C21" s="2">
        <v>0.13253829924741081</v>
      </c>
      <c r="D21" s="2">
        <v>0.20023492587787542</v>
      </c>
      <c r="E21" s="158">
        <f>DESPCAPITOL!K51</f>
        <v>0.50962870406112559</v>
      </c>
      <c r="F21" s="158">
        <f>DESPCAPITOL!M51</f>
        <v>0.20976020171995138</v>
      </c>
      <c r="G21" s="158">
        <f>INGRCAPITOL!G51</f>
        <v>0.21213399406422501</v>
      </c>
    </row>
    <row r="22" spans="1:10" x14ac:dyDescent="0.2">
      <c r="E22" s="59"/>
      <c r="F22" s="59"/>
      <c r="G22" s="59"/>
    </row>
    <row r="23" spans="1:10" x14ac:dyDescent="0.2">
      <c r="E23" s="59"/>
      <c r="F23" s="59"/>
      <c r="G23" s="59"/>
    </row>
    <row r="24" spans="1:10" x14ac:dyDescent="0.2">
      <c r="E24" s="59"/>
      <c r="F24" s="59"/>
      <c r="G24" s="59"/>
    </row>
    <row r="25" spans="1:10" x14ac:dyDescent="0.2">
      <c r="A25" s="67"/>
      <c r="B25" t="s">
        <v>105</v>
      </c>
    </row>
    <row r="33" spans="1:3" x14ac:dyDescent="0.2">
      <c r="A33" t="s">
        <v>102</v>
      </c>
      <c r="B33" t="s">
        <v>103</v>
      </c>
      <c r="C33" t="s">
        <v>104</v>
      </c>
    </row>
    <row r="34" spans="1:3" x14ac:dyDescent="0.2">
      <c r="A34" t="str">
        <f>[1]DESPCAPITOL!B11</f>
        <v>Corporació</v>
      </c>
      <c r="B34" s="2">
        <f>+INGRCAPITOL!G11</f>
        <v>0.22621879134596928</v>
      </c>
      <c r="C34" s="2">
        <f>+DESPCAPITOL!M11</f>
        <v>0.19800002212689036</v>
      </c>
    </row>
    <row r="35" spans="1:3" x14ac:dyDescent="0.2">
      <c r="A35" t="str">
        <f>[1]DESPCAPITOL!B21</f>
        <v>Turisme</v>
      </c>
      <c r="B35" s="2">
        <f>+INGRCAPITOL!G21</f>
        <v>7.5829104725495616E-2</v>
      </c>
      <c r="C35" s="2">
        <f>+DESPCAPITOL!M21</f>
        <v>0.23011781796456299</v>
      </c>
    </row>
    <row r="36" spans="1:3" x14ac:dyDescent="0.2">
      <c r="A36" t="str">
        <f>[1]DESPCAPITOL!B31</f>
        <v>BASE</v>
      </c>
      <c r="B36" s="2">
        <f>+INGRCAPITOL!G31</f>
        <v>1.2571838946017931E-2</v>
      </c>
      <c r="C36" s="2">
        <f>+DESPCAPITOL!M31</f>
        <v>0.32007562911148069</v>
      </c>
    </row>
  </sheetData>
  <phoneticPr fontId="0" type="noConversion"/>
  <pageMargins left="0.75" right="0.75" top="1" bottom="1" header="0" footer="0"/>
  <pageSetup paperSize="9" orientation="portrait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I34"/>
  <sheetViews>
    <sheetView zoomScale="85" zoomScaleNormal="85" workbookViewId="0">
      <selection activeCell="J41" sqref="J41"/>
    </sheetView>
  </sheetViews>
  <sheetFormatPr baseColWidth="10" defaultColWidth="9.140625" defaultRowHeight="12.75" x14ac:dyDescent="0.2"/>
  <cols>
    <col min="1" max="2" width="9.140625" customWidth="1"/>
    <col min="3" max="3" width="14.140625" bestFit="1" customWidth="1"/>
    <col min="4" max="4" width="13.5703125" customWidth="1"/>
    <col min="5" max="5" width="13.140625" bestFit="1" customWidth="1"/>
    <col min="6" max="6" width="12" bestFit="1" customWidth="1"/>
    <col min="7" max="7" width="14.140625" bestFit="1" customWidth="1"/>
  </cols>
  <sheetData>
    <row r="1" spans="1:9" ht="13.5" thickBot="1" x14ac:dyDescent="0.25">
      <c r="A1" s="85"/>
      <c r="B1" s="86"/>
      <c r="C1" s="87"/>
      <c r="D1" s="87" t="s">
        <v>39</v>
      </c>
      <c r="E1" s="87"/>
      <c r="F1" s="87"/>
      <c r="G1" s="88"/>
    </row>
    <row r="2" spans="1:9" ht="13.5" thickBot="1" x14ac:dyDescent="0.25">
      <c r="A2" s="89"/>
      <c r="B2" s="90"/>
      <c r="C2" s="27" t="s">
        <v>15</v>
      </c>
      <c r="D2" s="27" t="s">
        <v>32</v>
      </c>
      <c r="E2" s="27" t="s">
        <v>31</v>
      </c>
      <c r="F2" s="27" t="s">
        <v>153</v>
      </c>
      <c r="G2" s="27" t="s">
        <v>154</v>
      </c>
    </row>
    <row r="3" spans="1:9" ht="13.5" thickBot="1" x14ac:dyDescent="0.25">
      <c r="A3" s="91"/>
      <c r="B3" s="92" t="s">
        <v>155</v>
      </c>
      <c r="C3" s="149">
        <v>19762331.240000002</v>
      </c>
      <c r="D3" s="149">
        <v>0</v>
      </c>
      <c r="E3" s="149">
        <v>0</v>
      </c>
      <c r="F3" s="149">
        <v>0</v>
      </c>
      <c r="G3" s="28">
        <f>C3+D3+E3-F3</f>
        <v>19762331.240000002</v>
      </c>
    </row>
    <row r="4" spans="1:9" ht="13.5" thickBot="1" x14ac:dyDescent="0.25">
      <c r="A4" s="91"/>
      <c r="B4" s="92" t="s">
        <v>156</v>
      </c>
      <c r="C4" s="149">
        <v>14404862.059999999</v>
      </c>
      <c r="D4" s="149">
        <v>0</v>
      </c>
      <c r="E4" s="149">
        <v>0</v>
      </c>
      <c r="F4" s="149">
        <v>0</v>
      </c>
      <c r="G4" s="28">
        <f t="shared" ref="G4:G13" si="0">C4+D4+E4-F4</f>
        <v>14404862.059999999</v>
      </c>
    </row>
    <row r="5" spans="1:9" ht="13.5" thickBot="1" x14ac:dyDescent="0.25">
      <c r="A5" s="91"/>
      <c r="B5" s="92" t="s">
        <v>157</v>
      </c>
      <c r="C5" s="149">
        <v>2296220.08</v>
      </c>
      <c r="D5" s="149">
        <v>17839300</v>
      </c>
      <c r="E5" s="149">
        <v>269294.75</v>
      </c>
      <c r="F5" s="149">
        <v>0</v>
      </c>
      <c r="G5" s="28">
        <f t="shared" si="0"/>
        <v>20404814.829999998</v>
      </c>
    </row>
    <row r="6" spans="1:9" ht="13.5" thickBot="1" x14ac:dyDescent="0.25">
      <c r="A6" s="91"/>
      <c r="B6" s="92" t="s">
        <v>158</v>
      </c>
      <c r="C6" s="149">
        <v>131708869.84</v>
      </c>
      <c r="D6" s="149">
        <v>80000</v>
      </c>
      <c r="E6" s="149">
        <v>9354222.1500000004</v>
      </c>
      <c r="F6" s="149">
        <v>6930000</v>
      </c>
      <c r="G6" s="28">
        <f t="shared" si="0"/>
        <v>134213091.99000001</v>
      </c>
    </row>
    <row r="7" spans="1:9" ht="13.5" thickBot="1" x14ac:dyDescent="0.25">
      <c r="A7" s="91"/>
      <c r="B7" s="92" t="s">
        <v>159</v>
      </c>
      <c r="C7" s="149">
        <v>7057599.96</v>
      </c>
      <c r="D7" s="149">
        <v>650700</v>
      </c>
      <c r="E7" s="149">
        <v>69116.06</v>
      </c>
      <c r="F7" s="149">
        <v>0</v>
      </c>
      <c r="G7" s="28">
        <f t="shared" si="0"/>
        <v>7777416.0199999996</v>
      </c>
    </row>
    <row r="8" spans="1:9" ht="13.5" thickBot="1" x14ac:dyDescent="0.25">
      <c r="A8" s="93" t="s">
        <v>160</v>
      </c>
      <c r="B8" s="94"/>
      <c r="C8" s="29">
        <f>SUM(C3:C7)</f>
        <v>175229883.18000001</v>
      </c>
      <c r="D8" s="29">
        <f>SUM(D3:D7)</f>
        <v>18570000</v>
      </c>
      <c r="E8" s="29">
        <f>SUM(E3:E7)</f>
        <v>9692632.9600000009</v>
      </c>
      <c r="F8" s="29">
        <f>SUM(F3:F7)</f>
        <v>6930000</v>
      </c>
      <c r="G8" s="29">
        <f>SUM(G3:G7)</f>
        <v>196562516.14000002</v>
      </c>
    </row>
    <row r="9" spans="1:9" ht="13.5" thickBot="1" x14ac:dyDescent="0.25">
      <c r="A9" s="91"/>
      <c r="B9" s="92" t="s">
        <v>161</v>
      </c>
      <c r="C9" s="149">
        <v>3304</v>
      </c>
      <c r="D9" s="149">
        <v>0</v>
      </c>
      <c r="E9" s="149">
        <v>0</v>
      </c>
      <c r="F9" s="149">
        <v>0</v>
      </c>
      <c r="G9" s="28">
        <f t="shared" si="0"/>
        <v>3304</v>
      </c>
      <c r="I9" s="122" t="s">
        <v>294</v>
      </c>
    </row>
    <row r="10" spans="1:9" ht="13.5" thickBot="1" x14ac:dyDescent="0.25">
      <c r="A10" s="91"/>
      <c r="B10" s="92" t="s">
        <v>162</v>
      </c>
      <c r="C10" s="149">
        <v>4195970.03</v>
      </c>
      <c r="D10" s="149">
        <v>0</v>
      </c>
      <c r="E10" s="149">
        <v>0</v>
      </c>
      <c r="F10" s="149">
        <v>0</v>
      </c>
      <c r="G10" s="28">
        <f t="shared" si="0"/>
        <v>4195970.03</v>
      </c>
      <c r="I10" s="122" t="s">
        <v>295</v>
      </c>
    </row>
    <row r="11" spans="1:9" ht="13.5" thickBot="1" x14ac:dyDescent="0.25">
      <c r="A11" s="93" t="s">
        <v>163</v>
      </c>
      <c r="B11" s="94"/>
      <c r="C11" s="29">
        <f>SUM(C8:C10)</f>
        <v>179429157.21000001</v>
      </c>
      <c r="D11" s="29">
        <f>SUM(D8:D10)</f>
        <v>18570000</v>
      </c>
      <c r="E11" s="29">
        <f>SUM(E8:E10)</f>
        <v>9692632.9600000009</v>
      </c>
      <c r="F11" s="29">
        <f>SUM(F8:F10)</f>
        <v>6930000</v>
      </c>
      <c r="G11" s="29">
        <f>SUM(G8:G10)</f>
        <v>200761790.17000002</v>
      </c>
      <c r="I11" s="122" t="s">
        <v>296</v>
      </c>
    </row>
    <row r="12" spans="1:9" ht="13.5" thickBot="1" x14ac:dyDescent="0.25">
      <c r="A12" s="91"/>
      <c r="B12" s="92" t="s">
        <v>164</v>
      </c>
      <c r="C12" s="149">
        <v>600000</v>
      </c>
      <c r="D12" s="149">
        <v>0</v>
      </c>
      <c r="E12" s="149">
        <v>0</v>
      </c>
      <c r="F12" s="149">
        <v>0</v>
      </c>
      <c r="G12" s="28">
        <f t="shared" si="0"/>
        <v>600000</v>
      </c>
    </row>
    <row r="13" spans="1:9" ht="13.5" thickBot="1" x14ac:dyDescent="0.25">
      <c r="A13" s="91"/>
      <c r="B13" s="92" t="s">
        <v>165</v>
      </c>
      <c r="C13" s="149">
        <v>0</v>
      </c>
      <c r="D13" s="149">
        <v>0</v>
      </c>
      <c r="E13" s="149">
        <v>0</v>
      </c>
      <c r="F13" s="149">
        <v>0</v>
      </c>
      <c r="G13" s="28">
        <f t="shared" si="0"/>
        <v>0</v>
      </c>
    </row>
    <row r="14" spans="1:9" ht="13.5" thickBot="1" x14ac:dyDescent="0.25">
      <c r="A14" s="93" t="s">
        <v>166</v>
      </c>
      <c r="B14" s="94"/>
      <c r="C14" s="29">
        <f>SUM(C12:C13)</f>
        <v>600000</v>
      </c>
      <c r="D14" s="29">
        <f>SUM(D12:D13)</f>
        <v>0</v>
      </c>
      <c r="E14" s="29">
        <f>SUM(E12:E13)</f>
        <v>0</v>
      </c>
      <c r="F14" s="29">
        <f>SUM(F12:F13)</f>
        <v>0</v>
      </c>
      <c r="G14" s="29">
        <f>SUM(G12:G13)</f>
        <v>600000</v>
      </c>
    </row>
    <row r="15" spans="1:9" ht="13.5" thickBot="1" x14ac:dyDescent="0.25">
      <c r="A15" s="95"/>
      <c r="B15" s="30" t="s">
        <v>119</v>
      </c>
      <c r="C15" s="31">
        <f>C11+C14</f>
        <v>180029157.21000001</v>
      </c>
      <c r="D15" s="31">
        <f>D11+D14</f>
        <v>18570000</v>
      </c>
      <c r="E15" s="31">
        <f>E11+E14</f>
        <v>9692632.9600000009</v>
      </c>
      <c r="F15" s="31">
        <f>F11+F14</f>
        <v>6930000</v>
      </c>
      <c r="G15" s="31">
        <f>G11+G14</f>
        <v>201361790.17000002</v>
      </c>
    </row>
    <row r="16" spans="1:9" ht="13.5" thickBot="1" x14ac:dyDescent="0.25">
      <c r="A16" s="85"/>
      <c r="B16" s="86"/>
      <c r="C16" s="87"/>
      <c r="D16" s="87" t="s">
        <v>167</v>
      </c>
      <c r="E16" s="87"/>
      <c r="F16" s="87"/>
      <c r="G16" s="88"/>
    </row>
    <row r="17" spans="1:9" ht="13.5" thickBot="1" x14ac:dyDescent="0.25">
      <c r="A17" s="89"/>
      <c r="B17" s="90"/>
      <c r="C17" s="27" t="s">
        <v>15</v>
      </c>
      <c r="D17" s="27" t="s">
        <v>32</v>
      </c>
      <c r="E17" s="27" t="s">
        <v>31</v>
      </c>
      <c r="F17" s="27" t="s">
        <v>153</v>
      </c>
      <c r="G17" s="27" t="s">
        <v>154</v>
      </c>
    </row>
    <row r="18" spans="1:9" ht="13.5" thickBot="1" x14ac:dyDescent="0.25">
      <c r="A18" s="91"/>
      <c r="B18" s="92" t="s">
        <v>155</v>
      </c>
      <c r="C18" s="149">
        <v>60052256.25</v>
      </c>
      <c r="D18" s="149">
        <v>9878006.4199999999</v>
      </c>
      <c r="E18" s="149">
        <v>1440585.33</v>
      </c>
      <c r="F18" s="149">
        <v>0</v>
      </c>
      <c r="G18" s="28">
        <f>C18+D18+E18-F18</f>
        <v>71370848</v>
      </c>
    </row>
    <row r="19" spans="1:9" ht="13.5" thickBot="1" x14ac:dyDescent="0.25">
      <c r="A19" s="91"/>
      <c r="B19" s="92" t="s">
        <v>156</v>
      </c>
      <c r="C19" s="149">
        <v>19681682.359999999</v>
      </c>
      <c r="D19" s="149">
        <v>5482093.0099999998</v>
      </c>
      <c r="E19" s="149">
        <v>4996896.91</v>
      </c>
      <c r="F19" s="149">
        <v>0</v>
      </c>
      <c r="G19" s="28">
        <f>C19+D19+E19-F19</f>
        <v>30160672.279999997</v>
      </c>
    </row>
    <row r="20" spans="1:9" ht="13.5" thickBot="1" x14ac:dyDescent="0.25">
      <c r="A20" s="91"/>
      <c r="B20" s="92" t="s">
        <v>157</v>
      </c>
      <c r="C20" s="149">
        <v>28811.91</v>
      </c>
      <c r="D20" s="149">
        <v>437333.79</v>
      </c>
      <c r="E20" s="149">
        <v>195.4</v>
      </c>
      <c r="F20" s="149">
        <v>0</v>
      </c>
      <c r="G20" s="28">
        <f t="shared" ref="G20:G28" si="1">C20+D20+E20-F20</f>
        <v>466341.1</v>
      </c>
    </row>
    <row r="21" spans="1:9" ht="13.5" thickBot="1" x14ac:dyDescent="0.25">
      <c r="A21" s="91"/>
      <c r="B21" s="92" t="s">
        <v>158</v>
      </c>
      <c r="C21" s="149">
        <v>52844952</v>
      </c>
      <c r="D21" s="149">
        <v>0</v>
      </c>
      <c r="E21" s="149">
        <v>2412216.2200000002</v>
      </c>
      <c r="F21" s="149">
        <v>6930000</v>
      </c>
      <c r="G21" s="28">
        <f t="shared" si="1"/>
        <v>48327168.219999999</v>
      </c>
    </row>
    <row r="22" spans="1:9" ht="13.5" thickBot="1" x14ac:dyDescent="0.25">
      <c r="A22" s="91"/>
      <c r="B22" s="92" t="s">
        <v>159</v>
      </c>
      <c r="C22" s="149">
        <v>0</v>
      </c>
      <c r="D22" s="149">
        <v>0</v>
      </c>
      <c r="E22" s="149">
        <v>0</v>
      </c>
      <c r="F22" s="149">
        <v>0</v>
      </c>
      <c r="G22" s="28">
        <f t="shared" si="1"/>
        <v>0</v>
      </c>
    </row>
    <row r="23" spans="1:9" ht="13.5" thickBot="1" x14ac:dyDescent="0.25">
      <c r="A23" s="93" t="s">
        <v>160</v>
      </c>
      <c r="B23" s="94"/>
      <c r="C23" s="29">
        <f>SUM(C18:C22)</f>
        <v>132607702.52</v>
      </c>
      <c r="D23" s="29">
        <f>SUM(D18:D22)</f>
        <v>15797433.219999999</v>
      </c>
      <c r="E23" s="29">
        <f>SUM(E18:E22)</f>
        <v>8849893.8600000013</v>
      </c>
      <c r="F23" s="29">
        <f>SUM(F18:F22)</f>
        <v>6930000</v>
      </c>
      <c r="G23" s="29">
        <f>SUM(G18:G22)</f>
        <v>150325029.59999999</v>
      </c>
    </row>
    <row r="24" spans="1:9" ht="13.5" thickBot="1" x14ac:dyDescent="0.25">
      <c r="A24" s="91"/>
      <c r="B24" s="92" t="s">
        <v>161</v>
      </c>
      <c r="C24" s="149">
        <v>21141135</v>
      </c>
      <c r="D24" s="149">
        <v>482641.91999999998</v>
      </c>
      <c r="E24" s="149">
        <v>975.27</v>
      </c>
      <c r="F24" s="149">
        <v>0</v>
      </c>
      <c r="G24" s="28">
        <f t="shared" si="1"/>
        <v>21624752.190000001</v>
      </c>
    </row>
    <row r="25" spans="1:9" ht="13.5" thickBot="1" x14ac:dyDescent="0.25">
      <c r="A25" s="91"/>
      <c r="B25" s="92" t="s">
        <v>162</v>
      </c>
      <c r="C25" s="149">
        <v>31553282</v>
      </c>
      <c r="D25" s="149">
        <v>0</v>
      </c>
      <c r="E25" s="149">
        <v>0</v>
      </c>
      <c r="F25" s="149">
        <v>0</v>
      </c>
      <c r="G25" s="28">
        <f t="shared" si="1"/>
        <v>31553282</v>
      </c>
    </row>
    <row r="26" spans="1:9" ht="13.5" thickBot="1" x14ac:dyDescent="0.25">
      <c r="A26" s="93" t="s">
        <v>163</v>
      </c>
      <c r="B26" s="94"/>
      <c r="C26" s="29">
        <f>SUM(C23:C25)</f>
        <v>185302119.51999998</v>
      </c>
      <c r="D26" s="29">
        <f>SUM(D23:D25)</f>
        <v>16280075.139999999</v>
      </c>
      <c r="E26" s="29">
        <f>SUM(E23:E25)</f>
        <v>8850869.1300000008</v>
      </c>
      <c r="F26" s="29">
        <f>SUM(F23:F25)</f>
        <v>6930000</v>
      </c>
      <c r="G26" s="29">
        <f>SUM(G23:G25)</f>
        <v>203503063.78999999</v>
      </c>
    </row>
    <row r="27" spans="1:9" ht="13.5" thickBot="1" x14ac:dyDescent="0.25">
      <c r="A27" s="91"/>
      <c r="B27" s="92" t="s">
        <v>164</v>
      </c>
      <c r="C27" s="149">
        <v>552200</v>
      </c>
      <c r="D27" s="149">
        <v>0</v>
      </c>
      <c r="E27" s="149">
        <v>0</v>
      </c>
      <c r="F27" s="149">
        <v>0</v>
      </c>
      <c r="G27" s="28">
        <f t="shared" si="1"/>
        <v>552200</v>
      </c>
    </row>
    <row r="28" spans="1:9" ht="13.5" thickBot="1" x14ac:dyDescent="0.25">
      <c r="A28" s="91"/>
      <c r="B28" s="92" t="s">
        <v>165</v>
      </c>
      <c r="C28" s="149">
        <v>0</v>
      </c>
      <c r="D28" s="149">
        <v>0</v>
      </c>
      <c r="E28" s="149">
        <v>0</v>
      </c>
      <c r="F28" s="149">
        <v>0</v>
      </c>
      <c r="G28" s="28">
        <f t="shared" si="1"/>
        <v>0</v>
      </c>
    </row>
    <row r="29" spans="1:9" ht="13.5" thickBot="1" x14ac:dyDescent="0.25">
      <c r="A29" s="93" t="s">
        <v>166</v>
      </c>
      <c r="B29" s="94"/>
      <c r="C29" s="29">
        <f>SUM(C27:C28)</f>
        <v>552200</v>
      </c>
      <c r="D29" s="29">
        <f>SUM(D27:D28)</f>
        <v>0</v>
      </c>
      <c r="E29" s="29">
        <f>SUM(E27:E28)</f>
        <v>0</v>
      </c>
      <c r="F29" s="29">
        <f>SUM(F27:F28)</f>
        <v>0</v>
      </c>
      <c r="G29" s="29">
        <f>SUM(G27:G28)</f>
        <v>552200</v>
      </c>
    </row>
    <row r="30" spans="1:9" ht="13.5" thickBot="1" x14ac:dyDescent="0.25">
      <c r="A30" s="95"/>
      <c r="B30" s="30" t="s">
        <v>119</v>
      </c>
      <c r="C30" s="31">
        <f>C26+C29</f>
        <v>185854319.51999998</v>
      </c>
      <c r="D30" s="31">
        <f>D26+D29</f>
        <v>16280075.139999999</v>
      </c>
      <c r="E30" s="31">
        <f>E26+E29</f>
        <v>8850869.1300000008</v>
      </c>
      <c r="F30" s="31">
        <f>F26+F29</f>
        <v>6930000</v>
      </c>
      <c r="G30" s="31">
        <f>G26+G29</f>
        <v>204055263.78999999</v>
      </c>
    </row>
    <row r="31" spans="1:9" x14ac:dyDescent="0.2">
      <c r="I31" s="122" t="s">
        <v>294</v>
      </c>
    </row>
    <row r="32" spans="1:9" x14ac:dyDescent="0.2">
      <c r="I32" s="122" t="s">
        <v>295</v>
      </c>
    </row>
    <row r="33" spans="6:9" x14ac:dyDescent="0.2">
      <c r="I33" s="122" t="s">
        <v>296</v>
      </c>
    </row>
    <row r="34" spans="6:9" x14ac:dyDescent="0.2">
      <c r="F34" t="s">
        <v>168</v>
      </c>
      <c r="G34" s="115">
        <f>G15-G30</f>
        <v>-2693473.619999975</v>
      </c>
    </row>
  </sheetData>
  <pageMargins left="0.7" right="0.7" top="0.75" bottom="0.75" header="0.3" footer="0.3"/>
  <pageSetup paperSize="9" orientation="portrait"/>
  <ignoredErrors>
    <ignoredError sqref="G8 G11 G26 G23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F18"/>
  <sheetViews>
    <sheetView workbookViewId="0">
      <selection activeCell="B19" sqref="B19"/>
    </sheetView>
  </sheetViews>
  <sheetFormatPr baseColWidth="10" defaultColWidth="9.140625" defaultRowHeight="12.75" x14ac:dyDescent="0.2"/>
  <cols>
    <col min="1" max="1" width="9.140625" customWidth="1"/>
    <col min="2" max="2" width="22.28515625" style="1" bestFit="1" customWidth="1"/>
    <col min="3" max="3" width="30.7109375" style="1" bestFit="1" customWidth="1"/>
    <col min="4" max="4" width="16" style="2" customWidth="1"/>
    <col min="5" max="5" width="15.42578125" style="1" bestFit="1" customWidth="1"/>
  </cols>
  <sheetData>
    <row r="1" spans="1:6" x14ac:dyDescent="0.2">
      <c r="B1" s="1" t="s">
        <v>173</v>
      </c>
      <c r="C1" s="1" t="s">
        <v>179</v>
      </c>
      <c r="D1" s="2" t="s">
        <v>174</v>
      </c>
      <c r="E1" s="1" t="s">
        <v>175</v>
      </c>
    </row>
    <row r="2" spans="1:6" x14ac:dyDescent="0.2">
      <c r="A2">
        <v>2014</v>
      </c>
      <c r="B2" s="1">
        <v>32586646.260000002</v>
      </c>
      <c r="C2" s="35">
        <f t="shared" ref="C2:C13" si="0">ROUND(B2/1000,0)</f>
        <v>32587</v>
      </c>
      <c r="D2" s="2">
        <v>0.22961034251788745</v>
      </c>
      <c r="E2" s="1">
        <v>141921508.86000001</v>
      </c>
    </row>
    <row r="3" spans="1:6" x14ac:dyDescent="0.2">
      <c r="A3">
        <v>2015</v>
      </c>
      <c r="B3" s="1">
        <v>13060283.65</v>
      </c>
      <c r="C3" s="35">
        <f t="shared" si="0"/>
        <v>13060</v>
      </c>
      <c r="D3" s="2">
        <v>9.1960139820418063E-2</v>
      </c>
      <c r="E3" s="1">
        <v>142021137.37</v>
      </c>
    </row>
    <row r="4" spans="1:6" x14ac:dyDescent="0.2">
      <c r="A4">
        <v>2016</v>
      </c>
      <c r="B4" s="1">
        <v>31706355.109999999</v>
      </c>
      <c r="C4" s="35">
        <f t="shared" si="0"/>
        <v>31706</v>
      </c>
      <c r="D4" s="2">
        <f>B4/E4</f>
        <v>0.21224865590963879</v>
      </c>
      <c r="E4" s="1">
        <f>165459221.52-15647521.58-428633.3</f>
        <v>149383066.63999999</v>
      </c>
    </row>
    <row r="5" spans="1:6" x14ac:dyDescent="0.2">
      <c r="A5">
        <v>2017</v>
      </c>
      <c r="B5" s="1">
        <v>25632589.810000017</v>
      </c>
      <c r="C5" s="35">
        <f t="shared" si="0"/>
        <v>25633</v>
      </c>
      <c r="D5" s="2">
        <f>B5/E5</f>
        <v>0.17334663382143567</v>
      </c>
      <c r="E5" s="1">
        <v>147868979.31</v>
      </c>
    </row>
    <row r="6" spans="1:6" x14ac:dyDescent="0.2">
      <c r="A6">
        <v>2018</v>
      </c>
      <c r="B6" s="1">
        <v>21573837.920000032</v>
      </c>
      <c r="C6" s="35">
        <f t="shared" si="0"/>
        <v>21574</v>
      </c>
      <c r="D6" s="2">
        <f>B6/E6</f>
        <v>0.14772373353551443</v>
      </c>
      <c r="E6" s="1">
        <v>146041786.27000001</v>
      </c>
    </row>
    <row r="7" spans="1:6" x14ac:dyDescent="0.2">
      <c r="A7">
        <v>2019</v>
      </c>
      <c r="B7" s="1">
        <v>16123478.402187582</v>
      </c>
      <c r="C7" s="35">
        <f t="shared" si="0"/>
        <v>16123</v>
      </c>
      <c r="D7" s="2">
        <f>+B7/E7</f>
        <v>0.10582131169574772</v>
      </c>
      <c r="E7" s="1">
        <v>152365134.62</v>
      </c>
    </row>
    <row r="8" spans="1:6" x14ac:dyDescent="0.2">
      <c r="A8">
        <v>2020</v>
      </c>
      <c r="B8" s="1">
        <v>19977830.949999973</v>
      </c>
      <c r="C8" s="35">
        <f t="shared" si="0"/>
        <v>19978</v>
      </c>
      <c r="D8" s="2">
        <f>+B8/E8</f>
        <v>0.12680014544068002</v>
      </c>
      <c r="E8" s="1">
        <v>157553691.12999997</v>
      </c>
    </row>
    <row r="9" spans="1:6" x14ac:dyDescent="0.2">
      <c r="A9">
        <v>2021</v>
      </c>
      <c r="B9" s="1">
        <v>6996221.0299999639</v>
      </c>
      <c r="C9" s="35">
        <f t="shared" si="0"/>
        <v>6996</v>
      </c>
      <c r="D9" s="2">
        <f>+B9/E9</f>
        <v>4.3374623797511933E-2</v>
      </c>
      <c r="E9" s="1">
        <v>161297561.05000001</v>
      </c>
    </row>
    <row r="10" spans="1:6" x14ac:dyDescent="0.2">
      <c r="A10">
        <v>2022</v>
      </c>
      <c r="B10" s="1">
        <v>27047078.489999998</v>
      </c>
      <c r="C10" s="35">
        <f t="shared" si="0"/>
        <v>27047</v>
      </c>
      <c r="D10" s="2">
        <f t="shared" ref="D10:D13" si="1">+B10/E10</f>
        <v>0.14908698220760777</v>
      </c>
      <c r="E10" s="1">
        <v>181418109.68000001</v>
      </c>
    </row>
    <row r="11" spans="1:6" x14ac:dyDescent="0.2">
      <c r="A11">
        <v>2023</v>
      </c>
      <c r="B11" s="1">
        <v>25416184.388279166</v>
      </c>
      <c r="C11" s="35">
        <f t="shared" si="0"/>
        <v>25416</v>
      </c>
      <c r="D11" s="2">
        <f t="shared" si="1"/>
        <v>0.13238685679373136</v>
      </c>
      <c r="E11" s="1">
        <v>191984196.94999999</v>
      </c>
    </row>
    <row r="12" spans="1:6" x14ac:dyDescent="0.2">
      <c r="A12">
        <v>2024</v>
      </c>
      <c r="B12" s="1">
        <v>40095656.670000002</v>
      </c>
      <c r="C12" s="35">
        <f t="shared" si="0"/>
        <v>40096</v>
      </c>
      <c r="D12" s="2">
        <f t="shared" si="1"/>
        <v>0.16653695047652173</v>
      </c>
      <c r="E12" s="1">
        <v>240761323.87</v>
      </c>
      <c r="F12" s="106" t="s">
        <v>293</v>
      </c>
    </row>
    <row r="13" spans="1:6" x14ac:dyDescent="0.2">
      <c r="A13">
        <v>2025</v>
      </c>
      <c r="B13" s="119">
        <v>2315450.38</v>
      </c>
      <c r="C13" s="1">
        <f t="shared" si="0"/>
        <v>2315</v>
      </c>
      <c r="D13" s="2">
        <f t="shared" si="1"/>
        <v>1.181137649462499E-2</v>
      </c>
      <c r="E13" s="1">
        <f>+[2]PREVISIONSFIANY!G8</f>
        <v>196035608.64000002</v>
      </c>
    </row>
    <row r="14" spans="1:6" x14ac:dyDescent="0.2">
      <c r="B14" s="120" t="s">
        <v>294</v>
      </c>
    </row>
    <row r="15" spans="1:6" x14ac:dyDescent="0.2">
      <c r="B15" s="120" t="s">
        <v>295</v>
      </c>
    </row>
    <row r="16" spans="1:6" x14ac:dyDescent="0.2">
      <c r="B16" s="120" t="s">
        <v>296</v>
      </c>
    </row>
    <row r="18" spans="4:4" x14ac:dyDescent="0.2">
      <c r="D18" s="1"/>
    </row>
  </sheetData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M29"/>
  <sheetViews>
    <sheetView workbookViewId="0">
      <selection activeCell="F41" sqref="F41"/>
    </sheetView>
  </sheetViews>
  <sheetFormatPr baseColWidth="10" defaultColWidth="9.140625" defaultRowHeight="12.75" x14ac:dyDescent="0.2"/>
  <cols>
    <col min="1" max="1" width="9.140625" style="51" customWidth="1"/>
    <col min="2" max="2" width="27.7109375" style="51" customWidth="1"/>
    <col min="3" max="3" width="13.5703125" style="51" customWidth="1"/>
    <col min="4" max="4" width="21" style="51" bestFit="1" customWidth="1"/>
    <col min="5" max="5" width="14.28515625" style="51" bestFit="1" customWidth="1"/>
    <col min="6" max="6" width="14" style="51" customWidth="1"/>
    <col min="7" max="7" width="14.28515625" style="51" bestFit="1" customWidth="1"/>
    <col min="8" max="8" width="14" style="51" customWidth="1"/>
    <col min="9" max="9" width="14.140625" style="51" customWidth="1"/>
    <col min="10" max="10" width="13.7109375" style="51" bestFit="1" customWidth="1"/>
    <col min="11" max="11" width="21" style="51" bestFit="1" customWidth="1"/>
    <col min="12" max="12" width="13.5703125" style="51" customWidth="1"/>
    <col min="13" max="13" width="12.5703125" style="51" customWidth="1"/>
    <col min="14" max="16384" width="9.140625" style="51"/>
  </cols>
  <sheetData>
    <row r="2" spans="1:13" x14ac:dyDescent="0.2">
      <c r="F2" s="52" t="s">
        <v>240</v>
      </c>
    </row>
    <row r="4" spans="1:13" s="53" customFormat="1" ht="76.5" x14ac:dyDescent="0.2">
      <c r="A4" s="68" t="s">
        <v>176</v>
      </c>
      <c r="B4" s="68" t="s">
        <v>241</v>
      </c>
      <c r="C4" s="68" t="s">
        <v>242</v>
      </c>
      <c r="D4" s="68" t="s">
        <v>243</v>
      </c>
      <c r="E4" s="68" t="s">
        <v>244</v>
      </c>
      <c r="F4" s="68" t="s">
        <v>245</v>
      </c>
      <c r="G4" s="68" t="s">
        <v>246</v>
      </c>
      <c r="H4" s="68" t="s">
        <v>247</v>
      </c>
      <c r="I4" s="68" t="s">
        <v>248</v>
      </c>
      <c r="J4" s="68" t="s">
        <v>249</v>
      </c>
    </row>
    <row r="5" spans="1:13" s="53" customFormat="1" x14ac:dyDescent="0.2">
      <c r="A5" s="69" t="s">
        <v>261</v>
      </c>
      <c r="B5" s="70" t="s">
        <v>250</v>
      </c>
      <c r="C5" s="71" t="s">
        <v>250</v>
      </c>
      <c r="D5" s="72"/>
      <c r="E5" s="72"/>
      <c r="F5" s="72"/>
      <c r="G5" s="72"/>
      <c r="H5" s="73" t="s">
        <v>250</v>
      </c>
      <c r="I5" s="72"/>
      <c r="J5" s="72"/>
    </row>
    <row r="6" spans="1:13" s="53" customFormat="1" x14ac:dyDescent="0.2">
      <c r="A6" s="69" t="s">
        <v>251</v>
      </c>
      <c r="B6" s="74">
        <v>140298395.38999999</v>
      </c>
      <c r="C6" s="71" t="s">
        <v>250</v>
      </c>
      <c r="D6" s="75">
        <v>0</v>
      </c>
      <c r="E6" s="74">
        <v>140298395.38999999</v>
      </c>
      <c r="F6" s="74">
        <v>0</v>
      </c>
      <c r="G6" s="74">
        <v>140298395.38999999</v>
      </c>
      <c r="H6" s="73" t="s">
        <v>250</v>
      </c>
      <c r="I6" s="74">
        <f>94849802.69+3984112.17+13032588.07</f>
        <v>111866502.93000001</v>
      </c>
      <c r="J6" s="74">
        <f>+G6-I6</f>
        <v>28431892.459999979</v>
      </c>
      <c r="K6" s="54"/>
      <c r="M6" s="55"/>
    </row>
    <row r="7" spans="1:13" s="53" customFormat="1" x14ac:dyDescent="0.2">
      <c r="A7" s="69" t="s">
        <v>252</v>
      </c>
      <c r="B7" s="74">
        <v>111928551.13347708</v>
      </c>
      <c r="C7" s="71" t="s">
        <v>250</v>
      </c>
      <c r="D7" s="75">
        <v>1.7000000000000001E-2</v>
      </c>
      <c r="E7" s="74">
        <v>113831336.50274616</v>
      </c>
      <c r="F7" s="74">
        <v>20123125.080000006</v>
      </c>
      <c r="G7" s="74">
        <v>133954461.58274616</v>
      </c>
      <c r="H7" s="73" t="s">
        <v>250</v>
      </c>
      <c r="I7" s="74">
        <v>113090634.84999999</v>
      </c>
      <c r="J7" s="74">
        <v>20863826.73274618</v>
      </c>
      <c r="K7" s="54"/>
      <c r="L7" s="54"/>
      <c r="M7" s="55"/>
    </row>
    <row r="8" spans="1:13" s="53" customFormat="1" x14ac:dyDescent="0.2">
      <c r="A8" s="69" t="s">
        <v>253</v>
      </c>
      <c r="B8" s="74">
        <v>113090634.85000001</v>
      </c>
      <c r="C8" s="71" t="s">
        <v>250</v>
      </c>
      <c r="D8" s="75">
        <v>1.4999999999999999E-2</v>
      </c>
      <c r="E8" s="74">
        <v>114786994.37275</v>
      </c>
      <c r="F8" s="74">
        <v>0</v>
      </c>
      <c r="G8" s="74">
        <v>114786994.37275</v>
      </c>
      <c r="H8" s="74">
        <v>5565323.4100000001</v>
      </c>
      <c r="I8" s="74">
        <v>110518541.95000002</v>
      </c>
      <c r="J8" s="74">
        <v>9833775.8300000001</v>
      </c>
      <c r="K8" s="54"/>
      <c r="L8" s="54"/>
      <c r="M8" s="55"/>
    </row>
    <row r="9" spans="1:13" s="53" customFormat="1" x14ac:dyDescent="0.2">
      <c r="A9" s="69" t="s">
        <v>262</v>
      </c>
      <c r="B9" s="76">
        <v>110518541.94000003</v>
      </c>
      <c r="C9" s="76">
        <v>-5565323.4099999992</v>
      </c>
      <c r="D9" s="75">
        <v>1.2999999999999999E-2</v>
      </c>
      <c r="E9" s="74">
        <v>106317610.37</v>
      </c>
      <c r="F9" s="74">
        <v>0</v>
      </c>
      <c r="G9" s="74">
        <v>106317610.37</v>
      </c>
      <c r="H9" s="74">
        <v>1823726.72</v>
      </c>
      <c r="I9" s="74">
        <v>122866657.93000001</v>
      </c>
      <c r="J9" s="74">
        <v>-14725320.84</v>
      </c>
      <c r="K9" s="54"/>
      <c r="L9" s="54"/>
      <c r="M9" s="55"/>
    </row>
    <row r="10" spans="1:13" s="53" customFormat="1" x14ac:dyDescent="0.2">
      <c r="A10" s="77">
        <v>2016</v>
      </c>
      <c r="B10" s="74">
        <v>122865939.52000001</v>
      </c>
      <c r="C10" s="74">
        <v>-1823726.72</v>
      </c>
      <c r="D10" s="78">
        <v>1.7999999999999999E-2</v>
      </c>
      <c r="E10" s="74">
        <v>123220972.63</v>
      </c>
      <c r="F10" s="74">
        <v>0</v>
      </c>
      <c r="G10" s="74">
        <v>123220972.63</v>
      </c>
      <c r="H10" s="74">
        <v>2628818.6</v>
      </c>
      <c r="I10" s="74">
        <v>115535528.16</v>
      </c>
      <c r="J10" s="74">
        <v>10314263.07</v>
      </c>
      <c r="K10" s="54"/>
      <c r="L10" s="54"/>
      <c r="M10" s="55"/>
    </row>
    <row r="11" spans="1:13" s="53" customFormat="1" x14ac:dyDescent="0.2">
      <c r="A11" s="77">
        <v>2017</v>
      </c>
      <c r="B11" s="74">
        <v>115535528.16000001</v>
      </c>
      <c r="C11" s="74">
        <v>-2628818.6</v>
      </c>
      <c r="D11" s="78">
        <v>2.1000000000000001E-2</v>
      </c>
      <c r="E11" s="74">
        <v>115277750.45999999</v>
      </c>
      <c r="F11" s="74">
        <v>0</v>
      </c>
      <c r="G11" s="74">
        <v>115277750.45999999</v>
      </c>
      <c r="H11" s="74">
        <v>13344205.140000001</v>
      </c>
      <c r="I11" s="74">
        <v>117304963.56999999</v>
      </c>
      <c r="J11" s="74">
        <v>11316992.029999994</v>
      </c>
      <c r="K11" s="54"/>
      <c r="L11" s="54"/>
      <c r="M11" s="55"/>
    </row>
    <row r="12" spans="1:13" x14ac:dyDescent="0.2">
      <c r="A12" s="69" t="s">
        <v>263</v>
      </c>
      <c r="B12" s="74">
        <v>117456368.89</v>
      </c>
      <c r="C12" s="74">
        <v>-13344205.140000001</v>
      </c>
      <c r="D12" s="78">
        <v>2.4E-2</v>
      </c>
      <c r="E12" s="74">
        <v>106610855.69</v>
      </c>
      <c r="F12" s="74">
        <v>0</v>
      </c>
      <c r="G12" s="74">
        <v>106610855.69</v>
      </c>
      <c r="H12" s="74">
        <v>11363221.869999999</v>
      </c>
      <c r="I12" s="74">
        <v>128305783.01000001</v>
      </c>
      <c r="J12" s="74">
        <v>-10331705.449999999</v>
      </c>
      <c r="K12" s="54"/>
      <c r="L12" s="54"/>
      <c r="M12" s="55"/>
    </row>
    <row r="13" spans="1:13" x14ac:dyDescent="0.2">
      <c r="A13" s="69">
        <v>2019</v>
      </c>
      <c r="B13" s="74">
        <v>128305783.01000001</v>
      </c>
      <c r="C13" s="74">
        <v>-11363221.869999999</v>
      </c>
      <c r="D13" s="78">
        <v>2.7E-2</v>
      </c>
      <c r="E13" s="74">
        <v>120100010.29000001</v>
      </c>
      <c r="F13" s="74">
        <v>0</v>
      </c>
      <c r="G13" s="74">
        <v>120100010.29000001</v>
      </c>
      <c r="H13" s="74">
        <v>13386485.77</v>
      </c>
      <c r="I13" s="74">
        <v>136759960.28</v>
      </c>
      <c r="J13" s="74">
        <v>-3273464.24</v>
      </c>
      <c r="K13" s="54"/>
      <c r="L13" s="54"/>
      <c r="M13" s="55"/>
    </row>
    <row r="14" spans="1:13" x14ac:dyDescent="0.2">
      <c r="A14" s="79">
        <v>2020</v>
      </c>
      <c r="B14" s="96">
        <v>136759960.28</v>
      </c>
      <c r="C14" s="96">
        <v>-13386485.77</v>
      </c>
      <c r="D14" s="80">
        <v>0</v>
      </c>
      <c r="E14" s="96">
        <v>123280783.59</v>
      </c>
      <c r="F14" s="96">
        <v>0</v>
      </c>
      <c r="G14" s="96">
        <v>123280783.59</v>
      </c>
      <c r="H14" s="96">
        <v>6212207.8799999999</v>
      </c>
      <c r="I14" s="96">
        <v>133260980.50794545</v>
      </c>
      <c r="J14" s="101">
        <v>-3675299.9879454547</v>
      </c>
      <c r="K14" s="54"/>
    </row>
    <row r="15" spans="1:13" x14ac:dyDescent="0.2">
      <c r="A15" s="81">
        <v>2021</v>
      </c>
      <c r="B15" s="82">
        <v>133260980.50794545</v>
      </c>
      <c r="C15" s="82">
        <v>-6212207.8799999999</v>
      </c>
      <c r="D15" s="80">
        <v>0</v>
      </c>
      <c r="E15" s="82">
        <v>127048772.63</v>
      </c>
      <c r="F15" s="82">
        <v>0</v>
      </c>
      <c r="G15" s="82">
        <v>127048772.63</v>
      </c>
      <c r="H15" s="82">
        <v>0</v>
      </c>
      <c r="I15" s="82">
        <v>147564684.38274941</v>
      </c>
      <c r="J15" s="102">
        <v>-20515911.752749432</v>
      </c>
      <c r="K15" s="54"/>
    </row>
    <row r="16" spans="1:13" ht="15" x14ac:dyDescent="0.2">
      <c r="A16" s="123" t="s">
        <v>309</v>
      </c>
      <c r="B16" s="82">
        <v>147498014.91</v>
      </c>
      <c r="C16" s="82">
        <v>0</v>
      </c>
      <c r="D16" s="83">
        <v>0</v>
      </c>
      <c r="E16" s="82">
        <v>147498014.91999999</v>
      </c>
      <c r="F16" s="82">
        <v>0</v>
      </c>
      <c r="G16" s="82">
        <v>147498014.91999999</v>
      </c>
      <c r="H16" s="82">
        <v>0</v>
      </c>
      <c r="I16" s="82">
        <v>155673859.52000001</v>
      </c>
      <c r="J16" s="82">
        <v>-8175844.6000000238</v>
      </c>
      <c r="K16" s="54"/>
    </row>
    <row r="17" spans="1:11" x14ac:dyDescent="0.2">
      <c r="A17" s="81">
        <v>2023</v>
      </c>
      <c r="B17" s="82">
        <v>155673859.52000001</v>
      </c>
      <c r="C17" s="82">
        <v>0</v>
      </c>
      <c r="D17" s="83">
        <v>0</v>
      </c>
      <c r="E17" s="82">
        <v>155673859.52000001</v>
      </c>
      <c r="F17" s="82">
        <v>0</v>
      </c>
      <c r="G17" s="82">
        <v>155673859.52000001</v>
      </c>
      <c r="H17" s="82">
        <v>0</v>
      </c>
      <c r="I17" s="82">
        <v>171587201.87</v>
      </c>
      <c r="J17" s="82">
        <v>-15913342.349999994</v>
      </c>
      <c r="K17" s="54"/>
    </row>
    <row r="18" spans="1:11" x14ac:dyDescent="0.2">
      <c r="A18" s="81">
        <v>2024</v>
      </c>
      <c r="B18" s="82">
        <v>171587201.87</v>
      </c>
      <c r="C18" s="82">
        <v>0</v>
      </c>
      <c r="D18" s="83">
        <v>2.5999999999999999E-2</v>
      </c>
      <c r="E18" s="82">
        <v>176048469.11000001</v>
      </c>
      <c r="F18" s="82">
        <v>0</v>
      </c>
      <c r="G18" s="82">
        <v>176048469.11000001</v>
      </c>
      <c r="H18" s="82">
        <v>0</v>
      </c>
      <c r="I18" s="82">
        <v>194517377.31</v>
      </c>
      <c r="J18" s="82">
        <v>-18468908.199999988</v>
      </c>
      <c r="K18" s="54"/>
    </row>
    <row r="19" spans="1:11" x14ac:dyDescent="0.2">
      <c r="A19" s="81">
        <v>2025</v>
      </c>
      <c r="B19" s="150"/>
      <c r="C19" s="150"/>
      <c r="D19" s="151"/>
      <c r="E19" s="150"/>
      <c r="F19" s="150"/>
      <c r="G19" s="150"/>
      <c r="H19" s="150"/>
      <c r="I19" s="150"/>
      <c r="J19" s="150"/>
      <c r="K19" s="54"/>
    </row>
    <row r="20" spans="1:11" x14ac:dyDescent="0.2">
      <c r="K20" s="54"/>
    </row>
    <row r="21" spans="1:11" x14ac:dyDescent="0.2">
      <c r="A21" s="56" t="s">
        <v>254</v>
      </c>
    </row>
    <row r="22" spans="1:11" x14ac:dyDescent="0.2">
      <c r="A22" s="56" t="s">
        <v>255</v>
      </c>
      <c r="C22" s="55"/>
      <c r="D22" s="55"/>
    </row>
    <row r="23" spans="1:11" x14ac:dyDescent="0.2">
      <c r="A23" s="56" t="s">
        <v>256</v>
      </c>
    </row>
    <row r="24" spans="1:11" ht="14.25" x14ac:dyDescent="0.2">
      <c r="A24" s="56" t="s">
        <v>310</v>
      </c>
    </row>
    <row r="25" spans="1:11" x14ac:dyDescent="0.2">
      <c r="B25" s="111"/>
      <c r="C25" s="111"/>
      <c r="D25" s="111"/>
      <c r="E25" s="111"/>
      <c r="F25" s="111"/>
      <c r="G25" s="111"/>
      <c r="H25" s="111"/>
    </row>
    <row r="26" spans="1:11" x14ac:dyDescent="0.2">
      <c r="B26" s="111"/>
      <c r="C26" s="111"/>
      <c r="D26" s="111"/>
      <c r="E26" s="111"/>
      <c r="F26" s="111"/>
      <c r="G26" s="111"/>
      <c r="H26" s="111"/>
    </row>
    <row r="27" spans="1:11" x14ac:dyDescent="0.2">
      <c r="B27" s="111"/>
      <c r="C27" s="111"/>
      <c r="D27" s="111"/>
      <c r="E27" s="111"/>
      <c r="F27" s="111"/>
      <c r="G27" s="111"/>
      <c r="H27" s="111"/>
    </row>
    <row r="29" spans="1:11" x14ac:dyDescent="0.2">
      <c r="B29" s="11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N40"/>
  <sheetViews>
    <sheetView topLeftCell="A22" zoomScale="85" zoomScaleNormal="85" workbookViewId="0">
      <selection activeCell="F35" sqref="E35:F35"/>
    </sheetView>
  </sheetViews>
  <sheetFormatPr baseColWidth="10" defaultColWidth="9.140625" defaultRowHeight="12.75" x14ac:dyDescent="0.2"/>
  <cols>
    <col min="1" max="1" width="9.140625" customWidth="1"/>
    <col min="2" max="2" width="21.7109375" bestFit="1" customWidth="1"/>
    <col min="3" max="3" width="17" bestFit="1" customWidth="1"/>
    <col min="4" max="4" width="15.42578125" customWidth="1"/>
    <col min="5" max="5" width="15.5703125" customWidth="1"/>
    <col min="6" max="6" width="14.140625" customWidth="1"/>
    <col min="7" max="7" width="17.5703125" customWidth="1"/>
    <col min="8" max="8" width="12.28515625" customWidth="1"/>
    <col min="9" max="9" width="13.42578125" customWidth="1"/>
    <col min="10" max="10" width="16.5703125" customWidth="1"/>
    <col min="11" max="11" width="12.42578125" customWidth="1"/>
    <col min="12" max="12" width="11.5703125" customWidth="1"/>
    <col min="13" max="13" width="11.7109375" bestFit="1" customWidth="1"/>
    <col min="14" max="14" width="10" customWidth="1"/>
  </cols>
  <sheetData>
    <row r="1" spans="1:13" x14ac:dyDescent="0.2">
      <c r="A1" t="s">
        <v>176</v>
      </c>
      <c r="B1" s="1" t="s">
        <v>180</v>
      </c>
      <c r="C1" s="1" t="s">
        <v>181</v>
      </c>
      <c r="D1" s="1" t="s">
        <v>177</v>
      </c>
      <c r="E1" s="1" t="s">
        <v>182</v>
      </c>
      <c r="F1" s="1" t="s">
        <v>119</v>
      </c>
      <c r="G1" s="1" t="s">
        <v>183</v>
      </c>
      <c r="H1" s="2" t="s">
        <v>184</v>
      </c>
      <c r="I1" s="2" t="s">
        <v>185</v>
      </c>
      <c r="J1" s="2" t="s">
        <v>186</v>
      </c>
      <c r="L1" s="1"/>
    </row>
    <row r="2" spans="1:13" x14ac:dyDescent="0.2">
      <c r="A2">
        <v>2009</v>
      </c>
      <c r="B2" s="1">
        <v>77650174.694537133</v>
      </c>
      <c r="C2" s="1">
        <v>15968156</v>
      </c>
      <c r="D2" s="1">
        <v>93618330.694537133</v>
      </c>
      <c r="E2" s="1">
        <v>0</v>
      </c>
      <c r="F2" s="1">
        <v>93618330.694537133</v>
      </c>
      <c r="G2" s="1">
        <v>139303032.52000004</v>
      </c>
      <c r="H2" s="2">
        <v>0.67204804519310191</v>
      </c>
      <c r="I2" s="2">
        <v>1.1000000000000001</v>
      </c>
      <c r="J2" s="2">
        <v>0.75</v>
      </c>
      <c r="L2" s="1"/>
    </row>
    <row r="3" spans="1:13" x14ac:dyDescent="0.2">
      <c r="A3">
        <v>2010</v>
      </c>
      <c r="B3" s="1">
        <v>81837746.378586069</v>
      </c>
      <c r="C3" s="1">
        <v>30791619.77</v>
      </c>
      <c r="D3" s="1">
        <v>112629366.14858606</v>
      </c>
      <c r="E3" s="1">
        <v>41725603.129999995</v>
      </c>
      <c r="F3" s="1">
        <v>154354969.27858606</v>
      </c>
      <c r="G3" s="1">
        <v>122212531.5</v>
      </c>
      <c r="H3" s="2">
        <v>1.2630044348486968</v>
      </c>
      <c r="I3" s="2">
        <v>1.1000000000000001</v>
      </c>
      <c r="J3" s="2">
        <v>0.75</v>
      </c>
      <c r="L3" s="1"/>
    </row>
    <row r="4" spans="1:13" x14ac:dyDescent="0.2">
      <c r="A4">
        <v>2011</v>
      </c>
      <c r="B4" s="1">
        <v>75539779.808586061</v>
      </c>
      <c r="C4" s="1">
        <v>27791620</v>
      </c>
      <c r="D4" s="1">
        <v>103331399.80858606</v>
      </c>
      <c r="E4" s="1">
        <v>39721252.079999998</v>
      </c>
      <c r="F4" s="1">
        <v>143052651.88858604</v>
      </c>
      <c r="G4" s="1">
        <v>129026898.84999998</v>
      </c>
      <c r="H4" s="2">
        <v>1.1087041009556595</v>
      </c>
      <c r="I4" s="2">
        <v>1.1000000000000001</v>
      </c>
      <c r="J4" s="2">
        <v>0.75</v>
      </c>
      <c r="L4" s="1"/>
    </row>
    <row r="5" spans="1:13" x14ac:dyDescent="0.2">
      <c r="A5">
        <v>2012</v>
      </c>
      <c r="B5" s="1">
        <v>74859126.358586073</v>
      </c>
      <c r="C5" s="1">
        <v>8000000</v>
      </c>
      <c r="D5" s="1">
        <v>82859126.358586073</v>
      </c>
      <c r="E5" s="1">
        <v>31376131.449999999</v>
      </c>
      <c r="F5" s="1">
        <v>114235257.80858608</v>
      </c>
      <c r="G5" s="1">
        <v>139936337.53</v>
      </c>
      <c r="H5" s="2">
        <v>0.81633734185801421</v>
      </c>
      <c r="I5" s="2">
        <v>1.1000000000000001</v>
      </c>
      <c r="J5" s="2">
        <v>0.75</v>
      </c>
      <c r="L5" s="1"/>
    </row>
    <row r="6" spans="1:13" x14ac:dyDescent="0.2">
      <c r="A6">
        <v>2013</v>
      </c>
      <c r="B6" s="1">
        <v>73128198.028586075</v>
      </c>
      <c r="C6" s="1">
        <v>0</v>
      </c>
      <c r="D6" s="1">
        <v>73128198.028586075</v>
      </c>
      <c r="E6" s="1">
        <v>27889894.619999997</v>
      </c>
      <c r="F6" s="1">
        <v>101018092.64858606</v>
      </c>
      <c r="G6" s="1">
        <v>136806160.34</v>
      </c>
      <c r="H6" s="2">
        <v>0.7384030982050005</v>
      </c>
      <c r="I6" s="2">
        <v>1.1000000000000001</v>
      </c>
      <c r="J6" s="2">
        <v>0.75</v>
      </c>
      <c r="L6" s="1"/>
    </row>
    <row r="7" spans="1:13" x14ac:dyDescent="0.2">
      <c r="A7" s="138">
        <v>2014</v>
      </c>
      <c r="B7" s="112">
        <v>62721647.148586072</v>
      </c>
      <c r="C7" s="112">
        <v>0</v>
      </c>
      <c r="D7" s="112">
        <v>62721647.148586072</v>
      </c>
      <c r="E7" s="112">
        <v>24403657.779999997</v>
      </c>
      <c r="F7" s="112">
        <v>87125304.928586066</v>
      </c>
      <c r="G7" s="112">
        <v>141921508.88</v>
      </c>
      <c r="H7" s="113">
        <v>0.61389782011304439</v>
      </c>
      <c r="I7" s="113">
        <v>1.1000000000000001</v>
      </c>
      <c r="J7" s="139">
        <v>0.75</v>
      </c>
      <c r="L7" s="1"/>
    </row>
    <row r="8" spans="1:13" x14ac:dyDescent="0.2">
      <c r="A8" s="124">
        <v>2015</v>
      </c>
      <c r="B8" s="1">
        <v>52256177.159999996</v>
      </c>
      <c r="C8" s="1">
        <v>0</v>
      </c>
      <c r="D8" s="1">
        <v>52256177.159999996</v>
      </c>
      <c r="E8" s="1">
        <v>24902433.210000001</v>
      </c>
      <c r="F8" s="1">
        <v>78102740.748586059</v>
      </c>
      <c r="G8" s="1">
        <v>142021137.37</v>
      </c>
      <c r="H8" s="2">
        <v>0.54993744026362223</v>
      </c>
      <c r="I8" s="2">
        <v>1.1000000000000001</v>
      </c>
      <c r="J8" s="125">
        <v>0.75</v>
      </c>
      <c r="L8" s="1"/>
    </row>
    <row r="9" spans="1:13" x14ac:dyDescent="0.2">
      <c r="A9" s="124">
        <v>2016</v>
      </c>
      <c r="B9" s="1">
        <v>41051625.280000001</v>
      </c>
      <c r="C9" s="1">
        <v>0</v>
      </c>
      <c r="D9" s="1">
        <v>41051625.280000001</v>
      </c>
      <c r="E9" s="1">
        <v>20667557.690000001</v>
      </c>
      <c r="F9" s="1">
        <v>61719182.969999999</v>
      </c>
      <c r="G9" s="1">
        <v>149383066.63999999</v>
      </c>
      <c r="H9" s="2">
        <v>0.41316050311604452</v>
      </c>
      <c r="I9" s="2">
        <v>1.1000000000000001</v>
      </c>
      <c r="J9" s="125">
        <v>0.75</v>
      </c>
    </row>
    <row r="10" spans="1:13" x14ac:dyDescent="0.2">
      <c r="A10" s="124">
        <v>2017</v>
      </c>
      <c r="B10" s="1">
        <v>33975051.270000003</v>
      </c>
      <c r="C10" s="1">
        <v>0</v>
      </c>
      <c r="D10" s="1">
        <v>33975051.270000003</v>
      </c>
      <c r="E10" s="1">
        <v>19289720.57</v>
      </c>
      <c r="F10" s="1">
        <v>53264771.840000004</v>
      </c>
      <c r="G10" s="1">
        <v>147868979.31</v>
      </c>
      <c r="H10" s="2">
        <v>0.36021599721962672</v>
      </c>
      <c r="I10" s="2">
        <v>1.1000000000000001</v>
      </c>
      <c r="J10" s="125">
        <v>0.75</v>
      </c>
      <c r="L10" s="1"/>
    </row>
    <row r="11" spans="1:13" x14ac:dyDescent="0.2">
      <c r="A11" s="124">
        <v>2018</v>
      </c>
      <c r="B11" s="1">
        <v>28162786.509999998</v>
      </c>
      <c r="C11" s="1">
        <v>0</v>
      </c>
      <c r="D11" s="1">
        <v>28162786.509999998</v>
      </c>
      <c r="E11" s="1">
        <v>17911883.449999999</v>
      </c>
      <c r="F11" s="1">
        <v>46074669.959999993</v>
      </c>
      <c r="G11" s="1">
        <v>146041786.27000001</v>
      </c>
      <c r="H11" s="2">
        <v>0.31548963578696432</v>
      </c>
      <c r="I11" s="2">
        <v>1.1000000000000001</v>
      </c>
      <c r="J11" s="125">
        <v>0.75</v>
      </c>
      <c r="K11" s="1"/>
      <c r="L11" s="1"/>
    </row>
    <row r="12" spans="1:13" x14ac:dyDescent="0.2">
      <c r="A12" s="124">
        <v>2019</v>
      </c>
      <c r="B12" s="1">
        <v>4531399.2300000004</v>
      </c>
      <c r="C12" s="1">
        <v>0</v>
      </c>
      <c r="D12" s="1">
        <v>4531399.2300000004</v>
      </c>
      <c r="E12" s="1">
        <v>16929001.460000001</v>
      </c>
      <c r="F12" s="1">
        <v>21460400.690000001</v>
      </c>
      <c r="G12" s="1">
        <v>152365134.62</v>
      </c>
      <c r="H12" s="2">
        <v>0.14084850017375977</v>
      </c>
      <c r="I12" s="2">
        <v>1.1000000000000001</v>
      </c>
      <c r="J12" s="125">
        <v>0.75</v>
      </c>
      <c r="K12" s="1"/>
      <c r="L12" s="1"/>
    </row>
    <row r="13" spans="1:13" x14ac:dyDescent="0.2">
      <c r="A13" s="124">
        <v>2020</v>
      </c>
      <c r="B13" s="1">
        <v>3380160.43</v>
      </c>
      <c r="C13" s="1">
        <v>0</v>
      </c>
      <c r="D13" s="1">
        <v>3380160.43</v>
      </c>
      <c r="E13" s="1">
        <v>15156209.210000001</v>
      </c>
      <c r="F13" s="1">
        <v>18536369.640000001</v>
      </c>
      <c r="G13" s="1">
        <v>157553691.12999997</v>
      </c>
      <c r="H13" s="2">
        <v>0.11765112900278139</v>
      </c>
      <c r="I13" s="2">
        <v>1.1000000000000001</v>
      </c>
      <c r="J13" s="125">
        <v>0.75</v>
      </c>
      <c r="L13" s="1"/>
    </row>
    <row r="14" spans="1:13" x14ac:dyDescent="0.2">
      <c r="A14" s="124">
        <v>2021</v>
      </c>
      <c r="B14" s="1">
        <v>0</v>
      </c>
      <c r="C14" s="1">
        <v>0</v>
      </c>
      <c r="D14" s="140">
        <v>0</v>
      </c>
      <c r="E14" s="140">
        <v>13383416.960000001</v>
      </c>
      <c r="F14" s="1">
        <v>13383416.960000001</v>
      </c>
      <c r="G14" s="1">
        <v>161297561.05000001</v>
      </c>
      <c r="H14" s="141">
        <v>8.2973461426681633E-2</v>
      </c>
      <c r="I14" s="141">
        <v>1.1000000000000001</v>
      </c>
      <c r="J14" s="125">
        <v>0.75</v>
      </c>
      <c r="K14" s="2"/>
      <c r="M14" s="1"/>
    </row>
    <row r="15" spans="1:13" x14ac:dyDescent="0.2">
      <c r="A15" s="124">
        <v>2022</v>
      </c>
      <c r="B15" s="1">
        <v>0</v>
      </c>
      <c r="C15" s="1">
        <v>0</v>
      </c>
      <c r="D15" s="140">
        <v>0</v>
      </c>
      <c r="E15" s="140">
        <v>12940218.897500001</v>
      </c>
      <c r="F15" s="1">
        <v>12940218.897500001</v>
      </c>
      <c r="G15" s="1">
        <v>181418109.68000001</v>
      </c>
      <c r="H15" s="141">
        <f>F15/G15</f>
        <v>7.1328154175594766E-2</v>
      </c>
      <c r="I15" s="141">
        <v>1.1000000000000001</v>
      </c>
      <c r="J15" s="125">
        <v>0.75</v>
      </c>
      <c r="L15" s="1"/>
      <c r="M15" s="1"/>
    </row>
    <row r="16" spans="1:13" x14ac:dyDescent="0.2">
      <c r="A16" s="124">
        <v>2023</v>
      </c>
      <c r="B16" s="1">
        <v>0</v>
      </c>
      <c r="C16" s="1">
        <v>0</v>
      </c>
      <c r="D16" s="140">
        <v>0</v>
      </c>
      <c r="E16" s="140">
        <v>16536495.199999999</v>
      </c>
      <c r="F16" s="1">
        <f>E16</f>
        <v>16536495.199999999</v>
      </c>
      <c r="G16" s="142">
        <v>191984196.94999999</v>
      </c>
      <c r="H16" s="141">
        <f>F16/G16</f>
        <v>8.6134668700396905E-2</v>
      </c>
      <c r="I16" s="141">
        <v>1.1000000000000001</v>
      </c>
      <c r="J16" s="125">
        <v>0.75</v>
      </c>
      <c r="L16" s="1"/>
    </row>
    <row r="17" spans="1:14" x14ac:dyDescent="0.2">
      <c r="A17" s="124">
        <v>2024</v>
      </c>
      <c r="B17" s="1">
        <v>0</v>
      </c>
      <c r="C17">
        <v>0</v>
      </c>
      <c r="D17" s="140">
        <f>B17+C17</f>
        <v>0</v>
      </c>
      <c r="E17" s="140">
        <v>11125197.130000001</v>
      </c>
      <c r="F17" s="1">
        <f>B17+E17</f>
        <v>11125197.130000001</v>
      </c>
      <c r="G17" s="115">
        <f>G25</f>
        <v>233761323.87</v>
      </c>
      <c r="H17" s="141">
        <f>F17/G17</f>
        <v>4.7592120654599716E-2</v>
      </c>
      <c r="I17" s="141">
        <v>1.1000000000000001</v>
      </c>
      <c r="J17" s="125">
        <v>0.75</v>
      </c>
      <c r="K17" s="122" t="s">
        <v>338</v>
      </c>
      <c r="M17" s="1"/>
      <c r="N17" s="1"/>
    </row>
    <row r="18" spans="1:14" x14ac:dyDescent="0.2">
      <c r="A18" s="126">
        <v>2025</v>
      </c>
      <c r="B18" s="143">
        <f>B20</f>
        <v>41900000</v>
      </c>
      <c r="C18" s="128">
        <v>0</v>
      </c>
      <c r="D18" s="129">
        <f>B18+C18</f>
        <v>41900000</v>
      </c>
      <c r="E18" s="159">
        <f>D38</f>
        <v>9330810.5800000001</v>
      </c>
      <c r="F18" s="127">
        <f>B18+E18</f>
        <v>51230810.579999998</v>
      </c>
      <c r="G18" s="127">
        <f>G17</f>
        <v>233761323.87</v>
      </c>
      <c r="H18" s="130">
        <f>F18/G18</f>
        <v>0.2191586261228167</v>
      </c>
      <c r="I18" s="130">
        <v>1.1000000000000001</v>
      </c>
      <c r="J18" s="131">
        <v>0.75</v>
      </c>
    </row>
    <row r="19" spans="1:14" x14ac:dyDescent="0.2">
      <c r="B19" s="106"/>
      <c r="C19" s="1"/>
      <c r="D19" s="1"/>
      <c r="E19" s="1"/>
      <c r="F19" s="1"/>
      <c r="G19" s="1" t="s">
        <v>333</v>
      </c>
      <c r="H19" s="2"/>
      <c r="I19" s="2"/>
      <c r="J19" s="2"/>
    </row>
    <row r="20" spans="1:14" x14ac:dyDescent="0.2">
      <c r="B20" s="144">
        <v>41900000</v>
      </c>
      <c r="G20" s="145">
        <v>210785725.09999999</v>
      </c>
      <c r="H20" s="146" t="s">
        <v>335</v>
      </c>
      <c r="I20" s="146"/>
    </row>
    <row r="21" spans="1:14" x14ac:dyDescent="0.2">
      <c r="B21" s="132" t="s">
        <v>332</v>
      </c>
      <c r="G21" s="145">
        <v>9468208.9399999995</v>
      </c>
      <c r="H21" s="146" t="s">
        <v>336</v>
      </c>
      <c r="I21" s="146"/>
    </row>
    <row r="22" spans="1:14" x14ac:dyDescent="0.2">
      <c r="B22" s="132" t="s">
        <v>311</v>
      </c>
      <c r="G22" s="147">
        <v>20507389.829999998</v>
      </c>
      <c r="H22" s="146" t="s">
        <v>337</v>
      </c>
      <c r="I22" s="146"/>
    </row>
    <row r="23" spans="1:14" x14ac:dyDescent="0.2">
      <c r="E23" s="1"/>
      <c r="G23" s="145">
        <f>SUM(G20:G22)</f>
        <v>240761323.87</v>
      </c>
      <c r="H23" s="146"/>
      <c r="I23" s="146"/>
    </row>
    <row r="24" spans="1:14" x14ac:dyDescent="0.2">
      <c r="G24" s="147">
        <v>-7000000</v>
      </c>
      <c r="H24" s="146" t="s">
        <v>334</v>
      </c>
      <c r="I24" s="146"/>
      <c r="L24" s="26"/>
    </row>
    <row r="25" spans="1:14" x14ac:dyDescent="0.2">
      <c r="G25" s="145">
        <f>G23+G24</f>
        <v>233761323.87</v>
      </c>
      <c r="H25" s="146"/>
      <c r="I25" s="146"/>
      <c r="L25" s="1"/>
      <c r="M25" s="1"/>
      <c r="N25" s="1"/>
    </row>
    <row r="26" spans="1:14" x14ac:dyDescent="0.2">
      <c r="L26" s="1"/>
      <c r="M26" s="1"/>
      <c r="N26" s="1"/>
    </row>
    <row r="27" spans="1:14" x14ac:dyDescent="0.2">
      <c r="D27" s="118" t="s">
        <v>312</v>
      </c>
      <c r="F27" s="118" t="s">
        <v>331</v>
      </c>
      <c r="G27" s="25" t="s">
        <v>284</v>
      </c>
      <c r="H27" s="25" t="s">
        <v>285</v>
      </c>
      <c r="I27" s="25"/>
      <c r="J27" s="25"/>
      <c r="K27" s="25"/>
      <c r="L27" s="1"/>
      <c r="M27" s="1"/>
      <c r="N27" s="1"/>
    </row>
    <row r="28" spans="1:14" ht="12.75" customHeight="1" x14ac:dyDescent="0.2">
      <c r="C28" t="s">
        <v>286</v>
      </c>
      <c r="D28" s="1">
        <f>2751071.29+11604021.63</f>
        <v>14355092.920000002</v>
      </c>
      <c r="E28" s="1"/>
      <c r="F28">
        <v>2008</v>
      </c>
      <c r="G28" s="1">
        <v>1586458.5</v>
      </c>
      <c r="H28" s="1">
        <v>136962.75</v>
      </c>
      <c r="L28" s="1"/>
      <c r="M28" s="1"/>
    </row>
    <row r="29" spans="1:14" x14ac:dyDescent="0.2">
      <c r="C29" t="s">
        <v>287</v>
      </c>
      <c r="D29" s="1">
        <f>2475964.45+10443619.23+14271369.52</f>
        <v>27190953.199999999</v>
      </c>
      <c r="E29" s="1"/>
      <c r="F29">
        <v>2009</v>
      </c>
      <c r="G29" s="1">
        <v>6680565.0999999996</v>
      </c>
      <c r="H29" s="1">
        <v>556713.9</v>
      </c>
      <c r="I29" s="25"/>
      <c r="J29" s="25"/>
      <c r="K29" s="25"/>
      <c r="L29" s="1"/>
      <c r="M29" s="1"/>
      <c r="N29" s="1"/>
    </row>
    <row r="30" spans="1:14" x14ac:dyDescent="0.2">
      <c r="C30" t="s">
        <v>292</v>
      </c>
      <c r="D30" s="1">
        <f>2200857.61+9283216.83</f>
        <v>11484074.439999999</v>
      </c>
      <c r="E30" s="1"/>
      <c r="F30" s="26" t="s">
        <v>288</v>
      </c>
      <c r="H30" s="1">
        <v>69534.19</v>
      </c>
      <c r="I30" s="1"/>
      <c r="J30" s="1"/>
      <c r="K30" s="1"/>
      <c r="M30" s="1"/>
    </row>
    <row r="31" spans="1:14" x14ac:dyDescent="0.2">
      <c r="C31" t="s">
        <v>313</v>
      </c>
      <c r="D31" s="133">
        <f>1451187.4+399680.42+6331576.02+1462416.88</f>
        <v>9644860.7199999988</v>
      </c>
      <c r="F31" s="26" t="s">
        <v>289</v>
      </c>
      <c r="H31" s="1">
        <v>305334.23</v>
      </c>
      <c r="M31" s="1"/>
    </row>
    <row r="32" spans="1:14" x14ac:dyDescent="0.2">
      <c r="C32" s="132" t="s">
        <v>314</v>
      </c>
      <c r="D32" s="1"/>
      <c r="M32" s="1"/>
    </row>
    <row r="33" spans="3:9" x14ac:dyDescent="0.2">
      <c r="F33" s="25" t="s">
        <v>119</v>
      </c>
      <c r="G33" s="1">
        <f>SUM(G28:G32)</f>
        <v>8267023.5999999996</v>
      </c>
      <c r="H33" s="1">
        <f>SUM(H28:H31)</f>
        <v>1068545.07</v>
      </c>
      <c r="I33" s="114">
        <f>SUM(G33:H33)</f>
        <v>9335568.6699999999</v>
      </c>
    </row>
    <row r="35" spans="3:9" x14ac:dyDescent="0.2">
      <c r="C35" s="26" t="s">
        <v>330</v>
      </c>
      <c r="D35" s="133">
        <f>D31-D36</f>
        <v>688918.55999999866</v>
      </c>
    </row>
    <row r="36" spans="3:9" x14ac:dyDescent="0.2">
      <c r="C36" s="134" t="s">
        <v>328</v>
      </c>
      <c r="D36" s="133">
        <v>8955942.1600000001</v>
      </c>
      <c r="E36" s="97" t="s">
        <v>315</v>
      </c>
      <c r="F36" s="1"/>
      <c r="G36" s="1"/>
    </row>
    <row r="37" spans="3:9" x14ac:dyDescent="0.2">
      <c r="C37" s="134" t="s">
        <v>329</v>
      </c>
      <c r="D37" s="135">
        <v>374868.42</v>
      </c>
      <c r="E37" s="97" t="s">
        <v>315</v>
      </c>
      <c r="F37" s="1"/>
      <c r="G37" s="1"/>
    </row>
    <row r="38" spans="3:9" x14ac:dyDescent="0.2">
      <c r="D38" s="136">
        <f>SUM(D36:D37)</f>
        <v>9330810.5800000001</v>
      </c>
      <c r="G38" s="1"/>
    </row>
    <row r="39" spans="3:9" x14ac:dyDescent="0.2">
      <c r="G39" s="1"/>
    </row>
    <row r="40" spans="3:9" x14ac:dyDescent="0.2">
      <c r="G40" s="1"/>
    </row>
  </sheetData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3:H53"/>
  <sheetViews>
    <sheetView tabSelected="1" topLeftCell="A10" workbookViewId="0">
      <selection activeCell="I28" sqref="I28"/>
    </sheetView>
  </sheetViews>
  <sheetFormatPr baseColWidth="10" defaultColWidth="11.42578125" defaultRowHeight="12.75" x14ac:dyDescent="0.2"/>
  <cols>
    <col min="1" max="1" width="16.42578125" customWidth="1"/>
    <col min="2" max="4" width="11.42578125" customWidth="1"/>
    <col min="5" max="5" width="15.42578125" customWidth="1"/>
    <col min="6" max="7" width="11.42578125" customWidth="1"/>
    <col min="8" max="8" width="5.42578125" customWidth="1"/>
  </cols>
  <sheetData>
    <row r="13" spans="2:8" x14ac:dyDescent="0.2">
      <c r="B13" s="19"/>
      <c r="C13" s="19"/>
      <c r="D13" s="19"/>
      <c r="E13" s="19"/>
      <c r="F13" s="19"/>
      <c r="G13" s="19"/>
      <c r="H13" s="19"/>
    </row>
    <row r="14" spans="2:8" ht="26.25" x14ac:dyDescent="0.4">
      <c r="G14" s="20" t="s">
        <v>76</v>
      </c>
    </row>
    <row r="16" spans="2:8" ht="26.25" x14ac:dyDescent="0.4">
      <c r="G16" s="20" t="s">
        <v>77</v>
      </c>
    </row>
    <row r="18" spans="5:7" ht="18" x14ac:dyDescent="0.25">
      <c r="E18" s="21"/>
      <c r="G18" s="57" t="str">
        <f>+'Dades globals'!A1</f>
        <v>A 30 de juny de 2025</v>
      </c>
    </row>
    <row r="31" spans="5:7" ht="18" x14ac:dyDescent="0.25">
      <c r="G31" s="21" t="str">
        <f>'Dades globals'!A8</f>
        <v>Servei de comptabilitat i gestió pressupostària</v>
      </c>
    </row>
    <row r="32" spans="5:7" ht="18" x14ac:dyDescent="0.25">
      <c r="G32" s="21" t="s">
        <v>78</v>
      </c>
    </row>
    <row r="48" spans="3:3" x14ac:dyDescent="0.2">
      <c r="C48" s="1"/>
    </row>
    <row r="53" spans="2:8" x14ac:dyDescent="0.2">
      <c r="B53" s="22"/>
      <c r="C53" s="22"/>
      <c r="D53" s="22"/>
      <c r="E53" s="22"/>
      <c r="F53" s="22"/>
      <c r="G53" s="22"/>
      <c r="H53" s="22"/>
    </row>
  </sheetData>
  <sheetProtection selectLockedCells="1" selectUnlockedCells="1"/>
  <phoneticPr fontId="0" type="noConversion"/>
  <pageMargins left="0.39370078740157483" right="0.19685039370078741" top="0.59055118110236227" bottom="0.59055118110236227" header="0" footer="0.51181102362204722"/>
  <pageSetup paperSize="9" firstPageNumber="0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8"/>
  <sheetViews>
    <sheetView workbookViewId="0">
      <selection activeCell="A7" sqref="A7"/>
    </sheetView>
  </sheetViews>
  <sheetFormatPr baseColWidth="10" defaultColWidth="11.42578125" defaultRowHeight="12.75" x14ac:dyDescent="0.2"/>
  <sheetData>
    <row r="1" spans="1:2" ht="15.75" x14ac:dyDescent="0.25">
      <c r="A1" s="23" t="s">
        <v>316</v>
      </c>
    </row>
    <row r="2" spans="1:2" ht="15.75" x14ac:dyDescent="0.25">
      <c r="A2" s="23" t="s">
        <v>317</v>
      </c>
    </row>
    <row r="3" spans="1:2" ht="15.75" x14ac:dyDescent="0.25">
      <c r="A3" s="23" t="s">
        <v>318</v>
      </c>
    </row>
    <row r="4" spans="1:2" ht="15.75" x14ac:dyDescent="0.25">
      <c r="A4" s="24" t="s">
        <v>319</v>
      </c>
    </row>
    <row r="5" spans="1:2" ht="15.75" x14ac:dyDescent="0.25">
      <c r="A5" s="23" t="s">
        <v>320</v>
      </c>
    </row>
    <row r="6" spans="1:2" ht="15.75" x14ac:dyDescent="0.25">
      <c r="A6" s="24" t="s">
        <v>321</v>
      </c>
    </row>
    <row r="7" spans="1:2" ht="15.75" x14ac:dyDescent="0.25">
      <c r="A7" s="23" t="s">
        <v>191</v>
      </c>
      <c r="B7" s="50">
        <v>0.5</v>
      </c>
    </row>
    <row r="8" spans="1:2" ht="15.75" x14ac:dyDescent="0.25">
      <c r="A8" s="24" t="s">
        <v>257</v>
      </c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:O48"/>
  <sheetViews>
    <sheetView zoomScaleNormal="100" workbookViewId="0">
      <selection activeCell="D11" sqref="D11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5.42578125" style="1" customWidth="1"/>
    <col min="6" max="6" width="8.85546875" style="1" customWidth="1"/>
    <col min="7" max="7" width="13.42578125" style="1" customWidth="1"/>
    <col min="8" max="8" width="8.85546875" style="1" customWidth="1"/>
    <col min="9" max="9" width="11.42578125" style="6" customWidth="1"/>
    <col min="10" max="13" width="11.42578125" customWidth="1"/>
    <col min="14" max="14" width="11.42578125" style="2" customWidth="1"/>
  </cols>
  <sheetData>
    <row r="1" spans="3:15" x14ac:dyDescent="0.2">
      <c r="L1" t="s">
        <v>197</v>
      </c>
      <c r="M1" s="2">
        <v>0</v>
      </c>
    </row>
    <row r="2" spans="3:15" x14ac:dyDescent="0.2">
      <c r="L2" t="s">
        <v>191</v>
      </c>
      <c r="M2" s="2">
        <f>+'Dades globals'!B7</f>
        <v>0.5</v>
      </c>
    </row>
    <row r="4" spans="3:15" x14ac:dyDescent="0.2">
      <c r="M4" t="s">
        <v>192</v>
      </c>
      <c r="N4" s="2" t="s">
        <v>195</v>
      </c>
    </row>
    <row r="5" spans="3:15" ht="15.75" x14ac:dyDescent="0.25">
      <c r="D5" s="7" t="s">
        <v>46</v>
      </c>
      <c r="L5" t="s">
        <v>193</v>
      </c>
      <c r="M5" s="2">
        <f>H18</f>
        <v>0.2097602017199513</v>
      </c>
      <c r="N5" s="2">
        <f>MIN(M5*O7,N7)</f>
        <v>0.2097602017199513</v>
      </c>
    </row>
    <row r="6" spans="3:15" s="1" customFormat="1" ht="15.75" x14ac:dyDescent="0.25">
      <c r="C6"/>
      <c r="D6" s="7" t="str">
        <f>'Dades globals'!A5</f>
        <v>PRESSUPOST A 30/06/2025</v>
      </c>
      <c r="I6" s="6"/>
      <c r="L6" s="36" t="s">
        <v>194</v>
      </c>
      <c r="M6" s="2">
        <f>IF(M5&gt;$M$2,0,$M$2-M5)</f>
        <v>0.2902397982800487</v>
      </c>
      <c r="N6" s="2">
        <f>M6*O7</f>
        <v>0.2902397982800487</v>
      </c>
    </row>
    <row r="7" spans="3:15" s="1" customFormat="1" ht="15.75" x14ac:dyDescent="0.25">
      <c r="C7"/>
      <c r="D7" s="7" t="s">
        <v>259</v>
      </c>
      <c r="I7" s="6"/>
      <c r="M7" s="2">
        <f>M2</f>
        <v>0.5</v>
      </c>
      <c r="N7" s="2">
        <v>0.5</v>
      </c>
      <c r="O7" s="1">
        <f>N7/M7</f>
        <v>1</v>
      </c>
    </row>
    <row r="8" spans="3:15" s="1" customFormat="1" ht="16.5" thickBot="1" x14ac:dyDescent="0.3">
      <c r="C8"/>
      <c r="D8" s="7"/>
      <c r="I8" s="6"/>
      <c r="N8" s="2"/>
    </row>
    <row r="9" spans="3:15" s="1" customFormat="1" ht="39" thickBot="1" x14ac:dyDescent="0.25">
      <c r="C9" s="9"/>
      <c r="D9" s="10" t="s">
        <v>187</v>
      </c>
      <c r="E9" s="10" t="s">
        <v>188</v>
      </c>
      <c r="F9" s="11" t="s">
        <v>189</v>
      </c>
      <c r="I9" s="6"/>
      <c r="N9" s="2"/>
    </row>
    <row r="10" spans="3:15" s="1" customFormat="1" ht="30" customHeight="1" thickBot="1" x14ac:dyDescent="0.25">
      <c r="C10" s="38" t="s">
        <v>190</v>
      </c>
      <c r="D10" s="39">
        <f>D18</f>
        <v>406698944.13000005</v>
      </c>
      <c r="E10" s="39">
        <f>CREDDEF!C12</f>
        <v>390480518.49000001</v>
      </c>
      <c r="F10" s="40">
        <f>(D10-E10)/E10</f>
        <v>4.1534532126512196E-2</v>
      </c>
      <c r="I10" s="6"/>
      <c r="M10" s="1" t="s">
        <v>196</v>
      </c>
      <c r="N10" s="2" t="s">
        <v>195</v>
      </c>
    </row>
    <row r="11" spans="3:15" s="1" customFormat="1" ht="16.5" thickTop="1" x14ac:dyDescent="0.25">
      <c r="C11"/>
      <c r="D11" s="7"/>
      <c r="I11" s="6"/>
      <c r="L11" t="s">
        <v>193</v>
      </c>
      <c r="M11" s="2">
        <f>F20</f>
        <v>0.40225948535015693</v>
      </c>
      <c r="N11" s="2">
        <f>MIN(M11*O13,N13)</f>
        <v>0.40225948535015693</v>
      </c>
    </row>
    <row r="12" spans="3:15" s="1" customFormat="1" ht="16.5" thickBot="1" x14ac:dyDescent="0.3">
      <c r="C12"/>
      <c r="D12" s="7"/>
      <c r="I12" s="6"/>
      <c r="L12" s="36" t="s">
        <v>194</v>
      </c>
      <c r="M12" s="2">
        <f>IF(M11&gt;$M$2,0,$M$2-M11)</f>
        <v>9.7740514649843069E-2</v>
      </c>
      <c r="N12" s="2">
        <f>M12*O13</f>
        <v>9.7740514649843069E-2</v>
      </c>
    </row>
    <row r="13" spans="3:15" s="8" customFormat="1" ht="39" thickBot="1" x14ac:dyDescent="0.25">
      <c r="C13" s="9" t="s">
        <v>19</v>
      </c>
      <c r="D13" s="10" t="s">
        <v>138</v>
      </c>
      <c r="E13" s="10" t="s">
        <v>268</v>
      </c>
      <c r="F13" s="11" t="s">
        <v>103</v>
      </c>
      <c r="G13" s="10" t="s">
        <v>272</v>
      </c>
      <c r="H13" s="11" t="s">
        <v>104</v>
      </c>
      <c r="M13" s="37">
        <f>M2</f>
        <v>0.5</v>
      </c>
      <c r="N13" s="37">
        <f>N7</f>
        <v>0.5</v>
      </c>
      <c r="O13" s="1">
        <f>N13/M13</f>
        <v>1</v>
      </c>
    </row>
    <row r="14" spans="3:15" s="6" customFormat="1" x14ac:dyDescent="0.2">
      <c r="C14" s="12" t="s">
        <v>15</v>
      </c>
      <c r="D14" s="13">
        <f>DESPCAPITOL!E11</f>
        <v>375308047.20000005</v>
      </c>
      <c r="E14" s="13">
        <f>INGRCAPITOL!F11</f>
        <v>84901732.819999993</v>
      </c>
      <c r="F14" s="14">
        <f>E14/$D14</f>
        <v>0.22621879134596926</v>
      </c>
      <c r="G14" s="13">
        <f>DESPCAPITOL!L11</f>
        <v>74311001.650000021</v>
      </c>
      <c r="H14" s="14">
        <f>G14/$D14</f>
        <v>0.19800002212689036</v>
      </c>
    </row>
    <row r="15" spans="3:15" s="6" customFormat="1" x14ac:dyDescent="0.2">
      <c r="C15" s="12" t="s">
        <v>32</v>
      </c>
      <c r="D15" s="13">
        <f>DESPCAPITOL!E31</f>
        <v>24232800.890000001</v>
      </c>
      <c r="E15" s="13">
        <f>INGRCAPITOL!F31</f>
        <v>304650.87</v>
      </c>
      <c r="F15" s="14">
        <f>E15/$D15</f>
        <v>1.2571838946017931E-2</v>
      </c>
      <c r="G15" s="13">
        <f>DESPCAPITOL!L31</f>
        <v>7756328.9899999993</v>
      </c>
      <c r="H15" s="14">
        <f>G15/$D15</f>
        <v>0.32007562911148069</v>
      </c>
    </row>
    <row r="16" spans="3:15" s="6" customFormat="1" x14ac:dyDescent="0.2">
      <c r="C16" s="12" t="s">
        <v>135</v>
      </c>
      <c r="D16" s="13">
        <f>DESPCAPITOL!E21</f>
        <v>14088096.039999999</v>
      </c>
      <c r="E16" s="13">
        <f>INGRCAPITOL!F21</f>
        <v>1068287.71</v>
      </c>
      <c r="F16" s="14">
        <f>E16/$D16</f>
        <v>7.5829104725495616E-2</v>
      </c>
      <c r="G16" s="13">
        <f>DESPCAPITOL!L21</f>
        <v>3241921.9200000004</v>
      </c>
      <c r="H16" s="14">
        <f>G16/$D16</f>
        <v>0.23011781796456299</v>
      </c>
    </row>
    <row r="17" spans="3:8" s="6" customFormat="1" ht="13.5" thickBot="1" x14ac:dyDescent="0.25">
      <c r="C17" s="12" t="s">
        <v>136</v>
      </c>
      <c r="D17" s="13">
        <f>-DESPCAPITOL!E41</f>
        <v>-6930000</v>
      </c>
      <c r="E17" s="13">
        <f>-INGRCAPITOL!F41</f>
        <v>0</v>
      </c>
      <c r="F17" s="14">
        <f>E17/$D17</f>
        <v>0</v>
      </c>
      <c r="G17" s="13">
        <f>-DESPCAPITOL!L41</f>
        <v>0</v>
      </c>
      <c r="H17" s="14">
        <f>G17/$D17</f>
        <v>0</v>
      </c>
    </row>
    <row r="18" spans="3:8" s="6" customFormat="1" ht="13.5" thickBot="1" x14ac:dyDescent="0.25">
      <c r="C18" s="15" t="s">
        <v>137</v>
      </c>
      <c r="D18" s="16">
        <f>SUM(D14:D17)</f>
        <v>406698944.13000005</v>
      </c>
      <c r="E18" s="16">
        <f>SUM(E14:E17)</f>
        <v>86274671.399999991</v>
      </c>
      <c r="F18" s="18">
        <f>E18/D18</f>
        <v>0.21213399406422495</v>
      </c>
      <c r="G18" s="16">
        <f>SUM(G14:G17)</f>
        <v>85309252.560000017</v>
      </c>
      <c r="H18" s="18">
        <f>G18/D18</f>
        <v>0.2097602017199513</v>
      </c>
    </row>
    <row r="19" spans="3:8" ht="13.5" thickBot="1" x14ac:dyDescent="0.25">
      <c r="C19" s="60" t="s">
        <v>200</v>
      </c>
      <c r="D19" s="61">
        <f>INGRCAPITOL!E58</f>
        <v>192223774.38999996</v>
      </c>
      <c r="E19" s="61">
        <v>0</v>
      </c>
      <c r="F19" s="14">
        <f>E19/$D19</f>
        <v>0</v>
      </c>
    </row>
    <row r="20" spans="3:8" ht="13.5" thickBot="1" x14ac:dyDescent="0.25">
      <c r="C20" s="15" t="s">
        <v>260</v>
      </c>
      <c r="D20" s="16">
        <f>D18-D19</f>
        <v>214475169.7400001</v>
      </c>
      <c r="E20" s="16">
        <f>E18-E19</f>
        <v>86274671.399999991</v>
      </c>
      <c r="F20" s="18">
        <f>E20/D20</f>
        <v>0.40225948535015693</v>
      </c>
    </row>
    <row r="42" spans="3:8" s="6" customFormat="1" x14ac:dyDescent="0.2">
      <c r="C42"/>
      <c r="D42"/>
      <c r="E42" s="1"/>
      <c r="F42" s="1"/>
      <c r="G42" s="1"/>
      <c r="H42" s="1"/>
    </row>
    <row r="48" spans="3:8" x14ac:dyDescent="0.2">
      <c r="C48" s="1"/>
    </row>
  </sheetData>
  <sheetProtection selectLockedCells="1" selectUnlockedCells="1"/>
  <pageMargins left="0.39370078740157483" right="0.23622047244094491" top="0.59055118110236227" bottom="0.74803149606299213" header="0.31496062992125984" footer="0.59055118110236227"/>
  <pageSetup paperSize="9" scale="85" firstPageNumber="0" orientation="portrait" r:id="rId1"/>
  <headerFooter alignWithMargins="0">
    <oddFooter>&amp;CServei de comptabilitat i gestió pressupostària | Intervenció&amp;R1</oddFooter>
  </headerFooter>
  <ignoredErrors>
    <ignoredError sqref="G14:G17 F18:F19" formula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4:N48"/>
  <sheetViews>
    <sheetView zoomScaleNormal="100" workbookViewId="0">
      <selection activeCell="J26" sqref="J26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4.7109375" customWidth="1"/>
    <col min="5" max="5" width="15.42578125" style="1" customWidth="1"/>
    <col min="6" max="6" width="8.85546875" style="1" customWidth="1"/>
    <col min="7" max="7" width="13.42578125" style="1" customWidth="1"/>
    <col min="8" max="8" width="8.85546875" style="1" customWidth="1"/>
    <col min="9" max="9" width="11.42578125" style="6" customWidth="1"/>
  </cols>
  <sheetData>
    <row r="4" spans="3:14" x14ac:dyDescent="0.2">
      <c r="K4" t="s">
        <v>197</v>
      </c>
      <c r="L4" s="2">
        <v>0</v>
      </c>
    </row>
    <row r="5" spans="3:14" ht="15.75" x14ac:dyDescent="0.25">
      <c r="D5" s="7" t="s">
        <v>46</v>
      </c>
      <c r="K5" t="s">
        <v>191</v>
      </c>
      <c r="L5" s="2">
        <f>+'Dades globals'!B7</f>
        <v>0.5</v>
      </c>
    </row>
    <row r="6" spans="3:14" s="1" customFormat="1" ht="15.75" x14ac:dyDescent="0.25">
      <c r="C6"/>
      <c r="D6" s="7" t="str">
        <f>'Dades globals'!A5</f>
        <v>PRESSUPOST A 30/06/2025</v>
      </c>
      <c r="I6" s="6"/>
    </row>
    <row r="7" spans="3:14" s="1" customFormat="1" ht="15.75" x14ac:dyDescent="0.25">
      <c r="C7"/>
      <c r="D7" s="7" t="s">
        <v>198</v>
      </c>
      <c r="I7" s="6"/>
      <c r="L7" s="1" t="s">
        <v>196</v>
      </c>
      <c r="M7" s="1" t="s">
        <v>195</v>
      </c>
    </row>
    <row r="8" spans="3:14" s="1" customFormat="1" ht="16.5" thickBot="1" x14ac:dyDescent="0.3">
      <c r="C8"/>
      <c r="D8" s="7"/>
      <c r="I8" s="6"/>
      <c r="K8" s="1" t="s">
        <v>193</v>
      </c>
      <c r="L8" s="2">
        <f>F19</f>
        <v>0.40225948535015704</v>
      </c>
      <c r="M8" s="2">
        <f>L8*N$10</f>
        <v>0.40225948535015704</v>
      </c>
    </row>
    <row r="9" spans="3:14" s="1" customFormat="1" ht="39" customHeight="1" thickBot="1" x14ac:dyDescent="0.25">
      <c r="C9" s="9"/>
      <c r="D9" s="10" t="s">
        <v>205</v>
      </c>
      <c r="E9" s="10" t="s">
        <v>188</v>
      </c>
      <c r="F9" s="11" t="s">
        <v>189</v>
      </c>
      <c r="I9" s="6"/>
      <c r="K9" s="1" t="s">
        <v>194</v>
      </c>
      <c r="L9" s="2">
        <f>L10-L8</f>
        <v>9.7740514649842958E-2</v>
      </c>
      <c r="M9" s="2">
        <f>L9*N$10</f>
        <v>9.7740514649842958E-2</v>
      </c>
    </row>
    <row r="10" spans="3:14" s="1" customFormat="1" ht="30" customHeight="1" thickBot="1" x14ac:dyDescent="0.25">
      <c r="C10" s="38" t="s">
        <v>204</v>
      </c>
      <c r="D10" s="39">
        <f>FINANÇAMENT!B9-FINANÇAMENT!B8</f>
        <v>214475169.74000004</v>
      </c>
      <c r="E10" s="39">
        <f>FINANÇAMENT!C9-FINANÇAMENT!C8</f>
        <v>201133193</v>
      </c>
      <c r="F10" s="40">
        <f>(D10-E10)/E10</f>
        <v>6.6334037365975887E-2</v>
      </c>
      <c r="I10" s="6"/>
      <c r="K10" s="8"/>
      <c r="L10" s="37">
        <f>L5</f>
        <v>0.5</v>
      </c>
      <c r="M10" s="37">
        <v>0.5</v>
      </c>
      <c r="N10" s="44">
        <f>M10/L10</f>
        <v>1</v>
      </c>
    </row>
    <row r="11" spans="3:14" s="1" customFormat="1" ht="16.5" thickTop="1" x14ac:dyDescent="0.25">
      <c r="C11"/>
      <c r="D11" s="7"/>
      <c r="I11" s="6"/>
      <c r="K11" s="6"/>
      <c r="L11" s="6"/>
      <c r="M11" s="6"/>
      <c r="N11" s="6"/>
    </row>
    <row r="12" spans="3:14" s="1" customFormat="1" ht="16.5" thickBot="1" x14ac:dyDescent="0.3">
      <c r="C12"/>
      <c r="D12" s="7"/>
      <c r="I12" s="6"/>
      <c r="K12" s="6"/>
      <c r="L12" s="6"/>
      <c r="M12" s="6"/>
      <c r="N12" s="6"/>
    </row>
    <row r="13" spans="3:14" s="8" customFormat="1" ht="26.25" thickBot="1" x14ac:dyDescent="0.25">
      <c r="C13" s="9" t="s">
        <v>19</v>
      </c>
      <c r="D13" s="10" t="s">
        <v>36</v>
      </c>
      <c r="E13" s="10" t="s">
        <v>268</v>
      </c>
      <c r="F13" s="11" t="s">
        <v>208</v>
      </c>
      <c r="G13" s="10" t="s">
        <v>199</v>
      </c>
      <c r="H13" s="11" t="s">
        <v>209</v>
      </c>
      <c r="K13" s="6"/>
      <c r="L13" s="6" t="s">
        <v>201</v>
      </c>
      <c r="M13" s="6" t="s">
        <v>195</v>
      </c>
      <c r="N13" s="6"/>
    </row>
    <row r="14" spans="3:14" s="6" customFormat="1" x14ac:dyDescent="0.2">
      <c r="C14" s="12" t="s">
        <v>15</v>
      </c>
      <c r="D14" s="13">
        <f>INGRCAPITOL!E11</f>
        <v>375308047.19999999</v>
      </c>
      <c r="E14" s="13">
        <f>INGRCAPITOL!F11</f>
        <v>84901732.819999993</v>
      </c>
      <c r="F14" s="14">
        <f>E14/$D14</f>
        <v>0.22621879134596928</v>
      </c>
      <c r="G14" s="13">
        <f>INGRCAPITOL!H11</f>
        <v>84546715.539999977</v>
      </c>
      <c r="H14" s="14">
        <f>G14/$E14</f>
        <v>0.99581849194111638</v>
      </c>
      <c r="K14" s="6" t="s">
        <v>193</v>
      </c>
      <c r="L14" s="6">
        <f>H19</f>
        <v>0.99578363436108086</v>
      </c>
      <c r="M14" s="6">
        <f>L14*N$16</f>
        <v>0.49789181718054043</v>
      </c>
    </row>
    <row r="15" spans="3:14" s="6" customFormat="1" x14ac:dyDescent="0.2">
      <c r="C15" s="12" t="s">
        <v>32</v>
      </c>
      <c r="D15" s="13">
        <f>INGRCAPITOL!E31</f>
        <v>24232800.890000001</v>
      </c>
      <c r="E15" s="13">
        <f>INGRCAPITOL!F31</f>
        <v>304650.87</v>
      </c>
      <c r="F15" s="14">
        <f>E15/$D15</f>
        <v>1.2571838946017931E-2</v>
      </c>
      <c r="G15" s="13">
        <f>INGRCAPITOL!H31</f>
        <v>304650.87</v>
      </c>
      <c r="H15" s="14">
        <f>G15/$E15</f>
        <v>1</v>
      </c>
      <c r="K15" s="6" t="s">
        <v>194</v>
      </c>
      <c r="L15" s="6">
        <f>L16-L14</f>
        <v>4.2163656389191395E-3</v>
      </c>
      <c r="M15" s="6">
        <f>L15*N$16</f>
        <v>2.1081828194595698E-3</v>
      </c>
    </row>
    <row r="16" spans="3:14" s="6" customFormat="1" x14ac:dyDescent="0.2">
      <c r="C16" s="12" t="s">
        <v>135</v>
      </c>
      <c r="D16" s="13">
        <f>INGRCAPITOL!E21</f>
        <v>14088096.039999999</v>
      </c>
      <c r="E16" s="13">
        <f>INGRCAPITOL!F21</f>
        <v>1068287.71</v>
      </c>
      <c r="F16" s="14">
        <f>E16/$D16</f>
        <v>7.5829104725495616E-2</v>
      </c>
      <c r="G16" s="13">
        <f>INGRCAPITOL!H21</f>
        <v>1059539.43</v>
      </c>
      <c r="H16" s="14">
        <f>G16/$E16</f>
        <v>0.99181093265596021</v>
      </c>
      <c r="L16" s="6">
        <v>1</v>
      </c>
      <c r="M16" s="6">
        <v>0.5</v>
      </c>
      <c r="N16" s="43">
        <f>M16/L16</f>
        <v>0.5</v>
      </c>
    </row>
    <row r="17" spans="3:14" s="6" customFormat="1" x14ac:dyDescent="0.2">
      <c r="C17" s="12" t="s">
        <v>136</v>
      </c>
      <c r="D17" s="13">
        <f>-INGRCAPITOL!E35</f>
        <v>-6930000</v>
      </c>
      <c r="E17" s="13">
        <f>-INGRCAPITOL!F41</f>
        <v>0</v>
      </c>
      <c r="F17" s="14">
        <f>E17/$D17</f>
        <v>0</v>
      </c>
      <c r="G17" s="13">
        <f>-INGRCAPITOL!H41</f>
        <v>0</v>
      </c>
      <c r="H17" s="14">
        <f>IF(G17&lt;&gt;0,G17/$E17,0)</f>
        <v>0</v>
      </c>
      <c r="K17"/>
      <c r="L17"/>
      <c r="M17"/>
      <c r="N17"/>
    </row>
    <row r="18" spans="3:14" s="6" customFormat="1" ht="13.5" thickBot="1" x14ac:dyDescent="0.25">
      <c r="C18" s="12" t="s">
        <v>200</v>
      </c>
      <c r="D18" s="13">
        <f>-INGRCAPITOL!E58</f>
        <v>-192223774.38999996</v>
      </c>
      <c r="E18" s="41"/>
      <c r="F18" s="42"/>
      <c r="G18" s="41"/>
      <c r="H18" s="42"/>
      <c r="K18"/>
      <c r="L18"/>
      <c r="M18"/>
      <c r="N18"/>
    </row>
    <row r="19" spans="3:14" s="6" customFormat="1" ht="13.5" thickBot="1" x14ac:dyDescent="0.25">
      <c r="C19" s="15" t="s">
        <v>137</v>
      </c>
      <c r="D19" s="16">
        <f>SUM(D14:D18)</f>
        <v>214475169.74000004</v>
      </c>
      <c r="E19" s="16">
        <f>SUM(E14:E17)</f>
        <v>86274671.399999991</v>
      </c>
      <c r="F19" s="18">
        <f>E19/D19</f>
        <v>0.40225948535015704</v>
      </c>
      <c r="G19" s="16">
        <f>SUM(G14:G17)</f>
        <v>85910905.839999989</v>
      </c>
      <c r="H19" s="18">
        <f>G19/E19</f>
        <v>0.99578363436108086</v>
      </c>
      <c r="K19"/>
      <c r="L19"/>
      <c r="M19"/>
      <c r="N19"/>
    </row>
    <row r="40" spans="3:14" x14ac:dyDescent="0.2">
      <c r="K40" s="6"/>
      <c r="L40" s="6"/>
      <c r="M40" s="6"/>
      <c r="N40" s="6"/>
    </row>
    <row r="43" spans="3:14" s="6" customFormat="1" x14ac:dyDescent="0.2">
      <c r="C43"/>
      <c r="D43"/>
      <c r="E43" s="1"/>
      <c r="F43" s="1"/>
      <c r="G43" s="1"/>
      <c r="H43" s="1"/>
      <c r="K43"/>
      <c r="L43"/>
      <c r="M43"/>
      <c r="N43"/>
    </row>
    <row r="48" spans="3:14" x14ac:dyDescent="0.2">
      <c r="C48" s="1"/>
    </row>
  </sheetData>
  <sheetProtection selectLockedCells="1" selectUnlockedCells="1"/>
  <pageMargins left="0.39370078740157483" right="0.23622047244094491" top="0.59055118110236227" bottom="0.74803149606299213" header="0.31496062992125984" footer="0.59055118110236227"/>
  <pageSetup paperSize="9" scale="84" firstPageNumber="0" orientation="portrait" r:id="rId1"/>
  <headerFooter alignWithMargins="0">
    <oddFooter>&amp;CServei de comptabilitat i gestió pressupostària | Intervenció&amp;R2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C5:H7"/>
  <sheetViews>
    <sheetView topLeftCell="A12" zoomScaleNormal="100" workbookViewId="0">
      <selection activeCell="I28" sqref="I28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11.710937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globals'!A4</f>
        <v>RESUM EXECUCIÓ A 30/06/2025</v>
      </c>
    </row>
    <row r="7" spans="4:4" ht="15.75" x14ac:dyDescent="0.25">
      <c r="D7" s="7" t="s">
        <v>264</v>
      </c>
    </row>
  </sheetData>
  <pageMargins left="0.39370078740157483" right="0.23622047244094491" top="0.59055118110236227" bottom="0.74803149606299213" header="0.31496062992125984" footer="0.59055118110236227"/>
  <pageSetup paperSize="9" scale="86" firstPageNumber="0" orientation="portrait" r:id="rId1"/>
  <headerFooter alignWithMargins="0">
    <oddFooter>&amp;CServei de comptabilitat i gestió pressupostària | Intervenció&amp;R3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N21"/>
  <sheetViews>
    <sheetView zoomScale="85" zoomScaleNormal="85" workbookViewId="0">
      <selection activeCell="A39" sqref="A39"/>
    </sheetView>
  </sheetViews>
  <sheetFormatPr baseColWidth="10" defaultColWidth="9.140625" defaultRowHeight="12.75" x14ac:dyDescent="0.2"/>
  <cols>
    <col min="1" max="1" width="31.85546875" customWidth="1"/>
    <col min="2" max="2" width="16.42578125" style="1" customWidth="1"/>
    <col min="3" max="3" width="14.42578125" style="1" customWidth="1"/>
    <col min="4" max="4" width="16.140625" style="1" customWidth="1"/>
    <col min="5" max="5" width="19.7109375" style="1" customWidth="1"/>
    <col min="6" max="6" width="16.7109375" style="1" customWidth="1"/>
    <col min="7" max="7" width="19.42578125" style="1" customWidth="1"/>
    <col min="8" max="8" width="19.28515625" style="1" customWidth="1"/>
    <col min="9" max="9" width="14.28515625" style="106" bestFit="1" customWidth="1"/>
    <col min="10" max="10" width="10.42578125" style="2" customWidth="1"/>
    <col min="11" max="11" width="13.5703125" style="1" customWidth="1"/>
    <col min="12" max="12" width="10.7109375" style="2" customWidth="1"/>
    <col min="13" max="13" width="13.42578125" style="1" customWidth="1"/>
    <col min="14" max="14" width="9.28515625" style="2" customWidth="1"/>
  </cols>
  <sheetData>
    <row r="1" spans="1:14" s="3" customForma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5" t="s">
        <v>11</v>
      </c>
      <c r="M1" s="4" t="s">
        <v>12</v>
      </c>
      <c r="N1" s="5" t="s">
        <v>13</v>
      </c>
    </row>
    <row r="2" spans="1:14" x14ac:dyDescent="0.2">
      <c r="A2" t="s">
        <v>300</v>
      </c>
      <c r="B2" s="152">
        <v>4482651.919999999</v>
      </c>
      <c r="C2" s="153">
        <v>426678.27</v>
      </c>
      <c r="D2" s="153">
        <v>4909330.1900000004</v>
      </c>
      <c r="E2" s="115">
        <v>3262375.879999999</v>
      </c>
      <c r="F2" s="115">
        <v>0</v>
      </c>
      <c r="G2" s="115">
        <v>0</v>
      </c>
      <c r="H2" s="115">
        <v>83818.52</v>
      </c>
      <c r="I2" s="1">
        <f t="shared" ref="I2:I9" si="0">H2+K2</f>
        <v>1730772.8300000005</v>
      </c>
      <c r="J2" s="2">
        <f t="shared" ref="J2:J14" si="1">I2/D2</f>
        <v>0.35254765171947017</v>
      </c>
      <c r="K2" s="153">
        <v>1646954.3100000005</v>
      </c>
      <c r="L2" s="2">
        <f t="shared" ref="L2:L14" si="2">K2/D2</f>
        <v>0.3354743409507765</v>
      </c>
      <c r="M2" s="153">
        <v>1646541.5200000005</v>
      </c>
      <c r="N2" s="2">
        <f t="shared" ref="N2:N14" si="3">M2/K2</f>
        <v>0.9997493615958295</v>
      </c>
    </row>
    <row r="3" spans="1:14" x14ac:dyDescent="0.2">
      <c r="A3" t="s">
        <v>301</v>
      </c>
      <c r="B3" s="154">
        <v>78792451.829999998</v>
      </c>
      <c r="C3" s="119">
        <v>79979172.710000038</v>
      </c>
      <c r="D3" s="119">
        <v>158771624.53999999</v>
      </c>
      <c r="E3" s="115">
        <v>132085166.68999992</v>
      </c>
      <c r="F3" s="115">
        <v>5853223.7599999998</v>
      </c>
      <c r="G3" s="115">
        <v>4205818.3600000003</v>
      </c>
      <c r="H3" s="115">
        <v>80026517.600000039</v>
      </c>
      <c r="I3" s="1">
        <f>H3+K3</f>
        <v>106712975.45000002</v>
      </c>
      <c r="J3" s="2">
        <f t="shared" si="1"/>
        <v>0.67211616533605079</v>
      </c>
      <c r="K3" s="119">
        <v>26686457.849999987</v>
      </c>
      <c r="L3" s="2">
        <f t="shared" si="2"/>
        <v>0.16808077594039328</v>
      </c>
      <c r="M3" s="119">
        <v>24767196.889999993</v>
      </c>
      <c r="N3" s="2">
        <f t="shared" si="3"/>
        <v>0.9280810900124763</v>
      </c>
    </row>
    <row r="4" spans="1:14" x14ac:dyDescent="0.2">
      <c r="A4" t="s">
        <v>302</v>
      </c>
      <c r="B4" s="154">
        <v>10186417.560000001</v>
      </c>
      <c r="C4" s="119">
        <v>23521431.310000002</v>
      </c>
      <c r="D4" s="119">
        <v>33707848.870000005</v>
      </c>
      <c r="E4" s="115">
        <v>24654843.039999984</v>
      </c>
      <c r="F4" s="115">
        <v>0</v>
      </c>
      <c r="G4" s="115">
        <v>7457555.2400000002</v>
      </c>
      <c r="H4" s="115">
        <v>7723655.54</v>
      </c>
      <c r="I4" s="1">
        <f t="shared" si="0"/>
        <v>16776661.369999997</v>
      </c>
      <c r="J4" s="2">
        <f t="shared" si="1"/>
        <v>0.49770786129669731</v>
      </c>
      <c r="K4" s="119">
        <v>9053005.8299999982</v>
      </c>
      <c r="L4" s="2">
        <f t="shared" si="2"/>
        <v>0.26857263615113619</v>
      </c>
      <c r="M4" s="119">
        <v>8277639.7499999953</v>
      </c>
      <c r="N4" s="2">
        <f t="shared" si="3"/>
        <v>0.9143526366203607</v>
      </c>
    </row>
    <row r="5" spans="1:14" x14ac:dyDescent="0.2">
      <c r="A5" t="s">
        <v>303</v>
      </c>
      <c r="B5" s="154">
        <v>23336567.410000004</v>
      </c>
      <c r="C5" s="119">
        <v>42629789.610000007</v>
      </c>
      <c r="D5" s="119">
        <v>65966357.019999988</v>
      </c>
      <c r="E5" s="115">
        <v>56100927.690000005</v>
      </c>
      <c r="F5" s="115">
        <v>0</v>
      </c>
      <c r="G5" s="115">
        <v>6159847.8200000003</v>
      </c>
      <c r="H5" s="115">
        <v>13200072.559999997</v>
      </c>
      <c r="I5" s="1">
        <f>H5+K5</f>
        <v>23065501.889999989</v>
      </c>
      <c r="J5" s="2">
        <f t="shared" si="1"/>
        <v>0.34965553551800477</v>
      </c>
      <c r="K5" s="119">
        <v>9865429.3299999926</v>
      </c>
      <c r="L5" s="2">
        <f t="shared" si="2"/>
        <v>0.14955243514522024</v>
      </c>
      <c r="M5" s="119">
        <v>7832231.3299999973</v>
      </c>
      <c r="N5" s="2">
        <f t="shared" si="3"/>
        <v>0.79390678986294083</v>
      </c>
    </row>
    <row r="6" spans="1:14" x14ac:dyDescent="0.2">
      <c r="A6" t="s">
        <v>304</v>
      </c>
      <c r="B6" s="154">
        <v>15441886.360000001</v>
      </c>
      <c r="C6" s="119">
        <v>10086048.210000001</v>
      </c>
      <c r="D6" s="119">
        <v>25527934.570000004</v>
      </c>
      <c r="E6" s="115">
        <v>21852941.050000004</v>
      </c>
      <c r="F6" s="115">
        <v>0</v>
      </c>
      <c r="G6" s="115">
        <v>323139.43</v>
      </c>
      <c r="H6" s="115">
        <v>5485267.8000000026</v>
      </c>
      <c r="I6" s="1">
        <f>H6+K6</f>
        <v>9160261.320000004</v>
      </c>
      <c r="J6" s="2">
        <f t="shared" si="1"/>
        <v>0.35883284230777479</v>
      </c>
      <c r="K6" s="119">
        <v>3674993.5200000009</v>
      </c>
      <c r="L6" s="2">
        <f t="shared" si="2"/>
        <v>0.1439596889408668</v>
      </c>
      <c r="M6" s="119">
        <v>3500368.7600000007</v>
      </c>
      <c r="N6" s="2">
        <f t="shared" si="3"/>
        <v>0.95248297471827914</v>
      </c>
    </row>
    <row r="7" spans="1:14" x14ac:dyDescent="0.2">
      <c r="A7" t="s">
        <v>305</v>
      </c>
      <c r="B7" s="154">
        <v>5921619.3899999987</v>
      </c>
      <c r="C7" s="119">
        <v>3975552.1599999997</v>
      </c>
      <c r="D7" s="119">
        <v>9897171.5499999989</v>
      </c>
      <c r="E7" s="115">
        <v>7926049.4700000016</v>
      </c>
      <c r="F7" s="115">
        <v>0</v>
      </c>
      <c r="G7" s="115">
        <v>691334.25</v>
      </c>
      <c r="H7" s="115">
        <v>2482507.08</v>
      </c>
      <c r="I7" s="1">
        <f>H7+K7</f>
        <v>4453629.16</v>
      </c>
      <c r="J7" s="2">
        <f t="shared" si="1"/>
        <v>0.44999009439217014</v>
      </c>
      <c r="K7" s="119">
        <v>1971122.08</v>
      </c>
      <c r="L7" s="2">
        <f t="shared" si="2"/>
        <v>0.19916014085862746</v>
      </c>
      <c r="M7" s="119">
        <v>1812747.1</v>
      </c>
      <c r="N7" s="2">
        <f t="shared" si="3"/>
        <v>0.9196523738397776</v>
      </c>
    </row>
    <row r="8" spans="1:14" x14ac:dyDescent="0.2">
      <c r="A8" t="s">
        <v>14</v>
      </c>
      <c r="B8" s="155">
        <f>19539102.43-6930000</f>
        <v>12609102.43</v>
      </c>
      <c r="C8" s="119">
        <v>-409979.14000000007</v>
      </c>
      <c r="D8" s="156">
        <f>19129123.29-6930000</f>
        <v>12199123.289999999</v>
      </c>
      <c r="E8" s="115">
        <v>16062419.17</v>
      </c>
      <c r="F8" s="115">
        <v>0</v>
      </c>
      <c r="G8" s="115">
        <v>639</v>
      </c>
      <c r="H8" s="115">
        <v>220349.22000000003</v>
      </c>
      <c r="I8" s="1">
        <f t="shared" si="0"/>
        <v>3287053.3400000017</v>
      </c>
      <c r="J8" s="2">
        <f t="shared" si="1"/>
        <v>0.26944996471135768</v>
      </c>
      <c r="K8" s="119">
        <v>3066704.1200000015</v>
      </c>
      <c r="L8" s="2">
        <f t="shared" si="2"/>
        <v>0.2513872552229941</v>
      </c>
      <c r="M8" s="119">
        <v>3031409.4800000009</v>
      </c>
      <c r="N8" s="2">
        <f t="shared" si="3"/>
        <v>0.9884910188205569</v>
      </c>
    </row>
    <row r="9" spans="1:14" x14ac:dyDescent="0.2">
      <c r="A9" t="s">
        <v>306</v>
      </c>
      <c r="B9" s="154">
        <v>34102397.929999992</v>
      </c>
      <c r="C9" s="119">
        <v>11220057.890000001</v>
      </c>
      <c r="D9" s="119">
        <v>45322455.82</v>
      </c>
      <c r="E9" s="115">
        <v>29586365.310000017</v>
      </c>
      <c r="F9" s="115">
        <v>0</v>
      </c>
      <c r="G9" s="115">
        <v>2306912.5699999998</v>
      </c>
      <c r="H9" s="115">
        <v>2813007.4700000007</v>
      </c>
      <c r="I9" s="1">
        <f t="shared" si="0"/>
        <v>18549097.979999997</v>
      </c>
      <c r="J9" s="2">
        <f t="shared" si="1"/>
        <v>0.40926948119644052</v>
      </c>
      <c r="K9" s="119">
        <v>15736090.509999998</v>
      </c>
      <c r="L9" s="2">
        <f t="shared" si="2"/>
        <v>0.34720295326662193</v>
      </c>
      <c r="M9" s="119">
        <v>15240611.520000005</v>
      </c>
      <c r="N9" s="2">
        <f t="shared" si="3"/>
        <v>0.96851320919353345</v>
      </c>
    </row>
    <row r="10" spans="1:14" x14ac:dyDescent="0.2">
      <c r="A10" t="s">
        <v>307</v>
      </c>
      <c r="B10" s="154">
        <v>9526905.1699999999</v>
      </c>
      <c r="C10" s="119">
        <v>2549296.1799999997</v>
      </c>
      <c r="D10" s="119">
        <v>12076201.350000003</v>
      </c>
      <c r="E10" s="115">
        <v>9465957.2499999963</v>
      </c>
      <c r="F10" s="115">
        <v>0</v>
      </c>
      <c r="G10" s="115">
        <v>883072.19000000006</v>
      </c>
      <c r="H10" s="115">
        <v>2416780.25</v>
      </c>
      <c r="I10" s="1">
        <f>H10+K10</f>
        <v>5027024.3499999996</v>
      </c>
      <c r="J10" s="2">
        <f t="shared" si="1"/>
        <v>0.41627530084201503</v>
      </c>
      <c r="K10" s="119">
        <v>2610244.1</v>
      </c>
      <c r="L10" s="2">
        <f t="shared" si="2"/>
        <v>0.21614777895368559</v>
      </c>
      <c r="M10" s="119">
        <v>2457133.04</v>
      </c>
      <c r="N10" s="2">
        <f t="shared" si="3"/>
        <v>0.94134224458164661</v>
      </c>
    </row>
    <row r="11" spans="1:14" s="3" customFormat="1" x14ac:dyDescent="0.2">
      <c r="A11" s="3" t="s">
        <v>15</v>
      </c>
      <c r="B11" s="4">
        <f t="shared" ref="B11:H11" si="4">SUM(B2:B10)</f>
        <v>194399999.99999997</v>
      </c>
      <c r="C11" s="4">
        <f t="shared" si="4"/>
        <v>173978047.20000005</v>
      </c>
      <c r="D11" s="4">
        <f t="shared" si="4"/>
        <v>368378047.20000005</v>
      </c>
      <c r="E11" s="4">
        <f t="shared" si="4"/>
        <v>300997045.54999995</v>
      </c>
      <c r="F11" s="4">
        <f t="shared" si="4"/>
        <v>5853223.7599999998</v>
      </c>
      <c r="G11" s="4">
        <f t="shared" si="4"/>
        <v>22028318.860000003</v>
      </c>
      <c r="H11" s="4">
        <f t="shared" si="4"/>
        <v>114451976.04000004</v>
      </c>
      <c r="I11" s="4">
        <f>SUM(I2:I10)</f>
        <v>188762977.68999997</v>
      </c>
      <c r="J11" s="5">
        <f t="shared" si="1"/>
        <v>0.51241646760648751</v>
      </c>
      <c r="K11" s="4">
        <f>SUM(K2:K10)</f>
        <v>74311001.649999976</v>
      </c>
      <c r="L11" s="5">
        <f t="shared" si="2"/>
        <v>0.20172483733715815</v>
      </c>
      <c r="M11" s="4">
        <f>SUM(M2:M10)</f>
        <v>68565879.390000001</v>
      </c>
      <c r="N11" s="5">
        <f t="shared" si="3"/>
        <v>0.92268813321802434</v>
      </c>
    </row>
    <row r="12" spans="1:14" x14ac:dyDescent="0.2">
      <c r="A12" t="s">
        <v>16</v>
      </c>
      <c r="B12" s="148">
        <v>9429999.9999999981</v>
      </c>
      <c r="C12" s="148">
        <v>4658096.04</v>
      </c>
      <c r="D12" s="148">
        <v>14088096.039999999</v>
      </c>
      <c r="E12" s="148">
        <v>10846174.119999999</v>
      </c>
      <c r="F12" s="148">
        <v>18407.900000000001</v>
      </c>
      <c r="G12" s="148">
        <v>352646.18</v>
      </c>
      <c r="H12" s="148">
        <v>4696317.05</v>
      </c>
      <c r="I12" s="1">
        <f>H12+K12</f>
        <v>7938238.9699999997</v>
      </c>
      <c r="J12" s="2">
        <f t="shared" si="1"/>
        <v>0.56347138374562078</v>
      </c>
      <c r="K12" s="148">
        <v>3241921.92</v>
      </c>
      <c r="L12" s="2">
        <f t="shared" si="2"/>
        <v>0.23011781796456296</v>
      </c>
      <c r="M12" s="148">
        <v>3059779.05</v>
      </c>
      <c r="N12" s="2">
        <f t="shared" si="3"/>
        <v>0.94381639209867207</v>
      </c>
    </row>
    <row r="13" spans="1:14" x14ac:dyDescent="0.2">
      <c r="A13" t="s">
        <v>17</v>
      </c>
      <c r="B13" s="148">
        <v>18570000</v>
      </c>
      <c r="C13" s="148">
        <v>5662800.8899999997</v>
      </c>
      <c r="D13" s="148">
        <v>24232800.890000001</v>
      </c>
      <c r="E13" s="148">
        <v>16476471.9</v>
      </c>
      <c r="F13" s="148">
        <v>1240651.26</v>
      </c>
      <c r="G13" s="148">
        <v>78738.259999999995</v>
      </c>
      <c r="H13" s="148">
        <v>2807910.19</v>
      </c>
      <c r="I13" s="1">
        <f>H13+K13</f>
        <v>10564239.18</v>
      </c>
      <c r="J13" s="2">
        <f t="shared" si="1"/>
        <v>0.43594792149509548</v>
      </c>
      <c r="K13" s="148">
        <v>7756328.9900000002</v>
      </c>
      <c r="L13" s="2">
        <f t="shared" si="2"/>
        <v>0.32007562911148074</v>
      </c>
      <c r="M13" s="148">
        <v>6837006.25</v>
      </c>
      <c r="N13" s="2">
        <f t="shared" si="3"/>
        <v>0.88147450408753225</v>
      </c>
    </row>
    <row r="14" spans="1:14" s="3" customFormat="1" x14ac:dyDescent="0.2">
      <c r="A14" s="3" t="s">
        <v>18</v>
      </c>
      <c r="B14" s="4">
        <f t="shared" ref="B14:I14" si="5">SUM(B11:B13)</f>
        <v>222399999.99999997</v>
      </c>
      <c r="C14" s="4">
        <f t="shared" si="5"/>
        <v>184298944.13000003</v>
      </c>
      <c r="D14" s="4">
        <f t="shared" si="5"/>
        <v>406698944.13000005</v>
      </c>
      <c r="E14" s="4">
        <f t="shared" si="5"/>
        <v>328319691.56999993</v>
      </c>
      <c r="F14" s="4">
        <f t="shared" si="5"/>
        <v>7112282.9199999999</v>
      </c>
      <c r="G14" s="4">
        <f t="shared" si="5"/>
        <v>22459703.300000004</v>
      </c>
      <c r="H14" s="4">
        <f t="shared" si="5"/>
        <v>121956203.28000003</v>
      </c>
      <c r="I14" s="4">
        <f t="shared" si="5"/>
        <v>207265455.83999997</v>
      </c>
      <c r="J14" s="5">
        <f t="shared" si="1"/>
        <v>0.50962870406112537</v>
      </c>
      <c r="K14" s="4">
        <f>SUM(K11:K13)</f>
        <v>85309252.559999973</v>
      </c>
      <c r="L14" s="5">
        <f t="shared" si="2"/>
        <v>0.20976020171995119</v>
      </c>
      <c r="M14" s="4">
        <f>SUM(M11:M13)</f>
        <v>78462664.689999998</v>
      </c>
      <c r="N14" s="5">
        <f t="shared" si="3"/>
        <v>0.91974390040301179</v>
      </c>
    </row>
    <row r="18" spans="1:8" x14ac:dyDescent="0.2">
      <c r="A18" s="97" t="s">
        <v>267</v>
      </c>
      <c r="H18" s="108" t="s">
        <v>276</v>
      </c>
    </row>
    <row r="20" spans="1:8" x14ac:dyDescent="0.2">
      <c r="A20" s="97" t="s">
        <v>290</v>
      </c>
    </row>
    <row r="21" spans="1:8" x14ac:dyDescent="0.2">
      <c r="A21" s="97" t="s">
        <v>291</v>
      </c>
    </row>
  </sheetData>
  <sheetProtection selectLockedCells="1" selectUnlockedCells="1"/>
  <phoneticPr fontId="0" type="noConversion"/>
  <pageMargins left="0.19652777777777777" right="0.19652777777777777" top="0.59027777777777779" bottom="0.98402777777777772" header="0.51180555555555551" footer="0.51180555555555551"/>
  <pageSetup paperSize="9" scale="65" firstPageNumber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2:Q62"/>
  <sheetViews>
    <sheetView topLeftCell="A12" zoomScaleNormal="100" workbookViewId="0">
      <selection activeCell="O37" sqref="O37"/>
    </sheetView>
  </sheetViews>
  <sheetFormatPr baseColWidth="10" defaultColWidth="11.42578125" defaultRowHeight="12.75" x14ac:dyDescent="0.2"/>
  <cols>
    <col min="1" max="1" width="11.42578125" customWidth="1"/>
    <col min="2" max="2" width="5.42578125" customWidth="1"/>
    <col min="3" max="3" width="30.7109375" customWidth="1"/>
    <col min="4" max="4" width="13.85546875" customWidth="1"/>
    <col min="5" max="5" width="15.42578125" style="1" customWidth="1"/>
    <col min="6" max="6" width="13.42578125" style="1" customWidth="1"/>
    <col min="7" max="7" width="10.140625" style="1" customWidth="1"/>
    <col min="8" max="8" width="10" style="1" customWidth="1"/>
    <col min="9" max="9" width="11.42578125" style="6" customWidth="1"/>
    <col min="10" max="11" width="11.42578125" customWidth="1"/>
    <col min="12" max="13" width="11.42578125" style="2" customWidth="1"/>
  </cols>
  <sheetData>
    <row r="2" spans="4:14" x14ac:dyDescent="0.2">
      <c r="L2" s="2" t="s">
        <v>193</v>
      </c>
      <c r="M2" s="2" t="s">
        <v>195</v>
      </c>
    </row>
    <row r="3" spans="4:14" x14ac:dyDescent="0.2">
      <c r="K3" t="s">
        <v>206</v>
      </c>
      <c r="L3" s="2">
        <f>E45/F45</f>
        <v>0.45315815737915816</v>
      </c>
      <c r="M3" s="2">
        <f>L3*$N$5</f>
        <v>0.22657907868957908</v>
      </c>
    </row>
    <row r="4" spans="4:14" x14ac:dyDescent="0.2">
      <c r="K4" t="s">
        <v>194</v>
      </c>
      <c r="L4" s="2">
        <f>L5-L3</f>
        <v>0.5468418426208419</v>
      </c>
      <c r="M4" s="2">
        <f>L4*$N$5</f>
        <v>0.27342092131042095</v>
      </c>
    </row>
    <row r="5" spans="4:14" ht="15.75" x14ac:dyDescent="0.25">
      <c r="D5" s="7" t="s">
        <v>46</v>
      </c>
      <c r="K5" s="2">
        <v>0</v>
      </c>
      <c r="L5" s="2">
        <v>1</v>
      </c>
      <c r="M5" s="2">
        <v>0.5</v>
      </c>
      <c r="N5">
        <v>0.5</v>
      </c>
    </row>
    <row r="6" spans="4:14" ht="15.75" x14ac:dyDescent="0.25">
      <c r="D6" s="7" t="str">
        <f>'Dades globals'!A2</f>
        <v>SITUACIÓ DE DESPESES A 30/06/2025</v>
      </c>
    </row>
    <row r="7" spans="4:14" ht="15.75" x14ac:dyDescent="0.25">
      <c r="D7" s="7" t="s">
        <v>47</v>
      </c>
    </row>
    <row r="19" spans="17:17" x14ac:dyDescent="0.2">
      <c r="Q19">
        <v>29030287.109999999</v>
      </c>
    </row>
    <row r="20" spans="17:17" x14ac:dyDescent="0.2">
      <c r="Q20">
        <v>22100287.109999999</v>
      </c>
    </row>
    <row r="22" spans="17:17" x14ac:dyDescent="0.2">
      <c r="Q22">
        <f>Q19-Q20</f>
        <v>6930000</v>
      </c>
    </row>
    <row r="34" spans="3:13" ht="13.5" thickBot="1" x14ac:dyDescent="0.25"/>
    <row r="35" spans="3:13" s="8" customFormat="1" ht="26.25" thickBot="1" x14ac:dyDescent="0.25">
      <c r="C35" s="9" t="s">
        <v>48</v>
      </c>
      <c r="D35" s="10" t="s">
        <v>1</v>
      </c>
      <c r="E35" s="10" t="s">
        <v>2</v>
      </c>
      <c r="F35" s="10" t="s">
        <v>49</v>
      </c>
      <c r="G35" s="11" t="s">
        <v>225</v>
      </c>
      <c r="H35" s="11" t="s">
        <v>226</v>
      </c>
      <c r="L35" s="10" t="s">
        <v>224</v>
      </c>
      <c r="M35" s="37"/>
    </row>
    <row r="36" spans="3:13" x14ac:dyDescent="0.2">
      <c r="C36" s="12" t="s">
        <v>50</v>
      </c>
      <c r="D36" s="13">
        <f>DESPCAPITOL!C42</f>
        <v>76528283.150000036</v>
      </c>
      <c r="E36" s="13">
        <f>DESPCAPITOL!D42</f>
        <v>3295952.8500000006</v>
      </c>
      <c r="F36" s="13">
        <f t="shared" ref="F36:F45" si="0">D36+E36</f>
        <v>79824236.00000003</v>
      </c>
      <c r="G36" s="14">
        <f t="shared" ref="G36:G44" si="1">F36/$F$45</f>
        <v>0.19627352652896113</v>
      </c>
      <c r="H36" s="48">
        <f>G36-L36</f>
        <v>-0.14782846605197425</v>
      </c>
      <c r="L36" s="14">
        <f>D36/$D$45</f>
        <v>0.34410199258093538</v>
      </c>
    </row>
    <row r="37" spans="3:13" x14ac:dyDescent="0.2">
      <c r="C37" s="12" t="s">
        <v>51</v>
      </c>
      <c r="D37" s="13">
        <f>DESPCAPITOL!C43</f>
        <v>38222376.210000001</v>
      </c>
      <c r="E37" s="13">
        <f>DESPCAPITOL!D43</f>
        <v>18866041.839999996</v>
      </c>
      <c r="F37" s="13">
        <f t="shared" si="0"/>
        <v>57088418.049999997</v>
      </c>
      <c r="G37" s="14">
        <f t="shared" si="1"/>
        <v>0.1403702145628189</v>
      </c>
      <c r="H37" s="14">
        <f>G37-L37</f>
        <v>-3.1492987820274598E-2</v>
      </c>
      <c r="L37" s="14">
        <f t="shared" ref="L37:L44" si="2">D37/$D$45</f>
        <v>0.17186320238309349</v>
      </c>
    </row>
    <row r="38" spans="3:13" x14ac:dyDescent="0.2">
      <c r="C38" s="12" t="s">
        <v>52</v>
      </c>
      <c r="D38" s="13">
        <f>DESPCAPITOL!C44</f>
        <v>843701</v>
      </c>
      <c r="E38" s="13">
        <f>DESPCAPITOL!D44</f>
        <v>51600</v>
      </c>
      <c r="F38" s="13">
        <f t="shared" si="0"/>
        <v>895301</v>
      </c>
      <c r="G38" s="14">
        <f t="shared" si="1"/>
        <v>2.2013851103429962E-3</v>
      </c>
      <c r="H38" s="14">
        <f t="shared" ref="H38:H44" si="3">G38-L38</f>
        <v>-1.5922344939735501E-3</v>
      </c>
      <c r="L38" s="14">
        <f t="shared" si="2"/>
        <v>3.7936196043165463E-3</v>
      </c>
    </row>
    <row r="39" spans="3:13" x14ac:dyDescent="0.2">
      <c r="C39" s="12" t="s">
        <v>53</v>
      </c>
      <c r="D39" s="13">
        <f>DESPCAPITOL!C45</f>
        <v>29030287.109999999</v>
      </c>
      <c r="E39" s="13">
        <f>DESPCAPITOL!D45</f>
        <v>48128017.350000001</v>
      </c>
      <c r="F39" s="13">
        <f t="shared" si="0"/>
        <v>77158304.460000008</v>
      </c>
      <c r="G39" s="14">
        <f t="shared" si="1"/>
        <v>0.18971847744787015</v>
      </c>
      <c r="H39" s="14">
        <f t="shared" si="3"/>
        <v>5.9186610946071611E-2</v>
      </c>
      <c r="L39" s="14">
        <f t="shared" si="2"/>
        <v>0.13053186650179854</v>
      </c>
    </row>
    <row r="40" spans="3:13" x14ac:dyDescent="0.2">
      <c r="C40" s="12" t="s">
        <v>54</v>
      </c>
      <c r="D40" s="13">
        <f>DESPCAPITOL!C46</f>
        <v>5406601.6200000001</v>
      </c>
      <c r="E40" s="13">
        <f>DESPCAPITOL!D46</f>
        <v>-985510.26</v>
      </c>
      <c r="F40" s="13">
        <f t="shared" si="0"/>
        <v>4421091.3600000003</v>
      </c>
      <c r="G40" s="14">
        <f t="shared" si="1"/>
        <v>1.0870673316985088E-2</v>
      </c>
      <c r="H40" s="14">
        <f t="shared" si="3"/>
        <v>-1.3439585765748722E-2</v>
      </c>
      <c r="L40" s="14">
        <f t="shared" si="2"/>
        <v>2.431025908273381E-2</v>
      </c>
    </row>
    <row r="41" spans="3:13" x14ac:dyDescent="0.2">
      <c r="C41" s="12" t="s">
        <v>55</v>
      </c>
      <c r="D41" s="13">
        <f>DESPCAPITOL!C47</f>
        <v>22103422.539999999</v>
      </c>
      <c r="E41" s="13">
        <f>DESPCAPITOL!D47</f>
        <v>54705220.690000013</v>
      </c>
      <c r="F41" s="13">
        <f t="shared" si="0"/>
        <v>76808643.230000019</v>
      </c>
      <c r="G41" s="14">
        <f t="shared" si="1"/>
        <v>0.18885872299055781</v>
      </c>
      <c r="H41" s="14">
        <f t="shared" si="3"/>
        <v>8.9472830274730492E-2</v>
      </c>
      <c r="L41" s="14">
        <f t="shared" si="2"/>
        <v>9.9385892715827318E-2</v>
      </c>
    </row>
    <row r="42" spans="3:13" x14ac:dyDescent="0.2">
      <c r="C42" s="12" t="s">
        <v>56</v>
      </c>
      <c r="D42" s="13">
        <f>DESPCAPITOL!C48</f>
        <v>49665328.370000005</v>
      </c>
      <c r="E42" s="13">
        <f>DESPCAPITOL!D48</f>
        <v>60237621.660000011</v>
      </c>
      <c r="F42" s="13">
        <f t="shared" si="0"/>
        <v>109902950.03000002</v>
      </c>
      <c r="G42" s="14">
        <f t="shared" si="1"/>
        <v>0.27023170730158053</v>
      </c>
      <c r="H42" s="14">
        <f t="shared" si="3"/>
        <v>4.691638189690428E-2</v>
      </c>
      <c r="L42" s="14">
        <f t="shared" si="2"/>
        <v>0.22331532540467625</v>
      </c>
    </row>
    <row r="43" spans="3:13" x14ac:dyDescent="0.2">
      <c r="C43" s="12" t="s">
        <v>57</v>
      </c>
      <c r="D43" s="13">
        <f>DESPCAPITOL!C49</f>
        <v>600000</v>
      </c>
      <c r="E43" s="13">
        <f>DESPCAPITOL!D49</f>
        <v>0</v>
      </c>
      <c r="F43" s="13">
        <f t="shared" si="0"/>
        <v>600000</v>
      </c>
      <c r="G43" s="14">
        <f t="shared" si="1"/>
        <v>1.4752927408835661E-3</v>
      </c>
      <c r="H43" s="14">
        <f t="shared" si="3"/>
        <v>-1.2225489857351386E-3</v>
      </c>
      <c r="L43" s="14">
        <f t="shared" si="2"/>
        <v>2.6978417266187047E-3</v>
      </c>
    </row>
    <row r="44" spans="3:13" ht="13.5" thickBot="1" x14ac:dyDescent="0.25">
      <c r="C44" s="12" t="s">
        <v>58</v>
      </c>
      <c r="D44" s="13">
        <f>DESPCAPITOL!C50</f>
        <v>0</v>
      </c>
      <c r="E44" s="13">
        <f>DESPCAPITOL!D50</f>
        <v>0</v>
      </c>
      <c r="F44" s="13">
        <f t="shared" si="0"/>
        <v>0</v>
      </c>
      <c r="G44" s="14">
        <f t="shared" si="1"/>
        <v>0</v>
      </c>
      <c r="H44" s="47">
        <f t="shared" si="3"/>
        <v>0</v>
      </c>
      <c r="L44" s="14">
        <f t="shared" si="2"/>
        <v>0</v>
      </c>
    </row>
    <row r="45" spans="3:13" ht="13.5" thickBot="1" x14ac:dyDescent="0.25">
      <c r="C45" s="15" t="s">
        <v>59</v>
      </c>
      <c r="D45" s="16">
        <f>SUM(D36:D44)</f>
        <v>222400000.00000003</v>
      </c>
      <c r="E45" s="16">
        <f>SUM(E36:E44)</f>
        <v>184298944.13</v>
      </c>
      <c r="F45" s="16">
        <f t="shared" si="0"/>
        <v>406698944.13</v>
      </c>
      <c r="G45" s="45"/>
      <c r="H45" s="46"/>
    </row>
    <row r="46" spans="3:13" x14ac:dyDescent="0.2">
      <c r="C46" s="3"/>
      <c r="D46" s="4"/>
      <c r="E46" s="4"/>
      <c r="F46" s="4"/>
      <c r="G46" s="4"/>
      <c r="H46" s="6"/>
    </row>
    <row r="47" spans="3:13" x14ac:dyDescent="0.2">
      <c r="C47" s="3"/>
      <c r="D47" s="4"/>
      <c r="E47" s="4"/>
      <c r="F47" s="4"/>
      <c r="G47" s="4"/>
      <c r="H47" s="6"/>
    </row>
    <row r="48" spans="3:13" x14ac:dyDescent="0.2">
      <c r="C48" s="4"/>
      <c r="D48" s="4"/>
      <c r="E48" s="4"/>
      <c r="F48" s="4"/>
      <c r="G48" s="4"/>
      <c r="H48" s="6"/>
    </row>
    <row r="49" spans="3:8" x14ac:dyDescent="0.2">
      <c r="C49" s="3"/>
      <c r="D49" s="4"/>
      <c r="E49" s="4"/>
      <c r="F49" s="4"/>
      <c r="G49" s="4"/>
      <c r="H49" s="6"/>
    </row>
    <row r="50" spans="3:8" x14ac:dyDescent="0.2">
      <c r="C50" s="3"/>
      <c r="D50" s="4"/>
      <c r="E50" s="4"/>
      <c r="F50" s="4"/>
      <c r="G50" s="4"/>
      <c r="H50" s="6"/>
    </row>
    <row r="51" spans="3:8" x14ac:dyDescent="0.2">
      <c r="C51" s="3"/>
      <c r="D51" s="4"/>
      <c r="E51" s="4"/>
      <c r="F51" s="4"/>
      <c r="G51" s="4"/>
      <c r="H51" s="6"/>
    </row>
    <row r="52" spans="3:8" x14ac:dyDescent="0.2">
      <c r="C52" s="3"/>
      <c r="D52" s="4"/>
      <c r="E52" s="4"/>
      <c r="F52" s="4"/>
      <c r="G52" s="4"/>
      <c r="H52" s="6"/>
    </row>
    <row r="53" spans="3:8" x14ac:dyDescent="0.2">
      <c r="C53" s="3"/>
      <c r="D53" s="4"/>
      <c r="E53" s="4"/>
      <c r="F53" s="4"/>
      <c r="G53" s="4"/>
      <c r="H53" s="6"/>
    </row>
    <row r="54" spans="3:8" x14ac:dyDescent="0.2">
      <c r="C54" s="3"/>
      <c r="D54" s="4"/>
      <c r="E54" s="4"/>
      <c r="F54" s="4"/>
      <c r="G54" s="4"/>
      <c r="H54" s="6"/>
    </row>
    <row r="55" spans="3:8" x14ac:dyDescent="0.2">
      <c r="C55" s="3"/>
      <c r="D55" s="4"/>
      <c r="E55" s="4"/>
      <c r="F55" s="4"/>
      <c r="G55" s="4"/>
      <c r="H55" s="6"/>
    </row>
    <row r="56" spans="3:8" x14ac:dyDescent="0.2">
      <c r="C56" s="3"/>
      <c r="D56" s="4"/>
      <c r="E56" s="4"/>
      <c r="F56" s="4"/>
      <c r="G56" s="4"/>
      <c r="H56" s="6"/>
    </row>
    <row r="57" spans="3:8" x14ac:dyDescent="0.2">
      <c r="C57" s="3"/>
      <c r="D57" s="4"/>
      <c r="E57" s="4"/>
      <c r="F57" s="4"/>
      <c r="G57" s="4"/>
      <c r="H57" s="6"/>
    </row>
    <row r="58" spans="3:8" x14ac:dyDescent="0.2">
      <c r="C58" s="3"/>
      <c r="D58" s="4"/>
      <c r="E58" s="4"/>
      <c r="F58" s="4"/>
      <c r="G58" s="4"/>
      <c r="H58" s="6"/>
    </row>
    <row r="59" spans="3:8" x14ac:dyDescent="0.2">
      <c r="C59" s="3"/>
      <c r="D59" s="4"/>
      <c r="E59" s="4"/>
      <c r="F59" s="4"/>
      <c r="G59" s="4"/>
      <c r="H59" s="6"/>
    </row>
    <row r="60" spans="3:8" x14ac:dyDescent="0.2">
      <c r="C60" s="3"/>
      <c r="D60" s="4"/>
      <c r="E60" s="4"/>
      <c r="F60" s="4"/>
      <c r="G60" s="4"/>
      <c r="H60" s="6"/>
    </row>
    <row r="61" spans="3:8" x14ac:dyDescent="0.2">
      <c r="C61" s="3"/>
      <c r="D61" s="4"/>
      <c r="E61" s="4"/>
      <c r="F61" s="4"/>
      <c r="G61" s="4"/>
      <c r="H61" s="6"/>
    </row>
    <row r="62" spans="3:8" x14ac:dyDescent="0.2">
      <c r="C62" s="3"/>
      <c r="D62" s="4"/>
      <c r="E62" s="4"/>
      <c r="F62" s="4"/>
      <c r="G62" s="4"/>
      <c r="H62" s="6"/>
    </row>
  </sheetData>
  <sheetProtection selectLockedCells="1" selectUnlockedCells="1"/>
  <phoneticPr fontId="0" type="noConversion"/>
  <conditionalFormatting sqref="H36:H44">
    <cfRule type="iconSet" priority="1">
      <iconSet iconSet="3Arrows">
        <cfvo type="percent" val="0"/>
        <cfvo type="num" val="-0.03"/>
        <cfvo type="num" val="0.03"/>
      </iconSet>
    </cfRule>
  </conditionalFormatting>
  <conditionalFormatting sqref="I36:I44">
    <cfRule type="iconSet" priority="3">
      <iconSet iconSet="3Arrows">
        <cfvo type="percent" val="0"/>
        <cfvo type="percent" val="33"/>
        <cfvo type="percent" val="67"/>
      </iconSet>
    </cfRule>
  </conditionalFormatting>
  <pageMargins left="0.39370078740157483" right="0.23622047244094491" top="0.59055118110236227" bottom="0.74803149606299213" header="0.31496062992125984" footer="0.59055118110236227"/>
  <pageSetup paperSize="9" scale="84" firstPageNumber="0" orientation="portrait" r:id="rId1"/>
  <headerFooter alignWithMargins="0">
    <oddFooter>&amp;CServei de comptabilitat i gestió pressupostària | Intervenció&amp;R4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5:M49"/>
  <sheetViews>
    <sheetView topLeftCell="B1" zoomScaleNormal="100" workbookViewId="0">
      <selection activeCell="L17" sqref="L17"/>
    </sheetView>
  </sheetViews>
  <sheetFormatPr baseColWidth="10" defaultColWidth="11.42578125" defaultRowHeight="12.75" x14ac:dyDescent="0.2"/>
  <cols>
    <col min="1" max="1" width="16.7109375" customWidth="1"/>
    <col min="2" max="2" width="34.140625" customWidth="1"/>
    <col min="3" max="4" width="13.42578125" style="1" customWidth="1"/>
    <col min="5" max="5" width="15.42578125" style="1" customWidth="1"/>
    <col min="6" max="7" width="13.42578125" style="1" customWidth="1"/>
    <col min="8" max="8" width="11.7109375" customWidth="1"/>
    <col min="9" max="10" width="11.42578125" customWidth="1"/>
    <col min="11" max="11" width="15.28515625" customWidth="1"/>
    <col min="12" max="12" width="15.42578125" customWidth="1"/>
    <col min="13" max="13" width="17.2851562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globals'!A2</f>
        <v>SITUACIÓ DE DESPESES A 30/06/2025</v>
      </c>
    </row>
    <row r="7" spans="4:4" ht="15.75" x14ac:dyDescent="0.25">
      <c r="D7" s="7" t="s">
        <v>60</v>
      </c>
    </row>
    <row r="38" spans="2:13" ht="13.5" thickBot="1" x14ac:dyDescent="0.25"/>
    <row r="39" spans="2:13" s="8" customFormat="1" ht="39" thickBot="1" x14ac:dyDescent="0.25">
      <c r="B39" s="9" t="s">
        <v>48</v>
      </c>
      <c r="C39" s="10" t="s">
        <v>61</v>
      </c>
      <c r="D39" s="10" t="s">
        <v>62</v>
      </c>
      <c r="E39" s="10" t="s">
        <v>63</v>
      </c>
      <c r="F39" s="10" t="s">
        <v>64</v>
      </c>
      <c r="G39" s="10" t="s">
        <v>272</v>
      </c>
      <c r="H39" s="10" t="s">
        <v>228</v>
      </c>
      <c r="J39" s="9" t="s">
        <v>48</v>
      </c>
      <c r="K39" s="10" t="s">
        <v>227</v>
      </c>
      <c r="L39" s="10" t="s">
        <v>64</v>
      </c>
      <c r="M39" s="10" t="s">
        <v>272</v>
      </c>
    </row>
    <row r="40" spans="2:13" x14ac:dyDescent="0.2">
      <c r="B40" s="12" t="s">
        <v>50</v>
      </c>
      <c r="C40" s="13">
        <f>DESPCAPITOL!F42</f>
        <v>47873265.739999987</v>
      </c>
      <c r="D40" s="13">
        <f>DESPCAPITOL!G42</f>
        <v>0</v>
      </c>
      <c r="E40" s="13">
        <f>DESPCAPITOL!H42</f>
        <v>0</v>
      </c>
      <c r="F40" s="13">
        <f>DESPCAPITOL!I42</f>
        <v>411026.38</v>
      </c>
      <c r="G40" s="13">
        <f>DESPCAPITOL!L42</f>
        <v>31950970.260000005</v>
      </c>
      <c r="H40" s="14">
        <f>IFERROR(G40/(G40+K40+L40),0)</f>
        <v>0.39821606251722469</v>
      </c>
      <c r="J40" s="12" t="s">
        <v>50</v>
      </c>
      <c r="K40" s="13">
        <f>C40+D40+E40</f>
        <v>47873265.739999987</v>
      </c>
      <c r="L40" s="13">
        <f>F40</f>
        <v>411026.38</v>
      </c>
      <c r="M40" s="13">
        <f>G40</f>
        <v>31950970.260000005</v>
      </c>
    </row>
    <row r="41" spans="2:13" x14ac:dyDescent="0.2">
      <c r="B41" s="12" t="s">
        <v>51</v>
      </c>
      <c r="C41" s="13">
        <f>DESPCAPITOL!F43</f>
        <v>45220286.559999987</v>
      </c>
      <c r="D41" s="13">
        <f>DESPCAPITOL!G43</f>
        <v>1246999.04</v>
      </c>
      <c r="E41" s="13">
        <f>DESPCAPITOL!H43</f>
        <v>1462271.1</v>
      </c>
      <c r="F41" s="13">
        <f>DESPCAPITOL!I43</f>
        <v>24006675.989999987</v>
      </c>
      <c r="G41" s="13">
        <f>DESPCAPITOL!L43</f>
        <v>11868131.490000011</v>
      </c>
      <c r="H41" s="14">
        <f>IFERROR(G41/(G41+K41+L41),0)</f>
        <v>0.14161710557828391</v>
      </c>
      <c r="J41" s="12" t="s">
        <v>51</v>
      </c>
      <c r="K41" s="13">
        <f>C41+D41+E41</f>
        <v>47929556.699999988</v>
      </c>
      <c r="L41" s="13">
        <f t="shared" ref="L41:L48" si="0">F41</f>
        <v>24006675.989999987</v>
      </c>
      <c r="M41" s="13">
        <f t="shared" ref="M41:M48" si="1">G41</f>
        <v>11868131.490000011</v>
      </c>
    </row>
    <row r="42" spans="2:13" x14ac:dyDescent="0.2">
      <c r="B42" s="12" t="s">
        <v>52</v>
      </c>
      <c r="C42" s="13">
        <f>DESPCAPITOL!F44</f>
        <v>894985.55</v>
      </c>
      <c r="D42" s="13">
        <f>DESPCAPITOL!G44</f>
        <v>0</v>
      </c>
      <c r="E42" s="13">
        <f>DESPCAPITOL!H44</f>
        <v>0</v>
      </c>
      <c r="F42" s="13">
        <f>DESPCAPITOL!I44</f>
        <v>0</v>
      </c>
      <c r="G42" s="13">
        <f>DESPCAPITOL!L44</f>
        <v>315.45</v>
      </c>
      <c r="H42" s="14">
        <f t="shared" ref="H42:H47" si="2">IFERROR(G42/(G42+K42+L42),0)</f>
        <v>3.5233960422249052E-4</v>
      </c>
      <c r="J42" s="12" t="s">
        <v>52</v>
      </c>
      <c r="K42" s="13">
        <f t="shared" ref="K42:K48" si="3">C42+D42+E42</f>
        <v>894985.55</v>
      </c>
      <c r="L42" s="13">
        <f t="shared" si="0"/>
        <v>0</v>
      </c>
      <c r="M42" s="13">
        <f t="shared" si="1"/>
        <v>315.45</v>
      </c>
    </row>
    <row r="43" spans="2:13" x14ac:dyDescent="0.2">
      <c r="B43" s="12" t="s">
        <v>53</v>
      </c>
      <c r="C43" s="13">
        <f>DESPCAPITOL!F45</f>
        <v>54160107.809999987</v>
      </c>
      <c r="D43" s="13">
        <f>DESPCAPITOL!G45</f>
        <v>4903329.8</v>
      </c>
      <c r="E43" s="13">
        <f>DESPCAPITOL!H45</f>
        <v>10589116.710000001</v>
      </c>
      <c r="F43" s="13">
        <f>DESPCAPITOL!I45</f>
        <v>21766560.739999995</v>
      </c>
      <c r="G43" s="13">
        <f>DESPCAPITOL!L45</f>
        <v>22998196.650000002</v>
      </c>
      <c r="H43" s="14">
        <f t="shared" si="2"/>
        <v>0.20100277052733775</v>
      </c>
      <c r="J43" s="12" t="s">
        <v>53</v>
      </c>
      <c r="K43" s="13">
        <f t="shared" si="3"/>
        <v>69652554.319999993</v>
      </c>
      <c r="L43" s="13">
        <f t="shared" si="0"/>
        <v>21766560.739999995</v>
      </c>
      <c r="M43" s="13">
        <f t="shared" si="1"/>
        <v>22998196.650000002</v>
      </c>
    </row>
    <row r="44" spans="2:13" x14ac:dyDescent="0.2">
      <c r="B44" s="12" t="s">
        <v>54</v>
      </c>
      <c r="C44" s="13">
        <f>DESPCAPITOL!F46</f>
        <v>4421091.3599999994</v>
      </c>
      <c r="D44" s="13">
        <f>DESPCAPITOL!G46</f>
        <v>0</v>
      </c>
      <c r="E44" s="13">
        <f>DESPCAPITOL!H46</f>
        <v>0</v>
      </c>
      <c r="F44" s="13">
        <f>DESPCAPITOL!I46</f>
        <v>0</v>
      </c>
      <c r="G44" s="13">
        <f>DESPCAPITOL!L46</f>
        <v>0</v>
      </c>
      <c r="H44" s="14">
        <f t="shared" si="2"/>
        <v>0</v>
      </c>
      <c r="J44" s="12" t="s">
        <v>54</v>
      </c>
      <c r="K44" s="13">
        <f t="shared" si="3"/>
        <v>4421091.3599999994</v>
      </c>
      <c r="L44" s="13">
        <f t="shared" si="0"/>
        <v>0</v>
      </c>
      <c r="M44" s="13">
        <f t="shared" si="1"/>
        <v>0</v>
      </c>
    </row>
    <row r="45" spans="2:13" x14ac:dyDescent="0.2">
      <c r="B45" s="12" t="s">
        <v>55</v>
      </c>
      <c r="C45" s="13">
        <f>DESPCAPITOL!F47</f>
        <v>69158996.889999986</v>
      </c>
      <c r="D45" s="13">
        <f>DESPCAPITOL!G47</f>
        <v>12060.12</v>
      </c>
      <c r="E45" s="13">
        <f>DESPCAPITOL!H47</f>
        <v>7633612.3799999999</v>
      </c>
      <c r="F45" s="13">
        <f>DESPCAPITOL!I47</f>
        <v>9266530.9500000011</v>
      </c>
      <c r="G45" s="13">
        <f>DESPCAPITOL!L47</f>
        <v>7649646.3399999971</v>
      </c>
      <c r="H45" s="14">
        <f t="shared" si="2"/>
        <v>8.162160939624151E-2</v>
      </c>
      <c r="J45" s="12" t="s">
        <v>55</v>
      </c>
      <c r="K45" s="13">
        <f t="shared" si="3"/>
        <v>76804669.389999986</v>
      </c>
      <c r="L45" s="13">
        <f t="shared" si="0"/>
        <v>9266530.9500000011</v>
      </c>
      <c r="M45" s="13">
        <f t="shared" si="1"/>
        <v>7649646.3399999971</v>
      </c>
    </row>
    <row r="46" spans="2:13" x14ac:dyDescent="0.2">
      <c r="B46" s="12" t="s">
        <v>56</v>
      </c>
      <c r="C46" s="13">
        <f>DESPCAPITOL!F48</f>
        <v>99355657.660000011</v>
      </c>
      <c r="D46" s="13">
        <f>DESPCAPITOL!G48</f>
        <v>949893.96</v>
      </c>
      <c r="E46" s="13">
        <f>DESPCAPITOL!H48</f>
        <v>2774703.11</v>
      </c>
      <c r="F46" s="13">
        <f>DESPCAPITOL!I48</f>
        <v>66505409.219999999</v>
      </c>
      <c r="G46" s="13">
        <f>DESPCAPITOL!L48</f>
        <v>10547292.369999999</v>
      </c>
      <c r="H46" s="14">
        <f t="shared" si="2"/>
        <v>5.8552818903738514E-2</v>
      </c>
      <c r="J46" s="12" t="s">
        <v>56</v>
      </c>
      <c r="K46" s="13">
        <f t="shared" si="3"/>
        <v>103080254.73</v>
      </c>
      <c r="L46" s="13">
        <f t="shared" si="0"/>
        <v>66505409.219999999</v>
      </c>
      <c r="M46" s="13">
        <f t="shared" si="1"/>
        <v>10547292.369999999</v>
      </c>
    </row>
    <row r="47" spans="2:13" x14ac:dyDescent="0.2">
      <c r="B47" s="12" t="s">
        <v>57</v>
      </c>
      <c r="C47" s="13">
        <f>DESPCAPITOL!F49</f>
        <v>305300</v>
      </c>
      <c r="D47" s="13">
        <f>DESPCAPITOL!G49</f>
        <v>0</v>
      </c>
      <c r="E47" s="13">
        <f>DESPCAPITOL!H49</f>
        <v>0</v>
      </c>
      <c r="F47" s="13">
        <f>DESPCAPITOL!I49</f>
        <v>0</v>
      </c>
      <c r="G47" s="13">
        <f>DESPCAPITOL!L49</f>
        <v>294700</v>
      </c>
      <c r="H47" s="14">
        <f t="shared" si="2"/>
        <v>0.49116666666666664</v>
      </c>
      <c r="J47" s="12" t="s">
        <v>57</v>
      </c>
      <c r="K47" s="13">
        <f t="shared" si="3"/>
        <v>305300</v>
      </c>
      <c r="L47" s="13">
        <f t="shared" si="0"/>
        <v>0</v>
      </c>
      <c r="M47" s="13">
        <f t="shared" si="1"/>
        <v>294700</v>
      </c>
    </row>
    <row r="48" spans="2:13" ht="13.5" thickBot="1" x14ac:dyDescent="0.25">
      <c r="B48" s="12" t="s">
        <v>58</v>
      </c>
      <c r="C48" s="13">
        <f>DESPCAPITOL!F50</f>
        <v>0</v>
      </c>
      <c r="D48" s="13">
        <f>DESPCAPITOL!G50</f>
        <v>0</v>
      </c>
      <c r="E48" s="13">
        <f>DESPCAPITOL!H50</f>
        <v>0</v>
      </c>
      <c r="F48" s="13">
        <f>DESPCAPITOL!I50</f>
        <v>0</v>
      </c>
      <c r="G48" s="13">
        <f>DESPCAPITOL!L50</f>
        <v>0</v>
      </c>
      <c r="H48" s="14">
        <f>IFERROR(G48/(G48+K48+L48),0)</f>
        <v>0</v>
      </c>
      <c r="J48" s="12" t="s">
        <v>58</v>
      </c>
      <c r="K48" s="13">
        <f t="shared" si="3"/>
        <v>0</v>
      </c>
      <c r="L48" s="13">
        <f t="shared" si="0"/>
        <v>0</v>
      </c>
      <c r="M48" s="13">
        <f t="shared" si="1"/>
        <v>0</v>
      </c>
    </row>
    <row r="49" spans="2:13" ht="13.5" thickBot="1" x14ac:dyDescent="0.25">
      <c r="B49" s="15" t="s">
        <v>59</v>
      </c>
      <c r="C49" s="16">
        <f>SUM(C40:C48)</f>
        <v>321389691.56999999</v>
      </c>
      <c r="D49" s="16">
        <f>SUM(D40:D48)</f>
        <v>7112282.9199999999</v>
      </c>
      <c r="E49" s="16">
        <f>SUM(E40:E48)</f>
        <v>22459703.300000001</v>
      </c>
      <c r="F49" s="16">
        <f>SUM(F40:F48)</f>
        <v>121956203.27999999</v>
      </c>
      <c r="G49" s="16">
        <f>SUM(G40:G48)</f>
        <v>85309252.560000032</v>
      </c>
      <c r="H49" s="45"/>
      <c r="J49" s="15" t="s">
        <v>59</v>
      </c>
      <c r="K49" s="16"/>
      <c r="L49" s="16">
        <f>SUM(L40:L48)</f>
        <v>121956203.27999999</v>
      </c>
      <c r="M49" s="16">
        <f>SUM(M40:M48)</f>
        <v>85309252.560000032</v>
      </c>
    </row>
  </sheetData>
  <sheetProtection selectLockedCells="1" selectUnlockedCells="1"/>
  <phoneticPr fontId="0" type="noConversion"/>
  <conditionalFormatting sqref="H40:H4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{E9349EBF-6812-405D-AF71-18A453C63B26}</x14:id>
        </ext>
      </extLst>
    </cfRule>
  </conditionalFormatting>
  <pageMargins left="0.39370078740157483" right="0.23622047244094491" top="0.59055118110236227" bottom="0.74803149606299213" header="0.31496062992125984" footer="0.59055118110236227"/>
  <pageSetup paperSize="9" scale="75" firstPageNumber="0" orientation="portrait" r:id="rId1"/>
  <headerFooter alignWithMargins="0">
    <oddFooter>&amp;CServei de comptabilitat i gestió pressupostària | Intervenció&amp;R5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9349EBF-6812-405D-AF71-18A453C63B26}">
            <x14:dataBar minLength="0" maxLength="100" negativeBarColorSameAsPositive="1" axisPosition="none">
              <x14:cfvo type="min"/>
              <x14:cfvo type="max"/>
            </x14:dataBar>
          </x14:cfRule>
          <xm:sqref>H40:H48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5:H44"/>
  <sheetViews>
    <sheetView topLeftCell="A24" zoomScaleNormal="100" workbookViewId="0">
      <selection activeCell="G44" sqref="G44"/>
    </sheetView>
  </sheetViews>
  <sheetFormatPr baseColWidth="10" defaultColWidth="11.42578125" defaultRowHeight="12.75" x14ac:dyDescent="0.2"/>
  <cols>
    <col min="1" max="1" width="16.7109375" customWidth="1"/>
    <col min="2" max="2" width="34.140625" customWidth="1"/>
    <col min="3" max="4" width="13.42578125" style="1" customWidth="1"/>
    <col min="5" max="5" width="15.42578125" style="1" customWidth="1"/>
    <col min="6" max="7" width="13.42578125" style="1" customWidth="1"/>
    <col min="8" max="8" width="3.7109375" customWidth="1"/>
  </cols>
  <sheetData>
    <row r="5" spans="3:4" ht="15.75" x14ac:dyDescent="0.25">
      <c r="C5" s="7" t="s">
        <v>46</v>
      </c>
      <c r="D5" s="7"/>
    </row>
    <row r="6" spans="3:4" ht="15.75" x14ac:dyDescent="0.25">
      <c r="C6" s="7" t="str">
        <f>'Dades globals'!A2</f>
        <v>SITUACIÓ DE DESPESES A 30/06/2025</v>
      </c>
      <c r="D6" s="7"/>
    </row>
    <row r="7" spans="3:4" ht="15.75" x14ac:dyDescent="0.25">
      <c r="C7" s="7" t="s">
        <v>121</v>
      </c>
      <c r="D7" s="7"/>
    </row>
    <row r="36" spans="2:8" ht="13.5" thickBot="1" x14ac:dyDescent="0.25"/>
    <row r="37" spans="2:8" s="8" customFormat="1" ht="26.25" thickBot="1" x14ac:dyDescent="0.25">
      <c r="B37" s="9" t="s">
        <v>48</v>
      </c>
      <c r="C37" s="10" t="s">
        <v>122</v>
      </c>
      <c r="D37" s="10" t="s">
        <v>123</v>
      </c>
      <c r="E37" s="10" t="s">
        <v>8</v>
      </c>
      <c r="F37" s="10" t="s">
        <v>10</v>
      </c>
      <c r="G37" s="10" t="s">
        <v>124</v>
      </c>
    </row>
    <row r="38" spans="2:8" x14ac:dyDescent="0.2">
      <c r="B38" s="12" t="s">
        <v>125</v>
      </c>
      <c r="C38" s="13">
        <f>DESPPROG!C30</f>
        <v>0</v>
      </c>
      <c r="D38" s="13">
        <f>DESPPROG!E30</f>
        <v>0</v>
      </c>
      <c r="E38" s="13">
        <f>DESPPROG!J30</f>
        <v>0</v>
      </c>
      <c r="F38" s="13">
        <f>DESPPROG!L30</f>
        <v>0</v>
      </c>
      <c r="G38" s="13">
        <f t="shared" ref="G38:G43" si="0">D38-F38</f>
        <v>0</v>
      </c>
    </row>
    <row r="39" spans="2:8" x14ac:dyDescent="0.2">
      <c r="B39" s="12" t="s">
        <v>126</v>
      </c>
      <c r="C39" s="13">
        <f>DESPPROG!C31</f>
        <v>17566148.690000001</v>
      </c>
      <c r="D39" s="13">
        <f>DESPPROG!E31</f>
        <v>36406488.00999999</v>
      </c>
      <c r="E39" s="13">
        <f>DESPPROG!J31</f>
        <v>23409125.669999994</v>
      </c>
      <c r="F39" s="13">
        <f>DESPPROG!L31</f>
        <v>4487179.79</v>
      </c>
      <c r="G39" s="13">
        <f t="shared" si="0"/>
        <v>31919308.219999991</v>
      </c>
    </row>
    <row r="40" spans="2:8" x14ac:dyDescent="0.2">
      <c r="B40" s="12" t="s">
        <v>127</v>
      </c>
      <c r="C40" s="13">
        <f>DESPPROG!C32</f>
        <v>2877013.96</v>
      </c>
      <c r="D40" s="13">
        <f>DESPPROG!E32</f>
        <v>9158985.8699999992</v>
      </c>
      <c r="E40" s="13">
        <f>DESPPROG!J32</f>
        <v>4488122.9800000004</v>
      </c>
      <c r="F40" s="13">
        <f>DESPPROG!L32</f>
        <v>2692873.3200000003</v>
      </c>
      <c r="G40" s="13">
        <f t="shared" si="0"/>
        <v>6466112.5499999989</v>
      </c>
    </row>
    <row r="41" spans="2:8" x14ac:dyDescent="0.2">
      <c r="B41" s="12" t="s">
        <v>128</v>
      </c>
      <c r="C41" s="13">
        <f>DESPPROG!C33</f>
        <v>41972119.74000001</v>
      </c>
      <c r="D41" s="13">
        <f>DESPPROG!E33</f>
        <v>81999386.879999995</v>
      </c>
      <c r="E41" s="13">
        <f>DESPPROG!J33</f>
        <v>40055373.879999995</v>
      </c>
      <c r="F41" s="13">
        <f>DESPPROG!L33</f>
        <v>22344442.530000001</v>
      </c>
      <c r="G41" s="13">
        <f t="shared" si="0"/>
        <v>59654944.349999994</v>
      </c>
    </row>
    <row r="42" spans="2:8" x14ac:dyDescent="0.2">
      <c r="B42" s="12" t="s">
        <v>129</v>
      </c>
      <c r="C42" s="13">
        <f>DESPPROG!C34</f>
        <v>37180951.590000018</v>
      </c>
      <c r="D42" s="13">
        <f>DESPPROG!E34</f>
        <v>94766373.880000055</v>
      </c>
      <c r="E42" s="13">
        <f>DESPPROG!J34</f>
        <v>38161305.129999995</v>
      </c>
      <c r="F42" s="13">
        <f>DESPPROG!L34</f>
        <v>17176715.330000002</v>
      </c>
      <c r="G42" s="13">
        <f t="shared" si="0"/>
        <v>77589658.550000057</v>
      </c>
    </row>
    <row r="43" spans="2:8" ht="13.5" thickBot="1" x14ac:dyDescent="0.25">
      <c r="B43" s="12" t="s">
        <v>130</v>
      </c>
      <c r="C43" s="13">
        <f>DESPPROG!C35</f>
        <v>122803766.02000004</v>
      </c>
      <c r="D43" s="13">
        <f>DESPPROG!E35</f>
        <v>184367709.49000007</v>
      </c>
      <c r="E43" s="13">
        <f>DESPPROG!J35</f>
        <v>101151528.17999998</v>
      </c>
      <c r="F43" s="13">
        <f>DESPPROG!L35</f>
        <v>38608041.589999974</v>
      </c>
      <c r="G43" s="13">
        <f t="shared" si="0"/>
        <v>145759667.9000001</v>
      </c>
    </row>
    <row r="44" spans="2:8" ht="13.5" thickBot="1" x14ac:dyDescent="0.25">
      <c r="B44" s="15" t="s">
        <v>59</v>
      </c>
      <c r="C44" s="16">
        <f>SUM(C38:C43)</f>
        <v>222400000.00000006</v>
      </c>
      <c r="D44" s="16">
        <f>SUM(D38:D43)</f>
        <v>406698944.13000011</v>
      </c>
      <c r="E44" s="16">
        <f>SUM(E38:E43)</f>
        <v>207265455.83999997</v>
      </c>
      <c r="F44" s="16">
        <f>SUM(F38:F43)</f>
        <v>85309252.559999973</v>
      </c>
      <c r="G44" s="16">
        <f>SUM(G38:G43)</f>
        <v>321389691.57000011</v>
      </c>
      <c r="H44" s="1"/>
    </row>
  </sheetData>
  <pageMargins left="0.23622047244094491" right="0.23622047244094491" top="0.74803149606299213" bottom="0.74803149606299213" header="0.31496062992125984" footer="0.31496062992125984"/>
  <pageSetup paperSize="9" scale="82" orientation="portrait" r:id="rId1"/>
  <headerFooter>
    <oddFooter>&amp;CServei de comptabilitat i gestió pressupostària | Intervenció&amp;R6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5:K53"/>
  <sheetViews>
    <sheetView topLeftCell="A12" zoomScaleNormal="100" workbookViewId="0">
      <selection activeCell="B47" sqref="B47"/>
    </sheetView>
  </sheetViews>
  <sheetFormatPr baseColWidth="10" defaultColWidth="11.42578125" defaultRowHeight="12.75" x14ac:dyDescent="0.2"/>
  <cols>
    <col min="1" max="1" width="16.7109375" customWidth="1"/>
    <col min="2" max="2" width="38.28515625" customWidth="1"/>
    <col min="3" max="3" width="14.42578125" style="1" customWidth="1"/>
    <col min="4" max="4" width="15.5703125" style="1" customWidth="1"/>
    <col min="5" max="5" width="15.42578125" style="1" customWidth="1"/>
    <col min="6" max="6" width="8.42578125" style="6" customWidth="1"/>
    <col min="7" max="7" width="10.28515625" customWidth="1"/>
  </cols>
  <sheetData>
    <row r="5" spans="3:3" ht="15.75" x14ac:dyDescent="0.25">
      <c r="C5" s="7" t="s">
        <v>46</v>
      </c>
    </row>
    <row r="6" spans="3:3" ht="15.75" x14ac:dyDescent="0.25">
      <c r="C6" s="7" t="str">
        <f>'Dades globals'!A2</f>
        <v>SITUACIÓ DE DESPESES A 30/06/2025</v>
      </c>
    </row>
    <row r="7" spans="3:3" ht="15.75" x14ac:dyDescent="0.25">
      <c r="C7" s="7" t="s">
        <v>66</v>
      </c>
    </row>
    <row r="40" spans="2:11" ht="13.5" thickBot="1" x14ac:dyDescent="0.25"/>
    <row r="41" spans="2:11" s="8" customFormat="1" ht="26.25" thickBot="1" x14ac:dyDescent="0.25">
      <c r="B41" s="9" t="s">
        <v>67</v>
      </c>
      <c r="C41" s="10" t="s">
        <v>1</v>
      </c>
      <c r="D41" s="10" t="s">
        <v>2</v>
      </c>
      <c r="E41" s="10" t="s">
        <v>49</v>
      </c>
      <c r="F41" s="11" t="s">
        <v>68</v>
      </c>
      <c r="G41" s="11" t="s">
        <v>226</v>
      </c>
      <c r="K41" s="11" t="s">
        <v>229</v>
      </c>
    </row>
    <row r="42" spans="2:11" x14ac:dyDescent="0.2">
      <c r="B42" s="12" t="s">
        <v>300</v>
      </c>
      <c r="C42" s="13">
        <f>DESPAREA!B2</f>
        <v>4482651.919999999</v>
      </c>
      <c r="D42" s="13">
        <f>DESPAREA!C2</f>
        <v>426678.27</v>
      </c>
      <c r="E42" s="13">
        <f t="shared" ref="E42:E53" si="0">C42+D42</f>
        <v>4909330.1899999995</v>
      </c>
      <c r="F42" s="14">
        <f t="shared" ref="F42:F52" si="1">E42/$E$53</f>
        <v>1.2071165319845896E-2</v>
      </c>
      <c r="G42" s="14">
        <f>F42-K42</f>
        <v>-8.0846436729598587E-3</v>
      </c>
      <c r="K42" s="14">
        <f t="shared" ref="K42:K52" si="2">C42/$C$53</f>
        <v>2.0155808992805755E-2</v>
      </c>
    </row>
    <row r="43" spans="2:11" x14ac:dyDescent="0.2">
      <c r="B43" s="12" t="s">
        <v>301</v>
      </c>
      <c r="C43" s="13">
        <f>DESPAREA!B3</f>
        <v>78792451.829999998</v>
      </c>
      <c r="D43" s="13">
        <f>DESPAREA!C3</f>
        <v>79979172.710000038</v>
      </c>
      <c r="E43" s="13">
        <f t="shared" si="0"/>
        <v>158771624.54000002</v>
      </c>
      <c r="F43" s="14">
        <f t="shared" si="1"/>
        <v>0.39039104190358848</v>
      </c>
      <c r="G43" s="14">
        <f t="shared" ref="G43:G52" si="3">F43-K43</f>
        <v>3.6108434754307861E-2</v>
      </c>
      <c r="K43" s="14">
        <f t="shared" si="2"/>
        <v>0.35428260714928062</v>
      </c>
    </row>
    <row r="44" spans="2:11" x14ac:dyDescent="0.2">
      <c r="B44" s="12" t="s">
        <v>302</v>
      </c>
      <c r="C44" s="13">
        <f>DESPAREA!B4</f>
        <v>10186417.560000001</v>
      </c>
      <c r="D44" s="13">
        <f>DESPAREA!C4</f>
        <v>23521431.310000002</v>
      </c>
      <c r="E44" s="13">
        <f t="shared" si="0"/>
        <v>33707848.870000005</v>
      </c>
      <c r="F44" s="14">
        <f t="shared" si="1"/>
        <v>8.2881574581185544E-2</v>
      </c>
      <c r="G44" s="14">
        <f t="shared" si="3"/>
        <v>3.7079337350969709E-2</v>
      </c>
      <c r="K44" s="14">
        <f t="shared" si="2"/>
        <v>4.5802237230215835E-2</v>
      </c>
    </row>
    <row r="45" spans="2:11" x14ac:dyDescent="0.2">
      <c r="B45" s="12" t="s">
        <v>303</v>
      </c>
      <c r="C45" s="13">
        <f>DESPAREA!B5</f>
        <v>23336567.410000004</v>
      </c>
      <c r="D45" s="13">
        <f>DESPAREA!C5</f>
        <v>42629789.610000007</v>
      </c>
      <c r="E45" s="13">
        <f t="shared" si="0"/>
        <v>65966357.020000011</v>
      </c>
      <c r="F45" s="14">
        <f t="shared" si="1"/>
        <v>0.16219947942356613</v>
      </c>
      <c r="G45" s="14">
        <f t="shared" si="3"/>
        <v>5.7268870565652427E-2</v>
      </c>
      <c r="K45" s="14">
        <f t="shared" si="2"/>
        <v>0.10493060885791371</v>
      </c>
    </row>
    <row r="46" spans="2:11" x14ac:dyDescent="0.2">
      <c r="B46" s="12" t="s">
        <v>340</v>
      </c>
      <c r="C46" s="13">
        <f>DESPAREA!B6</f>
        <v>15441886.360000001</v>
      </c>
      <c r="D46" s="13">
        <f>DESPAREA!C6</f>
        <v>10086048.210000001</v>
      </c>
      <c r="E46" s="13">
        <f t="shared" si="0"/>
        <v>25527934.57</v>
      </c>
      <c r="F46" s="14">
        <f t="shared" si="1"/>
        <v>6.2768627601452728E-2</v>
      </c>
      <c r="G46" s="14">
        <f t="shared" si="3"/>
        <v>-6.6643146647343415E-3</v>
      </c>
      <c r="K46" s="14">
        <f t="shared" si="2"/>
        <v>6.943294226618707E-2</v>
      </c>
    </row>
    <row r="47" spans="2:11" x14ac:dyDescent="0.2">
      <c r="B47" s="12" t="s">
        <v>339</v>
      </c>
      <c r="C47" s="13">
        <f>DESPAREA!B7</f>
        <v>5921619.3899999987</v>
      </c>
      <c r="D47" s="13">
        <f>DESPAREA!C7</f>
        <v>3975552.1599999997</v>
      </c>
      <c r="E47" s="13">
        <f t="shared" si="0"/>
        <v>9897171.5499999989</v>
      </c>
      <c r="F47" s="14">
        <f t="shared" si="1"/>
        <v>2.4335375571657252E-2</v>
      </c>
      <c r="G47" s="14">
        <f t="shared" si="3"/>
        <v>-2.2906108941700837E-3</v>
      </c>
      <c r="K47" s="14">
        <f t="shared" si="2"/>
        <v>2.6625986465827336E-2</v>
      </c>
    </row>
    <row r="48" spans="2:11" x14ac:dyDescent="0.2">
      <c r="B48" s="12" t="s">
        <v>14</v>
      </c>
      <c r="C48" s="13">
        <f>DESPAREA!B8</f>
        <v>12609102.43</v>
      </c>
      <c r="D48" s="13">
        <f>DESPAREA!C8</f>
        <v>-409979.14000000007</v>
      </c>
      <c r="E48" s="13">
        <f>C48+D48</f>
        <v>12199123.289999999</v>
      </c>
      <c r="F48" s="14">
        <f t="shared" si="1"/>
        <v>2.999546339146774E-2</v>
      </c>
      <c r="G48" s="14">
        <f t="shared" si="3"/>
        <v>-2.6700141059971115E-2</v>
      </c>
      <c r="K48" s="14">
        <f t="shared" si="2"/>
        <v>5.6695604451438855E-2</v>
      </c>
    </row>
    <row r="49" spans="2:11" x14ac:dyDescent="0.2">
      <c r="B49" s="12" t="s">
        <v>306</v>
      </c>
      <c r="C49" s="13">
        <f>DESPAREA!B9</f>
        <v>34102397.929999992</v>
      </c>
      <c r="D49" s="13">
        <f>DESPAREA!C9</f>
        <v>11220057.890000001</v>
      </c>
      <c r="E49" s="13">
        <f t="shared" si="0"/>
        <v>45322455.819999993</v>
      </c>
      <c r="F49" s="14">
        <f t="shared" si="1"/>
        <v>0.1114398167837702</v>
      </c>
      <c r="G49" s="14">
        <f t="shared" si="3"/>
        <v>-4.1898303405078705E-2</v>
      </c>
      <c r="K49" s="14">
        <f t="shared" si="2"/>
        <v>0.1533381201888489</v>
      </c>
    </row>
    <row r="50" spans="2:11" x14ac:dyDescent="0.2">
      <c r="B50" s="12" t="s">
        <v>307</v>
      </c>
      <c r="C50" s="13">
        <f>DESPAREA!B10</f>
        <v>9526905.1699999999</v>
      </c>
      <c r="D50" s="13">
        <f>DESPAREA!C10</f>
        <v>2549296.1799999997</v>
      </c>
      <c r="E50" s="13">
        <f t="shared" si="0"/>
        <v>12076201.35</v>
      </c>
      <c r="F50" s="14">
        <f t="shared" si="1"/>
        <v>2.96932203151722E-2</v>
      </c>
      <c r="G50" s="14">
        <f t="shared" si="3"/>
        <v>-1.3143583506770251E-2</v>
      </c>
      <c r="K50" s="14">
        <f t="shared" si="2"/>
        <v>4.2836803821942451E-2</v>
      </c>
    </row>
    <row r="51" spans="2:11" x14ac:dyDescent="0.2">
      <c r="B51" s="12" t="s">
        <v>16</v>
      </c>
      <c r="C51" s="13">
        <f>DESPAREA!B12</f>
        <v>9429999.9999999981</v>
      </c>
      <c r="D51" s="13">
        <f>DESPAREA!C12</f>
        <v>4658096.04</v>
      </c>
      <c r="E51" s="13">
        <f t="shared" si="0"/>
        <v>14088096.039999999</v>
      </c>
      <c r="F51" s="14">
        <f t="shared" si="1"/>
        <v>3.4640109701137518E-2</v>
      </c>
      <c r="G51" s="14">
        <f t="shared" si="3"/>
        <v>-7.7609694355531278E-3</v>
      </c>
      <c r="K51" s="14">
        <f t="shared" si="2"/>
        <v>4.2401079136690646E-2</v>
      </c>
    </row>
    <row r="52" spans="2:11" ht="13.5" thickBot="1" x14ac:dyDescent="0.25">
      <c r="B52" s="12" t="s">
        <v>17</v>
      </c>
      <c r="C52" s="13">
        <f>DESPAREA!B13</f>
        <v>18570000</v>
      </c>
      <c r="D52" s="13">
        <f>DESPAREA!C13</f>
        <v>5662800.8899999997</v>
      </c>
      <c r="E52" s="13">
        <f t="shared" si="0"/>
        <v>24232800.890000001</v>
      </c>
      <c r="F52" s="14">
        <f t="shared" si="1"/>
        <v>5.9584125407156366E-2</v>
      </c>
      <c r="G52" s="47">
        <f t="shared" si="3"/>
        <v>-2.3914076031692572E-2</v>
      </c>
      <c r="K52" s="14">
        <f t="shared" si="2"/>
        <v>8.3498201438848937E-2</v>
      </c>
    </row>
    <row r="53" spans="2:11" ht="13.5" thickBot="1" x14ac:dyDescent="0.25">
      <c r="B53" s="15" t="s">
        <v>59</v>
      </c>
      <c r="C53" s="16">
        <f>SUM(C42:C52)</f>
        <v>222399999.99999997</v>
      </c>
      <c r="D53" s="16">
        <f>SUM(D42:D52)</f>
        <v>184298944.13000003</v>
      </c>
      <c r="E53" s="16">
        <f t="shared" si="0"/>
        <v>406698944.13</v>
      </c>
      <c r="F53" s="17"/>
    </row>
  </sheetData>
  <sheetProtection selectLockedCells="1" selectUnlockedCells="1"/>
  <phoneticPr fontId="0" type="noConversion"/>
  <conditionalFormatting sqref="G42:G52">
    <cfRule type="iconSet" priority="7">
      <iconSet iconSet="3Arrows">
        <cfvo type="percent" val="0"/>
        <cfvo type="num" val="-0.03"/>
        <cfvo type="num" val="0.03"/>
      </iconSet>
    </cfRule>
  </conditionalFormatting>
  <pageMargins left="0.23622047244094491" right="0.23622047244094491" top="0.74803149606299213" bottom="0.74803149606299213" header="0.31496062992125984" footer="0.31496062992125984"/>
  <pageSetup paperSize="9" scale="85" firstPageNumber="0" orientation="portrait" r:id="rId1"/>
  <headerFooter alignWithMargins="0">
    <oddFooter>&amp;CServei de comptabilitat i gestió pressupostària | Intervenció&amp;R7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N50"/>
  <sheetViews>
    <sheetView topLeftCell="A12" zoomScaleNormal="100" workbookViewId="0">
      <selection activeCell="B44" sqref="B44"/>
    </sheetView>
  </sheetViews>
  <sheetFormatPr baseColWidth="10" defaultColWidth="11.42578125" defaultRowHeight="12.75" x14ac:dyDescent="0.2"/>
  <cols>
    <col min="1" max="1" width="19.85546875" customWidth="1"/>
    <col min="2" max="2" width="42.42578125" customWidth="1"/>
    <col min="3" max="4" width="13.42578125" style="1" customWidth="1"/>
    <col min="5" max="5" width="15.42578125" style="1" customWidth="1"/>
    <col min="6" max="6" width="13.42578125" style="1" customWidth="1"/>
    <col min="7" max="7" width="11.42578125" style="1" customWidth="1"/>
    <col min="8" max="8" width="13.42578125" style="1" customWidth="1"/>
    <col min="9" max="9" width="11.7109375" customWidth="1"/>
    <col min="10" max="10" width="11.42578125" customWidth="1"/>
    <col min="11" max="11" width="39.140625" bestFit="1" customWidth="1"/>
    <col min="12" max="12" width="12.7109375" bestFit="1" customWidth="1"/>
    <col min="13" max="13" width="3.42578125" customWidth="1"/>
  </cols>
  <sheetData>
    <row r="1" spans="3:14" x14ac:dyDescent="0.2">
      <c r="K1" s="62" t="s">
        <v>274</v>
      </c>
      <c r="L1" s="63"/>
    </row>
    <row r="2" spans="3:14" x14ac:dyDescent="0.2">
      <c r="K2" s="62" t="s">
        <v>67</v>
      </c>
      <c r="L2" s="63" t="s">
        <v>119</v>
      </c>
    </row>
    <row r="3" spans="3:14" x14ac:dyDescent="0.2">
      <c r="K3" s="64" t="s">
        <v>300</v>
      </c>
      <c r="L3" s="103">
        <v>1646954.3100000005</v>
      </c>
    </row>
    <row r="4" spans="3:14" x14ac:dyDescent="0.2">
      <c r="K4" s="65" t="s">
        <v>305</v>
      </c>
      <c r="L4" s="104">
        <v>1971122.08</v>
      </c>
    </row>
    <row r="5" spans="3:14" ht="15.75" x14ac:dyDescent="0.25">
      <c r="C5" s="7" t="s">
        <v>46</v>
      </c>
      <c r="K5" s="65" t="s">
        <v>307</v>
      </c>
      <c r="L5" s="104">
        <v>2610244.1</v>
      </c>
    </row>
    <row r="6" spans="3:14" ht="15.75" x14ac:dyDescent="0.25">
      <c r="C6" s="7" t="str">
        <f>'Dades globals'!A2</f>
        <v>SITUACIÓ DE DESPESES A 30/06/2025</v>
      </c>
      <c r="K6" s="65" t="s">
        <v>14</v>
      </c>
      <c r="L6" s="104">
        <v>3066704.1200000015</v>
      </c>
    </row>
    <row r="7" spans="3:14" ht="15.75" x14ac:dyDescent="0.25">
      <c r="C7" s="7" t="s">
        <v>69</v>
      </c>
      <c r="K7" s="65" t="s">
        <v>16</v>
      </c>
      <c r="L7" s="104">
        <v>3241921.92</v>
      </c>
    </row>
    <row r="8" spans="3:14" x14ac:dyDescent="0.2">
      <c r="K8" s="65" t="s">
        <v>304</v>
      </c>
      <c r="L8" s="104">
        <v>3674993.5200000009</v>
      </c>
    </row>
    <row r="9" spans="3:14" x14ac:dyDescent="0.2">
      <c r="K9" s="65" t="s">
        <v>17</v>
      </c>
      <c r="L9" s="104">
        <v>7756328.9900000002</v>
      </c>
    </row>
    <row r="10" spans="3:14" x14ac:dyDescent="0.2">
      <c r="K10" s="65" t="s">
        <v>302</v>
      </c>
      <c r="L10" s="104">
        <v>9053005.8299999982</v>
      </c>
    </row>
    <row r="11" spans="3:14" x14ac:dyDescent="0.2">
      <c r="K11" s="65" t="s">
        <v>303</v>
      </c>
      <c r="L11" s="104">
        <v>9865429.3299999926</v>
      </c>
    </row>
    <row r="12" spans="3:14" x14ac:dyDescent="0.2">
      <c r="K12" s="65" t="s">
        <v>306</v>
      </c>
      <c r="L12" s="104">
        <v>15736090.509999998</v>
      </c>
    </row>
    <row r="13" spans="3:14" x14ac:dyDescent="0.2">
      <c r="K13" s="65" t="s">
        <v>301</v>
      </c>
      <c r="L13" s="104">
        <v>26686457.849999987</v>
      </c>
    </row>
    <row r="14" spans="3:14" x14ac:dyDescent="0.2">
      <c r="K14" s="66" t="s">
        <v>207</v>
      </c>
      <c r="L14" s="105">
        <v>85309252.559999973</v>
      </c>
      <c r="N14" t="s">
        <v>275</v>
      </c>
    </row>
    <row r="34" spans="2:12" x14ac:dyDescent="0.2">
      <c r="K34" t="s">
        <v>266</v>
      </c>
    </row>
    <row r="37" spans="2:12" ht="13.5" thickBot="1" x14ac:dyDescent="0.25"/>
    <row r="38" spans="2:12" s="8" customFormat="1" ht="39" thickBot="1" x14ac:dyDescent="0.25">
      <c r="B38" s="9" t="s">
        <v>67</v>
      </c>
      <c r="C38" s="10" t="s">
        <v>230</v>
      </c>
      <c r="D38" s="10" t="s">
        <v>231</v>
      </c>
      <c r="E38" s="10" t="s">
        <v>238</v>
      </c>
      <c r="F38" s="10" t="s">
        <v>272</v>
      </c>
      <c r="G38" s="10" t="s">
        <v>237</v>
      </c>
    </row>
    <row r="39" spans="2:12" x14ac:dyDescent="0.2">
      <c r="B39" s="12" t="s">
        <v>300</v>
      </c>
      <c r="C39" s="13">
        <f>DESPAREA!E2+DESPAREA!F2+DESPAREA!G2</f>
        <v>3262375.879999999</v>
      </c>
      <c r="D39" s="13">
        <f>DESPAREA!H2</f>
        <v>83818.52</v>
      </c>
      <c r="E39" s="14">
        <f>(D39+F39)/(C39+D39+F39)</f>
        <v>0.3466295378973403</v>
      </c>
      <c r="F39" s="13">
        <f>DESPAREA!K2</f>
        <v>1646954.3100000005</v>
      </c>
      <c r="G39" s="14">
        <f>F39/(C39+D39+F39)</f>
        <v>0.32984283177898799</v>
      </c>
      <c r="H39"/>
      <c r="J39" t="s">
        <v>234</v>
      </c>
      <c r="K39" s="50">
        <f>+'Dades globals'!B7</f>
        <v>0.5</v>
      </c>
    </row>
    <row r="40" spans="2:12" x14ac:dyDescent="0.2">
      <c r="B40" s="12" t="s">
        <v>301</v>
      </c>
      <c r="C40" s="13">
        <f>DESPAREA!E3+DESPAREA!F3+DESPAREA!G3</f>
        <v>142144208.80999994</v>
      </c>
      <c r="D40" s="13">
        <f>DESPAREA!H3</f>
        <v>80026517.600000039</v>
      </c>
      <c r="E40" s="14">
        <f t="shared" ref="E40:E49" si="0">(D40+F40)/(C40+D40+F40)</f>
        <v>0.42881211473689618</v>
      </c>
      <c r="F40" s="13">
        <f>DESPAREA!K3</f>
        <v>26686457.849999987</v>
      </c>
      <c r="G40" s="14">
        <f t="shared" ref="G40:G49" si="1">F40/(C40+D40+F40)</f>
        <v>0.10723603551713669</v>
      </c>
      <c r="H40"/>
      <c r="J40" t="s">
        <v>232</v>
      </c>
      <c r="K40">
        <f>(3/4)*K39</f>
        <v>0.375</v>
      </c>
      <c r="L40" t="s">
        <v>236</v>
      </c>
    </row>
    <row r="41" spans="2:12" x14ac:dyDescent="0.2">
      <c r="B41" s="12" t="s">
        <v>302</v>
      </c>
      <c r="C41" s="13">
        <f>DESPAREA!E4+DESPAREA!F4+DESPAREA!G4</f>
        <v>32112398.279999986</v>
      </c>
      <c r="D41" s="13">
        <f>DESPAREA!H4</f>
        <v>7723655.54</v>
      </c>
      <c r="E41" s="14">
        <f t="shared" si="0"/>
        <v>0.34315778397263574</v>
      </c>
      <c r="F41" s="13">
        <f>DESPAREA!K4</f>
        <v>9053005.8299999982</v>
      </c>
      <c r="G41" s="14">
        <f t="shared" si="1"/>
        <v>0.18517447246502727</v>
      </c>
      <c r="H41"/>
      <c r="J41" t="s">
        <v>233</v>
      </c>
      <c r="K41">
        <f>(1/2)*K39</f>
        <v>0.25</v>
      </c>
      <c r="L41" t="s">
        <v>235</v>
      </c>
    </row>
    <row r="42" spans="2:12" x14ac:dyDescent="0.2">
      <c r="B42" s="12" t="s">
        <v>303</v>
      </c>
      <c r="C42" s="13">
        <f>DESPAREA!E5+DESPAREA!F5+DESPAREA!G5</f>
        <v>62260775.510000005</v>
      </c>
      <c r="D42" s="13">
        <f>DESPAREA!H5</f>
        <v>13200072.559999997</v>
      </c>
      <c r="E42" s="14">
        <f t="shared" si="0"/>
        <v>0.27032120224665968</v>
      </c>
      <c r="F42" s="13">
        <f>DESPAREA!K5</f>
        <v>9865429.3299999926</v>
      </c>
      <c r="G42" s="14">
        <f t="shared" si="1"/>
        <v>0.11562006020433738</v>
      </c>
      <c r="H42"/>
    </row>
    <row r="43" spans="2:12" x14ac:dyDescent="0.2">
      <c r="B43" s="12" t="s">
        <v>340</v>
      </c>
      <c r="C43" s="13">
        <f>DESPAREA!E6+DESPAREA!F6+DESPAREA!G6</f>
        <v>22176080.480000004</v>
      </c>
      <c r="D43" s="13">
        <f>DESPAREA!H6</f>
        <v>5485267.8000000026</v>
      </c>
      <c r="E43" s="14">
        <f t="shared" si="0"/>
        <v>0.29232069839115687</v>
      </c>
      <c r="F43" s="13">
        <f>DESPAREA!K6</f>
        <v>3674993.5200000009</v>
      </c>
      <c r="G43" s="14">
        <f t="shared" si="1"/>
        <v>0.11727576701374888</v>
      </c>
      <c r="H43"/>
    </row>
    <row r="44" spans="2:12" x14ac:dyDescent="0.2">
      <c r="B44" s="137" t="s">
        <v>339</v>
      </c>
      <c r="C44" s="13">
        <f>DESPAREA!E7+DESPAREA!F7+DESPAREA!G7</f>
        <v>8617383.7200000025</v>
      </c>
      <c r="D44" s="13">
        <f>DESPAREA!H7</f>
        <v>2482507.08</v>
      </c>
      <c r="E44" s="14">
        <f t="shared" si="0"/>
        <v>0.34072563472219602</v>
      </c>
      <c r="F44" s="13">
        <f>DESPAREA!K7</f>
        <v>1971122.08</v>
      </c>
      <c r="G44" s="14">
        <f t="shared" si="1"/>
        <v>0.15080102040263613</v>
      </c>
      <c r="H44"/>
    </row>
    <row r="45" spans="2:12" x14ac:dyDescent="0.2">
      <c r="B45" s="12" t="s">
        <v>14</v>
      </c>
      <c r="C45" s="13">
        <f>DESPAREA!E8+DESPAREA!F8+DESPAREA!G8</f>
        <v>16063058.17</v>
      </c>
      <c r="D45" s="13">
        <f>DESPAREA!H8</f>
        <v>220349.22000000003</v>
      </c>
      <c r="E45" s="14">
        <f t="shared" si="0"/>
        <v>0.16987257868262287</v>
      </c>
      <c r="F45" s="13">
        <f>DESPAREA!K8</f>
        <v>3066704.1200000015</v>
      </c>
      <c r="G45" s="14">
        <f t="shared" si="1"/>
        <v>0.15848508771720257</v>
      </c>
      <c r="H45"/>
    </row>
    <row r="46" spans="2:12" x14ac:dyDescent="0.2">
      <c r="B46" s="12" t="s">
        <v>306</v>
      </c>
      <c r="C46" s="13">
        <f>DESPAREA!E9+DESPAREA!F9+DESPAREA!G9</f>
        <v>31893277.880000018</v>
      </c>
      <c r="D46" s="13">
        <f>DESPAREA!H9</f>
        <v>2813007.4700000007</v>
      </c>
      <c r="E46" s="14">
        <f t="shared" si="0"/>
        <v>0.36772847558731131</v>
      </c>
      <c r="F46" s="13">
        <f>DESPAREA!K9</f>
        <v>15736090.509999998</v>
      </c>
      <c r="G46" s="14">
        <f t="shared" si="1"/>
        <v>0.31196172348571832</v>
      </c>
      <c r="H46"/>
    </row>
    <row r="47" spans="2:12" x14ac:dyDescent="0.2">
      <c r="B47" s="12" t="s">
        <v>307</v>
      </c>
      <c r="C47" s="13">
        <f>DESPAREA!E10+DESPAREA!F10+DESPAREA!G10</f>
        <v>10349029.439999996</v>
      </c>
      <c r="D47" s="13">
        <f>DESPAREA!H10</f>
        <v>2416780.25</v>
      </c>
      <c r="E47" s="14">
        <f t="shared" si="0"/>
        <v>0.32693852523261763</v>
      </c>
      <c r="F47" s="13">
        <f>DESPAREA!K10</f>
        <v>2610244.1</v>
      </c>
      <c r="G47" s="14">
        <f t="shared" si="1"/>
        <v>0.16976033874813864</v>
      </c>
      <c r="H47"/>
    </row>
    <row r="48" spans="2:12" x14ac:dyDescent="0.2">
      <c r="B48" s="12" t="s">
        <v>16</v>
      </c>
      <c r="C48" s="13">
        <f>DESPAREA!E12+DESPAREA!F12+DESPAREA!G12</f>
        <v>11217228.199999999</v>
      </c>
      <c r="D48" s="13">
        <f>DESPAREA!H12</f>
        <v>4696317.05</v>
      </c>
      <c r="E48" s="14">
        <f t="shared" si="0"/>
        <v>0.4144111391045755</v>
      </c>
      <c r="F48" s="13">
        <f>DESPAREA!K12</f>
        <v>3241921.92</v>
      </c>
      <c r="G48" s="14">
        <f t="shared" si="1"/>
        <v>0.16924264447474707</v>
      </c>
      <c r="H48"/>
    </row>
    <row r="49" spans="2:8" ht="13.5" thickBot="1" x14ac:dyDescent="0.25">
      <c r="B49" s="12" t="s">
        <v>17</v>
      </c>
      <c r="C49" s="13">
        <f>DESPAREA!E13+DESPAREA!F13+DESPAREA!G13</f>
        <v>17795861.420000002</v>
      </c>
      <c r="D49" s="13">
        <f>DESPAREA!H13</f>
        <v>2807910.19</v>
      </c>
      <c r="E49" s="14">
        <f t="shared" si="0"/>
        <v>0.37250358625314606</v>
      </c>
      <c r="F49" s="13">
        <f>DESPAREA!K13</f>
        <v>7756328.9900000002</v>
      </c>
      <c r="G49" s="14">
        <f t="shared" si="1"/>
        <v>0.27349441031249372</v>
      </c>
      <c r="H49"/>
    </row>
    <row r="50" spans="2:8" ht="13.5" thickBot="1" x14ac:dyDescent="0.25">
      <c r="B50" s="15" t="s">
        <v>59</v>
      </c>
      <c r="C50" s="16">
        <f>SUM(C39:C49)</f>
        <v>357891677.78999996</v>
      </c>
      <c r="D50" s="16">
        <f>SUM(D39:D49)</f>
        <v>121956203.28000003</v>
      </c>
      <c r="E50" s="49"/>
      <c r="F50" s="16">
        <f>SUM(F39:F49)</f>
        <v>85309252.559999973</v>
      </c>
      <c r="G50" s="45"/>
      <c r="H50"/>
    </row>
  </sheetData>
  <sheetProtection selectLockedCells="1" selectUnlockedCells="1"/>
  <phoneticPr fontId="0" type="noConversion"/>
  <conditionalFormatting sqref="E39:E49">
    <cfRule type="iconSet" priority="6">
      <iconSet>
        <cfvo type="percent" val="0"/>
        <cfvo type="num" val="$K$41"/>
        <cfvo type="num" val="$K$40"/>
      </iconSet>
    </cfRule>
  </conditionalFormatting>
  <conditionalFormatting sqref="G39:G49">
    <cfRule type="iconSet" priority="4">
      <iconSet>
        <cfvo type="percent" val="0"/>
        <cfvo type="num" val="$K$41"/>
        <cfvo type="num" val="$K$40"/>
      </iconSet>
    </cfRule>
  </conditionalFormatting>
  <pageMargins left="0.23622047244094491" right="0.23622047244094491" top="0.74803149606299213" bottom="0.74803149606299213" header="0.31496062992125984" footer="0.31496062992125984"/>
  <pageSetup paperSize="9" scale="71" firstPageNumber="0" orientation="portrait" r:id="rId2"/>
  <headerFooter alignWithMargins="0">
    <oddFooter>&amp;CServei de comptabilitat i gestió pressupostària | Intervenció&amp;R8</oddFooter>
  </headerFooter>
  <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5:K49"/>
  <sheetViews>
    <sheetView topLeftCell="A12" zoomScale="85" zoomScaleNormal="85" workbookViewId="0">
      <selection activeCell="O28" sqref="O28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11.710937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globals'!A3</f>
        <v>SITUACIÓ D'INGRESSOS A 30/06/2025</v>
      </c>
    </row>
    <row r="7" spans="4:4" ht="15.75" x14ac:dyDescent="0.25">
      <c r="D7" s="7" t="s">
        <v>70</v>
      </c>
    </row>
    <row r="37" spans="2:11" ht="13.5" thickBot="1" x14ac:dyDescent="0.25"/>
    <row r="38" spans="2:11" s="8" customFormat="1" ht="38.25" x14ac:dyDescent="0.2">
      <c r="B38" s="9" t="s">
        <v>48</v>
      </c>
      <c r="C38" s="10" t="s">
        <v>36</v>
      </c>
      <c r="D38" s="10" t="s">
        <v>81</v>
      </c>
      <c r="E38" s="10" t="s">
        <v>268</v>
      </c>
      <c r="F38" s="10" t="s">
        <v>38</v>
      </c>
      <c r="G38" s="10" t="s">
        <v>273</v>
      </c>
      <c r="H38" s="10" t="s">
        <v>40</v>
      </c>
      <c r="K38" s="8" t="s">
        <v>133</v>
      </c>
    </row>
    <row r="39" spans="2:11" x14ac:dyDescent="0.2">
      <c r="B39" s="12" t="s">
        <v>71</v>
      </c>
      <c r="C39" s="13">
        <f>INGRCAPITOL!E42</f>
        <v>19762331.240000002</v>
      </c>
      <c r="D39" s="13">
        <f t="shared" ref="D39:D47" si="0">IF(C39-E39&gt;=0,C39-E39,0)</f>
        <v>10708705.140000002</v>
      </c>
      <c r="E39" s="13">
        <f>INGRCAPITOL!F42</f>
        <v>9053626.0999999996</v>
      </c>
      <c r="F39" s="14">
        <f t="shared" ref="F39:F47" si="1">IFERROR(E39/C39,IF(E39&lt;&gt;0,1,0))</f>
        <v>0.45812540990482853</v>
      </c>
      <c r="G39" s="13">
        <f>INGRCAPITOL!H42</f>
        <v>9053626.0999999996</v>
      </c>
      <c r="H39" s="14">
        <f>IFERROR(G39/E39,0)</f>
        <v>1</v>
      </c>
      <c r="K39" s="1">
        <f t="shared" ref="K39:K49" si="2">E39-G39</f>
        <v>0</v>
      </c>
    </row>
    <row r="40" spans="2:11" x14ac:dyDescent="0.2">
      <c r="B40" s="12" t="s">
        <v>72</v>
      </c>
      <c r="C40" s="13">
        <f>INGRCAPITOL!E43</f>
        <v>14404862.060000001</v>
      </c>
      <c r="D40" s="13">
        <f t="shared" si="0"/>
        <v>6941659.9400000004</v>
      </c>
      <c r="E40" s="13">
        <f>INGRCAPITOL!F43</f>
        <v>7463202.1200000001</v>
      </c>
      <c r="F40" s="14">
        <f t="shared" si="1"/>
        <v>0.51810299112298475</v>
      </c>
      <c r="G40" s="13">
        <f>INGRCAPITOL!H43</f>
        <v>7463202.1200000001</v>
      </c>
      <c r="H40" s="14">
        <f t="shared" ref="H40:H47" si="3">IFERROR(G40/E40,0)</f>
        <v>1</v>
      </c>
      <c r="K40" s="1">
        <f t="shared" si="2"/>
        <v>0</v>
      </c>
    </row>
    <row r="41" spans="2:11" x14ac:dyDescent="0.2">
      <c r="B41" s="12" t="s">
        <v>73</v>
      </c>
      <c r="C41" s="13">
        <f>INGRCAPITOL!E44</f>
        <v>20036519.309999999</v>
      </c>
      <c r="D41" s="13">
        <f t="shared" si="0"/>
        <v>19193097.669999998</v>
      </c>
      <c r="E41" s="13">
        <f>INGRCAPITOL!F44</f>
        <v>843421.6399999999</v>
      </c>
      <c r="F41" s="14">
        <f t="shared" si="1"/>
        <v>4.2094219407612266E-2</v>
      </c>
      <c r="G41" s="13">
        <f>INGRCAPITOL!H44</f>
        <v>678860.42000000016</v>
      </c>
      <c r="H41" s="14">
        <f t="shared" si="3"/>
        <v>0.80488854898245232</v>
      </c>
      <c r="K41" s="1">
        <f t="shared" si="2"/>
        <v>164561.21999999974</v>
      </c>
    </row>
    <row r="42" spans="2:11" x14ac:dyDescent="0.2">
      <c r="B42" s="12" t="s">
        <v>53</v>
      </c>
      <c r="C42" s="13">
        <f>INGRCAPITOL!E45</f>
        <v>150538666.57999998</v>
      </c>
      <c r="D42" s="13">
        <f t="shared" si="0"/>
        <v>86589364.599999994</v>
      </c>
      <c r="E42" s="13">
        <f>INGRCAPITOL!F45</f>
        <v>63949301.979999989</v>
      </c>
      <c r="F42" s="14">
        <f t="shared" si="1"/>
        <v>0.4248031647471498</v>
      </c>
      <c r="G42" s="13">
        <f>INGRCAPITOL!H45</f>
        <v>63807650.059999987</v>
      </c>
      <c r="H42" s="14">
        <f t="shared" si="3"/>
        <v>0.99778493407098789</v>
      </c>
      <c r="K42" s="1">
        <f t="shared" si="2"/>
        <v>141651.92000000179</v>
      </c>
    </row>
    <row r="43" spans="2:11" x14ac:dyDescent="0.2">
      <c r="B43" s="12" t="s">
        <v>74</v>
      </c>
      <c r="C43" s="13">
        <f>INGRCAPITOL!E46</f>
        <v>7769589.96</v>
      </c>
      <c r="D43" s="13">
        <f t="shared" si="0"/>
        <v>5825920.5099999998</v>
      </c>
      <c r="E43" s="13">
        <f>INGRCAPITOL!F46</f>
        <v>1943669.4500000002</v>
      </c>
      <c r="F43" s="14">
        <f t="shared" si="1"/>
        <v>0.25016371005504134</v>
      </c>
      <c r="G43" s="13">
        <f>INGRCAPITOL!H46</f>
        <v>1890062.82</v>
      </c>
      <c r="H43" s="14">
        <f t="shared" si="3"/>
        <v>0.97241988343233976</v>
      </c>
      <c r="K43" s="1">
        <f t="shared" si="2"/>
        <v>53606.630000000121</v>
      </c>
    </row>
    <row r="44" spans="2:11" x14ac:dyDescent="0.2">
      <c r="B44" s="12" t="s">
        <v>75</v>
      </c>
      <c r="C44" s="13">
        <f>INGRCAPITOL!E47</f>
        <v>1100</v>
      </c>
      <c r="D44" s="13">
        <f t="shared" si="0"/>
        <v>0</v>
      </c>
      <c r="E44" s="13">
        <f>INGRCAPITOL!F47</f>
        <v>2304</v>
      </c>
      <c r="F44" s="14">
        <f t="shared" si="1"/>
        <v>2.0945454545454547</v>
      </c>
      <c r="G44" s="13">
        <f>INGRCAPITOL!H47</f>
        <v>2304</v>
      </c>
      <c r="H44" s="14">
        <f t="shared" si="3"/>
        <v>1</v>
      </c>
      <c r="K44" s="1">
        <f t="shared" si="2"/>
        <v>0</v>
      </c>
    </row>
    <row r="45" spans="2:11" x14ac:dyDescent="0.2">
      <c r="B45" s="12" t="s">
        <v>56</v>
      </c>
      <c r="C45" s="13">
        <f>INGRCAPITOL!E48</f>
        <v>1362100.5899999999</v>
      </c>
      <c r="D45" s="13">
        <f t="shared" si="0"/>
        <v>0</v>
      </c>
      <c r="E45" s="13">
        <f>INGRCAPITOL!F48</f>
        <v>2833869.44</v>
      </c>
      <c r="F45" s="14">
        <f t="shared" si="1"/>
        <v>2.0805140683479184</v>
      </c>
      <c r="G45" s="13">
        <f>INGRCAPITOL!H48</f>
        <v>2833869.44</v>
      </c>
      <c r="H45" s="14">
        <f t="shared" si="3"/>
        <v>1</v>
      </c>
      <c r="K45" s="1">
        <f t="shared" si="2"/>
        <v>0</v>
      </c>
    </row>
    <row r="46" spans="2:11" x14ac:dyDescent="0.2">
      <c r="B46" s="12" t="s">
        <v>57</v>
      </c>
      <c r="C46" s="13">
        <f>INGRCAPITOL!E49</f>
        <v>192823774.38999996</v>
      </c>
      <c r="D46" s="13">
        <f t="shared" si="0"/>
        <v>192638497.71999997</v>
      </c>
      <c r="E46" s="13">
        <f>INGRCAPITOL!F49</f>
        <v>185276.67</v>
      </c>
      <c r="F46" s="14">
        <f t="shared" si="1"/>
        <v>9.6086009407358975E-4</v>
      </c>
      <c r="G46" s="13">
        <f>INGRCAPITOL!H49</f>
        <v>181330.88</v>
      </c>
      <c r="H46" s="14">
        <f t="shared" si="3"/>
        <v>0.97870325497538357</v>
      </c>
      <c r="K46" s="1">
        <f t="shared" si="2"/>
        <v>3945.7900000000081</v>
      </c>
    </row>
    <row r="47" spans="2:11" ht="13.5" thickBot="1" x14ac:dyDescent="0.25">
      <c r="B47" s="12" t="s">
        <v>58</v>
      </c>
      <c r="C47" s="13">
        <f>INGRCAPITOL!E50</f>
        <v>0</v>
      </c>
      <c r="D47" s="13">
        <f t="shared" si="0"/>
        <v>0</v>
      </c>
      <c r="E47" s="13">
        <f>INGRCAPITOL!F50</f>
        <v>0</v>
      </c>
      <c r="F47" s="14">
        <f t="shared" si="1"/>
        <v>0</v>
      </c>
      <c r="G47" s="13">
        <f>INGRCAPITOL!H50</f>
        <v>0</v>
      </c>
      <c r="H47" s="14">
        <f t="shared" si="3"/>
        <v>0</v>
      </c>
      <c r="K47" s="1">
        <f t="shared" si="2"/>
        <v>0</v>
      </c>
    </row>
    <row r="48" spans="2:11" ht="13.5" thickBot="1" x14ac:dyDescent="0.25">
      <c r="B48" s="15" t="s">
        <v>59</v>
      </c>
      <c r="C48" s="16">
        <f>SUM(C39:C47)</f>
        <v>406698944.13</v>
      </c>
      <c r="D48" s="16">
        <f>SUM(D39:D47)</f>
        <v>321897245.57999998</v>
      </c>
      <c r="E48" s="16">
        <f>SUM(E39:E47)</f>
        <v>86274671.399999991</v>
      </c>
      <c r="F48" s="18">
        <f>E48/C48</f>
        <v>0.21213399406422501</v>
      </c>
      <c r="G48" s="16">
        <f>SUM(G39:G47)</f>
        <v>85910905.839999974</v>
      </c>
      <c r="H48" s="18">
        <f>G48/E48</f>
        <v>0.99578363436108064</v>
      </c>
      <c r="I48" s="1"/>
      <c r="K48" s="1">
        <f t="shared" si="2"/>
        <v>363765.56000001729</v>
      </c>
    </row>
    <row r="49" spans="2:11" ht="13.5" thickBot="1" x14ac:dyDescent="0.25">
      <c r="B49" s="15" t="s">
        <v>132</v>
      </c>
      <c r="C49" s="16">
        <f>C48-INGRCAPITOL!E58</f>
        <v>214475169.74000004</v>
      </c>
      <c r="D49" s="16">
        <f>C49-E49</f>
        <v>128200498.34000005</v>
      </c>
      <c r="E49" s="16">
        <f>E48</f>
        <v>86274671.399999991</v>
      </c>
      <c r="F49" s="18">
        <f>E49/C49</f>
        <v>0.40225948535015704</v>
      </c>
      <c r="G49" s="16">
        <f>G48</f>
        <v>85910905.839999974</v>
      </c>
      <c r="H49" s="18">
        <f>G49/E49</f>
        <v>0.99578363436108064</v>
      </c>
      <c r="K49" s="1">
        <f t="shared" si="2"/>
        <v>363765.56000001729</v>
      </c>
    </row>
  </sheetData>
  <sheetProtection selectLockedCells="1" selectUnlockedCells="1"/>
  <phoneticPr fontId="0" type="noConversion"/>
  <pageMargins left="0.23622047244094491" right="0.23622047244094491" top="0.74803149606299213" bottom="0.74803149606299213" header="0.31496062992125984" footer="0.31496062992125984"/>
  <pageSetup paperSize="9" scale="79" firstPageNumber="0" orientation="portrait" r:id="rId1"/>
  <headerFooter alignWithMargins="0">
    <oddFooter>&amp;CServei de comptabilitat i gestió pressupostària | Intervenció&amp;R9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C5:H7"/>
  <sheetViews>
    <sheetView zoomScaleNormal="100" workbookViewId="0">
      <selection activeCell="O21" sqref="O21"/>
    </sheetView>
  </sheetViews>
  <sheetFormatPr baseColWidth="10" defaultColWidth="11.42578125" defaultRowHeight="12.75" x14ac:dyDescent="0.2"/>
  <cols>
    <col min="1" max="1" width="11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11.710937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globals'!A4</f>
        <v>RESUM EXECUCIÓ A 30/06/2025</v>
      </c>
    </row>
    <row r="7" spans="4:4" ht="15.75" x14ac:dyDescent="0.25">
      <c r="D7" s="7" t="s">
        <v>70</v>
      </c>
    </row>
  </sheetData>
  <phoneticPr fontId="0" type="noConversion"/>
  <pageMargins left="0.23622047244094491" right="0.23622047244094491" top="0.74803149606299213" bottom="0.74803149606299213" header="0.31496062992125984" footer="0.31496062992125984"/>
  <pageSetup paperSize="9" scale="82" firstPageNumber="0" orientation="portrait" r:id="rId1"/>
  <headerFooter alignWithMargins="0">
    <oddFooter>&amp;CServei de comptabilitat i gestió pressupostària | Intervenció&amp;R10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C5:H7"/>
  <sheetViews>
    <sheetView topLeftCell="A27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6.42578125" customWidth="1"/>
    <col min="2" max="2" width="29.42578125" customWidth="1"/>
    <col min="3" max="4" width="13.42578125" style="1" customWidth="1"/>
    <col min="5" max="5" width="15.42578125" style="1" customWidth="1"/>
    <col min="6" max="8" width="13.42578125" style="1" customWidth="1"/>
    <col min="9" max="9" width="4.28515625" customWidth="1"/>
  </cols>
  <sheetData>
    <row r="5" spans="4:4" ht="15.75" x14ac:dyDescent="0.25">
      <c r="D5" s="7" t="s">
        <v>46</v>
      </c>
    </row>
    <row r="6" spans="4:4" ht="15.75" x14ac:dyDescent="0.25">
      <c r="D6" s="7" t="str">
        <f>'Dades globals'!A4</f>
        <v>RESUM EXECUCIÓ A 30/06/2025</v>
      </c>
    </row>
    <row r="7" spans="4:4" ht="15.75" x14ac:dyDescent="0.25">
      <c r="D7" s="7" t="s">
        <v>134</v>
      </c>
    </row>
  </sheetData>
  <pageMargins left="0.23622047244094491" right="0.23622047244094491" top="0.74803149606299213" bottom="0.74803149606299213" header="0.31496062992125984" footer="0.31496062992125984"/>
  <pageSetup paperSize="9" scale="76" orientation="portrait" r:id="rId1"/>
  <headerFooter>
    <oddFooter>&amp;CServei de comptabilitat i gestió pressupostària | Intervenció&amp;R11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5:H48"/>
  <sheetViews>
    <sheetView topLeftCell="A22" zoomScaleNormal="100" zoomScaleSheetLayoutView="100" workbookViewId="0">
      <selection activeCell="K54" sqref="K54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5.42578125" style="1" customWidth="1"/>
    <col min="6" max="6" width="13.42578125" style="1" customWidth="1"/>
    <col min="7" max="7" width="8.85546875" style="1" customWidth="1"/>
    <col min="8" max="8" width="11.42578125" style="6" customWidth="1"/>
  </cols>
  <sheetData>
    <row r="5" spans="3:8" ht="15.75" x14ac:dyDescent="0.25">
      <c r="D5" s="7" t="s">
        <v>46</v>
      </c>
    </row>
    <row r="6" spans="3:8" s="1" customFormat="1" ht="15.75" x14ac:dyDescent="0.25">
      <c r="C6"/>
      <c r="D6" s="7" t="str">
        <f>'Dades globals'!A5</f>
        <v>PRESSUPOST A 30/06/2025</v>
      </c>
      <c r="H6" s="6"/>
    </row>
    <row r="7" spans="3:8" s="1" customFormat="1" ht="15.75" x14ac:dyDescent="0.25">
      <c r="C7"/>
      <c r="D7" s="7" t="s">
        <v>171</v>
      </c>
      <c r="H7" s="6"/>
    </row>
    <row r="8" spans="3:8" s="1" customFormat="1" ht="16.5" thickBot="1" x14ac:dyDescent="0.3">
      <c r="C8"/>
      <c r="D8" s="7"/>
      <c r="H8" s="6"/>
    </row>
    <row r="9" spans="3:8" s="1" customFormat="1" ht="26.25" thickBot="1" x14ac:dyDescent="0.25">
      <c r="C9"/>
      <c r="D9" s="27" t="s">
        <v>98</v>
      </c>
      <c r="E9" s="27" t="s">
        <v>10</v>
      </c>
      <c r="F9" s="32" t="s">
        <v>172</v>
      </c>
      <c r="H9" s="6"/>
    </row>
    <row r="10" spans="3:8" ht="13.5" thickBot="1" x14ac:dyDescent="0.25">
      <c r="C10" s="33" t="s">
        <v>155</v>
      </c>
      <c r="D10" s="28">
        <f>PREVISIONSFIANY!G3</f>
        <v>19762331.240000002</v>
      </c>
      <c r="E10" s="28">
        <f>PREVISIONSFIANY!G18</f>
        <v>71370848</v>
      </c>
      <c r="F10" s="27"/>
    </row>
    <row r="11" spans="3:8" ht="13.5" thickBot="1" x14ac:dyDescent="0.25">
      <c r="C11" s="33" t="s">
        <v>156</v>
      </c>
      <c r="D11" s="28">
        <f>PREVISIONSFIANY!G4</f>
        <v>14404862.059999999</v>
      </c>
      <c r="E11" s="28">
        <f>PREVISIONSFIANY!G19</f>
        <v>30160672.279999997</v>
      </c>
      <c r="F11" s="27"/>
    </row>
    <row r="12" spans="3:8" ht="13.5" thickBot="1" x14ac:dyDescent="0.25">
      <c r="C12" s="33" t="s">
        <v>157</v>
      </c>
      <c r="D12" s="28">
        <f>PREVISIONSFIANY!G5</f>
        <v>20404814.829999998</v>
      </c>
      <c r="E12" s="28">
        <f>PREVISIONSFIANY!G20</f>
        <v>466341.1</v>
      </c>
      <c r="F12" s="27"/>
    </row>
    <row r="13" spans="3:8" ht="13.5" thickBot="1" x14ac:dyDescent="0.25">
      <c r="C13" s="33" t="s">
        <v>158</v>
      </c>
      <c r="D13" s="28">
        <f>PREVISIONSFIANY!G6</f>
        <v>134213091.99000001</v>
      </c>
      <c r="E13" s="28">
        <f>PREVISIONSFIANY!G21</f>
        <v>48327168.219999999</v>
      </c>
      <c r="F13" s="27"/>
    </row>
    <row r="14" spans="3:8" ht="13.5" thickBot="1" x14ac:dyDescent="0.25">
      <c r="C14" s="33" t="s">
        <v>159</v>
      </c>
      <c r="D14" s="28">
        <f>PREVISIONSFIANY!G7</f>
        <v>7777416.0199999996</v>
      </c>
      <c r="E14" s="28">
        <f>PREVISIONSFIANY!G22</f>
        <v>0</v>
      </c>
      <c r="F14" s="27"/>
    </row>
    <row r="15" spans="3:8" ht="13.5" thickBot="1" x14ac:dyDescent="0.25">
      <c r="C15" s="34" t="s">
        <v>160</v>
      </c>
      <c r="D15" s="29">
        <f>SUM(D10:D14)</f>
        <v>196562516.14000002</v>
      </c>
      <c r="E15" s="29">
        <f>SUM(E10:E14)</f>
        <v>150325029.59999999</v>
      </c>
      <c r="F15" s="29">
        <f>D15-E15</f>
        <v>46237486.540000021</v>
      </c>
    </row>
    <row r="16" spans="3:8" ht="13.5" thickBot="1" x14ac:dyDescent="0.25">
      <c r="C16" s="33" t="s">
        <v>161</v>
      </c>
      <c r="D16" s="28">
        <f>PREVISIONSFIANY!G9</f>
        <v>3304</v>
      </c>
      <c r="E16" s="28">
        <f>PREVISIONSFIANY!G24</f>
        <v>21624752.190000001</v>
      </c>
      <c r="F16" s="27"/>
    </row>
    <row r="17" spans="3:6" ht="13.5" thickBot="1" x14ac:dyDescent="0.25">
      <c r="C17" s="33" t="s">
        <v>162</v>
      </c>
      <c r="D17" s="28">
        <f>PREVISIONSFIANY!G10</f>
        <v>4195970.03</v>
      </c>
      <c r="E17" s="28">
        <f>PREVISIONSFIANY!G25</f>
        <v>31553282</v>
      </c>
      <c r="F17" s="27"/>
    </row>
    <row r="18" spans="3:6" ht="13.5" thickBot="1" x14ac:dyDescent="0.25">
      <c r="C18" s="34" t="s">
        <v>163</v>
      </c>
      <c r="D18" s="29">
        <f>SUM(D15:D17)</f>
        <v>200761790.17000002</v>
      </c>
      <c r="E18" s="29">
        <f>SUM(E15:E17)</f>
        <v>203503063.78999999</v>
      </c>
      <c r="F18" s="29">
        <f>D18-E18</f>
        <v>-2741273.619999975</v>
      </c>
    </row>
    <row r="19" spans="3:6" ht="13.5" thickBot="1" x14ac:dyDescent="0.25">
      <c r="C19" s="33" t="s">
        <v>164</v>
      </c>
      <c r="D19" s="28">
        <f>PREVISIONSFIANY!G12</f>
        <v>600000</v>
      </c>
      <c r="E19" s="28">
        <f>PREVISIONSFIANY!G27</f>
        <v>552200</v>
      </c>
      <c r="F19" s="27"/>
    </row>
    <row r="20" spans="3:6" ht="13.5" thickBot="1" x14ac:dyDescent="0.25">
      <c r="C20" s="33" t="s">
        <v>165</v>
      </c>
      <c r="D20" s="28">
        <f>PREVISIONSFIANY!G13</f>
        <v>0</v>
      </c>
      <c r="E20" s="28">
        <f>PREVISIONSFIANY!G28</f>
        <v>0</v>
      </c>
      <c r="F20" s="27"/>
    </row>
    <row r="21" spans="3:6" ht="13.5" thickBot="1" x14ac:dyDescent="0.25">
      <c r="C21" s="34" t="s">
        <v>166</v>
      </c>
      <c r="D21" s="29">
        <f>SUM(D19:D20)</f>
        <v>600000</v>
      </c>
      <c r="E21" s="29">
        <f>SUM(E19:E20)</f>
        <v>552200</v>
      </c>
      <c r="F21" s="29">
        <f>D21-E21</f>
        <v>47800</v>
      </c>
    </row>
    <row r="22" spans="3:6" ht="13.5" thickBot="1" x14ac:dyDescent="0.25">
      <c r="C22" s="30" t="s">
        <v>119</v>
      </c>
      <c r="D22" s="31">
        <f>SUM(D18,D21)</f>
        <v>201361790.17000002</v>
      </c>
      <c r="E22" s="31">
        <f>SUM(E18,E21)</f>
        <v>204055263.78999999</v>
      </c>
      <c r="F22" s="29">
        <f>D22-E22</f>
        <v>-2693473.619999975</v>
      </c>
    </row>
    <row r="33" spans="3:7" s="6" customFormat="1" x14ac:dyDescent="0.2">
      <c r="C33"/>
      <c r="D33"/>
      <c r="E33" s="1"/>
      <c r="F33" s="1"/>
      <c r="G33" s="1"/>
    </row>
    <row r="48" spans="3:7" x14ac:dyDescent="0.2">
      <c r="C48" s="1"/>
    </row>
  </sheetData>
  <sheetProtection selectLockedCells="1" selectUnlockedCells="1"/>
  <pageMargins left="0.23622047244094491" right="0.23622047244094491" top="0.74803149606299213" bottom="0.74803149606299213" header="0.31496062992125984" footer="0.31496062992125984"/>
  <pageSetup paperSize="9" scale="87" firstPageNumber="0" orientation="portrait" r:id="rId1"/>
  <headerFooter alignWithMargins="0">
    <oddFooter>&amp;CServei de comptabilitat i gestió pressupostària | Intervenció&amp;R12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5:H48"/>
  <sheetViews>
    <sheetView topLeftCell="A12" zoomScale="115" zoomScaleNormal="115" workbookViewId="0">
      <selection activeCell="I38" sqref="I38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5.42578125" style="1" customWidth="1"/>
    <col min="6" max="6" width="13.42578125" style="1" customWidth="1"/>
    <col min="7" max="7" width="8.85546875" style="1" customWidth="1"/>
    <col min="8" max="8" width="11.42578125" style="6" customWidth="1"/>
  </cols>
  <sheetData>
    <row r="5" spans="3:8" ht="15.75" x14ac:dyDescent="0.25">
      <c r="D5" s="7" t="s">
        <v>46</v>
      </c>
    </row>
    <row r="6" spans="3:8" s="1" customFormat="1" ht="15.75" x14ac:dyDescent="0.25">
      <c r="C6"/>
      <c r="D6" s="7" t="str">
        <f>'Dades globals'!A5</f>
        <v>PRESSUPOST A 30/06/2025</v>
      </c>
      <c r="H6" s="6"/>
    </row>
    <row r="7" spans="3:8" s="1" customFormat="1" ht="15.75" x14ac:dyDescent="0.25">
      <c r="C7"/>
      <c r="D7" s="7" t="s">
        <v>178</v>
      </c>
      <c r="H7" s="6"/>
    </row>
    <row r="8" spans="3:8" s="1" customFormat="1" x14ac:dyDescent="0.2">
      <c r="C8"/>
      <c r="D8"/>
      <c r="H8" s="6"/>
    </row>
    <row r="9" spans="3:8" s="1" customFormat="1" x14ac:dyDescent="0.2">
      <c r="C9"/>
      <c r="D9"/>
      <c r="H9" s="6"/>
    </row>
    <row r="33" spans="3:7" s="6" customFormat="1" x14ac:dyDescent="0.2">
      <c r="C33"/>
      <c r="D33"/>
      <c r="E33" s="1"/>
      <c r="F33" s="1"/>
      <c r="G33" s="1"/>
    </row>
    <row r="48" spans="3:7" x14ac:dyDescent="0.2">
      <c r="C48" s="1"/>
    </row>
  </sheetData>
  <sheetProtection selectLockedCells="1" selectUnlockedCells="1"/>
  <pageMargins left="0.23622047244094491" right="0.23622047244094491" top="0.74803149606299213" bottom="0.74803149606299213" header="0.31496062992125984" footer="0.31496062992125984"/>
  <pageSetup paperSize="9" scale="94" firstPageNumber="0" orientation="portrait" r:id="rId1"/>
  <headerFooter alignWithMargins="0">
    <oddFooter>&amp;CServei de comptabilitat i gestió pressupostària | Intervenció&amp;R13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51"/>
  <sheetViews>
    <sheetView zoomScale="85" zoomScaleNormal="85" workbookViewId="0">
      <pane xSplit="2" ySplit="1" topLeftCell="C2" activePane="bottomRight" state="frozen"/>
      <selection activeCell="K20" sqref="K20"/>
      <selection pane="topRight" activeCell="K20" sqref="K20"/>
      <selection pane="bottomLeft" activeCell="K20" sqref="K20"/>
      <selection pane="bottomRight" activeCell="C5" sqref="C5"/>
    </sheetView>
  </sheetViews>
  <sheetFormatPr baseColWidth="10" defaultColWidth="9.140625" defaultRowHeight="12.75" x14ac:dyDescent="0.2"/>
  <cols>
    <col min="1" max="1" width="6.42578125" bestFit="1" customWidth="1"/>
    <col min="2" max="2" width="43" bestFit="1" customWidth="1"/>
    <col min="3" max="3" width="14.28515625" style="1" bestFit="1" customWidth="1"/>
    <col min="4" max="4" width="14.140625" style="1" bestFit="1" customWidth="1"/>
    <col min="5" max="5" width="16.28515625" style="1" bestFit="1" customWidth="1"/>
    <col min="6" max="6" width="20.42578125" style="1" bestFit="1" customWidth="1"/>
    <col min="7" max="7" width="16.42578125" style="1" bestFit="1" customWidth="1"/>
    <col min="8" max="8" width="19.7109375" style="1" bestFit="1" customWidth="1"/>
    <col min="9" max="9" width="19.140625" style="1" bestFit="1" customWidth="1"/>
    <col min="10" max="10" width="14.140625" style="1" bestFit="1" customWidth="1"/>
    <col min="11" max="11" width="10.7109375" style="2" bestFit="1" customWidth="1"/>
    <col min="12" max="12" width="14.85546875" style="106" customWidth="1"/>
    <col min="13" max="13" width="10.7109375" style="2" customWidth="1"/>
    <col min="14" max="14" width="13" style="106" bestFit="1" customWidth="1"/>
    <col min="15" max="15" width="9" style="2" bestFit="1" customWidth="1"/>
  </cols>
  <sheetData>
    <row r="1" spans="1:15" s="3" customFormat="1" x14ac:dyDescent="0.2">
      <c r="A1" s="3" t="s">
        <v>19</v>
      </c>
      <c r="B1" s="3" t="s">
        <v>48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4" t="s">
        <v>10</v>
      </c>
      <c r="M1" s="5" t="s">
        <v>11</v>
      </c>
      <c r="N1" s="4" t="s">
        <v>12</v>
      </c>
      <c r="O1" s="5" t="s">
        <v>13</v>
      </c>
    </row>
    <row r="2" spans="1:15" x14ac:dyDescent="0.2">
      <c r="A2" t="s">
        <v>20</v>
      </c>
      <c r="B2" t="s">
        <v>21</v>
      </c>
      <c r="C2" s="115">
        <v>63854836.660000026</v>
      </c>
      <c r="D2" s="115">
        <v>3005149.8500000006</v>
      </c>
      <c r="E2" s="115">
        <v>66859986.509999998</v>
      </c>
      <c r="F2" s="115">
        <v>40678412.029999986</v>
      </c>
      <c r="G2" s="115">
        <v>0</v>
      </c>
      <c r="H2" s="115">
        <v>0</v>
      </c>
      <c r="I2" s="115">
        <v>411026.38</v>
      </c>
      <c r="J2" s="1">
        <f t="shared" ref="J2:J9" si="0">I2+L2</f>
        <v>26592600.860000007</v>
      </c>
      <c r="K2" s="2">
        <f t="shared" ref="K2:K8" si="1">J2/E2</f>
        <v>0.397735659967904</v>
      </c>
      <c r="L2" s="115">
        <v>26181574.480000008</v>
      </c>
      <c r="M2" s="2">
        <f t="shared" ref="M2:M8" si="2">L2/E2</f>
        <v>0.39158809097402564</v>
      </c>
      <c r="N2" s="115">
        <v>26095329.030000009</v>
      </c>
      <c r="O2" s="2">
        <f>N2/L2</f>
        <v>0.99670587228946517</v>
      </c>
    </row>
    <row r="3" spans="1:15" x14ac:dyDescent="0.2">
      <c r="A3" t="s">
        <v>20</v>
      </c>
      <c r="B3" t="s">
        <v>22</v>
      </c>
      <c r="C3" s="115">
        <v>25738469.030000001</v>
      </c>
      <c r="D3" s="115">
        <v>13123237.719999997</v>
      </c>
      <c r="E3" s="115">
        <v>38861706.750000007</v>
      </c>
      <c r="F3" s="115">
        <v>30485575.279999994</v>
      </c>
      <c r="G3" s="115">
        <v>0</v>
      </c>
      <c r="H3" s="115">
        <v>1222758.78</v>
      </c>
      <c r="I3" s="115">
        <v>16871384.079999991</v>
      </c>
      <c r="J3" s="1">
        <f t="shared" si="0"/>
        <v>25247515.550000001</v>
      </c>
      <c r="K3" s="2">
        <f t="shared" si="1"/>
        <v>0.64967593195067264</v>
      </c>
      <c r="L3" s="115">
        <v>8376131.4700000109</v>
      </c>
      <c r="M3" s="2">
        <f t="shared" si="2"/>
        <v>0.21553689146707405</v>
      </c>
      <c r="N3" s="115">
        <v>7650693.5400000038</v>
      </c>
      <c r="O3" s="2">
        <f>N3/L3</f>
        <v>0.91339224645670392</v>
      </c>
    </row>
    <row r="4" spans="1:15" x14ac:dyDescent="0.2">
      <c r="A4" t="s">
        <v>20</v>
      </c>
      <c r="B4" t="s">
        <v>23</v>
      </c>
      <c r="C4" s="115">
        <v>120001</v>
      </c>
      <c r="D4" s="115">
        <v>51600</v>
      </c>
      <c r="E4" s="115">
        <v>171601</v>
      </c>
      <c r="F4" s="115">
        <v>171291.55</v>
      </c>
      <c r="G4" s="115"/>
      <c r="H4" s="115">
        <v>0</v>
      </c>
      <c r="I4" s="115">
        <v>0</v>
      </c>
      <c r="J4" s="1">
        <f t="shared" si="0"/>
        <v>309.45</v>
      </c>
      <c r="K4" s="2">
        <f t="shared" si="1"/>
        <v>1.803311169515329E-3</v>
      </c>
      <c r="L4" s="115">
        <v>309.45</v>
      </c>
      <c r="M4" s="2">
        <f t="shared" si="2"/>
        <v>1.803311169515329E-3</v>
      </c>
      <c r="N4" s="115">
        <v>115.91</v>
      </c>
      <c r="O4" s="2">
        <f>N4/L4</f>
        <v>0.3745677815479076</v>
      </c>
    </row>
    <row r="5" spans="1:15" x14ac:dyDescent="0.2">
      <c r="A5" t="s">
        <v>20</v>
      </c>
      <c r="B5" t="s">
        <v>24</v>
      </c>
      <c r="C5" s="115">
        <v>34903287.109999999</v>
      </c>
      <c r="D5" s="115">
        <v>45600178.700000003</v>
      </c>
      <c r="E5" s="115">
        <v>80503465.809999987</v>
      </c>
      <c r="F5" s="115">
        <v>58948776.529999986</v>
      </c>
      <c r="G5" s="115">
        <v>4903329.8</v>
      </c>
      <c r="H5" s="115">
        <v>10589116.710000001</v>
      </c>
      <c r="I5" s="115">
        <v>21580492.179999996</v>
      </c>
      <c r="J5" s="1">
        <f t="shared" si="0"/>
        <v>43135181.459999993</v>
      </c>
      <c r="K5" s="2">
        <f t="shared" si="1"/>
        <v>0.53581769462951279</v>
      </c>
      <c r="L5" s="115">
        <v>21554689.280000001</v>
      </c>
      <c r="M5" s="2">
        <f t="shared" si="2"/>
        <v>0.26774858775487054</v>
      </c>
      <c r="N5" s="115">
        <v>19622711.469999999</v>
      </c>
      <c r="O5" s="2">
        <f>N5/L5</f>
        <v>0.91036856134165522</v>
      </c>
    </row>
    <row r="6" spans="1:15" x14ac:dyDescent="0.2">
      <c r="A6" t="s">
        <v>20</v>
      </c>
      <c r="B6" t="s">
        <v>25</v>
      </c>
      <c r="C6" s="115">
        <v>4715101.68</v>
      </c>
      <c r="D6" s="115">
        <v>-814086.71</v>
      </c>
      <c r="E6" s="115">
        <v>3901014.9699999997</v>
      </c>
      <c r="F6" s="115">
        <v>3901014.9699999997</v>
      </c>
      <c r="G6" s="115"/>
      <c r="H6" s="115">
        <v>0</v>
      </c>
      <c r="I6" s="115">
        <v>0</v>
      </c>
      <c r="J6" s="1">
        <f t="shared" si="0"/>
        <v>0</v>
      </c>
      <c r="K6" s="2">
        <f t="shared" si="1"/>
        <v>0</v>
      </c>
      <c r="L6" s="115">
        <v>0</v>
      </c>
      <c r="M6" s="2">
        <f t="shared" si="2"/>
        <v>0</v>
      </c>
      <c r="N6" s="115">
        <v>0</v>
      </c>
      <c r="O6" s="2">
        <v>0</v>
      </c>
    </row>
    <row r="7" spans="1:15" x14ac:dyDescent="0.2">
      <c r="A7" t="s">
        <v>20</v>
      </c>
      <c r="B7" t="s">
        <v>26</v>
      </c>
      <c r="C7" s="115">
        <v>21732976.149999999</v>
      </c>
      <c r="D7" s="115">
        <v>52774345.980000012</v>
      </c>
      <c r="E7" s="115">
        <v>74507322.130000025</v>
      </c>
      <c r="F7" s="115">
        <v>67151017.529999986</v>
      </c>
      <c r="G7" s="115">
        <v>0</v>
      </c>
      <c r="H7" s="115">
        <v>7441740.2599999998</v>
      </c>
      <c r="I7" s="115">
        <v>9083664.1800000016</v>
      </c>
      <c r="J7" s="1">
        <f t="shared" si="0"/>
        <v>16439968.779999999</v>
      </c>
      <c r="K7" s="2">
        <f t="shared" si="1"/>
        <v>0.22064903569229907</v>
      </c>
      <c r="L7" s="115">
        <v>7356304.5999999978</v>
      </c>
      <c r="M7" s="2">
        <f t="shared" si="2"/>
        <v>9.8732639822496263E-2</v>
      </c>
      <c r="N7" s="115">
        <v>5271527.99</v>
      </c>
      <c r="O7" s="2">
        <f>N7/L7</f>
        <v>0.71660001544797391</v>
      </c>
    </row>
    <row r="8" spans="1:15" x14ac:dyDescent="0.2">
      <c r="A8" t="s">
        <v>20</v>
      </c>
      <c r="B8" t="s">
        <v>27</v>
      </c>
      <c r="C8" s="115">
        <v>49665328.370000005</v>
      </c>
      <c r="D8" s="115">
        <v>60237621.660000011</v>
      </c>
      <c r="E8" s="115">
        <v>109902950.03</v>
      </c>
      <c r="F8" s="115">
        <v>99355657.660000011</v>
      </c>
      <c r="G8" s="115">
        <v>949893.96</v>
      </c>
      <c r="H8" s="115">
        <v>2774703.11</v>
      </c>
      <c r="I8" s="115">
        <v>66505409.219999999</v>
      </c>
      <c r="J8" s="1">
        <f t="shared" si="0"/>
        <v>77052701.590000004</v>
      </c>
      <c r="K8" s="2">
        <f t="shared" si="1"/>
        <v>0.70109766452098943</v>
      </c>
      <c r="L8" s="115">
        <v>10547292.369999999</v>
      </c>
      <c r="M8" s="2">
        <f t="shared" si="2"/>
        <v>9.5969147025816187E-2</v>
      </c>
      <c r="N8" s="115">
        <v>9630801.4499999974</v>
      </c>
      <c r="O8" s="2">
        <f>N8/L8</f>
        <v>0.91310652176412532</v>
      </c>
    </row>
    <row r="9" spans="1:15" x14ac:dyDescent="0.2">
      <c r="A9" t="s">
        <v>20</v>
      </c>
      <c r="B9" t="s">
        <v>28</v>
      </c>
      <c r="C9" s="115">
        <v>600000</v>
      </c>
      <c r="D9" s="115">
        <v>0</v>
      </c>
      <c r="E9" s="115">
        <v>600000</v>
      </c>
      <c r="F9" s="115">
        <v>305300</v>
      </c>
      <c r="G9" s="115"/>
      <c r="H9" s="115">
        <v>0</v>
      </c>
      <c r="I9" s="115">
        <v>0</v>
      </c>
      <c r="J9" s="1">
        <f t="shared" si="0"/>
        <v>294700</v>
      </c>
      <c r="K9" s="2">
        <v>0</v>
      </c>
      <c r="L9" s="115">
        <v>294700</v>
      </c>
      <c r="M9" s="2">
        <v>0</v>
      </c>
      <c r="N9" s="115">
        <v>294700</v>
      </c>
      <c r="O9" s="2">
        <v>0</v>
      </c>
    </row>
    <row r="10" spans="1:15" x14ac:dyDescent="0.2">
      <c r="A10" t="s">
        <v>20</v>
      </c>
      <c r="B10" t="s">
        <v>29</v>
      </c>
      <c r="C10" s="115">
        <v>0</v>
      </c>
      <c r="D10" s="115">
        <v>0</v>
      </c>
      <c r="E10" s="115">
        <v>0</v>
      </c>
      <c r="F10" s="115">
        <v>0</v>
      </c>
      <c r="G10" s="115"/>
      <c r="H10" s="115">
        <v>0</v>
      </c>
      <c r="I10" s="115">
        <v>0</v>
      </c>
      <c r="J10" s="1">
        <v>0</v>
      </c>
      <c r="K10" s="2">
        <v>0</v>
      </c>
      <c r="L10" s="115">
        <v>0</v>
      </c>
      <c r="M10" s="2">
        <v>0</v>
      </c>
      <c r="N10" s="115">
        <v>0</v>
      </c>
      <c r="O10" s="2">
        <v>0</v>
      </c>
    </row>
    <row r="11" spans="1:15" s="3" customFormat="1" x14ac:dyDescent="0.2">
      <c r="B11" s="3" t="s">
        <v>15</v>
      </c>
      <c r="C11" s="4">
        <f t="shared" ref="C11:J11" si="3">SUM(C2:C10)</f>
        <v>201330000.00000003</v>
      </c>
      <c r="D11" s="4">
        <f t="shared" si="3"/>
        <v>173978047.20000002</v>
      </c>
      <c r="E11" s="4">
        <f t="shared" si="3"/>
        <v>375308047.20000005</v>
      </c>
      <c r="F11" s="4">
        <f t="shared" si="3"/>
        <v>300997045.54999995</v>
      </c>
      <c r="G11" s="4">
        <f t="shared" si="3"/>
        <v>5853223.7599999998</v>
      </c>
      <c r="H11" s="4">
        <f t="shared" si="3"/>
        <v>22028318.859999999</v>
      </c>
      <c r="I11" s="4">
        <f t="shared" si="3"/>
        <v>114451976.03999999</v>
      </c>
      <c r="J11" s="4">
        <f t="shared" si="3"/>
        <v>188762977.69</v>
      </c>
      <c r="K11" s="5">
        <f t="shared" ref="K11:K31" si="4">J11/E11</f>
        <v>0.50295478367243485</v>
      </c>
      <c r="L11" s="4">
        <f>SUM(L2:L10)</f>
        <v>74311001.650000021</v>
      </c>
      <c r="M11" s="5">
        <f t="shared" ref="M11:M31" si="5">L11/E11</f>
        <v>0.19800002212689036</v>
      </c>
      <c r="N11" s="4">
        <f>SUM(N2:N10)</f>
        <v>68565879.390000015</v>
      </c>
      <c r="O11" s="5">
        <f t="shared" ref="O11:O31" si="6">N11/L11</f>
        <v>0.9226881332180239</v>
      </c>
    </row>
    <row r="12" spans="1:15" x14ac:dyDescent="0.2">
      <c r="A12" t="s">
        <v>30</v>
      </c>
      <c r="B12" t="s">
        <v>21</v>
      </c>
      <c r="C12" s="115">
        <v>1532193.88</v>
      </c>
      <c r="D12" s="122">
        <v>16478.84</v>
      </c>
      <c r="E12" s="115">
        <v>1548672.72</v>
      </c>
      <c r="F12" s="115">
        <v>808367.24999999977</v>
      </c>
      <c r="G12" s="115">
        <v>0</v>
      </c>
      <c r="H12" s="115">
        <v>0</v>
      </c>
      <c r="I12" s="115">
        <v>0</v>
      </c>
      <c r="J12" s="1">
        <f t="shared" ref="J12:J20" si="7">I12+L12</f>
        <v>740305.47000000009</v>
      </c>
      <c r="K12" s="2">
        <f t="shared" si="4"/>
        <v>0.47802577035127219</v>
      </c>
      <c r="L12" s="115">
        <v>740305.47000000009</v>
      </c>
      <c r="M12" s="2">
        <f t="shared" si="5"/>
        <v>0.47802577035127219</v>
      </c>
      <c r="N12" s="115">
        <v>691018.5</v>
      </c>
      <c r="O12" s="2">
        <f t="shared" si="6"/>
        <v>0.93342346909850593</v>
      </c>
    </row>
    <row r="13" spans="1:15" x14ac:dyDescent="0.2">
      <c r="A13" t="s">
        <v>30</v>
      </c>
      <c r="B13" t="s">
        <v>22</v>
      </c>
      <c r="C13" s="115">
        <v>6538010</v>
      </c>
      <c r="D13" s="122">
        <v>1927067.4300000002</v>
      </c>
      <c r="E13" s="115">
        <v>8465077.4299999997</v>
      </c>
      <c r="F13" s="115">
        <v>7407887.9499999983</v>
      </c>
      <c r="G13" s="115">
        <v>18407.900000000001</v>
      </c>
      <c r="H13" s="115">
        <v>160774.06</v>
      </c>
      <c r="I13" s="115">
        <v>4510248.4899999993</v>
      </c>
      <c r="J13" s="1">
        <f t="shared" si="7"/>
        <v>5567437.9699999988</v>
      </c>
      <c r="K13" s="2">
        <f t="shared" si="4"/>
        <v>0.65769486647211906</v>
      </c>
      <c r="L13" s="115">
        <v>1057189.48</v>
      </c>
      <c r="M13" s="2">
        <f t="shared" si="5"/>
        <v>0.12488834139347028</v>
      </c>
      <c r="N13" s="115">
        <v>984186.84000000008</v>
      </c>
      <c r="O13" s="2">
        <f t="shared" si="6"/>
        <v>0.93094649409489028</v>
      </c>
    </row>
    <row r="14" spans="1:15" x14ac:dyDescent="0.2">
      <c r="A14" t="s">
        <v>30</v>
      </c>
      <c r="B14" t="s">
        <v>23</v>
      </c>
      <c r="C14" s="115">
        <v>2000</v>
      </c>
      <c r="D14" s="122">
        <v>0</v>
      </c>
      <c r="E14" s="115">
        <v>2000</v>
      </c>
      <c r="F14" s="115">
        <v>2000</v>
      </c>
      <c r="G14" s="115">
        <v>0</v>
      </c>
      <c r="H14" s="115">
        <v>0</v>
      </c>
      <c r="I14" s="115">
        <v>0</v>
      </c>
      <c r="J14" s="1">
        <f t="shared" si="7"/>
        <v>0</v>
      </c>
      <c r="K14" s="2">
        <f t="shared" si="4"/>
        <v>0</v>
      </c>
      <c r="L14" s="115">
        <v>0</v>
      </c>
      <c r="M14" s="2">
        <f t="shared" si="5"/>
        <v>0</v>
      </c>
      <c r="N14" s="115">
        <v>0</v>
      </c>
      <c r="O14" s="2" t="e">
        <f t="shared" si="6"/>
        <v>#DIV/0!</v>
      </c>
    </row>
    <row r="15" spans="1:15" x14ac:dyDescent="0.2">
      <c r="A15" t="s">
        <v>30</v>
      </c>
      <c r="B15" t="s">
        <v>24</v>
      </c>
      <c r="C15" s="115">
        <v>1057000</v>
      </c>
      <c r="D15" s="122">
        <v>2505838.6500000004</v>
      </c>
      <c r="E15" s="115">
        <v>3562838.65</v>
      </c>
      <c r="F15" s="115">
        <v>2119331.2800000003</v>
      </c>
      <c r="G15" s="115">
        <v>0</v>
      </c>
      <c r="H15" s="115">
        <v>0</v>
      </c>
      <c r="I15" s="115">
        <v>186068.56</v>
      </c>
      <c r="J15" s="1">
        <f t="shared" si="7"/>
        <v>1629575.9300000002</v>
      </c>
      <c r="K15" s="2">
        <f t="shared" si="4"/>
        <v>0.45738134394606955</v>
      </c>
      <c r="L15" s="115">
        <v>1443507.37</v>
      </c>
      <c r="M15" s="2">
        <f t="shared" si="5"/>
        <v>0.40515653718980515</v>
      </c>
      <c r="N15" s="115">
        <v>1383654.11</v>
      </c>
      <c r="O15" s="2">
        <f t="shared" si="6"/>
        <v>0.9585362283255956</v>
      </c>
    </row>
    <row r="16" spans="1:15" x14ac:dyDescent="0.2">
      <c r="A16" t="s">
        <v>30</v>
      </c>
      <c r="B16" t="s">
        <v>25</v>
      </c>
      <c r="C16" s="115">
        <v>293396.12</v>
      </c>
      <c r="D16" s="122">
        <v>-15161</v>
      </c>
      <c r="E16" s="115">
        <v>278235.12</v>
      </c>
      <c r="F16" s="115">
        <v>278235.12</v>
      </c>
      <c r="G16" s="115">
        <v>0</v>
      </c>
      <c r="H16" s="115">
        <v>0</v>
      </c>
      <c r="I16" s="115">
        <v>0</v>
      </c>
      <c r="J16" s="1">
        <f t="shared" si="7"/>
        <v>0</v>
      </c>
      <c r="K16" s="2">
        <f t="shared" si="4"/>
        <v>0</v>
      </c>
      <c r="L16" s="115">
        <v>0</v>
      </c>
      <c r="M16" s="2">
        <f t="shared" si="5"/>
        <v>0</v>
      </c>
      <c r="N16" s="115">
        <v>0</v>
      </c>
      <c r="O16" s="2">
        <v>0</v>
      </c>
    </row>
    <row r="17" spans="1:15" x14ac:dyDescent="0.2">
      <c r="A17" t="s">
        <v>30</v>
      </c>
      <c r="B17" t="s">
        <v>26</v>
      </c>
      <c r="C17" s="115">
        <v>7400</v>
      </c>
      <c r="D17" s="122">
        <v>223872.12</v>
      </c>
      <c r="E17" s="115">
        <v>231272.12</v>
      </c>
      <c r="F17" s="115">
        <v>230352.52</v>
      </c>
      <c r="G17" s="115">
        <v>0</v>
      </c>
      <c r="H17" s="115">
        <v>191872.12</v>
      </c>
      <c r="I17" s="115">
        <v>0</v>
      </c>
      <c r="J17" s="1">
        <f t="shared" si="7"/>
        <v>919.6</v>
      </c>
      <c r="K17" s="2">
        <f t="shared" si="4"/>
        <v>3.9762683024655117E-3</v>
      </c>
      <c r="L17" s="115">
        <v>919.6</v>
      </c>
      <c r="M17" s="2">
        <f t="shared" si="5"/>
        <v>3.9762683024655117E-3</v>
      </c>
      <c r="N17" s="115">
        <v>919.6</v>
      </c>
      <c r="O17" s="2">
        <v>0</v>
      </c>
    </row>
    <row r="18" spans="1:15" x14ac:dyDescent="0.2">
      <c r="A18" t="s">
        <v>30</v>
      </c>
      <c r="B18" t="s">
        <v>27</v>
      </c>
      <c r="C18" s="115">
        <v>0</v>
      </c>
      <c r="D18" s="115">
        <v>0</v>
      </c>
      <c r="E18" s="115">
        <f t="shared" ref="E18:E20" si="8">C18+D18</f>
        <v>0</v>
      </c>
      <c r="F18" s="115">
        <v>0</v>
      </c>
      <c r="G18" s="115">
        <v>0</v>
      </c>
      <c r="H18" s="115">
        <v>0</v>
      </c>
      <c r="I18" s="115">
        <v>0</v>
      </c>
      <c r="J18" s="1">
        <f t="shared" si="7"/>
        <v>0</v>
      </c>
      <c r="K18" s="2" t="e">
        <f t="shared" si="4"/>
        <v>#DIV/0!</v>
      </c>
      <c r="L18" s="115">
        <v>0</v>
      </c>
      <c r="M18" s="2" t="e">
        <f t="shared" si="5"/>
        <v>#DIV/0!</v>
      </c>
      <c r="N18" s="115">
        <v>0</v>
      </c>
      <c r="O18" s="2" t="e">
        <f t="shared" si="6"/>
        <v>#DIV/0!</v>
      </c>
    </row>
    <row r="19" spans="1:15" x14ac:dyDescent="0.2">
      <c r="A19" t="s">
        <v>30</v>
      </c>
      <c r="B19" t="s">
        <v>28</v>
      </c>
      <c r="C19" s="115">
        <v>0</v>
      </c>
      <c r="D19" s="115">
        <v>0</v>
      </c>
      <c r="E19" s="115">
        <f t="shared" si="8"/>
        <v>0</v>
      </c>
      <c r="F19" s="115">
        <v>0</v>
      </c>
      <c r="G19" s="115">
        <v>0</v>
      </c>
      <c r="H19" s="115">
        <v>0</v>
      </c>
      <c r="I19" s="115">
        <v>0</v>
      </c>
      <c r="J19" s="1">
        <f t="shared" si="7"/>
        <v>0</v>
      </c>
      <c r="K19" s="2" t="e">
        <f t="shared" si="4"/>
        <v>#DIV/0!</v>
      </c>
      <c r="L19" s="115">
        <v>0</v>
      </c>
      <c r="M19" s="2" t="e">
        <f t="shared" si="5"/>
        <v>#DIV/0!</v>
      </c>
      <c r="N19" s="115">
        <v>0</v>
      </c>
      <c r="O19" s="2" t="e">
        <f t="shared" si="6"/>
        <v>#DIV/0!</v>
      </c>
    </row>
    <row r="20" spans="1:15" x14ac:dyDescent="0.2">
      <c r="A20" t="s">
        <v>30</v>
      </c>
      <c r="B20" t="s">
        <v>29</v>
      </c>
      <c r="C20" s="115">
        <v>0</v>
      </c>
      <c r="D20" s="115">
        <v>0</v>
      </c>
      <c r="E20" s="115">
        <f t="shared" si="8"/>
        <v>0</v>
      </c>
      <c r="F20" s="115">
        <v>0</v>
      </c>
      <c r="G20" s="115">
        <v>0</v>
      </c>
      <c r="H20" s="115">
        <v>0</v>
      </c>
      <c r="I20" s="115">
        <v>0</v>
      </c>
      <c r="J20" s="1">
        <f t="shared" si="7"/>
        <v>0</v>
      </c>
      <c r="K20" s="2" t="e">
        <f t="shared" si="4"/>
        <v>#DIV/0!</v>
      </c>
      <c r="L20" s="115">
        <v>0</v>
      </c>
      <c r="M20" s="2" t="e">
        <f t="shared" si="5"/>
        <v>#DIV/0!</v>
      </c>
      <c r="N20" s="115">
        <v>0</v>
      </c>
      <c r="O20" s="2" t="e">
        <f t="shared" si="6"/>
        <v>#DIV/0!</v>
      </c>
    </row>
    <row r="21" spans="1:15" x14ac:dyDescent="0.2">
      <c r="A21" s="3"/>
      <c r="B21" s="3" t="s">
        <v>31</v>
      </c>
      <c r="C21" s="4">
        <f t="shared" ref="C21:J21" si="9">SUM(C12:C20)</f>
        <v>9429999.9999999981</v>
      </c>
      <c r="D21" s="4">
        <f t="shared" si="9"/>
        <v>4658096.040000001</v>
      </c>
      <c r="E21" s="4">
        <f t="shared" si="9"/>
        <v>14088096.039999999</v>
      </c>
      <c r="F21" s="4">
        <f t="shared" si="9"/>
        <v>10846174.119999997</v>
      </c>
      <c r="G21" s="4">
        <f t="shared" si="9"/>
        <v>18407.900000000001</v>
      </c>
      <c r="H21" s="4">
        <f t="shared" si="9"/>
        <v>352646.18</v>
      </c>
      <c r="I21" s="4">
        <f t="shared" si="9"/>
        <v>4696317.0499999989</v>
      </c>
      <c r="J21" s="4">
        <f t="shared" si="9"/>
        <v>7938238.9699999988</v>
      </c>
      <c r="K21" s="5">
        <f t="shared" si="4"/>
        <v>0.56347138374562067</v>
      </c>
      <c r="L21" s="4">
        <f>SUM(L12:L20)</f>
        <v>3241921.9200000004</v>
      </c>
      <c r="M21" s="5">
        <f t="shared" si="5"/>
        <v>0.23011781796456299</v>
      </c>
      <c r="N21" s="4">
        <f>SUM(N12:N20)</f>
        <v>3059779.0500000003</v>
      </c>
      <c r="O21" s="5">
        <f t="shared" si="6"/>
        <v>0.94381639209867207</v>
      </c>
    </row>
    <row r="22" spans="1:15" x14ac:dyDescent="0.2">
      <c r="A22" t="s">
        <v>32</v>
      </c>
      <c r="B22" t="s">
        <v>21</v>
      </c>
      <c r="C22" s="115">
        <v>11141252.609999999</v>
      </c>
      <c r="D22" s="115">
        <v>274324.15999999997</v>
      </c>
      <c r="E22" s="115">
        <v>11415576.77</v>
      </c>
      <c r="F22" s="115">
        <v>6386486.4600000009</v>
      </c>
      <c r="G22" s="115">
        <v>0</v>
      </c>
      <c r="H22" s="115">
        <v>0</v>
      </c>
      <c r="I22" s="115">
        <v>0</v>
      </c>
      <c r="J22" s="1">
        <f t="shared" ref="J22:J30" si="10">I22+L22</f>
        <v>5029090.3099999996</v>
      </c>
      <c r="K22" s="2">
        <f t="shared" si="4"/>
        <v>0.44054631766100416</v>
      </c>
      <c r="L22" s="115">
        <v>5029090.3099999996</v>
      </c>
      <c r="M22" s="2">
        <f t="shared" si="5"/>
        <v>0.44054631766100416</v>
      </c>
      <c r="N22" s="115">
        <v>4884781.46</v>
      </c>
      <c r="O22" s="2">
        <f t="shared" si="6"/>
        <v>0.97130517825200879</v>
      </c>
    </row>
    <row r="23" spans="1:15" x14ac:dyDescent="0.2">
      <c r="A23" t="s">
        <v>32</v>
      </c>
      <c r="B23" t="s">
        <v>22</v>
      </c>
      <c r="C23" s="115">
        <v>5945897.1800000006</v>
      </c>
      <c r="D23" s="115">
        <v>3815736.6899999995</v>
      </c>
      <c r="E23" s="115">
        <v>9761633.870000001</v>
      </c>
      <c r="F23" s="115">
        <v>7326823.3299999982</v>
      </c>
      <c r="G23" s="115">
        <v>1228591.1400000001</v>
      </c>
      <c r="H23" s="115">
        <v>78738.259999999995</v>
      </c>
      <c r="I23" s="115">
        <v>2625043.42</v>
      </c>
      <c r="J23" s="1">
        <f t="shared" si="10"/>
        <v>5059853.9600000009</v>
      </c>
      <c r="K23" s="2">
        <f t="shared" si="4"/>
        <v>0.51834088712856019</v>
      </c>
      <c r="L23" s="115">
        <v>2434810.5400000005</v>
      </c>
      <c r="M23" s="2">
        <f t="shared" si="5"/>
        <v>0.24942653785477412</v>
      </c>
      <c r="N23" s="115">
        <v>1793504.6300000004</v>
      </c>
      <c r="O23" s="2">
        <f t="shared" si="6"/>
        <v>0.73660952280911351</v>
      </c>
    </row>
    <row r="24" spans="1:15" x14ac:dyDescent="0.2">
      <c r="A24" t="s">
        <v>32</v>
      </c>
      <c r="B24" t="s">
        <v>23</v>
      </c>
      <c r="C24" s="115">
        <v>721700</v>
      </c>
      <c r="D24" s="115">
        <v>0</v>
      </c>
      <c r="E24" s="115">
        <v>721700</v>
      </c>
      <c r="F24" s="115">
        <v>721694</v>
      </c>
      <c r="G24" s="115">
        <v>0</v>
      </c>
      <c r="H24" s="115">
        <v>0</v>
      </c>
      <c r="I24" s="115">
        <v>0</v>
      </c>
      <c r="J24" s="1">
        <f t="shared" si="10"/>
        <v>6</v>
      </c>
      <c r="K24" s="2">
        <f t="shared" si="4"/>
        <v>8.313703755022863E-6</v>
      </c>
      <c r="L24" s="115">
        <v>6</v>
      </c>
      <c r="M24" s="2">
        <f t="shared" si="5"/>
        <v>8.313703755022863E-6</v>
      </c>
      <c r="N24" s="115">
        <v>0</v>
      </c>
      <c r="O24" s="2">
        <f t="shared" si="6"/>
        <v>0</v>
      </c>
    </row>
    <row r="25" spans="1:15" x14ac:dyDescent="0.2">
      <c r="A25" t="s">
        <v>32</v>
      </c>
      <c r="B25" t="s">
        <v>24</v>
      </c>
      <c r="C25" s="115">
        <v>0</v>
      </c>
      <c r="D25" s="115">
        <v>22000</v>
      </c>
      <c r="E25" s="115">
        <v>22000</v>
      </c>
      <c r="F25" s="115">
        <v>22000</v>
      </c>
      <c r="G25" s="115">
        <v>0</v>
      </c>
      <c r="H25" s="115">
        <v>0</v>
      </c>
      <c r="I25" s="115">
        <v>0</v>
      </c>
      <c r="J25" s="1">
        <f t="shared" si="10"/>
        <v>0</v>
      </c>
      <c r="K25" s="2">
        <f t="shared" si="4"/>
        <v>0</v>
      </c>
      <c r="L25" s="115">
        <v>0</v>
      </c>
      <c r="M25" s="2">
        <f t="shared" si="5"/>
        <v>0</v>
      </c>
      <c r="N25" s="115">
        <v>0</v>
      </c>
      <c r="O25" s="2" t="e">
        <f t="shared" si="6"/>
        <v>#DIV/0!</v>
      </c>
    </row>
    <row r="26" spans="1:15" x14ac:dyDescent="0.2">
      <c r="A26" t="s">
        <v>32</v>
      </c>
      <c r="B26" t="s">
        <v>25</v>
      </c>
      <c r="C26" s="115">
        <v>398103.82</v>
      </c>
      <c r="D26" s="115">
        <v>-156262.54999999999</v>
      </c>
      <c r="E26" s="115">
        <v>241841.27</v>
      </c>
      <c r="F26" s="115">
        <v>241841.27</v>
      </c>
      <c r="G26" s="115">
        <v>0</v>
      </c>
      <c r="H26" s="115">
        <v>0</v>
      </c>
      <c r="I26" s="115">
        <v>0</v>
      </c>
      <c r="J26" s="1">
        <f t="shared" si="10"/>
        <v>0</v>
      </c>
      <c r="K26" s="2">
        <f t="shared" si="4"/>
        <v>0</v>
      </c>
      <c r="L26" s="115">
        <v>0</v>
      </c>
      <c r="M26" s="2">
        <f t="shared" si="5"/>
        <v>0</v>
      </c>
      <c r="N26" s="115">
        <v>0</v>
      </c>
      <c r="O26" s="2" t="e">
        <f t="shared" si="6"/>
        <v>#DIV/0!</v>
      </c>
    </row>
    <row r="27" spans="1:15" x14ac:dyDescent="0.2">
      <c r="A27" t="s">
        <v>32</v>
      </c>
      <c r="B27" t="s">
        <v>26</v>
      </c>
      <c r="C27" s="115">
        <v>363046.39</v>
      </c>
      <c r="D27" s="115">
        <v>1707002.5899999999</v>
      </c>
      <c r="E27" s="115">
        <v>2070048.98</v>
      </c>
      <c r="F27" s="115">
        <v>1777626.8399999999</v>
      </c>
      <c r="G27" s="115">
        <v>12060.12</v>
      </c>
      <c r="H27" s="115">
        <v>0</v>
      </c>
      <c r="I27" s="115">
        <v>182866.77</v>
      </c>
      <c r="J27" s="1">
        <f t="shared" si="10"/>
        <v>475288.91000000003</v>
      </c>
      <c r="K27" s="2">
        <f t="shared" si="4"/>
        <v>0.22960273625989278</v>
      </c>
      <c r="L27" s="115">
        <v>292422.14</v>
      </c>
      <c r="M27" s="2">
        <f t="shared" si="5"/>
        <v>0.14126339174834404</v>
      </c>
      <c r="N27" s="115">
        <v>158720.16</v>
      </c>
      <c r="O27" s="2">
        <f t="shared" si="6"/>
        <v>0.54277750651848722</v>
      </c>
    </row>
    <row r="28" spans="1:15" x14ac:dyDescent="0.2">
      <c r="A28" t="s">
        <v>32</v>
      </c>
      <c r="B28" t="s">
        <v>27</v>
      </c>
      <c r="C28" s="115">
        <v>0</v>
      </c>
      <c r="D28" s="115">
        <v>0</v>
      </c>
      <c r="E28" s="115">
        <f t="shared" ref="E28:I30" si="11">C28+D28</f>
        <v>0</v>
      </c>
      <c r="F28" s="115">
        <f t="shared" si="11"/>
        <v>0</v>
      </c>
      <c r="G28" s="115">
        <v>0</v>
      </c>
      <c r="H28" s="115">
        <v>0</v>
      </c>
      <c r="I28" s="115">
        <v>0</v>
      </c>
      <c r="J28" s="1">
        <f t="shared" si="10"/>
        <v>0</v>
      </c>
      <c r="K28" s="2" t="e">
        <f t="shared" si="4"/>
        <v>#DIV/0!</v>
      </c>
      <c r="L28" s="115">
        <v>0</v>
      </c>
      <c r="M28" s="2" t="e">
        <f t="shared" si="5"/>
        <v>#DIV/0!</v>
      </c>
      <c r="N28" s="115">
        <v>0</v>
      </c>
      <c r="O28" s="2" t="e">
        <f t="shared" si="6"/>
        <v>#DIV/0!</v>
      </c>
    </row>
    <row r="29" spans="1:15" x14ac:dyDescent="0.2">
      <c r="A29" t="s">
        <v>32</v>
      </c>
      <c r="B29" t="s">
        <v>28</v>
      </c>
      <c r="C29" s="115">
        <v>0</v>
      </c>
      <c r="D29" s="115">
        <v>0</v>
      </c>
      <c r="E29" s="115">
        <f t="shared" si="11"/>
        <v>0</v>
      </c>
      <c r="F29" s="115">
        <f t="shared" si="11"/>
        <v>0</v>
      </c>
      <c r="G29" s="115">
        <f t="shared" si="11"/>
        <v>0</v>
      </c>
      <c r="H29" s="115">
        <f t="shared" si="11"/>
        <v>0</v>
      </c>
      <c r="I29" s="115">
        <f t="shared" si="11"/>
        <v>0</v>
      </c>
      <c r="J29" s="1">
        <f t="shared" si="10"/>
        <v>0</v>
      </c>
      <c r="K29" s="2" t="e">
        <f t="shared" si="4"/>
        <v>#DIV/0!</v>
      </c>
      <c r="L29" s="115">
        <v>0</v>
      </c>
      <c r="M29" s="2" t="e">
        <f t="shared" si="5"/>
        <v>#DIV/0!</v>
      </c>
      <c r="N29" s="115">
        <v>0</v>
      </c>
      <c r="O29" s="2" t="e">
        <f t="shared" si="6"/>
        <v>#DIV/0!</v>
      </c>
    </row>
    <row r="30" spans="1:15" x14ac:dyDescent="0.2">
      <c r="A30" t="s">
        <v>32</v>
      </c>
      <c r="B30" t="s">
        <v>29</v>
      </c>
      <c r="C30" s="115">
        <v>0</v>
      </c>
      <c r="D30" s="115">
        <v>0</v>
      </c>
      <c r="E30" s="115">
        <f t="shared" si="11"/>
        <v>0</v>
      </c>
      <c r="F30" s="115">
        <f t="shared" si="11"/>
        <v>0</v>
      </c>
      <c r="G30" s="115">
        <f t="shared" si="11"/>
        <v>0</v>
      </c>
      <c r="H30" s="115">
        <f t="shared" si="11"/>
        <v>0</v>
      </c>
      <c r="I30" s="115">
        <f t="shared" si="11"/>
        <v>0</v>
      </c>
      <c r="J30" s="1">
        <f t="shared" si="10"/>
        <v>0</v>
      </c>
      <c r="K30" s="2" t="e">
        <f t="shared" si="4"/>
        <v>#DIV/0!</v>
      </c>
      <c r="L30" s="115">
        <v>0</v>
      </c>
      <c r="M30" s="2" t="e">
        <f t="shared" si="5"/>
        <v>#DIV/0!</v>
      </c>
      <c r="N30" s="115">
        <v>0</v>
      </c>
      <c r="O30" s="2" t="e">
        <f t="shared" si="6"/>
        <v>#DIV/0!</v>
      </c>
    </row>
    <row r="31" spans="1:15" x14ac:dyDescent="0.2">
      <c r="A31" s="3"/>
      <c r="B31" s="3" t="s">
        <v>32</v>
      </c>
      <c r="C31" s="4">
        <f t="shared" ref="C31:J31" si="12">SUM(C22:C30)</f>
        <v>18570000</v>
      </c>
      <c r="D31" s="4">
        <f t="shared" si="12"/>
        <v>5662800.8899999997</v>
      </c>
      <c r="E31" s="4">
        <f t="shared" si="12"/>
        <v>24232800.890000001</v>
      </c>
      <c r="F31" s="4">
        <f t="shared" si="12"/>
        <v>16476471.899999999</v>
      </c>
      <c r="G31" s="4">
        <f t="shared" si="12"/>
        <v>1240651.2600000002</v>
      </c>
      <c r="H31" s="4">
        <f t="shared" si="12"/>
        <v>78738.259999999995</v>
      </c>
      <c r="I31" s="4">
        <f t="shared" si="12"/>
        <v>2807910.19</v>
      </c>
      <c r="J31" s="4">
        <f t="shared" si="12"/>
        <v>10564239.18</v>
      </c>
      <c r="K31" s="5">
        <f t="shared" si="4"/>
        <v>0.43594792149509548</v>
      </c>
      <c r="L31" s="4">
        <f>SUM(L22:L30)</f>
        <v>7756328.9899999993</v>
      </c>
      <c r="M31" s="5">
        <f t="shared" si="5"/>
        <v>0.32007562911148069</v>
      </c>
      <c r="N31" s="4">
        <f>SUM(N22:N30)</f>
        <v>6837006.25</v>
      </c>
      <c r="O31" s="5">
        <f t="shared" si="6"/>
        <v>0.88147450408753236</v>
      </c>
    </row>
    <row r="32" spans="1:15" x14ac:dyDescent="0.2">
      <c r="A32" t="s">
        <v>79</v>
      </c>
      <c r="B32" t="s">
        <v>21</v>
      </c>
    </row>
    <row r="33" spans="1:15" x14ac:dyDescent="0.2">
      <c r="A33" t="s">
        <v>79</v>
      </c>
      <c r="B33" t="s">
        <v>22</v>
      </c>
    </row>
    <row r="34" spans="1:15" x14ac:dyDescent="0.2">
      <c r="A34" t="s">
        <v>79</v>
      </c>
      <c r="B34" t="s">
        <v>23</v>
      </c>
    </row>
    <row r="35" spans="1:15" x14ac:dyDescent="0.2">
      <c r="A35" t="s">
        <v>79</v>
      </c>
      <c r="B35" t="s">
        <v>24</v>
      </c>
      <c r="C35" s="115">
        <v>6930000</v>
      </c>
      <c r="D35" s="115">
        <v>0</v>
      </c>
      <c r="E35" s="115">
        <v>6930000</v>
      </c>
      <c r="F35" s="115">
        <v>6930000</v>
      </c>
      <c r="G35" s="115">
        <v>0</v>
      </c>
      <c r="H35" s="115">
        <v>0</v>
      </c>
      <c r="I35" s="115">
        <v>0</v>
      </c>
      <c r="J35" s="1">
        <f>I35+L35</f>
        <v>0</v>
      </c>
      <c r="L35" s="115">
        <v>0</v>
      </c>
      <c r="M35" s="157"/>
      <c r="N35" s="115">
        <v>0</v>
      </c>
    </row>
    <row r="36" spans="1:15" x14ac:dyDescent="0.2">
      <c r="A36" t="s">
        <v>79</v>
      </c>
      <c r="B36" t="s">
        <v>25</v>
      </c>
    </row>
    <row r="37" spans="1:15" x14ac:dyDescent="0.2">
      <c r="A37" t="s">
        <v>79</v>
      </c>
      <c r="B37" t="s">
        <v>26</v>
      </c>
    </row>
    <row r="38" spans="1:15" x14ac:dyDescent="0.2">
      <c r="A38" t="s">
        <v>79</v>
      </c>
      <c r="B38" t="s">
        <v>27</v>
      </c>
    </row>
    <row r="39" spans="1:15" x14ac:dyDescent="0.2">
      <c r="A39" t="s">
        <v>79</v>
      </c>
      <c r="B39" t="s">
        <v>28</v>
      </c>
    </row>
    <row r="40" spans="1:15" x14ac:dyDescent="0.2">
      <c r="A40" t="s">
        <v>79</v>
      </c>
      <c r="B40" t="s">
        <v>29</v>
      </c>
    </row>
    <row r="41" spans="1:15" x14ac:dyDescent="0.2">
      <c r="A41" s="3"/>
      <c r="B41" s="3" t="s">
        <v>80</v>
      </c>
      <c r="C41" s="4">
        <f t="shared" ref="C41:J41" si="13">SUM(C32:C40)</f>
        <v>6930000</v>
      </c>
      <c r="D41" s="4">
        <f t="shared" si="13"/>
        <v>0</v>
      </c>
      <c r="E41" s="4">
        <f t="shared" si="13"/>
        <v>6930000</v>
      </c>
      <c r="F41" s="4">
        <f t="shared" si="13"/>
        <v>6930000</v>
      </c>
      <c r="G41" s="4">
        <f t="shared" si="13"/>
        <v>0</v>
      </c>
      <c r="H41" s="4">
        <f t="shared" si="13"/>
        <v>0</v>
      </c>
      <c r="I41" s="4">
        <f t="shared" si="13"/>
        <v>0</v>
      </c>
      <c r="J41" s="4">
        <f t="shared" si="13"/>
        <v>0</v>
      </c>
      <c r="K41" s="4"/>
      <c r="L41" s="4">
        <f>SUM(L32:L40)</f>
        <v>0</v>
      </c>
      <c r="M41" s="4"/>
      <c r="N41" s="4">
        <f>SUM(N32:N40)</f>
        <v>0</v>
      </c>
      <c r="O41" s="4"/>
    </row>
    <row r="42" spans="1:15" x14ac:dyDescent="0.2">
      <c r="A42" t="s">
        <v>33</v>
      </c>
      <c r="B42" t="s">
        <v>82</v>
      </c>
      <c r="C42" s="1">
        <f>C2+C12+C22</f>
        <v>76528283.150000036</v>
      </c>
      <c r="D42" s="1">
        <f t="shared" ref="C42:J44" si="14">D2+D12+D22</f>
        <v>3295952.8500000006</v>
      </c>
      <c r="E42" s="1">
        <f t="shared" si="14"/>
        <v>79824236</v>
      </c>
      <c r="F42" s="1">
        <f t="shared" si="14"/>
        <v>47873265.739999987</v>
      </c>
      <c r="G42" s="1">
        <f t="shared" si="14"/>
        <v>0</v>
      </c>
      <c r="H42" s="1">
        <f t="shared" si="14"/>
        <v>0</v>
      </c>
      <c r="I42" s="1">
        <f t="shared" si="14"/>
        <v>411026.38</v>
      </c>
      <c r="J42" s="1">
        <f t="shared" si="14"/>
        <v>32361996.640000004</v>
      </c>
      <c r="K42" s="2">
        <f t="shared" ref="K42:K51" si="15">J42/E42</f>
        <v>0.40541567651208094</v>
      </c>
      <c r="L42" s="1">
        <f>L2+L12+L22</f>
        <v>31950970.260000005</v>
      </c>
      <c r="M42" s="2">
        <f t="shared" ref="M42:M51" si="16">L42/E42</f>
        <v>0.40026653383816924</v>
      </c>
      <c r="N42" s="1">
        <f>N2+N12+N22</f>
        <v>31671128.99000001</v>
      </c>
      <c r="O42" s="2">
        <f t="shared" ref="O42:O51" si="17">N42/L42</f>
        <v>0.99124154078192939</v>
      </c>
    </row>
    <row r="43" spans="1:15" x14ac:dyDescent="0.2">
      <c r="A43" t="s">
        <v>33</v>
      </c>
      <c r="B43" t="s">
        <v>83</v>
      </c>
      <c r="C43" s="1">
        <f t="shared" si="14"/>
        <v>38222376.210000001</v>
      </c>
      <c r="D43" s="1">
        <f t="shared" si="14"/>
        <v>18866041.839999996</v>
      </c>
      <c r="E43" s="1">
        <f t="shared" si="14"/>
        <v>57088418.050000012</v>
      </c>
      <c r="F43" s="1">
        <f t="shared" si="14"/>
        <v>45220286.559999987</v>
      </c>
      <c r="G43" s="1">
        <f t="shared" si="14"/>
        <v>1246999.04</v>
      </c>
      <c r="H43" s="1">
        <f t="shared" si="14"/>
        <v>1462271.1</v>
      </c>
      <c r="I43" s="1">
        <f t="shared" si="14"/>
        <v>24006675.989999987</v>
      </c>
      <c r="J43" s="1">
        <f t="shared" si="14"/>
        <v>35874807.480000004</v>
      </c>
      <c r="K43" s="2">
        <f t="shared" si="15"/>
        <v>0.62840780503988758</v>
      </c>
      <c r="L43" s="1">
        <f>L3+L13+L23</f>
        <v>11868131.490000011</v>
      </c>
      <c r="M43" s="2">
        <f t="shared" si="16"/>
        <v>0.20789035491586913</v>
      </c>
      <c r="N43" s="1">
        <f>N3+N13+N23</f>
        <v>10428385.010000005</v>
      </c>
      <c r="O43" s="2">
        <f t="shared" si="17"/>
        <v>0.87868802420893932</v>
      </c>
    </row>
    <row r="44" spans="1:15" x14ac:dyDescent="0.2">
      <c r="A44" t="s">
        <v>33</v>
      </c>
      <c r="B44" t="s">
        <v>84</v>
      </c>
      <c r="C44" s="1">
        <f t="shared" si="14"/>
        <v>843701</v>
      </c>
      <c r="D44" s="1">
        <f t="shared" si="14"/>
        <v>51600</v>
      </c>
      <c r="E44" s="1">
        <f t="shared" si="14"/>
        <v>895301</v>
      </c>
      <c r="F44" s="1">
        <f t="shared" si="14"/>
        <v>894985.55</v>
      </c>
      <c r="G44" s="1">
        <f t="shared" si="14"/>
        <v>0</v>
      </c>
      <c r="H44" s="1">
        <f t="shared" si="14"/>
        <v>0</v>
      </c>
      <c r="I44" s="1">
        <f t="shared" si="14"/>
        <v>0</v>
      </c>
      <c r="J44" s="1">
        <f t="shared" si="14"/>
        <v>315.45</v>
      </c>
      <c r="K44" s="2">
        <f t="shared" si="15"/>
        <v>3.5233960422249052E-4</v>
      </c>
      <c r="L44" s="1">
        <f>L4+L14+L24</f>
        <v>315.45</v>
      </c>
      <c r="M44" s="2">
        <f t="shared" si="16"/>
        <v>3.5233960422249052E-4</v>
      </c>
      <c r="N44" s="1">
        <f>N4+N14+N24</f>
        <v>115.91</v>
      </c>
      <c r="O44" s="2">
        <f t="shared" si="17"/>
        <v>0.36744333491837056</v>
      </c>
    </row>
    <row r="45" spans="1:15" x14ac:dyDescent="0.2">
      <c r="A45" t="s">
        <v>33</v>
      </c>
      <c r="B45" t="s">
        <v>85</v>
      </c>
      <c r="C45" s="1">
        <f>C5+C15+C25-C35</f>
        <v>29030287.109999999</v>
      </c>
      <c r="D45" s="1">
        <f t="shared" ref="D45:J45" si="18">D5+D15+D25-D35</f>
        <v>48128017.350000001</v>
      </c>
      <c r="E45" s="1">
        <f t="shared" si="18"/>
        <v>77158304.459999993</v>
      </c>
      <c r="F45" s="1">
        <f>F5+F15+F25-F35</f>
        <v>54160107.809999987</v>
      </c>
      <c r="G45" s="1">
        <f t="shared" si="18"/>
        <v>4903329.8</v>
      </c>
      <c r="H45" s="1">
        <f t="shared" si="18"/>
        <v>10589116.710000001</v>
      </c>
      <c r="I45" s="1">
        <f t="shared" si="18"/>
        <v>21766560.739999995</v>
      </c>
      <c r="J45" s="1">
        <f t="shared" si="18"/>
        <v>44764757.389999993</v>
      </c>
      <c r="K45" s="2">
        <f t="shared" si="15"/>
        <v>0.58016771756832353</v>
      </c>
      <c r="L45" s="1">
        <f>L5+L15+L25-L35</f>
        <v>22998196.650000002</v>
      </c>
      <c r="M45" s="2">
        <f t="shared" si="16"/>
        <v>0.29806508594188469</v>
      </c>
      <c r="N45" s="1">
        <f>N5+N15+N25-N35</f>
        <v>21006365.579999998</v>
      </c>
      <c r="O45" s="2">
        <f t="shared" si="17"/>
        <v>0.91339185848730431</v>
      </c>
    </row>
    <row r="46" spans="1:15" x14ac:dyDescent="0.2">
      <c r="A46" t="s">
        <v>33</v>
      </c>
      <c r="B46" t="s">
        <v>86</v>
      </c>
      <c r="C46" s="1">
        <f t="shared" ref="C46:J50" si="19">C6+C16+C26</f>
        <v>5406601.6200000001</v>
      </c>
      <c r="D46" s="1">
        <f t="shared" si="19"/>
        <v>-985510.26</v>
      </c>
      <c r="E46" s="1">
        <f t="shared" si="19"/>
        <v>4421091.3599999994</v>
      </c>
      <c r="F46" s="1">
        <f t="shared" si="19"/>
        <v>4421091.3599999994</v>
      </c>
      <c r="G46" s="1">
        <f t="shared" si="19"/>
        <v>0</v>
      </c>
      <c r="H46" s="1">
        <f t="shared" si="19"/>
        <v>0</v>
      </c>
      <c r="I46" s="1">
        <f t="shared" si="19"/>
        <v>0</v>
      </c>
      <c r="J46" s="1">
        <f t="shared" si="19"/>
        <v>0</v>
      </c>
      <c r="K46" s="2">
        <f t="shared" si="15"/>
        <v>0</v>
      </c>
      <c r="L46" s="1">
        <f>L6+L16+L26</f>
        <v>0</v>
      </c>
      <c r="M46" s="2">
        <f t="shared" si="16"/>
        <v>0</v>
      </c>
      <c r="N46" s="1">
        <f>N6+N16+N26</f>
        <v>0</v>
      </c>
      <c r="O46" s="2" t="e">
        <f t="shared" si="17"/>
        <v>#DIV/0!</v>
      </c>
    </row>
    <row r="47" spans="1:15" x14ac:dyDescent="0.2">
      <c r="A47" t="s">
        <v>33</v>
      </c>
      <c r="B47" t="s">
        <v>87</v>
      </c>
      <c r="C47" s="1">
        <f t="shared" si="19"/>
        <v>22103422.539999999</v>
      </c>
      <c r="D47" s="1">
        <f t="shared" si="19"/>
        <v>54705220.690000013</v>
      </c>
      <c r="E47" s="1">
        <f t="shared" si="19"/>
        <v>76808643.230000034</v>
      </c>
      <c r="F47" s="1">
        <f t="shared" si="19"/>
        <v>69158996.889999986</v>
      </c>
      <c r="G47" s="1">
        <f t="shared" si="19"/>
        <v>12060.12</v>
      </c>
      <c r="H47" s="1">
        <f t="shared" si="19"/>
        <v>7633612.3799999999</v>
      </c>
      <c r="I47" s="1">
        <f t="shared" si="19"/>
        <v>9266530.9500000011</v>
      </c>
      <c r="J47" s="1">
        <f t="shared" si="19"/>
        <v>16916177.289999999</v>
      </c>
      <c r="K47" s="2">
        <f t="shared" si="15"/>
        <v>0.2202379390994483</v>
      </c>
      <c r="L47" s="1">
        <f>L7+L17+L27</f>
        <v>7649646.3399999971</v>
      </c>
      <c r="M47" s="2">
        <f t="shared" si="16"/>
        <v>9.9593561587769164E-2</v>
      </c>
      <c r="N47" s="1">
        <f>N7+N17+N27</f>
        <v>5431167.75</v>
      </c>
      <c r="O47" s="2">
        <f t="shared" si="17"/>
        <v>0.7099893914834241</v>
      </c>
    </row>
    <row r="48" spans="1:15" x14ac:dyDescent="0.2">
      <c r="A48" t="s">
        <v>33</v>
      </c>
      <c r="B48" t="s">
        <v>88</v>
      </c>
      <c r="C48" s="1">
        <f t="shared" si="19"/>
        <v>49665328.370000005</v>
      </c>
      <c r="D48" s="1">
        <f t="shared" si="19"/>
        <v>60237621.660000011</v>
      </c>
      <c r="E48" s="1">
        <f t="shared" si="19"/>
        <v>109902950.03</v>
      </c>
      <c r="F48" s="1">
        <f t="shared" si="19"/>
        <v>99355657.660000011</v>
      </c>
      <c r="G48" s="1">
        <f t="shared" si="19"/>
        <v>949893.96</v>
      </c>
      <c r="H48" s="1">
        <f t="shared" si="19"/>
        <v>2774703.11</v>
      </c>
      <c r="I48" s="1">
        <f t="shared" si="19"/>
        <v>66505409.219999999</v>
      </c>
      <c r="J48" s="1">
        <f t="shared" si="19"/>
        <v>77052701.590000004</v>
      </c>
      <c r="K48" s="2">
        <f>J48/E48</f>
        <v>0.70109766452098943</v>
      </c>
      <c r="L48" s="1">
        <f>L8+L18+L28</f>
        <v>10547292.369999999</v>
      </c>
      <c r="M48" s="2">
        <f t="shared" si="16"/>
        <v>9.5969147025816187E-2</v>
      </c>
      <c r="N48" s="1">
        <f>N8+N18+N28</f>
        <v>9630801.4499999974</v>
      </c>
      <c r="O48" s="2">
        <f t="shared" si="17"/>
        <v>0.91310652176412532</v>
      </c>
    </row>
    <row r="49" spans="1:15" x14ac:dyDescent="0.2">
      <c r="A49" t="s">
        <v>33</v>
      </c>
      <c r="B49" t="s">
        <v>89</v>
      </c>
      <c r="C49" s="1">
        <f t="shared" si="19"/>
        <v>600000</v>
      </c>
      <c r="D49" s="1">
        <f t="shared" si="19"/>
        <v>0</v>
      </c>
      <c r="E49" s="1">
        <f t="shared" si="19"/>
        <v>600000</v>
      </c>
      <c r="F49" s="1">
        <f t="shared" si="19"/>
        <v>305300</v>
      </c>
      <c r="G49" s="1">
        <f t="shared" si="19"/>
        <v>0</v>
      </c>
      <c r="H49" s="1">
        <f t="shared" si="19"/>
        <v>0</v>
      </c>
      <c r="I49" s="1">
        <f t="shared" si="19"/>
        <v>0</v>
      </c>
      <c r="J49" s="1">
        <f t="shared" si="19"/>
        <v>294700</v>
      </c>
      <c r="K49" s="2">
        <f t="shared" si="15"/>
        <v>0.49116666666666664</v>
      </c>
      <c r="L49" s="1">
        <f>L9+L19+L29</f>
        <v>294700</v>
      </c>
      <c r="M49" s="2">
        <f t="shared" si="16"/>
        <v>0.49116666666666664</v>
      </c>
      <c r="N49" s="1">
        <f>N9+N19+N29</f>
        <v>294700</v>
      </c>
      <c r="O49" s="2">
        <f t="shared" si="17"/>
        <v>1</v>
      </c>
    </row>
    <row r="50" spans="1:15" x14ac:dyDescent="0.2">
      <c r="A50" t="s">
        <v>33</v>
      </c>
      <c r="B50" t="s">
        <v>90</v>
      </c>
      <c r="C50" s="1">
        <f t="shared" si="19"/>
        <v>0</v>
      </c>
      <c r="D50" s="1">
        <f t="shared" si="19"/>
        <v>0</v>
      </c>
      <c r="E50" s="1">
        <f t="shared" si="19"/>
        <v>0</v>
      </c>
      <c r="F50" s="1">
        <f t="shared" si="19"/>
        <v>0</v>
      </c>
      <c r="G50" s="1">
        <f t="shared" si="19"/>
        <v>0</v>
      </c>
      <c r="H50" s="1">
        <f t="shared" si="19"/>
        <v>0</v>
      </c>
      <c r="I50" s="1">
        <f t="shared" si="19"/>
        <v>0</v>
      </c>
      <c r="J50" s="1">
        <f t="shared" si="19"/>
        <v>0</v>
      </c>
      <c r="K50" s="157">
        <v>0</v>
      </c>
      <c r="L50" s="1">
        <f>L10+L20+L30</f>
        <v>0</v>
      </c>
      <c r="M50" s="157">
        <v>0</v>
      </c>
      <c r="N50" s="1">
        <f>N10+N20+N30</f>
        <v>0</v>
      </c>
      <c r="O50" s="157">
        <v>0</v>
      </c>
    </row>
    <row r="51" spans="1:15" s="3" customFormat="1" x14ac:dyDescent="0.2">
      <c r="B51" s="3" t="s">
        <v>34</v>
      </c>
      <c r="C51" s="4">
        <f t="shared" ref="C51:J51" si="20">SUM(C42:C50)</f>
        <v>222400000.00000003</v>
      </c>
      <c r="D51" s="4">
        <f t="shared" si="20"/>
        <v>184298944.13</v>
      </c>
      <c r="E51" s="4">
        <f t="shared" si="20"/>
        <v>406698944.13</v>
      </c>
      <c r="F51" s="4">
        <f>SUM(F42:F50)</f>
        <v>321389691.56999999</v>
      </c>
      <c r="G51" s="4">
        <f t="shared" si="20"/>
        <v>7112282.9199999999</v>
      </c>
      <c r="H51" s="4">
        <f t="shared" si="20"/>
        <v>22459703.300000001</v>
      </c>
      <c r="I51" s="4">
        <f t="shared" si="20"/>
        <v>121956203.27999999</v>
      </c>
      <c r="J51" s="4">
        <f t="shared" si="20"/>
        <v>207265455.84</v>
      </c>
      <c r="K51" s="5">
        <f t="shared" si="15"/>
        <v>0.50962870406112559</v>
      </c>
      <c r="L51" s="4">
        <f>SUM(L42:L50)</f>
        <v>85309252.560000032</v>
      </c>
      <c r="M51" s="5">
        <f t="shared" si="16"/>
        <v>0.20976020171995138</v>
      </c>
      <c r="N51" s="4">
        <f>SUM(N42:N50)</f>
        <v>78462664.690000013</v>
      </c>
      <c r="O51" s="5">
        <f t="shared" si="17"/>
        <v>0.91974390040301135</v>
      </c>
    </row>
  </sheetData>
  <sheetProtection selectLockedCells="1" selectUnlockedCells="1"/>
  <phoneticPr fontId="0" type="noConversion"/>
  <pageMargins left="0.19652777777777777" right="0.19652777777777777" top="0.59027777777777779" bottom="0.59027777777777779" header="0.51180555555555551" footer="0.51180555555555551"/>
  <pageSetup paperSize="9" scale="61" firstPageNumber="0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26F2-301A-4818-8750-295DD698FF64}">
  <dimension ref="A1"/>
  <sheetViews>
    <sheetView workbookViewId="0">
      <selection activeCell="L27" sqref="L27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topLeftCell="A7" workbookViewId="0">
      <selection activeCell="K20" sqref="K20"/>
    </sheetView>
  </sheetViews>
  <sheetFormatPr baseColWidth="10" defaultColWidth="11.42578125" defaultRowHeight="12.75" x14ac:dyDescent="0.2"/>
  <sheetData/>
  <sheetProtection selectLockedCells="1" selectUnlockedCells="1"/>
  <phoneticPr fontId="0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Roman,Normal"&amp;12Pàgina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C5:I39"/>
  <sheetViews>
    <sheetView workbookViewId="0">
      <selection activeCell="K10" sqref="K10"/>
    </sheetView>
  </sheetViews>
  <sheetFormatPr baseColWidth="10" defaultColWidth="11.42578125" defaultRowHeight="12.75" x14ac:dyDescent="0.2"/>
  <cols>
    <col min="1" max="1" width="11.42578125" customWidth="1"/>
    <col min="2" max="2" width="6.42578125" customWidth="1"/>
    <col min="3" max="3" width="30.7109375" customWidth="1"/>
    <col min="4" max="4" width="13.85546875" customWidth="1"/>
    <col min="5" max="5" width="13.42578125" style="1" customWidth="1"/>
    <col min="6" max="6" width="8.85546875" style="1" customWidth="1"/>
    <col min="7" max="7" width="13.42578125" style="1" customWidth="1"/>
    <col min="8" max="8" width="8.85546875" style="1" customWidth="1"/>
    <col min="9" max="9" width="11.42578125" style="6" customWidth="1"/>
  </cols>
  <sheetData>
    <row r="5" spans="3:9" ht="15.75" x14ac:dyDescent="0.25">
      <c r="D5" s="7" t="s">
        <v>46</v>
      </c>
    </row>
    <row r="6" spans="3:9" s="1" customFormat="1" ht="15.75" x14ac:dyDescent="0.25">
      <c r="C6"/>
      <c r="D6" s="7" t="str">
        <f>'Dades globals'!A5</f>
        <v>PRESSUPOST A 30/06/2025</v>
      </c>
      <c r="I6" s="6"/>
    </row>
    <row r="7" spans="3:9" s="1" customFormat="1" ht="15.75" x14ac:dyDescent="0.25">
      <c r="C7"/>
      <c r="D7" s="7"/>
      <c r="I7" s="6"/>
    </row>
    <row r="8" spans="3:9" s="1" customFormat="1" ht="15.75" x14ac:dyDescent="0.25">
      <c r="C8"/>
      <c r="D8" s="7"/>
      <c r="I8" s="6"/>
    </row>
    <row r="9" spans="3:9" s="1" customFormat="1" ht="16.5" thickBot="1" x14ac:dyDescent="0.3">
      <c r="C9"/>
      <c r="D9" s="7"/>
      <c r="I9" s="6"/>
    </row>
    <row r="10" spans="3:9" s="8" customFormat="1" ht="39" thickBot="1" x14ac:dyDescent="0.25">
      <c r="C10" s="9" t="s">
        <v>19</v>
      </c>
      <c r="D10" s="10" t="s">
        <v>138</v>
      </c>
      <c r="E10" s="10" t="s">
        <v>37</v>
      </c>
      <c r="F10" s="11" t="s">
        <v>103</v>
      </c>
      <c r="G10" s="10" t="s">
        <v>65</v>
      </c>
      <c r="H10" s="11" t="s">
        <v>104</v>
      </c>
    </row>
    <row r="11" spans="3:9" s="6" customFormat="1" x14ac:dyDescent="0.2">
      <c r="C11" s="12" t="s">
        <v>15</v>
      </c>
      <c r="D11" s="13">
        <f>DESPCAPITOL!E11</f>
        <v>375308047.20000005</v>
      </c>
      <c r="E11" s="13">
        <f>INGRCAPITOL!F11</f>
        <v>84901732.819999993</v>
      </c>
      <c r="F11" s="14">
        <f>E11/$D11</f>
        <v>0.22621879134596926</v>
      </c>
      <c r="G11" s="13">
        <f>DESPCAPITOL!L11</f>
        <v>74311001.650000021</v>
      </c>
      <c r="H11" s="14">
        <f>G11/$D11</f>
        <v>0.19800002212689036</v>
      </c>
    </row>
    <row r="12" spans="3:9" s="6" customFormat="1" x14ac:dyDescent="0.2">
      <c r="C12" s="12" t="s">
        <v>32</v>
      </c>
      <c r="D12" s="13">
        <f>DESPCAPITOL!E31</f>
        <v>24232800.890000001</v>
      </c>
      <c r="E12" s="13">
        <f>INGRCAPITOL!F31</f>
        <v>304650.87</v>
      </c>
      <c r="F12" s="14">
        <f>E12/$D12</f>
        <v>1.2571838946017931E-2</v>
      </c>
      <c r="G12" s="13">
        <f>DESPCAPITOL!L31</f>
        <v>7756328.9899999993</v>
      </c>
      <c r="H12" s="14">
        <f>G12/$D12</f>
        <v>0.32007562911148069</v>
      </c>
    </row>
    <row r="13" spans="3:9" s="6" customFormat="1" x14ac:dyDescent="0.2">
      <c r="C13" s="12" t="s">
        <v>135</v>
      </c>
      <c r="D13" s="13">
        <f>DESPCAPITOL!E21</f>
        <v>14088096.039999999</v>
      </c>
      <c r="E13" s="13">
        <f>INGRCAPITOL!F21</f>
        <v>1068287.71</v>
      </c>
      <c r="F13" s="14">
        <f>E13/$D13</f>
        <v>7.5829104725495616E-2</v>
      </c>
      <c r="G13" s="13">
        <f>DESPCAPITOL!L21</f>
        <v>3241921.9200000004</v>
      </c>
      <c r="H13" s="14">
        <f>G13/$D13</f>
        <v>0.23011781796456299</v>
      </c>
    </row>
    <row r="14" spans="3:9" s="6" customFormat="1" ht="13.5" thickBot="1" x14ac:dyDescent="0.25">
      <c r="C14" s="12" t="s">
        <v>136</v>
      </c>
      <c r="D14" s="13">
        <f>-DESPCAPITOL!E41</f>
        <v>-6930000</v>
      </c>
      <c r="E14" s="13">
        <f>-INGRCAPITOL!F41</f>
        <v>0</v>
      </c>
      <c r="F14" s="14">
        <f>E14/$D14</f>
        <v>0</v>
      </c>
      <c r="G14" s="13">
        <f>-DESPCAPITOL!L41</f>
        <v>0</v>
      </c>
      <c r="H14" s="14">
        <f>G14/$D14</f>
        <v>0</v>
      </c>
    </row>
    <row r="15" spans="3:9" s="6" customFormat="1" ht="13.5" thickBot="1" x14ac:dyDescent="0.25">
      <c r="C15" s="15" t="s">
        <v>137</v>
      </c>
      <c r="D15" s="16">
        <f>SUM(D11:D14)</f>
        <v>406698944.13000005</v>
      </c>
      <c r="E15" s="16">
        <f>SUM(E11:E14)</f>
        <v>86274671.399999991</v>
      </c>
      <c r="F15" s="18">
        <f>E15/D15</f>
        <v>0.21213399406422495</v>
      </c>
      <c r="G15" s="16">
        <f>SUM(G11:G14)</f>
        <v>85309252.560000017</v>
      </c>
      <c r="H15" s="18">
        <f>G15/D15</f>
        <v>0.2097602017199513</v>
      </c>
    </row>
    <row r="39" spans="3:8" s="6" customFormat="1" x14ac:dyDescent="0.2">
      <c r="C39"/>
      <c r="D39"/>
      <c r="E39" s="1"/>
      <c r="F39" s="1"/>
      <c r="G39" s="1"/>
      <c r="H39" s="1"/>
    </row>
  </sheetData>
  <sheetProtection selectLockedCells="1" selectUnlockedCells="1"/>
  <pageMargins left="0.25" right="0.25" top="0.75" bottom="0.75" header="0.3" footer="0.3"/>
  <pageSetup paperSize="9" scale="90" firstPageNumber="0" orientation="portrait" horizontalDpi="300" verticalDpi="300"/>
  <headerFooter alignWithMargins="0">
    <oddFooter>&amp;CUnitat de Comptabilitat | Intervenció&amp;R1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O36"/>
  <sheetViews>
    <sheetView zoomScale="85" zoomScaleNormal="85" workbookViewId="0">
      <selection activeCell="J31" sqref="J31"/>
    </sheetView>
  </sheetViews>
  <sheetFormatPr baseColWidth="10" defaultColWidth="9.140625" defaultRowHeight="12.75" x14ac:dyDescent="0.2"/>
  <cols>
    <col min="1" max="1" width="6.28515625" customWidth="1"/>
    <col min="2" max="2" width="40.28515625" customWidth="1"/>
    <col min="3" max="3" width="16.42578125" style="1" customWidth="1"/>
    <col min="4" max="4" width="14.28515625" style="1" bestFit="1" customWidth="1"/>
    <col min="5" max="5" width="18.28515625" style="1" customWidth="1"/>
    <col min="6" max="6" width="19.7109375" style="1" customWidth="1"/>
    <col min="7" max="7" width="16.7109375" style="1" customWidth="1"/>
    <col min="8" max="8" width="19.42578125" style="1" customWidth="1"/>
    <col min="9" max="9" width="19.28515625" style="1" customWidth="1"/>
    <col min="10" max="10" width="17.85546875" style="1" customWidth="1"/>
    <col min="11" max="11" width="10.42578125" style="2" customWidth="1"/>
    <col min="12" max="12" width="16" style="1" bestFit="1" customWidth="1"/>
    <col min="13" max="13" width="10.7109375" style="2" customWidth="1"/>
    <col min="14" max="14" width="16" style="1" bestFit="1" customWidth="1"/>
    <col min="15" max="15" width="9.28515625" style="2" customWidth="1"/>
  </cols>
  <sheetData>
    <row r="1" spans="1:15" s="3" customFormat="1" x14ac:dyDescent="0.2">
      <c r="A1" s="3" t="s">
        <v>19</v>
      </c>
      <c r="B1" s="3" t="s">
        <v>48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5" t="s">
        <v>9</v>
      </c>
      <c r="L1" s="4" t="s">
        <v>10</v>
      </c>
      <c r="M1" s="5" t="s">
        <v>11</v>
      </c>
      <c r="N1" s="4" t="s">
        <v>12</v>
      </c>
      <c r="O1" s="5" t="s">
        <v>13</v>
      </c>
    </row>
    <row r="2" spans="1:15" x14ac:dyDescent="0.2">
      <c r="A2" t="s">
        <v>20</v>
      </c>
      <c r="B2" t="s">
        <v>106</v>
      </c>
      <c r="C2" s="115">
        <v>0</v>
      </c>
      <c r="D2" s="115">
        <v>0</v>
      </c>
      <c r="E2" s="115">
        <v>0</v>
      </c>
      <c r="F2" s="115">
        <v>0</v>
      </c>
      <c r="G2" s="115">
        <v>0</v>
      </c>
      <c r="H2" s="115">
        <v>0</v>
      </c>
      <c r="I2" s="115">
        <v>0</v>
      </c>
      <c r="J2" s="1">
        <v>0</v>
      </c>
      <c r="K2" s="2">
        <v>0</v>
      </c>
      <c r="L2" s="115">
        <v>0</v>
      </c>
      <c r="M2" s="2">
        <v>0</v>
      </c>
      <c r="N2" s="115">
        <v>0</v>
      </c>
      <c r="O2" s="2">
        <v>0</v>
      </c>
    </row>
    <row r="3" spans="1:15" x14ac:dyDescent="0.2">
      <c r="A3" t="s">
        <v>20</v>
      </c>
      <c r="B3" t="s">
        <v>107</v>
      </c>
      <c r="C3" s="115">
        <v>17566148.690000001</v>
      </c>
      <c r="D3" s="115">
        <v>18840339.32</v>
      </c>
      <c r="E3" s="115">
        <v>36406488.00999999</v>
      </c>
      <c r="F3" s="115">
        <v>31919308.22000001</v>
      </c>
      <c r="G3" s="115">
        <v>0</v>
      </c>
      <c r="H3" s="115">
        <v>67873.929999999993</v>
      </c>
      <c r="I3" s="115">
        <v>18921945.879999995</v>
      </c>
      <c r="J3" s="1">
        <f t="shared" ref="J3:J7" si="0">I3+L3</f>
        <v>23409125.669999994</v>
      </c>
      <c r="K3" s="2">
        <f t="shared" ref="K3:K22" si="1">J3/E3</f>
        <v>0.64299323965470301</v>
      </c>
      <c r="L3" s="115">
        <v>4487179.79</v>
      </c>
      <c r="M3" s="2">
        <f t="shared" ref="M3:M22" si="2">L3/E3</f>
        <v>0.12325220133201201</v>
      </c>
      <c r="N3" s="115">
        <v>4291112.3600000003</v>
      </c>
      <c r="O3" s="2">
        <f>N3/L3</f>
        <v>0.95630497569164719</v>
      </c>
    </row>
    <row r="4" spans="1:15" x14ac:dyDescent="0.2">
      <c r="A4" t="s">
        <v>20</v>
      </c>
      <c r="B4" t="s">
        <v>108</v>
      </c>
      <c r="C4" s="115">
        <v>2877013.96</v>
      </c>
      <c r="D4" s="115">
        <v>6281971.9100000001</v>
      </c>
      <c r="E4" s="115">
        <v>9158985.8699999992</v>
      </c>
      <c r="F4" s="115">
        <v>6466112.5499999989</v>
      </c>
      <c r="G4" s="115">
        <v>0</v>
      </c>
      <c r="H4" s="115">
        <v>600000</v>
      </c>
      <c r="I4" s="115">
        <v>1795249.6600000001</v>
      </c>
      <c r="J4" s="1">
        <f t="shared" si="0"/>
        <v>4488122.9800000004</v>
      </c>
      <c r="K4" s="2">
        <f t="shared" si="1"/>
        <v>0.49002400961232195</v>
      </c>
      <c r="L4" s="115">
        <v>2692873.3200000003</v>
      </c>
      <c r="M4" s="2">
        <f t="shared" si="2"/>
        <v>0.29401435467003295</v>
      </c>
      <c r="N4" s="115">
        <v>2585199.8600000003</v>
      </c>
      <c r="O4" s="2">
        <f t="shared" ref="O4:O7" si="3">N4/L4</f>
        <v>0.96001540094726778</v>
      </c>
    </row>
    <row r="5" spans="1:15" x14ac:dyDescent="0.2">
      <c r="A5" t="s">
        <v>20</v>
      </c>
      <c r="B5" t="s">
        <v>109</v>
      </c>
      <c r="C5" s="115">
        <v>41972119.74000001</v>
      </c>
      <c r="D5" s="115">
        <v>40027267.140000023</v>
      </c>
      <c r="E5" s="115">
        <v>81999386.879999995</v>
      </c>
      <c r="F5" s="115">
        <v>59654944.350000001</v>
      </c>
      <c r="G5" s="115">
        <v>0</v>
      </c>
      <c r="H5" s="115">
        <v>8947829.8699999992</v>
      </c>
      <c r="I5" s="115">
        <v>17710931.349999998</v>
      </c>
      <c r="J5" s="1">
        <f t="shared" si="0"/>
        <v>40055373.879999995</v>
      </c>
      <c r="K5" s="2">
        <f t="shared" si="1"/>
        <v>0.48848382169757021</v>
      </c>
      <c r="L5" s="115">
        <v>22344442.530000001</v>
      </c>
      <c r="M5" s="2">
        <f t="shared" si="2"/>
        <v>0.27249523905220696</v>
      </c>
      <c r="N5" s="115">
        <v>20285886.15000001</v>
      </c>
      <c r="O5" s="2">
        <f t="shared" si="3"/>
        <v>0.90787166082858672</v>
      </c>
    </row>
    <row r="6" spans="1:15" x14ac:dyDescent="0.2">
      <c r="A6" t="s">
        <v>20</v>
      </c>
      <c r="B6" t="s">
        <v>110</v>
      </c>
      <c r="C6" s="115">
        <v>34974347.710000023</v>
      </c>
      <c r="D6" s="115">
        <v>52912165.250000007</v>
      </c>
      <c r="E6" s="115">
        <v>87886512.960000053</v>
      </c>
      <c r="F6" s="115">
        <v>73951719.550000042</v>
      </c>
      <c r="G6" s="115">
        <v>0</v>
      </c>
      <c r="H6" s="115">
        <v>7028428.71</v>
      </c>
      <c r="I6" s="115">
        <v>16288272.749999996</v>
      </c>
      <c r="J6" s="1">
        <f t="shared" si="0"/>
        <v>30223066.159999996</v>
      </c>
      <c r="K6" s="2">
        <f t="shared" si="1"/>
        <v>0.34388741960618546</v>
      </c>
      <c r="L6" s="115">
        <v>13934793.410000002</v>
      </c>
      <c r="M6" s="2">
        <f t="shared" si="2"/>
        <v>0.15855440090497355</v>
      </c>
      <c r="N6" s="115">
        <v>11584569.649999997</v>
      </c>
      <c r="O6" s="2">
        <f t="shared" si="3"/>
        <v>0.83134132736310118</v>
      </c>
    </row>
    <row r="7" spans="1:15" x14ac:dyDescent="0.2">
      <c r="A7" t="s">
        <v>20</v>
      </c>
      <c r="B7" t="s">
        <v>111</v>
      </c>
      <c r="C7" s="115">
        <v>103940369.90000004</v>
      </c>
      <c r="D7" s="115">
        <v>55916303.580000073</v>
      </c>
      <c r="E7" s="115">
        <v>159856673.48000008</v>
      </c>
      <c r="F7" s="115">
        <v>129004960.88000001</v>
      </c>
      <c r="G7" s="115">
        <v>5853223.7599999998</v>
      </c>
      <c r="H7" s="115">
        <v>5384186.3499999996</v>
      </c>
      <c r="I7" s="115">
        <v>59735576.399999999</v>
      </c>
      <c r="J7" s="1">
        <f t="shared" si="0"/>
        <v>90587288.99999997</v>
      </c>
      <c r="K7" s="2">
        <f t="shared" si="1"/>
        <v>0.56667818132305559</v>
      </c>
      <c r="L7" s="115">
        <v>30851712.599999972</v>
      </c>
      <c r="M7" s="2">
        <f t="shared" si="2"/>
        <v>0.19299608786029115</v>
      </c>
      <c r="N7" s="115">
        <v>29819111.369999968</v>
      </c>
      <c r="O7" s="2">
        <f t="shared" si="3"/>
        <v>0.96653018121269529</v>
      </c>
    </row>
    <row r="8" spans="1:15" s="3" customFormat="1" x14ac:dyDescent="0.2">
      <c r="B8" s="3" t="s">
        <v>15</v>
      </c>
      <c r="C8" s="4">
        <f>SUM(C3:C7)</f>
        <v>201330000.00000006</v>
      </c>
      <c r="D8" s="4">
        <f>SUM(D3:D7)</f>
        <v>173978047.20000011</v>
      </c>
      <c r="E8" s="4">
        <f t="shared" ref="E8:J8" si="4">SUM(E2:E7)</f>
        <v>375308047.20000011</v>
      </c>
      <c r="F8" s="4">
        <f t="shared" si="4"/>
        <v>300997045.55000007</v>
      </c>
      <c r="G8" s="4">
        <f t="shared" si="4"/>
        <v>5853223.7599999998</v>
      </c>
      <c r="H8" s="4">
        <f t="shared" si="4"/>
        <v>22028318.859999999</v>
      </c>
      <c r="I8" s="4">
        <f t="shared" si="4"/>
        <v>114451976.03999999</v>
      </c>
      <c r="J8" s="4">
        <f t="shared" si="4"/>
        <v>188762977.68999994</v>
      </c>
      <c r="K8" s="5">
        <f t="shared" si="1"/>
        <v>0.50295478367243462</v>
      </c>
      <c r="L8" s="4">
        <f>SUM(L2:L7)</f>
        <v>74311001.649999976</v>
      </c>
      <c r="M8" s="5">
        <f t="shared" si="2"/>
        <v>0.19800002212689022</v>
      </c>
      <c r="N8" s="4">
        <f>SUM(N4:N7)</f>
        <v>64274767.029999971</v>
      </c>
      <c r="O8" s="5">
        <f t="shared" ref="O8:O22" si="5">N8/L8</f>
        <v>0.86494281604129064</v>
      </c>
    </row>
    <row r="9" spans="1:15" x14ac:dyDescent="0.2">
      <c r="A9" t="s">
        <v>30</v>
      </c>
      <c r="B9" t="s">
        <v>106</v>
      </c>
      <c r="J9" s="1">
        <f t="shared" ref="J9:J14" si="6">I9+L9</f>
        <v>0</v>
      </c>
      <c r="K9" s="2" t="e">
        <f t="shared" si="1"/>
        <v>#DIV/0!</v>
      </c>
      <c r="M9" s="2" t="e">
        <f t="shared" si="2"/>
        <v>#DIV/0!</v>
      </c>
      <c r="O9" s="2" t="e">
        <f t="shared" si="5"/>
        <v>#DIV/0!</v>
      </c>
    </row>
    <row r="10" spans="1:15" x14ac:dyDescent="0.2">
      <c r="A10" t="s">
        <v>30</v>
      </c>
      <c r="B10" t="s">
        <v>107</v>
      </c>
      <c r="J10" s="1">
        <f t="shared" si="6"/>
        <v>0</v>
      </c>
      <c r="K10" s="2" t="e">
        <f t="shared" si="1"/>
        <v>#DIV/0!</v>
      </c>
      <c r="M10" s="2" t="e">
        <f t="shared" si="2"/>
        <v>#DIV/0!</v>
      </c>
      <c r="O10" s="2" t="e">
        <f t="shared" si="5"/>
        <v>#DIV/0!</v>
      </c>
    </row>
    <row r="11" spans="1:15" x14ac:dyDescent="0.2">
      <c r="A11" t="s">
        <v>30</v>
      </c>
      <c r="B11" t="s">
        <v>108</v>
      </c>
      <c r="J11" s="1">
        <f t="shared" si="6"/>
        <v>0</v>
      </c>
      <c r="K11" s="2" t="e">
        <f t="shared" si="1"/>
        <v>#DIV/0!</v>
      </c>
      <c r="M11" s="2" t="e">
        <f t="shared" si="2"/>
        <v>#DIV/0!</v>
      </c>
      <c r="O11" s="2" t="e">
        <f t="shared" si="5"/>
        <v>#DIV/0!</v>
      </c>
    </row>
    <row r="12" spans="1:15" x14ac:dyDescent="0.2">
      <c r="A12" t="s">
        <v>30</v>
      </c>
      <c r="B12" t="s">
        <v>109</v>
      </c>
      <c r="J12" s="1">
        <f t="shared" si="6"/>
        <v>0</v>
      </c>
      <c r="K12" s="2" t="e">
        <f t="shared" si="1"/>
        <v>#DIV/0!</v>
      </c>
      <c r="M12" s="2" t="e">
        <f t="shared" si="2"/>
        <v>#DIV/0!</v>
      </c>
      <c r="O12" s="2" t="e">
        <f t="shared" si="5"/>
        <v>#DIV/0!</v>
      </c>
    </row>
    <row r="13" spans="1:15" x14ac:dyDescent="0.2">
      <c r="A13" t="s">
        <v>30</v>
      </c>
      <c r="B13" t="s">
        <v>110</v>
      </c>
      <c r="C13" s="115">
        <v>9136603.879999999</v>
      </c>
      <c r="D13" s="115">
        <v>4673257.0399999991</v>
      </c>
      <c r="E13" s="115">
        <v>13809860.919999998</v>
      </c>
      <c r="F13" s="115">
        <v>10567938.999999998</v>
      </c>
      <c r="G13" s="115">
        <v>18407.900000000001</v>
      </c>
      <c r="H13" s="115">
        <v>352646.18</v>
      </c>
      <c r="I13" s="115">
        <v>4696317.05</v>
      </c>
      <c r="J13" s="1">
        <f>I13+L13</f>
        <v>7938238.9699999997</v>
      </c>
      <c r="K13" s="2">
        <f t="shared" si="1"/>
        <v>0.57482396209389197</v>
      </c>
      <c r="L13" s="115">
        <v>3241921.92</v>
      </c>
      <c r="M13" s="2">
        <f t="shared" si="2"/>
        <v>0.23475413248405114</v>
      </c>
      <c r="N13" s="115">
        <v>3059779.0499999993</v>
      </c>
      <c r="O13" s="2">
        <f t="shared" si="5"/>
        <v>0.94381639209867196</v>
      </c>
    </row>
    <row r="14" spans="1:15" x14ac:dyDescent="0.2">
      <c r="A14" t="s">
        <v>30</v>
      </c>
      <c r="B14" t="s">
        <v>111</v>
      </c>
      <c r="C14" s="115">
        <v>293396.12</v>
      </c>
      <c r="D14" s="115">
        <v>-15161</v>
      </c>
      <c r="E14" s="115">
        <v>278235.12</v>
      </c>
      <c r="F14" s="115">
        <v>278235.12</v>
      </c>
      <c r="G14" s="115">
        <v>0</v>
      </c>
      <c r="H14" s="115">
        <v>0</v>
      </c>
      <c r="I14" s="115">
        <v>0</v>
      </c>
      <c r="J14" s="1">
        <f t="shared" si="6"/>
        <v>0</v>
      </c>
      <c r="K14" s="2">
        <f t="shared" si="1"/>
        <v>0</v>
      </c>
      <c r="L14" s="115">
        <v>0</v>
      </c>
      <c r="M14" s="2">
        <f t="shared" si="2"/>
        <v>0</v>
      </c>
      <c r="N14" s="115">
        <v>0</v>
      </c>
      <c r="O14" s="2">
        <v>0</v>
      </c>
    </row>
    <row r="15" spans="1:15" x14ac:dyDescent="0.2">
      <c r="A15" s="3"/>
      <c r="B15" s="3" t="s">
        <v>31</v>
      </c>
      <c r="C15" s="4">
        <f t="shared" ref="C15:J15" si="7">SUM(C9:C14)</f>
        <v>9429999.9999999981</v>
      </c>
      <c r="D15" s="4">
        <f t="shared" si="7"/>
        <v>4658096.0399999991</v>
      </c>
      <c r="E15" s="4">
        <f t="shared" si="7"/>
        <v>14088096.039999997</v>
      </c>
      <c r="F15" s="4">
        <f t="shared" si="7"/>
        <v>10846174.119999997</v>
      </c>
      <c r="G15" s="4">
        <f t="shared" si="7"/>
        <v>18407.900000000001</v>
      </c>
      <c r="H15" s="4">
        <f t="shared" si="7"/>
        <v>352646.18</v>
      </c>
      <c r="I15" s="4">
        <f t="shared" si="7"/>
        <v>4696317.05</v>
      </c>
      <c r="J15" s="4">
        <f t="shared" si="7"/>
        <v>7938238.9699999997</v>
      </c>
      <c r="K15" s="5">
        <f t="shared" si="1"/>
        <v>0.56347138374562089</v>
      </c>
      <c r="L15" s="4">
        <f>SUM(L9:L14)</f>
        <v>3241921.92</v>
      </c>
      <c r="M15" s="5">
        <f t="shared" si="2"/>
        <v>0.23011781796456299</v>
      </c>
      <c r="N15" s="4">
        <f>SUM(N9:N14)</f>
        <v>3059779.0499999993</v>
      </c>
      <c r="O15" s="5">
        <f t="shared" si="5"/>
        <v>0.94381639209867196</v>
      </c>
    </row>
    <row r="16" spans="1:15" x14ac:dyDescent="0.2">
      <c r="A16" t="s">
        <v>32</v>
      </c>
      <c r="B16" t="s">
        <v>106</v>
      </c>
      <c r="J16" s="1">
        <f t="shared" ref="J16:J21" si="8">I16+L16</f>
        <v>0</v>
      </c>
      <c r="K16" s="2" t="e">
        <f t="shared" si="1"/>
        <v>#DIV/0!</v>
      </c>
      <c r="M16" s="2" t="e">
        <f t="shared" si="2"/>
        <v>#DIV/0!</v>
      </c>
      <c r="O16" s="2" t="e">
        <f t="shared" si="5"/>
        <v>#DIV/0!</v>
      </c>
    </row>
    <row r="17" spans="1:15" x14ac:dyDescent="0.2">
      <c r="A17" t="s">
        <v>32</v>
      </c>
      <c r="B17" t="s">
        <v>107</v>
      </c>
      <c r="J17" s="1">
        <f t="shared" si="8"/>
        <v>0</v>
      </c>
      <c r="K17" s="2" t="e">
        <f t="shared" si="1"/>
        <v>#DIV/0!</v>
      </c>
      <c r="M17" s="2" t="e">
        <f t="shared" si="2"/>
        <v>#DIV/0!</v>
      </c>
      <c r="O17" s="2" t="e">
        <f t="shared" si="5"/>
        <v>#DIV/0!</v>
      </c>
    </row>
    <row r="18" spans="1:15" x14ac:dyDescent="0.2">
      <c r="A18" t="s">
        <v>32</v>
      </c>
      <c r="B18" t="s">
        <v>108</v>
      </c>
      <c r="J18" s="1">
        <f t="shared" si="8"/>
        <v>0</v>
      </c>
      <c r="K18" s="2" t="e">
        <f t="shared" si="1"/>
        <v>#DIV/0!</v>
      </c>
      <c r="M18" s="2" t="e">
        <f t="shared" si="2"/>
        <v>#DIV/0!</v>
      </c>
      <c r="O18" s="2" t="e">
        <f t="shared" si="5"/>
        <v>#DIV/0!</v>
      </c>
    </row>
    <row r="19" spans="1:15" x14ac:dyDescent="0.2">
      <c r="A19" t="s">
        <v>32</v>
      </c>
      <c r="B19" t="s">
        <v>109</v>
      </c>
      <c r="J19" s="1">
        <f t="shared" si="8"/>
        <v>0</v>
      </c>
      <c r="K19" s="2" t="e">
        <f t="shared" si="1"/>
        <v>#DIV/0!</v>
      </c>
      <c r="M19" s="2" t="e">
        <f t="shared" si="2"/>
        <v>#DIV/0!</v>
      </c>
      <c r="O19" s="2" t="e">
        <f t="shared" si="5"/>
        <v>#DIV/0!</v>
      </c>
    </row>
    <row r="20" spans="1:15" x14ac:dyDescent="0.2">
      <c r="A20" t="s">
        <v>32</v>
      </c>
      <c r="B20" t="s">
        <v>110</v>
      </c>
      <c r="J20" s="1">
        <f t="shared" si="8"/>
        <v>0</v>
      </c>
      <c r="K20" s="2" t="e">
        <f t="shared" si="1"/>
        <v>#DIV/0!</v>
      </c>
      <c r="M20" s="2" t="e">
        <f t="shared" si="2"/>
        <v>#DIV/0!</v>
      </c>
      <c r="O20" s="2" t="e">
        <f t="shared" si="5"/>
        <v>#DIV/0!</v>
      </c>
    </row>
    <row r="21" spans="1:15" x14ac:dyDescent="0.2">
      <c r="A21" t="s">
        <v>32</v>
      </c>
      <c r="B21" t="s">
        <v>111</v>
      </c>
      <c r="C21" s="115">
        <v>18570000</v>
      </c>
      <c r="D21" s="115">
        <v>5662800.8899999997</v>
      </c>
      <c r="E21" s="115">
        <v>24232800.890000001</v>
      </c>
      <c r="F21" s="115">
        <v>16476471.899999997</v>
      </c>
      <c r="G21" s="115">
        <v>1240651.2600000002</v>
      </c>
      <c r="H21" s="115">
        <v>78738.259999999995</v>
      </c>
      <c r="I21" s="115">
        <v>2807910.19</v>
      </c>
      <c r="J21" s="1">
        <f t="shared" si="8"/>
        <v>10564239.18</v>
      </c>
      <c r="K21" s="2">
        <f t="shared" si="1"/>
        <v>0.43594792149509548</v>
      </c>
      <c r="L21" s="115">
        <v>7756328.9900000002</v>
      </c>
      <c r="M21" s="2">
        <f t="shared" si="2"/>
        <v>0.32007562911148074</v>
      </c>
      <c r="N21" s="115">
        <v>6837006.2500000009</v>
      </c>
      <c r="O21" s="2">
        <f t="shared" si="5"/>
        <v>0.88147450408753236</v>
      </c>
    </row>
    <row r="22" spans="1:15" x14ac:dyDescent="0.2">
      <c r="A22" s="3"/>
      <c r="B22" s="3" t="s">
        <v>32</v>
      </c>
      <c r="C22" s="4">
        <f t="shared" ref="C22:J22" si="9">SUM(C16:C21)</f>
        <v>18570000</v>
      </c>
      <c r="D22" s="4">
        <f t="shared" si="9"/>
        <v>5662800.8899999997</v>
      </c>
      <c r="E22" s="4">
        <f t="shared" si="9"/>
        <v>24232800.890000001</v>
      </c>
      <c r="F22" s="4">
        <f t="shared" si="9"/>
        <v>16476471.899999997</v>
      </c>
      <c r="G22" s="4">
        <f t="shared" si="9"/>
        <v>1240651.2600000002</v>
      </c>
      <c r="H22" s="4">
        <f t="shared" si="9"/>
        <v>78738.259999999995</v>
      </c>
      <c r="I22" s="4">
        <f t="shared" si="9"/>
        <v>2807910.19</v>
      </c>
      <c r="J22" s="4">
        <f t="shared" si="9"/>
        <v>10564239.18</v>
      </c>
      <c r="K22" s="5">
        <f t="shared" si="1"/>
        <v>0.43594792149509548</v>
      </c>
      <c r="L22" s="4">
        <f>SUM(L16:L21)</f>
        <v>7756328.9900000002</v>
      </c>
      <c r="M22" s="5">
        <f t="shared" si="2"/>
        <v>0.32007562911148074</v>
      </c>
      <c r="N22" s="4">
        <f>SUM(N16:N21)</f>
        <v>6837006.2500000009</v>
      </c>
      <c r="O22" s="5">
        <f t="shared" si="5"/>
        <v>0.88147450408753236</v>
      </c>
    </row>
    <row r="23" spans="1:15" x14ac:dyDescent="0.2">
      <c r="A23" t="s">
        <v>79</v>
      </c>
      <c r="B23" t="s">
        <v>106</v>
      </c>
    </row>
    <row r="24" spans="1:15" x14ac:dyDescent="0.2">
      <c r="A24" t="s">
        <v>79</v>
      </c>
      <c r="B24" t="s">
        <v>107</v>
      </c>
    </row>
    <row r="25" spans="1:15" x14ac:dyDescent="0.2">
      <c r="A25" t="s">
        <v>79</v>
      </c>
      <c r="B25" t="s">
        <v>108</v>
      </c>
    </row>
    <row r="26" spans="1:15" x14ac:dyDescent="0.2">
      <c r="A26" t="s">
        <v>79</v>
      </c>
      <c r="B26" t="s">
        <v>109</v>
      </c>
    </row>
    <row r="27" spans="1:15" x14ac:dyDescent="0.2">
      <c r="A27" t="s">
        <v>79</v>
      </c>
      <c r="B27" t="s">
        <v>110</v>
      </c>
      <c r="C27" s="115">
        <v>6930000</v>
      </c>
      <c r="D27" s="1">
        <v>0</v>
      </c>
      <c r="E27" s="1">
        <f>C27+D27</f>
        <v>6930000</v>
      </c>
      <c r="F27" s="115">
        <v>6930000</v>
      </c>
      <c r="G27" s="1">
        <v>0</v>
      </c>
      <c r="H27" s="1">
        <v>0</v>
      </c>
      <c r="I27" s="1">
        <v>0</v>
      </c>
      <c r="J27" s="1">
        <v>0</v>
      </c>
      <c r="L27" s="1">
        <v>0</v>
      </c>
      <c r="M27" s="2">
        <f t="shared" ref="M27" si="10">L27/E27</f>
        <v>0</v>
      </c>
      <c r="N27" s="1">
        <v>0</v>
      </c>
    </row>
    <row r="28" spans="1:15" x14ac:dyDescent="0.2">
      <c r="A28" t="s">
        <v>79</v>
      </c>
      <c r="B28" t="s">
        <v>111</v>
      </c>
    </row>
    <row r="29" spans="1:15" x14ac:dyDescent="0.2">
      <c r="A29" s="3"/>
      <c r="B29" s="3" t="s">
        <v>80</v>
      </c>
      <c r="C29" s="4">
        <f t="shared" ref="C29:J29" si="11">SUM(C23:C28)</f>
        <v>6930000</v>
      </c>
      <c r="D29" s="4">
        <f t="shared" si="11"/>
        <v>0</v>
      </c>
      <c r="E29" s="4">
        <f t="shared" si="11"/>
        <v>6930000</v>
      </c>
      <c r="F29" s="4">
        <f t="shared" si="11"/>
        <v>6930000</v>
      </c>
      <c r="G29" s="4">
        <f t="shared" si="11"/>
        <v>0</v>
      </c>
      <c r="H29" s="4">
        <f t="shared" si="11"/>
        <v>0</v>
      </c>
      <c r="I29" s="4">
        <f t="shared" si="11"/>
        <v>0</v>
      </c>
      <c r="J29" s="4">
        <f t="shared" si="11"/>
        <v>0</v>
      </c>
      <c r="K29" s="4"/>
      <c r="L29" s="4">
        <f>SUM(L23:L28)</f>
        <v>0</v>
      </c>
      <c r="M29" s="4"/>
      <c r="N29" s="4">
        <f>SUM(N23:N28)</f>
        <v>0</v>
      </c>
      <c r="O29" s="4"/>
    </row>
    <row r="30" spans="1:15" x14ac:dyDescent="0.2">
      <c r="A30" t="s">
        <v>33</v>
      </c>
      <c r="B30" t="s">
        <v>112</v>
      </c>
      <c r="C30" s="1">
        <f t="shared" ref="C30:D35" si="12">C2+C9+C16-C23</f>
        <v>0</v>
      </c>
      <c r="D30" s="1">
        <f t="shared" si="12"/>
        <v>0</v>
      </c>
      <c r="E30" s="1">
        <f t="shared" ref="E30:J35" si="13">E2+E9+E16-E23</f>
        <v>0</v>
      </c>
      <c r="F30" s="1">
        <f t="shared" si="13"/>
        <v>0</v>
      </c>
      <c r="G30" s="1">
        <f t="shared" si="13"/>
        <v>0</v>
      </c>
      <c r="H30" s="1">
        <f t="shared" si="13"/>
        <v>0</v>
      </c>
      <c r="I30" s="1">
        <f t="shared" si="13"/>
        <v>0</v>
      </c>
      <c r="J30" s="1">
        <f t="shared" si="13"/>
        <v>0</v>
      </c>
      <c r="K30" s="2" t="e">
        <f t="shared" ref="K30:K36" si="14">J30/E30</f>
        <v>#DIV/0!</v>
      </c>
      <c r="L30" s="1">
        <f t="shared" ref="L30:L35" si="15">L2+L9+L16-L23</f>
        <v>0</v>
      </c>
      <c r="M30" s="2" t="e">
        <f t="shared" ref="M30:M36" si="16">L30/E30</f>
        <v>#DIV/0!</v>
      </c>
      <c r="N30" s="1">
        <f t="shared" ref="N30:N35" si="17">N2+N9+N16-N23</f>
        <v>0</v>
      </c>
      <c r="O30" s="2" t="e">
        <f t="shared" ref="O30:O36" si="18">N30/L30</f>
        <v>#DIV/0!</v>
      </c>
    </row>
    <row r="31" spans="1:15" x14ac:dyDescent="0.2">
      <c r="A31" t="s">
        <v>33</v>
      </c>
      <c r="B31" t="s">
        <v>113</v>
      </c>
      <c r="C31" s="1">
        <f t="shared" si="12"/>
        <v>17566148.690000001</v>
      </c>
      <c r="D31" s="1">
        <f t="shared" si="12"/>
        <v>18840339.32</v>
      </c>
      <c r="E31" s="1">
        <f t="shared" si="13"/>
        <v>36406488.00999999</v>
      </c>
      <c r="F31" s="1">
        <f t="shared" si="13"/>
        <v>31919308.22000001</v>
      </c>
      <c r="G31" s="1">
        <f t="shared" si="13"/>
        <v>0</v>
      </c>
      <c r="H31" s="1">
        <f t="shared" si="13"/>
        <v>67873.929999999993</v>
      </c>
      <c r="I31" s="1">
        <f t="shared" si="13"/>
        <v>18921945.879999995</v>
      </c>
      <c r="J31" s="1">
        <f t="shared" ref="J31" si="19">J3+J10+J17-J24</f>
        <v>23409125.669999994</v>
      </c>
      <c r="K31" s="2">
        <f t="shared" si="14"/>
        <v>0.64299323965470301</v>
      </c>
      <c r="L31" s="1">
        <f t="shared" si="15"/>
        <v>4487179.79</v>
      </c>
      <c r="M31" s="2">
        <f t="shared" si="16"/>
        <v>0.12325220133201201</v>
      </c>
      <c r="N31" s="1">
        <f t="shared" si="17"/>
        <v>4291112.3600000003</v>
      </c>
      <c r="O31" s="2">
        <f t="shared" si="18"/>
        <v>0.95630497569164719</v>
      </c>
    </row>
    <row r="32" spans="1:15" x14ac:dyDescent="0.2">
      <c r="A32" t="s">
        <v>33</v>
      </c>
      <c r="B32" t="s">
        <v>114</v>
      </c>
      <c r="C32" s="1">
        <f t="shared" si="12"/>
        <v>2877013.96</v>
      </c>
      <c r="D32" s="1">
        <f t="shared" si="12"/>
        <v>6281971.9100000001</v>
      </c>
      <c r="E32" s="1">
        <f t="shared" si="13"/>
        <v>9158985.8699999992</v>
      </c>
      <c r="F32" s="1">
        <f t="shared" si="13"/>
        <v>6466112.5499999989</v>
      </c>
      <c r="G32" s="1">
        <f t="shared" si="13"/>
        <v>0</v>
      </c>
      <c r="H32" s="1">
        <f t="shared" si="13"/>
        <v>600000</v>
      </c>
      <c r="I32" s="1">
        <f t="shared" si="13"/>
        <v>1795249.6600000001</v>
      </c>
      <c r="J32" s="1">
        <f t="shared" ref="J32" si="20">J4+J11+J18-J25</f>
        <v>4488122.9800000004</v>
      </c>
      <c r="K32" s="2">
        <f t="shared" si="14"/>
        <v>0.49002400961232195</v>
      </c>
      <c r="L32" s="1">
        <f t="shared" si="15"/>
        <v>2692873.3200000003</v>
      </c>
      <c r="M32" s="2">
        <f t="shared" si="16"/>
        <v>0.29401435467003295</v>
      </c>
      <c r="N32" s="1">
        <f t="shared" si="17"/>
        <v>2585199.8600000003</v>
      </c>
      <c r="O32" s="2">
        <f t="shared" si="18"/>
        <v>0.96001540094726778</v>
      </c>
    </row>
    <row r="33" spans="1:15" x14ac:dyDescent="0.2">
      <c r="A33" t="s">
        <v>33</v>
      </c>
      <c r="B33" t="s">
        <v>115</v>
      </c>
      <c r="C33" s="1">
        <f t="shared" si="12"/>
        <v>41972119.74000001</v>
      </c>
      <c r="D33" s="1">
        <f t="shared" si="12"/>
        <v>40027267.140000023</v>
      </c>
      <c r="E33" s="1">
        <f t="shared" si="13"/>
        <v>81999386.879999995</v>
      </c>
      <c r="F33" s="1">
        <f t="shared" si="13"/>
        <v>59654944.350000001</v>
      </c>
      <c r="G33" s="1">
        <f t="shared" si="13"/>
        <v>0</v>
      </c>
      <c r="H33" s="1">
        <f t="shared" si="13"/>
        <v>8947829.8699999992</v>
      </c>
      <c r="I33" s="1">
        <f t="shared" si="13"/>
        <v>17710931.349999998</v>
      </c>
      <c r="J33" s="1">
        <f t="shared" ref="J33" si="21">J5+J12+J19-J26</f>
        <v>40055373.879999995</v>
      </c>
      <c r="K33" s="2">
        <f t="shared" si="14"/>
        <v>0.48848382169757021</v>
      </c>
      <c r="L33" s="1">
        <f t="shared" si="15"/>
        <v>22344442.530000001</v>
      </c>
      <c r="M33" s="2">
        <f t="shared" si="16"/>
        <v>0.27249523905220696</v>
      </c>
      <c r="N33" s="1">
        <f t="shared" si="17"/>
        <v>20285886.15000001</v>
      </c>
      <c r="O33" s="2">
        <f t="shared" si="18"/>
        <v>0.90787166082858672</v>
      </c>
    </row>
    <row r="34" spans="1:15" x14ac:dyDescent="0.2">
      <c r="A34" t="s">
        <v>33</v>
      </c>
      <c r="B34" t="s">
        <v>116</v>
      </c>
      <c r="C34" s="1">
        <f t="shared" si="12"/>
        <v>37180951.590000018</v>
      </c>
      <c r="D34" s="1">
        <f t="shared" si="12"/>
        <v>57585422.290000007</v>
      </c>
      <c r="E34" s="1">
        <f t="shared" si="13"/>
        <v>94766373.880000055</v>
      </c>
      <c r="F34" s="1">
        <f t="shared" si="13"/>
        <v>77589658.550000042</v>
      </c>
      <c r="G34" s="1">
        <f t="shared" si="13"/>
        <v>18407.900000000001</v>
      </c>
      <c r="H34" s="1">
        <f t="shared" si="13"/>
        <v>7381074.8899999997</v>
      </c>
      <c r="I34" s="1">
        <f t="shared" si="13"/>
        <v>20984589.799999997</v>
      </c>
      <c r="J34" s="1">
        <f t="shared" ref="J34" si="22">J6+J13+J20-J27</f>
        <v>38161305.129999995</v>
      </c>
      <c r="K34" s="2">
        <f t="shared" si="14"/>
        <v>0.40268824866426317</v>
      </c>
      <c r="L34" s="1">
        <f t="shared" si="15"/>
        <v>17176715.330000002</v>
      </c>
      <c r="M34" s="2">
        <f t="shared" si="16"/>
        <v>0.18125327188049195</v>
      </c>
      <c r="N34" s="1">
        <f t="shared" si="17"/>
        <v>14644348.699999996</v>
      </c>
      <c r="O34" s="2">
        <f t="shared" si="18"/>
        <v>0.85256979688211398</v>
      </c>
    </row>
    <row r="35" spans="1:15" x14ac:dyDescent="0.2">
      <c r="A35" t="s">
        <v>33</v>
      </c>
      <c r="B35" t="s">
        <v>117</v>
      </c>
      <c r="C35" s="1">
        <f t="shared" si="12"/>
        <v>122803766.02000004</v>
      </c>
      <c r="D35" s="1">
        <f t="shared" si="12"/>
        <v>61563943.470000073</v>
      </c>
      <c r="E35" s="1">
        <f t="shared" si="13"/>
        <v>184367709.49000007</v>
      </c>
      <c r="F35" s="1">
        <f t="shared" si="13"/>
        <v>145759667.90000001</v>
      </c>
      <c r="G35" s="1">
        <f t="shared" si="13"/>
        <v>7093875.0199999996</v>
      </c>
      <c r="H35" s="1">
        <f t="shared" si="13"/>
        <v>5462924.6099999994</v>
      </c>
      <c r="I35" s="1">
        <f t="shared" si="13"/>
        <v>62543486.589999996</v>
      </c>
      <c r="J35" s="1">
        <f t="shared" ref="J35" si="23">J7+J14+J21-J28</f>
        <v>101151528.17999998</v>
      </c>
      <c r="K35" s="2">
        <f t="shared" si="14"/>
        <v>0.54864015211669337</v>
      </c>
      <c r="L35" s="1">
        <f t="shared" si="15"/>
        <v>38608041.589999974</v>
      </c>
      <c r="M35" s="2">
        <f t="shared" si="16"/>
        <v>0.20940782795858315</v>
      </c>
      <c r="N35" s="1">
        <f t="shared" si="17"/>
        <v>36656117.619999968</v>
      </c>
      <c r="O35" s="2">
        <f t="shared" si="18"/>
        <v>0.94944255420338175</v>
      </c>
    </row>
    <row r="36" spans="1:15" s="3" customFormat="1" x14ac:dyDescent="0.2">
      <c r="B36" s="3" t="s">
        <v>34</v>
      </c>
      <c r="C36" s="4">
        <f t="shared" ref="C36:J36" si="24">SUM(C30:C35)</f>
        <v>222400000.00000006</v>
      </c>
      <c r="D36" s="4">
        <f t="shared" si="24"/>
        <v>184298944.13000011</v>
      </c>
      <c r="E36" s="4">
        <f t="shared" si="24"/>
        <v>406698944.13000011</v>
      </c>
      <c r="F36" s="4">
        <f t="shared" si="24"/>
        <v>321389691.57000005</v>
      </c>
      <c r="G36" s="4">
        <f t="shared" si="24"/>
        <v>7112282.9199999999</v>
      </c>
      <c r="H36" s="4">
        <f t="shared" si="24"/>
        <v>22459703.299999997</v>
      </c>
      <c r="I36" s="4">
        <f t="shared" si="24"/>
        <v>121956203.27999999</v>
      </c>
      <c r="J36" s="4">
        <f t="shared" si="24"/>
        <v>207265455.83999997</v>
      </c>
      <c r="K36" s="5">
        <f t="shared" si="14"/>
        <v>0.50962870406112537</v>
      </c>
      <c r="L36" s="4">
        <f>SUM(L30:L35)</f>
        <v>85309252.559999973</v>
      </c>
      <c r="M36" s="5">
        <f t="shared" si="16"/>
        <v>0.20976020171995116</v>
      </c>
      <c r="N36" s="4">
        <f>SUM(N30:N35)</f>
        <v>78462664.689999968</v>
      </c>
      <c r="O36" s="5">
        <f t="shared" si="18"/>
        <v>0.91974390040301146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J62"/>
  <sheetViews>
    <sheetView topLeftCell="C1" zoomScale="85" zoomScaleNormal="85" workbookViewId="0">
      <pane ySplit="1" topLeftCell="A44" activePane="bottomLeft" state="frozen"/>
      <selection activeCell="K20" sqref="K20"/>
      <selection pane="bottomLeft" activeCell="E55" sqref="E55"/>
    </sheetView>
  </sheetViews>
  <sheetFormatPr baseColWidth="10" defaultColWidth="9.140625" defaultRowHeight="12.75" x14ac:dyDescent="0.2"/>
  <cols>
    <col min="1" max="1" width="6.28515625" customWidth="1"/>
    <col min="2" max="2" width="42.7109375" customWidth="1"/>
    <col min="3" max="3" width="18" style="1" customWidth="1"/>
    <col min="4" max="4" width="14.140625" style="1" bestFit="1" customWidth="1"/>
    <col min="5" max="5" width="20.28515625" style="1" customWidth="1"/>
    <col min="6" max="6" width="21" style="1" customWidth="1"/>
    <col min="7" max="7" width="13" style="2" customWidth="1"/>
    <col min="8" max="8" width="13.7109375" style="1" bestFit="1" customWidth="1"/>
    <col min="9" max="9" width="9.28515625" style="2" customWidth="1"/>
    <col min="10" max="10" width="10.5703125" bestFit="1" customWidth="1"/>
  </cols>
  <sheetData>
    <row r="1" spans="1:10" s="3" customFormat="1" x14ac:dyDescent="0.2">
      <c r="A1" s="3" t="s">
        <v>19</v>
      </c>
      <c r="B1" s="3" t="s">
        <v>48</v>
      </c>
      <c r="C1" s="4" t="s">
        <v>35</v>
      </c>
      <c r="D1" s="4" t="s">
        <v>2</v>
      </c>
      <c r="E1" s="4" t="s">
        <v>36</v>
      </c>
      <c r="F1" s="4" t="s">
        <v>268</v>
      </c>
      <c r="G1" s="5" t="s">
        <v>38</v>
      </c>
      <c r="H1" s="4" t="s">
        <v>39</v>
      </c>
      <c r="I1" s="5" t="s">
        <v>40</v>
      </c>
      <c r="J1" s="3" t="s">
        <v>96</v>
      </c>
    </row>
    <row r="2" spans="1:10" x14ac:dyDescent="0.2">
      <c r="A2" t="s">
        <v>20</v>
      </c>
      <c r="B2" t="s">
        <v>41</v>
      </c>
      <c r="C2" s="115">
        <v>19762331.240000002</v>
      </c>
      <c r="D2" s="115">
        <v>0</v>
      </c>
      <c r="E2" s="115">
        <v>19762331.240000002</v>
      </c>
      <c r="F2" s="115">
        <v>9053626.0999999996</v>
      </c>
      <c r="G2" s="2">
        <f>IF(F2/E2&gt;1.5,1,F2/E2)</f>
        <v>0.45812540990482853</v>
      </c>
      <c r="H2" s="115">
        <v>9053626.0999999996</v>
      </c>
      <c r="I2" s="2">
        <f t="shared" ref="I2:I31" si="0">H2/F2</f>
        <v>1</v>
      </c>
      <c r="J2" s="2">
        <f t="shared" ref="J2:J20" si="1">IF(H2/E2&gt;1.5,1,H2/E2)</f>
        <v>0.45812540990482853</v>
      </c>
    </row>
    <row r="3" spans="1:10" x14ac:dyDescent="0.2">
      <c r="A3" t="s">
        <v>20</v>
      </c>
      <c r="B3" t="s">
        <v>42</v>
      </c>
      <c r="C3" s="115">
        <v>14404862.060000001</v>
      </c>
      <c r="D3" s="115">
        <v>0</v>
      </c>
      <c r="E3" s="115">
        <v>14404862.060000001</v>
      </c>
      <c r="F3" s="115">
        <v>7463202.1200000001</v>
      </c>
      <c r="G3" s="2">
        <f t="shared" ref="G3:G30" si="2">IF(F3/E3&gt;1.5,1,F3/E3)</f>
        <v>0.51810299112298475</v>
      </c>
      <c r="H3" s="115">
        <v>7463202.1200000001</v>
      </c>
      <c r="I3" s="2">
        <f t="shared" si="0"/>
        <v>1</v>
      </c>
      <c r="J3" s="2">
        <f t="shared" si="1"/>
        <v>0.51810299112298475</v>
      </c>
    </row>
    <row r="4" spans="1:10" x14ac:dyDescent="0.2">
      <c r="A4" t="s">
        <v>20</v>
      </c>
      <c r="B4" t="s">
        <v>43</v>
      </c>
      <c r="C4" s="115">
        <v>2177669.31</v>
      </c>
      <c r="D4" s="115">
        <v>0</v>
      </c>
      <c r="E4" s="115">
        <v>2177669.31</v>
      </c>
      <c r="F4" s="115">
        <v>585043.81999999983</v>
      </c>
      <c r="G4" s="2">
        <f t="shared" si="2"/>
        <v>0.26865595125643749</v>
      </c>
      <c r="H4" s="115">
        <v>421176.03000000009</v>
      </c>
      <c r="I4" s="2">
        <f t="shared" si="0"/>
        <v>0.71990510044187839</v>
      </c>
      <c r="J4" s="2">
        <f t="shared" si="1"/>
        <v>0.19340678957357399</v>
      </c>
    </row>
    <row r="5" spans="1:10" x14ac:dyDescent="0.2">
      <c r="A5" t="s">
        <v>20</v>
      </c>
      <c r="B5" t="s">
        <v>24</v>
      </c>
      <c r="C5" s="115">
        <v>147964336.83999997</v>
      </c>
      <c r="D5" s="115">
        <v>75169.740000000005</v>
      </c>
      <c r="E5" s="115">
        <v>148039506.57999998</v>
      </c>
      <c r="F5" s="115">
        <v>63173910.61999999</v>
      </c>
      <c r="G5" s="2">
        <f t="shared" si="2"/>
        <v>0.42673683585848116</v>
      </c>
      <c r="H5" s="115">
        <v>63040313.54999999</v>
      </c>
      <c r="I5" s="2">
        <f t="shared" si="0"/>
        <v>0.99788524932699507</v>
      </c>
      <c r="J5" s="2">
        <f t="shared" si="1"/>
        <v>0.42583439384765343</v>
      </c>
    </row>
    <row r="6" spans="1:10" x14ac:dyDescent="0.2">
      <c r="A6" t="s">
        <v>20</v>
      </c>
      <c r="B6" t="s">
        <v>44</v>
      </c>
      <c r="C6" s="115">
        <v>7057599.96</v>
      </c>
      <c r="D6" s="115">
        <v>0</v>
      </c>
      <c r="E6" s="115">
        <v>7057599.96</v>
      </c>
      <c r="F6" s="115">
        <v>1604500.05</v>
      </c>
      <c r="G6" s="2">
        <f t="shared" si="2"/>
        <v>0.22734358125903187</v>
      </c>
      <c r="H6" s="115">
        <v>1550893.42</v>
      </c>
      <c r="I6" s="2">
        <f t="shared" si="0"/>
        <v>0.9665898234157112</v>
      </c>
      <c r="J6" s="2">
        <f t="shared" si="1"/>
        <v>0.21974799206386303</v>
      </c>
    </row>
    <row r="7" spans="1:10" x14ac:dyDescent="0.2">
      <c r="A7" t="s">
        <v>20</v>
      </c>
      <c r="B7" t="s">
        <v>45</v>
      </c>
      <c r="C7" s="115">
        <v>1100</v>
      </c>
      <c r="D7" s="115">
        <v>0</v>
      </c>
      <c r="E7" s="115">
        <v>1100</v>
      </c>
      <c r="F7" s="115">
        <v>2304</v>
      </c>
      <c r="G7" s="2">
        <f t="shared" si="2"/>
        <v>1</v>
      </c>
      <c r="H7" s="115">
        <v>2304</v>
      </c>
      <c r="I7" s="2">
        <f t="shared" si="0"/>
        <v>1</v>
      </c>
      <c r="J7" s="2">
        <f t="shared" si="1"/>
        <v>1</v>
      </c>
    </row>
    <row r="8" spans="1:10" x14ac:dyDescent="0.2">
      <c r="A8" t="s">
        <v>20</v>
      </c>
      <c r="B8" t="s">
        <v>27</v>
      </c>
      <c r="C8" s="115">
        <v>1362100.5899999999</v>
      </c>
      <c r="D8" s="115">
        <v>0</v>
      </c>
      <c r="E8" s="115">
        <v>1362100.5899999999</v>
      </c>
      <c r="F8" s="115">
        <v>2833869.44</v>
      </c>
      <c r="G8" s="2">
        <f t="shared" si="2"/>
        <v>1</v>
      </c>
      <c r="H8" s="115">
        <v>2833869.44</v>
      </c>
      <c r="I8" s="2">
        <f t="shared" si="0"/>
        <v>1</v>
      </c>
      <c r="J8" s="2">
        <f t="shared" si="1"/>
        <v>1</v>
      </c>
    </row>
    <row r="9" spans="1:10" x14ac:dyDescent="0.2">
      <c r="A9" t="s">
        <v>20</v>
      </c>
      <c r="B9" t="s">
        <v>28</v>
      </c>
      <c r="C9" s="115">
        <v>600000</v>
      </c>
      <c r="D9" s="115">
        <v>181902877.45999998</v>
      </c>
      <c r="E9" s="115">
        <v>182502877.45999998</v>
      </c>
      <c r="F9" s="115">
        <v>185276.67</v>
      </c>
      <c r="G9" s="2">
        <f t="shared" si="2"/>
        <v>1.0151986235976361E-3</v>
      </c>
      <c r="H9" s="115">
        <v>181330.88</v>
      </c>
      <c r="I9" s="2">
        <f t="shared" si="0"/>
        <v>0.97870325497538357</v>
      </c>
      <c r="J9" s="2">
        <f t="shared" si="1"/>
        <v>9.9357819736153549E-4</v>
      </c>
    </row>
    <row r="10" spans="1:10" x14ac:dyDescent="0.2">
      <c r="A10" t="s">
        <v>20</v>
      </c>
      <c r="B10" t="s">
        <v>29</v>
      </c>
      <c r="C10" s="115">
        <v>8000000</v>
      </c>
      <c r="D10" s="115">
        <v>-8000000</v>
      </c>
      <c r="E10" s="115">
        <v>0</v>
      </c>
      <c r="F10" s="115">
        <v>0</v>
      </c>
      <c r="G10" s="2" t="e">
        <f t="shared" si="2"/>
        <v>#DIV/0!</v>
      </c>
      <c r="H10" s="115">
        <v>0</v>
      </c>
      <c r="I10" s="2" t="e">
        <f t="shared" si="0"/>
        <v>#DIV/0!</v>
      </c>
      <c r="J10" s="2" t="e">
        <f t="shared" si="1"/>
        <v>#DIV/0!</v>
      </c>
    </row>
    <row r="11" spans="1:10" s="3" customFormat="1" x14ac:dyDescent="0.2">
      <c r="B11" s="3" t="s">
        <v>15</v>
      </c>
      <c r="C11" s="4">
        <f>SUM(C2:C10)</f>
        <v>201330000</v>
      </c>
      <c r="D11" s="4">
        <f>SUM(D2:D10)</f>
        <v>173978047.19999999</v>
      </c>
      <c r="E11" s="4">
        <f>SUM(E2:E10)</f>
        <v>375308047.19999999</v>
      </c>
      <c r="F11" s="4">
        <f>SUM(F2:F10)</f>
        <v>84901732.819999993</v>
      </c>
      <c r="G11" s="5">
        <f t="shared" ref="G11:G31" si="3">F11/E11</f>
        <v>0.22621879134596928</v>
      </c>
      <c r="H11" s="4">
        <f>SUM(H2:H10)</f>
        <v>84546715.539999977</v>
      </c>
      <c r="I11" s="5">
        <f t="shared" si="0"/>
        <v>0.99581849194111638</v>
      </c>
      <c r="J11" s="5">
        <f t="shared" ref="J11:J31" si="4">+H11/E11</f>
        <v>0.22527285564688521</v>
      </c>
    </row>
    <row r="12" spans="1:10" x14ac:dyDescent="0.2">
      <c r="A12" t="s">
        <v>30</v>
      </c>
      <c r="B12" t="s">
        <v>41</v>
      </c>
      <c r="C12" s="115">
        <v>0</v>
      </c>
      <c r="D12" s="115">
        <v>0</v>
      </c>
      <c r="E12" s="115">
        <f t="shared" ref="E12:E20" si="5">C12+D12</f>
        <v>0</v>
      </c>
      <c r="F12" s="115">
        <v>0</v>
      </c>
      <c r="G12" s="2" t="e">
        <f t="shared" si="2"/>
        <v>#DIV/0!</v>
      </c>
      <c r="H12" s="115">
        <v>0</v>
      </c>
      <c r="I12" s="2" t="e">
        <f t="shared" si="0"/>
        <v>#DIV/0!</v>
      </c>
      <c r="J12" s="2" t="e">
        <f t="shared" si="1"/>
        <v>#DIV/0!</v>
      </c>
    </row>
    <row r="13" spans="1:10" x14ac:dyDescent="0.2">
      <c r="A13" t="s">
        <v>30</v>
      </c>
      <c r="B13" t="s">
        <v>42</v>
      </c>
      <c r="C13" s="115">
        <v>0</v>
      </c>
      <c r="D13" s="115">
        <v>0</v>
      </c>
      <c r="E13" s="115">
        <f t="shared" si="5"/>
        <v>0</v>
      </c>
      <c r="F13" s="115">
        <v>0</v>
      </c>
      <c r="G13" s="2" t="e">
        <f t="shared" si="2"/>
        <v>#DIV/0!</v>
      </c>
      <c r="H13" s="115">
        <v>0</v>
      </c>
      <c r="I13" s="2" t="e">
        <f t="shared" si="0"/>
        <v>#DIV/0!</v>
      </c>
      <c r="J13" s="2" t="e">
        <f t="shared" si="1"/>
        <v>#DIV/0!</v>
      </c>
    </row>
    <row r="14" spans="1:10" x14ac:dyDescent="0.2">
      <c r="A14" t="s">
        <v>30</v>
      </c>
      <c r="B14" t="s">
        <v>43</v>
      </c>
      <c r="C14" s="115">
        <v>19550</v>
      </c>
      <c r="D14" s="115">
        <v>0</v>
      </c>
      <c r="E14" s="115">
        <f t="shared" si="5"/>
        <v>19550</v>
      </c>
      <c r="F14" s="115">
        <v>258277.01</v>
      </c>
      <c r="G14" s="2">
        <f t="shared" si="2"/>
        <v>1</v>
      </c>
      <c r="H14" s="115">
        <v>257583.58</v>
      </c>
      <c r="I14" s="2">
        <f t="shared" si="0"/>
        <v>0.99731516947636945</v>
      </c>
      <c r="J14" s="2">
        <f t="shared" si="1"/>
        <v>1</v>
      </c>
    </row>
    <row r="15" spans="1:10" x14ac:dyDescent="0.2">
      <c r="A15" t="s">
        <v>30</v>
      </c>
      <c r="B15" t="s">
        <v>24</v>
      </c>
      <c r="C15" s="115">
        <v>9349160</v>
      </c>
      <c r="D15" s="115">
        <v>0</v>
      </c>
      <c r="E15" s="115">
        <f t="shared" si="5"/>
        <v>9349160</v>
      </c>
      <c r="F15" s="115">
        <v>740894.6399999999</v>
      </c>
      <c r="G15" s="2">
        <f t="shared" si="2"/>
        <v>7.9247187982663669E-2</v>
      </c>
      <c r="H15" s="115">
        <v>732839.78999999992</v>
      </c>
      <c r="I15" s="2">
        <f t="shared" si="0"/>
        <v>0.98912821126631445</v>
      </c>
      <c r="J15" s="2">
        <f t="shared" si="1"/>
        <v>7.8385629297177489E-2</v>
      </c>
    </row>
    <row r="16" spans="1:10" x14ac:dyDescent="0.2">
      <c r="A16" t="s">
        <v>30</v>
      </c>
      <c r="B16" t="s">
        <v>44</v>
      </c>
      <c r="C16" s="115">
        <v>61290</v>
      </c>
      <c r="D16" s="115">
        <v>0</v>
      </c>
      <c r="E16" s="115">
        <f t="shared" si="5"/>
        <v>61290</v>
      </c>
      <c r="F16" s="115">
        <v>69116.06</v>
      </c>
      <c r="G16" s="2">
        <f t="shared" si="2"/>
        <v>1.1276890194158917</v>
      </c>
      <c r="H16" s="115">
        <v>69116.06</v>
      </c>
      <c r="I16" s="2">
        <f t="shared" si="0"/>
        <v>1</v>
      </c>
      <c r="J16" s="2">
        <f t="shared" si="1"/>
        <v>1.1276890194158917</v>
      </c>
    </row>
    <row r="17" spans="1:10" x14ac:dyDescent="0.2">
      <c r="A17" t="s">
        <v>30</v>
      </c>
      <c r="B17" t="s">
        <v>45</v>
      </c>
      <c r="C17" s="115">
        <v>0</v>
      </c>
      <c r="D17" s="115">
        <v>0</v>
      </c>
      <c r="E17" s="115">
        <f t="shared" si="5"/>
        <v>0</v>
      </c>
      <c r="F17" s="115">
        <v>0</v>
      </c>
      <c r="G17" s="2" t="e">
        <f t="shared" si="2"/>
        <v>#DIV/0!</v>
      </c>
      <c r="H17" s="115">
        <v>0</v>
      </c>
      <c r="I17" s="2" t="e">
        <f t="shared" si="0"/>
        <v>#DIV/0!</v>
      </c>
      <c r="J17" s="2" t="e">
        <f t="shared" si="1"/>
        <v>#DIV/0!</v>
      </c>
    </row>
    <row r="18" spans="1:10" x14ac:dyDescent="0.2">
      <c r="A18" t="s">
        <v>30</v>
      </c>
      <c r="B18" t="s">
        <v>27</v>
      </c>
      <c r="C18" s="115">
        <v>0</v>
      </c>
      <c r="D18" s="115">
        <v>0</v>
      </c>
      <c r="E18" s="115">
        <f t="shared" si="5"/>
        <v>0</v>
      </c>
      <c r="F18" s="115">
        <v>0</v>
      </c>
      <c r="G18" s="2" t="e">
        <f t="shared" si="2"/>
        <v>#DIV/0!</v>
      </c>
      <c r="H18" s="115">
        <v>0</v>
      </c>
      <c r="I18" s="2" t="e">
        <f t="shared" si="0"/>
        <v>#DIV/0!</v>
      </c>
      <c r="J18" s="2" t="e">
        <f t="shared" si="1"/>
        <v>#DIV/0!</v>
      </c>
    </row>
    <row r="19" spans="1:10" x14ac:dyDescent="0.2">
      <c r="A19" t="s">
        <v>30</v>
      </c>
      <c r="B19" t="s">
        <v>28</v>
      </c>
      <c r="C19" s="115">
        <v>0</v>
      </c>
      <c r="D19" s="115">
        <v>4658096.04</v>
      </c>
      <c r="E19" s="115">
        <f t="shared" si="5"/>
        <v>4658096.04</v>
      </c>
      <c r="F19" s="115">
        <v>0</v>
      </c>
      <c r="G19" s="2">
        <f t="shared" si="2"/>
        <v>0</v>
      </c>
      <c r="H19" s="115">
        <v>0</v>
      </c>
      <c r="I19" s="2" t="e">
        <f t="shared" si="0"/>
        <v>#DIV/0!</v>
      </c>
      <c r="J19" s="2">
        <f t="shared" si="1"/>
        <v>0</v>
      </c>
    </row>
    <row r="20" spans="1:10" x14ac:dyDescent="0.2">
      <c r="A20" t="s">
        <v>30</v>
      </c>
      <c r="B20" t="s">
        <v>29</v>
      </c>
      <c r="C20" s="115">
        <v>0</v>
      </c>
      <c r="D20" s="115">
        <v>0</v>
      </c>
      <c r="E20" s="115">
        <f t="shared" si="5"/>
        <v>0</v>
      </c>
      <c r="F20" s="115">
        <v>0</v>
      </c>
      <c r="G20" s="2" t="e">
        <f t="shared" si="2"/>
        <v>#DIV/0!</v>
      </c>
      <c r="H20" s="115">
        <v>0</v>
      </c>
      <c r="I20" s="2" t="e">
        <f t="shared" si="0"/>
        <v>#DIV/0!</v>
      </c>
      <c r="J20" s="2" t="e">
        <f t="shared" si="1"/>
        <v>#DIV/0!</v>
      </c>
    </row>
    <row r="21" spans="1:10" x14ac:dyDescent="0.2">
      <c r="A21" s="3"/>
      <c r="B21" s="3" t="s">
        <v>31</v>
      </c>
      <c r="C21" s="4">
        <f>SUM(C12:C20)</f>
        <v>9430000</v>
      </c>
      <c r="D21" s="4">
        <f>SUM(D12:D20)</f>
        <v>4658096.04</v>
      </c>
      <c r="E21" s="4">
        <f>SUM(E12:E20)</f>
        <v>14088096.039999999</v>
      </c>
      <c r="F21" s="4">
        <f>SUM(F12:F20)</f>
        <v>1068287.71</v>
      </c>
      <c r="G21" s="5">
        <f t="shared" si="3"/>
        <v>7.5829104725495616E-2</v>
      </c>
      <c r="H21" s="4">
        <f>SUM(H12:H20)</f>
        <v>1059539.43</v>
      </c>
      <c r="I21" s="5">
        <f t="shared" si="0"/>
        <v>0.99181093265596021</v>
      </c>
      <c r="J21" s="5">
        <f t="shared" si="4"/>
        <v>7.520813508026028E-2</v>
      </c>
    </row>
    <row r="22" spans="1:10" x14ac:dyDescent="0.2">
      <c r="A22" t="s">
        <v>32</v>
      </c>
      <c r="B22" t="s">
        <v>41</v>
      </c>
      <c r="C22" s="115">
        <v>0</v>
      </c>
      <c r="D22" s="115">
        <v>0</v>
      </c>
      <c r="E22" s="115">
        <v>0</v>
      </c>
      <c r="F22" s="115">
        <v>0</v>
      </c>
      <c r="G22" s="2" t="e">
        <f t="shared" si="2"/>
        <v>#DIV/0!</v>
      </c>
      <c r="H22" s="115">
        <v>0</v>
      </c>
      <c r="I22" s="2">
        <f>H22/F24</f>
        <v>0</v>
      </c>
      <c r="J22" s="2">
        <f>IF(H22/E24&gt;1.5,1,H22/E24)</f>
        <v>0</v>
      </c>
    </row>
    <row r="23" spans="1:10" x14ac:dyDescent="0.2">
      <c r="A23" t="s">
        <v>32</v>
      </c>
      <c r="B23" t="s">
        <v>42</v>
      </c>
      <c r="C23" s="115">
        <v>0</v>
      </c>
      <c r="D23" s="115">
        <v>0</v>
      </c>
      <c r="E23" s="115">
        <v>0</v>
      </c>
      <c r="F23" s="115">
        <v>0</v>
      </c>
      <c r="G23" s="2" t="e">
        <f t="shared" si="2"/>
        <v>#DIV/0!</v>
      </c>
      <c r="H23" s="115">
        <v>0</v>
      </c>
      <c r="I23" s="2">
        <f t="shared" ref="I23:I30" si="6">H23/F25</f>
        <v>0</v>
      </c>
      <c r="J23" s="2">
        <f t="shared" ref="J23:J30" si="7">IF(H23/E25&gt;1.5,1,H23/E25)</f>
        <v>0</v>
      </c>
    </row>
    <row r="24" spans="1:10" x14ac:dyDescent="0.2">
      <c r="A24" t="s">
        <v>32</v>
      </c>
      <c r="B24" t="s">
        <v>43</v>
      </c>
      <c r="C24" s="115">
        <v>17839300</v>
      </c>
      <c r="D24" s="115">
        <v>0</v>
      </c>
      <c r="E24" s="115">
        <v>17839300</v>
      </c>
      <c r="F24" s="115">
        <v>100.81</v>
      </c>
      <c r="G24" s="2">
        <f t="shared" si="2"/>
        <v>5.6510064856804922E-6</v>
      </c>
      <c r="H24" s="115">
        <v>100.81</v>
      </c>
      <c r="I24" s="2">
        <f t="shared" si="6"/>
        <v>3.7329662354851822E-4</v>
      </c>
      <c r="J24" s="2">
        <f t="shared" si="7"/>
        <v>1.5492546488397112E-4</v>
      </c>
    </row>
    <row r="25" spans="1:10" x14ac:dyDescent="0.2">
      <c r="A25" t="s">
        <v>32</v>
      </c>
      <c r="B25" t="s">
        <v>24</v>
      </c>
      <c r="C25" s="115">
        <v>80000</v>
      </c>
      <c r="D25" s="115">
        <v>0</v>
      </c>
      <c r="E25" s="115">
        <v>80000</v>
      </c>
      <c r="F25" s="115">
        <v>34496.720000000001</v>
      </c>
      <c r="G25" s="2">
        <f t="shared" si="2"/>
        <v>0.43120900000000001</v>
      </c>
      <c r="H25" s="115">
        <v>34496.720000000001</v>
      </c>
      <c r="I25" s="2" t="e">
        <f t="shared" si="6"/>
        <v>#DIV/0!</v>
      </c>
      <c r="J25" s="2" t="e">
        <f t="shared" si="7"/>
        <v>#DIV/0!</v>
      </c>
    </row>
    <row r="26" spans="1:10" x14ac:dyDescent="0.2">
      <c r="A26" t="s">
        <v>32</v>
      </c>
      <c r="B26" t="s">
        <v>44</v>
      </c>
      <c r="C26" s="115">
        <v>650700</v>
      </c>
      <c r="D26" s="115">
        <v>0</v>
      </c>
      <c r="E26" s="115">
        <v>650700</v>
      </c>
      <c r="F26" s="115">
        <v>270053.34000000003</v>
      </c>
      <c r="G26" s="2">
        <f t="shared" si="2"/>
        <v>0.41501973259566627</v>
      </c>
      <c r="H26" s="115">
        <v>270053.34000000003</v>
      </c>
      <c r="I26" s="2" t="e">
        <f t="shared" si="6"/>
        <v>#DIV/0!</v>
      </c>
      <c r="J26" s="2" t="e">
        <f t="shared" si="7"/>
        <v>#DIV/0!</v>
      </c>
    </row>
    <row r="27" spans="1:10" x14ac:dyDescent="0.2">
      <c r="A27" t="s">
        <v>32</v>
      </c>
      <c r="B27" t="s">
        <v>45</v>
      </c>
      <c r="C27" s="115">
        <v>0</v>
      </c>
      <c r="D27" s="115">
        <v>0</v>
      </c>
      <c r="E27" s="115">
        <v>0</v>
      </c>
      <c r="F27" s="115">
        <v>0</v>
      </c>
      <c r="G27" s="2" t="e">
        <f t="shared" si="2"/>
        <v>#DIV/0!</v>
      </c>
      <c r="H27" s="115">
        <v>0</v>
      </c>
      <c r="I27" s="2" t="e">
        <f t="shared" si="6"/>
        <v>#DIV/0!</v>
      </c>
      <c r="J27" s="2">
        <f t="shared" si="7"/>
        <v>0</v>
      </c>
    </row>
    <row r="28" spans="1:10" x14ac:dyDescent="0.2">
      <c r="A28" t="s">
        <v>32</v>
      </c>
      <c r="B28" t="s">
        <v>27</v>
      </c>
      <c r="C28" s="115">
        <v>0</v>
      </c>
      <c r="D28" s="115">
        <v>0</v>
      </c>
      <c r="E28" s="115">
        <v>0</v>
      </c>
      <c r="F28" s="115">
        <v>0</v>
      </c>
      <c r="G28" s="2" t="e">
        <f t="shared" si="2"/>
        <v>#DIV/0!</v>
      </c>
      <c r="H28" s="115">
        <v>0</v>
      </c>
      <c r="I28" s="2" t="e">
        <f t="shared" si="6"/>
        <v>#DIV/0!</v>
      </c>
      <c r="J28" s="2" t="e">
        <f t="shared" si="7"/>
        <v>#DIV/0!</v>
      </c>
    </row>
    <row r="29" spans="1:10" x14ac:dyDescent="0.2">
      <c r="A29" t="s">
        <v>32</v>
      </c>
      <c r="B29" t="s">
        <v>28</v>
      </c>
      <c r="C29" s="115">
        <v>0</v>
      </c>
      <c r="D29" s="115">
        <v>5662800.8899999997</v>
      </c>
      <c r="E29" s="115">
        <v>5662800.8899999997</v>
      </c>
      <c r="F29" s="115">
        <v>0</v>
      </c>
      <c r="G29" s="2">
        <f t="shared" si="2"/>
        <v>0</v>
      </c>
      <c r="H29" s="115">
        <v>0</v>
      </c>
      <c r="I29" s="2">
        <f t="shared" si="6"/>
        <v>0</v>
      </c>
      <c r="J29" s="2">
        <f t="shared" si="7"/>
        <v>0</v>
      </c>
    </row>
    <row r="30" spans="1:10" x14ac:dyDescent="0.2">
      <c r="A30" t="s">
        <v>32</v>
      </c>
      <c r="B30" t="s">
        <v>29</v>
      </c>
      <c r="C30" s="115">
        <v>0</v>
      </c>
      <c r="D30" s="115">
        <v>0</v>
      </c>
      <c r="E30" s="115">
        <f t="shared" ref="E30" si="8">C30+D30</f>
        <v>0</v>
      </c>
      <c r="F30" s="115">
        <v>0</v>
      </c>
      <c r="G30" s="2" t="e">
        <f t="shared" si="2"/>
        <v>#DIV/0!</v>
      </c>
      <c r="H30" s="115">
        <v>0</v>
      </c>
      <c r="I30" s="2" t="e">
        <f t="shared" si="6"/>
        <v>#DIV/0!</v>
      </c>
      <c r="J30" s="2" t="e">
        <f t="shared" si="7"/>
        <v>#DIV/0!</v>
      </c>
    </row>
    <row r="31" spans="1:10" x14ac:dyDescent="0.2">
      <c r="A31" s="3"/>
      <c r="B31" s="3" t="s">
        <v>32</v>
      </c>
      <c r="C31" s="4">
        <f>SUM(C22:C30)</f>
        <v>18570000</v>
      </c>
      <c r="D31" s="4">
        <f>SUM(D22:D30)</f>
        <v>5662800.8899999997</v>
      </c>
      <c r="E31" s="4">
        <f>SUM(E24:E30)</f>
        <v>24232800.890000001</v>
      </c>
      <c r="F31" s="4">
        <f>SUM(F24:F30)</f>
        <v>304650.87</v>
      </c>
      <c r="G31" s="5">
        <f t="shared" si="3"/>
        <v>1.2571838946017931E-2</v>
      </c>
      <c r="H31" s="4">
        <f>SUM(H22:H30)</f>
        <v>304650.87</v>
      </c>
      <c r="I31" s="5">
        <f t="shared" si="0"/>
        <v>1</v>
      </c>
      <c r="J31" s="5">
        <f t="shared" si="4"/>
        <v>1.2571838946017931E-2</v>
      </c>
    </row>
    <row r="32" spans="1:10" x14ac:dyDescent="0.2">
      <c r="A32" t="s">
        <v>79</v>
      </c>
      <c r="B32" t="s">
        <v>41</v>
      </c>
    </row>
    <row r="33" spans="1:10" x14ac:dyDescent="0.2">
      <c r="A33" t="s">
        <v>79</v>
      </c>
      <c r="B33" t="s">
        <v>42</v>
      </c>
    </row>
    <row r="34" spans="1:10" x14ac:dyDescent="0.2">
      <c r="A34" t="s">
        <v>79</v>
      </c>
      <c r="B34" t="s">
        <v>43</v>
      </c>
    </row>
    <row r="35" spans="1:10" x14ac:dyDescent="0.2">
      <c r="A35" t="s">
        <v>79</v>
      </c>
      <c r="B35" t="s">
        <v>24</v>
      </c>
      <c r="C35" s="115">
        <v>6930000</v>
      </c>
      <c r="D35" s="115">
        <v>0</v>
      </c>
      <c r="E35" s="115">
        <f>C35+D35</f>
        <v>6930000</v>
      </c>
      <c r="F35" s="1">
        <v>0</v>
      </c>
      <c r="H35" s="1">
        <v>0</v>
      </c>
    </row>
    <row r="36" spans="1:10" x14ac:dyDescent="0.2">
      <c r="A36" t="s">
        <v>79</v>
      </c>
      <c r="B36" t="s">
        <v>44</v>
      </c>
    </row>
    <row r="37" spans="1:10" x14ac:dyDescent="0.2">
      <c r="A37" t="s">
        <v>79</v>
      </c>
      <c r="B37" t="s">
        <v>45</v>
      </c>
    </row>
    <row r="38" spans="1:10" x14ac:dyDescent="0.2">
      <c r="A38" t="s">
        <v>79</v>
      </c>
      <c r="B38" t="s">
        <v>27</v>
      </c>
    </row>
    <row r="39" spans="1:10" x14ac:dyDescent="0.2">
      <c r="A39" t="s">
        <v>79</v>
      </c>
      <c r="B39" t="s">
        <v>28</v>
      </c>
    </row>
    <row r="40" spans="1:10" x14ac:dyDescent="0.2">
      <c r="A40" t="s">
        <v>79</v>
      </c>
      <c r="B40" t="s">
        <v>29</v>
      </c>
    </row>
    <row r="41" spans="1:10" x14ac:dyDescent="0.2">
      <c r="A41" s="3"/>
      <c r="B41" s="3" t="s">
        <v>80</v>
      </c>
      <c r="C41" s="4">
        <f>SUM(C32:C40)</f>
        <v>6930000</v>
      </c>
      <c r="D41" s="4">
        <f>SUM(D32:D40)</f>
        <v>0</v>
      </c>
      <c r="E41" s="4">
        <f>SUM(E32:E40)</f>
        <v>6930000</v>
      </c>
      <c r="F41" s="4">
        <f>SUM(F32:F40)</f>
        <v>0</v>
      </c>
      <c r="G41" s="5"/>
      <c r="H41" s="4">
        <f>SUM(H32:H40)</f>
        <v>0</v>
      </c>
      <c r="I41" s="5"/>
    </row>
    <row r="42" spans="1:10" x14ac:dyDescent="0.2">
      <c r="A42" t="s">
        <v>33</v>
      </c>
      <c r="B42" t="s">
        <v>91</v>
      </c>
      <c r="C42" s="1">
        <f t="shared" ref="C42:D44" si="9">C2+C12+C22</f>
        <v>19762331.240000002</v>
      </c>
      <c r="D42" s="1">
        <f t="shared" si="9"/>
        <v>0</v>
      </c>
      <c r="E42" s="1">
        <f t="shared" ref="E42:F44" si="10">E2+E12+E22</f>
        <v>19762331.240000002</v>
      </c>
      <c r="F42" s="1">
        <f t="shared" si="10"/>
        <v>9053626.0999999996</v>
      </c>
      <c r="G42" s="2">
        <f t="shared" ref="G42:G46" si="11">IF(F42/E42&gt;1.5,1,F42/E42)</f>
        <v>0.45812540990482853</v>
      </c>
      <c r="H42" s="1">
        <f>H2+H12+H22</f>
        <v>9053626.0999999996</v>
      </c>
      <c r="I42" s="2">
        <f t="shared" ref="I42:I51" si="12">H42/F42</f>
        <v>1</v>
      </c>
      <c r="J42" s="2">
        <f t="shared" ref="J42:J46" si="13">IF(H42/E42&gt;1.5,1,H42/E42)</f>
        <v>0.45812540990482853</v>
      </c>
    </row>
    <row r="43" spans="1:10" x14ac:dyDescent="0.2">
      <c r="A43" t="s">
        <v>33</v>
      </c>
      <c r="B43" t="s">
        <v>92</v>
      </c>
      <c r="C43" s="1">
        <f t="shared" si="9"/>
        <v>14404862.060000001</v>
      </c>
      <c r="D43" s="1">
        <f t="shared" si="9"/>
        <v>0</v>
      </c>
      <c r="E43" s="1">
        <f t="shared" si="10"/>
        <v>14404862.060000001</v>
      </c>
      <c r="F43" s="1">
        <f t="shared" si="10"/>
        <v>7463202.1200000001</v>
      </c>
      <c r="G43" s="2">
        <f t="shared" si="11"/>
        <v>0.51810299112298475</v>
      </c>
      <c r="H43" s="1">
        <f>H3+H13+H23</f>
        <v>7463202.1200000001</v>
      </c>
      <c r="I43" s="2">
        <f t="shared" si="12"/>
        <v>1</v>
      </c>
      <c r="J43" s="2">
        <f t="shared" si="13"/>
        <v>0.51810299112298475</v>
      </c>
    </row>
    <row r="44" spans="1:10" x14ac:dyDescent="0.2">
      <c r="A44" t="s">
        <v>33</v>
      </c>
      <c r="B44" t="s">
        <v>93</v>
      </c>
      <c r="C44" s="1">
        <f t="shared" si="9"/>
        <v>20036519.309999999</v>
      </c>
      <c r="D44" s="1">
        <f t="shared" si="9"/>
        <v>0</v>
      </c>
      <c r="E44" s="1">
        <f t="shared" si="10"/>
        <v>20036519.309999999</v>
      </c>
      <c r="F44" s="1">
        <f t="shared" si="10"/>
        <v>843421.6399999999</v>
      </c>
      <c r="G44" s="2">
        <f t="shared" si="11"/>
        <v>4.2094219407612266E-2</v>
      </c>
      <c r="H44" s="1">
        <f>H4+H14+H24</f>
        <v>678860.42000000016</v>
      </c>
      <c r="I44" s="2">
        <f t="shared" si="12"/>
        <v>0.80488854898245232</v>
      </c>
      <c r="J44" s="2">
        <f t="shared" si="13"/>
        <v>3.3881155179542023E-2</v>
      </c>
    </row>
    <row r="45" spans="1:10" x14ac:dyDescent="0.2">
      <c r="A45" t="s">
        <v>33</v>
      </c>
      <c r="B45" t="s">
        <v>85</v>
      </c>
      <c r="C45" s="1">
        <f>C5+C15+C25-C35</f>
        <v>150463496.83999997</v>
      </c>
      <c r="D45" s="1">
        <f>D5+D15+D25-D35</f>
        <v>75169.740000000005</v>
      </c>
      <c r="E45" s="1">
        <f>E5+E15+E25-E35</f>
        <v>150538666.57999998</v>
      </c>
      <c r="F45" s="1">
        <f>F5+F15+F25-F35</f>
        <v>63949301.979999989</v>
      </c>
      <c r="G45" s="2">
        <f t="shared" si="11"/>
        <v>0.4248031647471498</v>
      </c>
      <c r="H45" s="1">
        <f>H5+H15+H25-H35</f>
        <v>63807650.059999987</v>
      </c>
      <c r="I45" s="2">
        <f t="shared" si="12"/>
        <v>0.99778493407098789</v>
      </c>
      <c r="J45" s="2">
        <f t="shared" si="13"/>
        <v>0.42386219773038192</v>
      </c>
    </row>
    <row r="46" spans="1:10" x14ac:dyDescent="0.2">
      <c r="A46" t="s">
        <v>33</v>
      </c>
      <c r="B46" t="s">
        <v>94</v>
      </c>
      <c r="C46" s="1">
        <f t="shared" ref="C46:D48" si="14">C6+C16+C26</f>
        <v>7769589.96</v>
      </c>
      <c r="D46" s="1">
        <f t="shared" si="14"/>
        <v>0</v>
      </c>
      <c r="E46" s="1">
        <f t="shared" ref="E46:F50" si="15">E6+E16+E26</f>
        <v>7769589.96</v>
      </c>
      <c r="F46" s="1">
        <f t="shared" si="15"/>
        <v>1943669.4500000002</v>
      </c>
      <c r="G46" s="2">
        <f t="shared" si="11"/>
        <v>0.25016371005504134</v>
      </c>
      <c r="H46" s="1">
        <f>H6+H16+H26</f>
        <v>1890062.82</v>
      </c>
      <c r="I46" s="2">
        <f t="shared" si="12"/>
        <v>0.97241988343233976</v>
      </c>
      <c r="J46" s="2">
        <f t="shared" si="13"/>
        <v>0.24326416577072493</v>
      </c>
    </row>
    <row r="47" spans="1:10" x14ac:dyDescent="0.2">
      <c r="A47" t="s">
        <v>33</v>
      </c>
      <c r="B47" t="s">
        <v>95</v>
      </c>
      <c r="C47" s="1">
        <f>C7+C17+C27</f>
        <v>1100</v>
      </c>
      <c r="D47" s="1">
        <f t="shared" ref="D47" si="16">D7+D17+D27</f>
        <v>0</v>
      </c>
      <c r="E47" s="1">
        <f t="shared" si="15"/>
        <v>1100</v>
      </c>
      <c r="F47" s="1">
        <f t="shared" si="15"/>
        <v>2304</v>
      </c>
      <c r="G47" s="2">
        <f>IF(F47/E47&gt;1.5,1,F47/E47)</f>
        <v>1</v>
      </c>
      <c r="H47" s="1">
        <f t="shared" ref="H47:H50" si="17">H7+H17+H27</f>
        <v>2304</v>
      </c>
      <c r="I47" s="2">
        <f t="shared" si="12"/>
        <v>1</v>
      </c>
      <c r="J47" s="2">
        <f>IF(H47/E47&gt;1.5,1,H47/E47)</f>
        <v>1</v>
      </c>
    </row>
    <row r="48" spans="1:10" x14ac:dyDescent="0.2">
      <c r="A48" t="s">
        <v>33</v>
      </c>
      <c r="B48" t="s">
        <v>88</v>
      </c>
      <c r="C48" s="1">
        <f t="shared" si="14"/>
        <v>1362100.5899999999</v>
      </c>
      <c r="D48" s="1">
        <f t="shared" ref="D48" si="18">D8+D18+D28</f>
        <v>0</v>
      </c>
      <c r="E48" s="1">
        <f t="shared" si="15"/>
        <v>1362100.5899999999</v>
      </c>
      <c r="F48" s="1">
        <f t="shared" si="15"/>
        <v>2833869.44</v>
      </c>
      <c r="G48" s="2">
        <f t="shared" ref="G48:G49" si="19">IF(F48/E48&gt;1.5,1,F48/E48)</f>
        <v>1</v>
      </c>
      <c r="H48" s="1">
        <f t="shared" si="17"/>
        <v>2833869.44</v>
      </c>
      <c r="I48" s="2">
        <f t="shared" si="12"/>
        <v>1</v>
      </c>
      <c r="J48" s="2">
        <f t="shared" ref="J48:J49" si="20">IF(H48/E48&gt;1.5,1,H48/E48)</f>
        <v>1</v>
      </c>
    </row>
    <row r="49" spans="1:10" x14ac:dyDescent="0.2">
      <c r="A49" t="s">
        <v>33</v>
      </c>
      <c r="B49" t="s">
        <v>89</v>
      </c>
      <c r="C49" s="1">
        <f t="shared" ref="C49:D49" si="21">C9+C19+C29</f>
        <v>600000</v>
      </c>
      <c r="D49" s="1">
        <f t="shared" si="21"/>
        <v>192223774.38999996</v>
      </c>
      <c r="E49" s="1">
        <f t="shared" si="15"/>
        <v>192823774.38999996</v>
      </c>
      <c r="F49" s="1">
        <f t="shared" si="15"/>
        <v>185276.67</v>
      </c>
      <c r="G49" s="2">
        <f t="shared" si="19"/>
        <v>9.6086009407358975E-4</v>
      </c>
      <c r="H49" s="1">
        <f t="shared" si="17"/>
        <v>181330.88</v>
      </c>
      <c r="I49" s="2">
        <f t="shared" si="12"/>
        <v>0.97870325497538357</v>
      </c>
      <c r="J49" s="2">
        <f t="shared" si="20"/>
        <v>9.4039690164577554E-4</v>
      </c>
    </row>
    <row r="50" spans="1:10" x14ac:dyDescent="0.2">
      <c r="A50" t="s">
        <v>33</v>
      </c>
      <c r="B50" t="s">
        <v>90</v>
      </c>
      <c r="C50" s="1">
        <f t="shared" ref="C50:D50" si="22">C10+C20+C30</f>
        <v>8000000</v>
      </c>
      <c r="D50" s="1">
        <f t="shared" si="22"/>
        <v>-8000000</v>
      </c>
      <c r="E50" s="1">
        <f t="shared" si="15"/>
        <v>0</v>
      </c>
      <c r="F50" s="1">
        <f t="shared" si="15"/>
        <v>0</v>
      </c>
      <c r="G50" s="157">
        <v>0</v>
      </c>
      <c r="H50" s="1">
        <f t="shared" si="17"/>
        <v>0</v>
      </c>
      <c r="I50" s="157">
        <v>0</v>
      </c>
      <c r="J50" s="157">
        <v>0</v>
      </c>
    </row>
    <row r="51" spans="1:10" s="3" customFormat="1" x14ac:dyDescent="0.2">
      <c r="B51" s="3" t="s">
        <v>34</v>
      </c>
      <c r="C51" s="4">
        <f>SUM(C42:C50)</f>
        <v>222400000</v>
      </c>
      <c r="D51" s="4">
        <f>SUM(D42:D50)</f>
        <v>184298944.12999997</v>
      </c>
      <c r="E51" s="4">
        <f>SUM(E42:E50)</f>
        <v>406698944.13</v>
      </c>
      <c r="F51" s="4">
        <f>SUM(F42:F50)</f>
        <v>86274671.399999991</v>
      </c>
      <c r="G51" s="5">
        <f>F51/E51</f>
        <v>0.21213399406422501</v>
      </c>
      <c r="H51" s="4">
        <f>SUM(H42:H50)</f>
        <v>85910905.839999974</v>
      </c>
      <c r="I51" s="5">
        <f t="shared" si="12"/>
        <v>0.99578363436108064</v>
      </c>
      <c r="J51" s="109">
        <f>H51/E51</f>
        <v>0.21123955958080587</v>
      </c>
    </row>
    <row r="55" spans="1:10" x14ac:dyDescent="0.2">
      <c r="A55" t="s">
        <v>20</v>
      </c>
      <c r="B55" t="s">
        <v>131</v>
      </c>
      <c r="C55" s="115">
        <v>0</v>
      </c>
      <c r="D55" s="1">
        <f>D9</f>
        <v>181902877.45999998</v>
      </c>
      <c r="E55" s="1">
        <f>C55+D55</f>
        <v>181902877.45999998</v>
      </c>
      <c r="G55" s="98" t="s">
        <v>297</v>
      </c>
      <c r="H55" s="98"/>
      <c r="I55" s="98"/>
      <c r="J55" s="98"/>
    </row>
    <row r="56" spans="1:10" x14ac:dyDescent="0.2">
      <c r="A56" t="s">
        <v>32</v>
      </c>
      <c r="B56" t="s">
        <v>131</v>
      </c>
      <c r="C56" s="1">
        <v>0</v>
      </c>
      <c r="D56" s="1">
        <f>D29</f>
        <v>5662800.8899999997</v>
      </c>
      <c r="E56" s="1">
        <f>C56+D56</f>
        <v>5662800.8899999997</v>
      </c>
      <c r="H56" s="2"/>
      <c r="J56" s="2"/>
    </row>
    <row r="57" spans="1:10" x14ac:dyDescent="0.2">
      <c r="A57" t="s">
        <v>30</v>
      </c>
      <c r="B57" t="s">
        <v>131</v>
      </c>
      <c r="C57" s="1">
        <v>0</v>
      </c>
      <c r="D57" s="1">
        <f>D19</f>
        <v>4658096.04</v>
      </c>
      <c r="E57" s="1">
        <f>C57+D57</f>
        <v>4658096.04</v>
      </c>
    </row>
    <row r="58" spans="1:10" x14ac:dyDescent="0.2">
      <c r="C58" s="4">
        <f>SUM(C55:C57)</f>
        <v>0</v>
      </c>
      <c r="D58" s="4">
        <f>SUM(D55:D57)</f>
        <v>192223774.38999996</v>
      </c>
      <c r="E58" s="4">
        <f>SUM(E55:E57)</f>
        <v>192223774.38999996</v>
      </c>
    </row>
    <row r="61" spans="1:10" x14ac:dyDescent="0.2">
      <c r="C61" s="115" t="s">
        <v>298</v>
      </c>
      <c r="D61" s="115"/>
      <c r="E61" s="115"/>
      <c r="F61" s="115"/>
    </row>
    <row r="62" spans="1:10" x14ac:dyDescent="0.2">
      <c r="C62" s="115" t="s">
        <v>299</v>
      </c>
      <c r="D62" s="115"/>
      <c r="E62" s="115"/>
      <c r="F62" s="115"/>
    </row>
  </sheetData>
  <sheetProtection selectLockedCells="1" selectUnlockedCells="1"/>
  <phoneticPr fontId="0" type="noConversion"/>
  <pageMargins left="0.19652777777777777" right="0.19652777777777777" top="0.59027777777777779" bottom="0.19652777777777777" header="0.51180555555555551" footer="0.51180555555555551"/>
  <pageSetup paperSize="9" scale="70" firstPageNumber="0" orientation="landscape" r:id="rId1"/>
  <headerFooter alignWithMargins="0"/>
  <ignoredErrors>
    <ignoredError sqref="G42:G49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P51"/>
  <sheetViews>
    <sheetView zoomScale="85" zoomScaleNormal="85" workbookViewId="0">
      <pane xSplit="2" ySplit="1" topLeftCell="C2" activePane="bottomRight" state="frozen"/>
      <selection activeCell="K20" sqref="K20"/>
      <selection pane="topRight" activeCell="K20" sqref="K20"/>
      <selection pane="bottomLeft" activeCell="K20" sqref="K20"/>
      <selection pane="bottomRight" activeCell="J42" sqref="J42"/>
    </sheetView>
  </sheetViews>
  <sheetFormatPr baseColWidth="10" defaultColWidth="9.140625" defaultRowHeight="12.75" x14ac:dyDescent="0.2"/>
  <cols>
    <col min="1" max="1" width="6.28515625" customWidth="1"/>
    <col min="2" max="2" width="40.28515625" customWidth="1"/>
    <col min="3" max="3" width="16.42578125" style="1" customWidth="1"/>
    <col min="4" max="4" width="13.5703125" style="1" customWidth="1"/>
    <col min="5" max="5" width="16.140625" style="1" customWidth="1"/>
    <col min="6" max="6" width="19.7109375" style="1" customWidth="1"/>
    <col min="7" max="7" width="16.7109375" style="1" customWidth="1"/>
    <col min="8" max="8" width="19.42578125" style="1" customWidth="1"/>
    <col min="9" max="9" width="19.28515625" style="1" customWidth="1"/>
    <col min="10" max="10" width="13.42578125" style="2" customWidth="1"/>
    <col min="11" max="11" width="11.42578125" style="2" bestFit="1" customWidth="1"/>
    <col min="12" max="12" width="14.42578125" style="1" customWidth="1"/>
    <col min="13" max="13" width="10.7109375" style="2" customWidth="1"/>
    <col min="14" max="14" width="14.42578125" style="1" customWidth="1"/>
    <col min="15" max="15" width="9.28515625" style="2" customWidth="1"/>
  </cols>
  <sheetData>
    <row r="1" spans="1:15" s="3" customFormat="1" x14ac:dyDescent="0.2">
      <c r="A1" s="3" t="s">
        <v>19</v>
      </c>
      <c r="B1" s="3" t="s">
        <v>48</v>
      </c>
      <c r="C1" s="4" t="s">
        <v>210</v>
      </c>
      <c r="D1" s="4" t="s">
        <v>2</v>
      </c>
      <c r="E1" s="4" t="s">
        <v>211</v>
      </c>
      <c r="F1" s="4" t="s">
        <v>212</v>
      </c>
      <c r="G1" s="4" t="s">
        <v>12</v>
      </c>
      <c r="H1" s="4" t="s">
        <v>213</v>
      </c>
      <c r="I1" s="4" t="s">
        <v>214</v>
      </c>
      <c r="J1" s="5" t="s">
        <v>215</v>
      </c>
      <c r="K1" s="5"/>
      <c r="L1" s="4"/>
      <c r="M1" s="5"/>
      <c r="N1" s="4"/>
      <c r="O1" s="5"/>
    </row>
    <row r="2" spans="1:15" x14ac:dyDescent="0.2">
      <c r="A2" t="s">
        <v>20</v>
      </c>
      <c r="B2" t="s">
        <v>21</v>
      </c>
      <c r="C2" s="115">
        <v>0</v>
      </c>
      <c r="D2" s="115">
        <v>0</v>
      </c>
      <c r="E2" s="115">
        <f t="shared" ref="E2:E10" si="0">C2+D2</f>
        <v>0</v>
      </c>
      <c r="F2" s="115">
        <v>0</v>
      </c>
      <c r="G2" s="115">
        <v>0</v>
      </c>
      <c r="H2" s="121">
        <f t="shared" ref="H2:H10" si="1">E2-F2-G2</f>
        <v>0</v>
      </c>
      <c r="I2" s="1">
        <f t="shared" ref="I2:I10" si="2">F2+G2</f>
        <v>0</v>
      </c>
      <c r="J2" s="2">
        <f t="shared" ref="J2:J31" si="3">IFERROR(I2/E2,0)</f>
        <v>0</v>
      </c>
    </row>
    <row r="3" spans="1:15" x14ac:dyDescent="0.2">
      <c r="A3" t="s">
        <v>20</v>
      </c>
      <c r="B3" t="s">
        <v>22</v>
      </c>
      <c r="C3" s="115">
        <v>209127.94</v>
      </c>
      <c r="D3" s="115">
        <v>0</v>
      </c>
      <c r="E3" s="115">
        <f t="shared" si="0"/>
        <v>209127.94</v>
      </c>
      <c r="F3" s="115">
        <v>0</v>
      </c>
      <c r="G3" s="115">
        <v>207627.91</v>
      </c>
      <c r="H3" s="121">
        <f t="shared" si="1"/>
        <v>1500.0299999999988</v>
      </c>
      <c r="I3" s="1">
        <f t="shared" si="2"/>
        <v>207627.91</v>
      </c>
      <c r="J3" s="2">
        <f t="shared" si="3"/>
        <v>0.99282721380988115</v>
      </c>
      <c r="K3" s="1"/>
    </row>
    <row r="4" spans="1:15" x14ac:dyDescent="0.2">
      <c r="A4" t="s">
        <v>20</v>
      </c>
      <c r="B4" t="s">
        <v>23</v>
      </c>
      <c r="C4" s="115">
        <v>16.96</v>
      </c>
      <c r="D4" s="115">
        <v>0</v>
      </c>
      <c r="E4" s="115">
        <f t="shared" si="0"/>
        <v>16.96</v>
      </c>
      <c r="F4" s="115">
        <v>0</v>
      </c>
      <c r="G4" s="115">
        <v>16.96</v>
      </c>
      <c r="H4" s="121">
        <f t="shared" si="1"/>
        <v>0</v>
      </c>
      <c r="I4" s="1">
        <f t="shared" si="2"/>
        <v>16.96</v>
      </c>
      <c r="J4" s="2">
        <f t="shared" si="3"/>
        <v>1</v>
      </c>
      <c r="K4" s="1"/>
    </row>
    <row r="5" spans="1:15" x14ac:dyDescent="0.2">
      <c r="A5" t="s">
        <v>20</v>
      </c>
      <c r="B5" t="s">
        <v>24</v>
      </c>
      <c r="C5" s="115">
        <v>1416060.05</v>
      </c>
      <c r="D5" s="115">
        <v>0</v>
      </c>
      <c r="E5" s="115">
        <f t="shared" si="0"/>
        <v>1416060.05</v>
      </c>
      <c r="F5" s="115">
        <v>0</v>
      </c>
      <c r="G5" s="115">
        <v>1344872.9100000001</v>
      </c>
      <c r="H5" s="121">
        <f t="shared" si="1"/>
        <v>71187.139999999898</v>
      </c>
      <c r="I5" s="1">
        <f t="shared" si="2"/>
        <v>1344872.9100000001</v>
      </c>
      <c r="J5" s="2">
        <f t="shared" si="3"/>
        <v>0.94972872795895913</v>
      </c>
      <c r="K5" s="1"/>
    </row>
    <row r="6" spans="1:15" x14ac:dyDescent="0.2">
      <c r="A6" t="s">
        <v>20</v>
      </c>
      <c r="B6" t="s">
        <v>25</v>
      </c>
      <c r="C6" s="115">
        <v>0</v>
      </c>
      <c r="D6" s="115">
        <v>0</v>
      </c>
      <c r="E6" s="115">
        <f t="shared" si="0"/>
        <v>0</v>
      </c>
      <c r="F6" s="115">
        <v>0</v>
      </c>
      <c r="G6" s="115">
        <v>0</v>
      </c>
      <c r="H6" s="121">
        <f t="shared" si="1"/>
        <v>0</v>
      </c>
      <c r="I6" s="1">
        <f t="shared" si="2"/>
        <v>0</v>
      </c>
      <c r="J6" s="2">
        <f t="shared" si="3"/>
        <v>0</v>
      </c>
      <c r="K6" s="1"/>
    </row>
    <row r="7" spans="1:15" x14ac:dyDescent="0.2">
      <c r="A7" t="s">
        <v>20</v>
      </c>
      <c r="B7" t="s">
        <v>26</v>
      </c>
      <c r="C7" s="115">
        <v>79899.060000000012</v>
      </c>
      <c r="D7" s="115">
        <v>0</v>
      </c>
      <c r="E7" s="115">
        <f t="shared" si="0"/>
        <v>79899.060000000012</v>
      </c>
      <c r="F7" s="115">
        <v>0</v>
      </c>
      <c r="G7" s="115">
        <v>79078.570000000007</v>
      </c>
      <c r="H7" s="121">
        <f t="shared" si="1"/>
        <v>820.49000000000524</v>
      </c>
      <c r="I7" s="1">
        <f t="shared" si="2"/>
        <v>79078.570000000007</v>
      </c>
      <c r="J7" s="2">
        <f t="shared" si="3"/>
        <v>0.98973091798576851</v>
      </c>
      <c r="K7" s="1"/>
    </row>
    <row r="8" spans="1:15" x14ac:dyDescent="0.2">
      <c r="A8" t="s">
        <v>20</v>
      </c>
      <c r="B8" t="s">
        <v>27</v>
      </c>
      <c r="C8" s="115">
        <v>1689291.6500000004</v>
      </c>
      <c r="D8" s="115">
        <v>0</v>
      </c>
      <c r="E8" s="115">
        <f t="shared" si="0"/>
        <v>1689291.6500000004</v>
      </c>
      <c r="F8" s="115">
        <v>0</v>
      </c>
      <c r="G8" s="115">
        <v>1644167.0500000003</v>
      </c>
      <c r="H8" s="121">
        <f t="shared" si="1"/>
        <v>45124.600000000093</v>
      </c>
      <c r="I8" s="1">
        <f t="shared" si="2"/>
        <v>1644167.0500000003</v>
      </c>
      <c r="J8" s="2">
        <f t="shared" si="3"/>
        <v>0.97328785707311105</v>
      </c>
      <c r="K8" s="1"/>
    </row>
    <row r="9" spans="1:15" x14ac:dyDescent="0.2">
      <c r="A9" t="s">
        <v>20</v>
      </c>
      <c r="B9" t="s">
        <v>28</v>
      </c>
      <c r="C9" s="115">
        <v>0</v>
      </c>
      <c r="D9" s="115">
        <v>0</v>
      </c>
      <c r="E9" s="115">
        <f t="shared" si="0"/>
        <v>0</v>
      </c>
      <c r="F9" s="115">
        <v>0</v>
      </c>
      <c r="G9" s="115">
        <v>0</v>
      </c>
      <c r="H9" s="121">
        <f t="shared" si="1"/>
        <v>0</v>
      </c>
      <c r="I9" s="1">
        <f t="shared" si="2"/>
        <v>0</v>
      </c>
      <c r="J9" s="2">
        <f t="shared" si="3"/>
        <v>0</v>
      </c>
    </row>
    <row r="10" spans="1:15" x14ac:dyDescent="0.2">
      <c r="A10" t="s">
        <v>20</v>
      </c>
      <c r="B10" t="s">
        <v>29</v>
      </c>
      <c r="C10" s="115">
        <v>0</v>
      </c>
      <c r="D10" s="115">
        <v>0</v>
      </c>
      <c r="E10" s="115">
        <f t="shared" si="0"/>
        <v>0</v>
      </c>
      <c r="F10" s="115">
        <v>0</v>
      </c>
      <c r="G10" s="115">
        <v>0</v>
      </c>
      <c r="H10" s="121">
        <f t="shared" si="1"/>
        <v>0</v>
      </c>
      <c r="I10" s="1">
        <f t="shared" si="2"/>
        <v>0</v>
      </c>
      <c r="J10" s="2">
        <f t="shared" si="3"/>
        <v>0</v>
      </c>
    </row>
    <row r="11" spans="1:15" s="3" customFormat="1" x14ac:dyDescent="0.2">
      <c r="B11" s="3" t="s">
        <v>15</v>
      </c>
      <c r="C11" s="4">
        <f t="shared" ref="C11:I11" si="4">SUM(C2:C10)</f>
        <v>3394395.66</v>
      </c>
      <c r="D11" s="4">
        <f t="shared" si="4"/>
        <v>0</v>
      </c>
      <c r="E11" s="4">
        <f t="shared" si="4"/>
        <v>3394395.66</v>
      </c>
      <c r="F11" s="4">
        <f t="shared" si="4"/>
        <v>0</v>
      </c>
      <c r="G11" s="4">
        <f t="shared" si="4"/>
        <v>3275763.4000000004</v>
      </c>
      <c r="H11" s="4">
        <f t="shared" si="4"/>
        <v>118632.26</v>
      </c>
      <c r="I11" s="4">
        <f t="shared" si="4"/>
        <v>3275763.4000000004</v>
      </c>
      <c r="J11" s="5">
        <f t="shared" si="3"/>
        <v>0.96505055041226406</v>
      </c>
      <c r="K11" s="5"/>
      <c r="L11" s="4"/>
      <c r="M11" s="5"/>
      <c r="N11" s="4"/>
      <c r="O11" s="5"/>
    </row>
    <row r="12" spans="1:15" x14ac:dyDescent="0.2">
      <c r="A12" t="s">
        <v>30</v>
      </c>
      <c r="B12" t="s">
        <v>21</v>
      </c>
      <c r="C12" s="115">
        <v>0</v>
      </c>
      <c r="D12" s="115">
        <v>0</v>
      </c>
      <c r="E12" s="115">
        <f>C12+D12</f>
        <v>0</v>
      </c>
      <c r="F12" s="115">
        <v>0</v>
      </c>
      <c r="G12" s="115">
        <v>0</v>
      </c>
      <c r="H12" s="115">
        <f>E12-F12-G12</f>
        <v>0</v>
      </c>
      <c r="I12" s="1">
        <f t="shared" ref="I12:I30" si="5">F12+G12</f>
        <v>0</v>
      </c>
      <c r="J12" s="2">
        <f t="shared" si="3"/>
        <v>0</v>
      </c>
    </row>
    <row r="13" spans="1:15" x14ac:dyDescent="0.2">
      <c r="A13" t="s">
        <v>30</v>
      </c>
      <c r="B13" t="s">
        <v>22</v>
      </c>
      <c r="C13" s="115">
        <v>295878.78000000003</v>
      </c>
      <c r="D13" s="115">
        <v>0</v>
      </c>
      <c r="E13" s="115">
        <f t="shared" ref="E13:G30" si="6">C13+D13</f>
        <v>295878.78000000003</v>
      </c>
      <c r="F13" s="115">
        <v>0</v>
      </c>
      <c r="G13" s="115">
        <v>295811.02</v>
      </c>
      <c r="H13" s="115">
        <f t="shared" ref="H13:H30" si="7">E13-F13-G13</f>
        <v>67.760000000009313</v>
      </c>
      <c r="I13" s="1">
        <f t="shared" si="5"/>
        <v>295811.02</v>
      </c>
      <c r="J13" s="2">
        <f t="shared" si="3"/>
        <v>0.99977098729418845</v>
      </c>
    </row>
    <row r="14" spans="1:15" x14ac:dyDescent="0.2">
      <c r="A14" t="s">
        <v>30</v>
      </c>
      <c r="B14" t="s">
        <v>23</v>
      </c>
      <c r="C14" s="115">
        <v>0</v>
      </c>
      <c r="D14" s="115">
        <v>0</v>
      </c>
      <c r="E14" s="115">
        <f t="shared" si="6"/>
        <v>0</v>
      </c>
      <c r="F14" s="115">
        <v>0</v>
      </c>
      <c r="G14" s="115">
        <v>0</v>
      </c>
      <c r="H14" s="115">
        <f t="shared" si="7"/>
        <v>0</v>
      </c>
      <c r="I14" s="1">
        <f t="shared" si="5"/>
        <v>0</v>
      </c>
      <c r="J14" s="2">
        <f t="shared" si="3"/>
        <v>0</v>
      </c>
    </row>
    <row r="15" spans="1:15" x14ac:dyDescent="0.2">
      <c r="A15" t="s">
        <v>30</v>
      </c>
      <c r="B15" t="s">
        <v>24</v>
      </c>
      <c r="C15" s="115">
        <v>35171.67</v>
      </c>
      <c r="D15" s="115">
        <v>0</v>
      </c>
      <c r="E15" s="115">
        <f t="shared" si="6"/>
        <v>35171.67</v>
      </c>
      <c r="F15" s="115">
        <v>0</v>
      </c>
      <c r="G15" s="115">
        <v>35171.67</v>
      </c>
      <c r="H15" s="115">
        <f t="shared" si="7"/>
        <v>0</v>
      </c>
      <c r="I15" s="1">
        <f t="shared" si="5"/>
        <v>35171.67</v>
      </c>
      <c r="J15" s="2">
        <f t="shared" si="3"/>
        <v>1</v>
      </c>
    </row>
    <row r="16" spans="1:15" x14ac:dyDescent="0.2">
      <c r="A16" t="s">
        <v>30</v>
      </c>
      <c r="B16" t="s">
        <v>25</v>
      </c>
      <c r="C16" s="115">
        <v>0</v>
      </c>
      <c r="D16" s="115">
        <v>0</v>
      </c>
      <c r="E16" s="115">
        <f t="shared" si="6"/>
        <v>0</v>
      </c>
      <c r="F16" s="115">
        <v>0</v>
      </c>
      <c r="G16" s="115">
        <v>0</v>
      </c>
      <c r="H16" s="115">
        <f t="shared" si="7"/>
        <v>0</v>
      </c>
      <c r="I16" s="1">
        <f t="shared" si="5"/>
        <v>0</v>
      </c>
      <c r="J16" s="2">
        <f t="shared" si="3"/>
        <v>0</v>
      </c>
    </row>
    <row r="17" spans="1:16" x14ac:dyDescent="0.2">
      <c r="A17" t="s">
        <v>30</v>
      </c>
      <c r="B17" t="s">
        <v>26</v>
      </c>
      <c r="C17" s="115">
        <v>0</v>
      </c>
      <c r="D17" s="115">
        <v>0</v>
      </c>
      <c r="E17" s="115">
        <f t="shared" si="6"/>
        <v>0</v>
      </c>
      <c r="F17" s="115">
        <v>0</v>
      </c>
      <c r="G17" s="115">
        <v>0</v>
      </c>
      <c r="H17" s="115">
        <f t="shared" si="7"/>
        <v>0</v>
      </c>
      <c r="I17" s="1">
        <f t="shared" si="5"/>
        <v>0</v>
      </c>
      <c r="J17" s="2">
        <f t="shared" si="3"/>
        <v>0</v>
      </c>
    </row>
    <row r="18" spans="1:16" x14ac:dyDescent="0.2">
      <c r="A18" t="s">
        <v>30</v>
      </c>
      <c r="B18" t="s">
        <v>27</v>
      </c>
      <c r="C18" s="115">
        <v>0</v>
      </c>
      <c r="D18" s="115">
        <v>0</v>
      </c>
      <c r="E18" s="115">
        <f t="shared" si="6"/>
        <v>0</v>
      </c>
      <c r="F18" s="115">
        <v>0</v>
      </c>
      <c r="G18" s="115">
        <v>0</v>
      </c>
      <c r="H18" s="115">
        <f t="shared" si="7"/>
        <v>0</v>
      </c>
      <c r="I18" s="1">
        <f t="shared" si="5"/>
        <v>0</v>
      </c>
      <c r="J18" s="2">
        <f t="shared" si="3"/>
        <v>0</v>
      </c>
    </row>
    <row r="19" spans="1:16" x14ac:dyDescent="0.2">
      <c r="A19" t="s">
        <v>30</v>
      </c>
      <c r="B19" t="s">
        <v>28</v>
      </c>
      <c r="C19" s="115">
        <v>0</v>
      </c>
      <c r="D19" s="115">
        <v>0</v>
      </c>
      <c r="E19" s="115">
        <f t="shared" si="6"/>
        <v>0</v>
      </c>
      <c r="F19" s="115">
        <v>0</v>
      </c>
      <c r="G19" s="115">
        <v>0</v>
      </c>
      <c r="H19" s="115">
        <f t="shared" si="7"/>
        <v>0</v>
      </c>
      <c r="I19" s="1">
        <f t="shared" si="5"/>
        <v>0</v>
      </c>
      <c r="J19" s="2">
        <f t="shared" si="3"/>
        <v>0</v>
      </c>
    </row>
    <row r="20" spans="1:16" x14ac:dyDescent="0.2">
      <c r="A20" t="s">
        <v>30</v>
      </c>
      <c r="B20" t="s">
        <v>29</v>
      </c>
      <c r="C20" s="115">
        <v>0</v>
      </c>
      <c r="D20" s="115">
        <v>0</v>
      </c>
      <c r="E20" s="115">
        <f t="shared" si="6"/>
        <v>0</v>
      </c>
      <c r="F20" s="115">
        <v>0</v>
      </c>
      <c r="G20" s="115">
        <v>0</v>
      </c>
      <c r="H20" s="115">
        <f t="shared" si="7"/>
        <v>0</v>
      </c>
      <c r="I20" s="1">
        <f t="shared" si="5"/>
        <v>0</v>
      </c>
      <c r="J20" s="2">
        <f t="shared" si="3"/>
        <v>0</v>
      </c>
    </row>
    <row r="21" spans="1:16" x14ac:dyDescent="0.2">
      <c r="A21" s="3"/>
      <c r="B21" s="3" t="s">
        <v>31</v>
      </c>
      <c r="C21" s="4">
        <f t="shared" ref="C21:I21" si="8">SUM(C12:C20)</f>
        <v>331050.45</v>
      </c>
      <c r="D21" s="4">
        <f t="shared" si="8"/>
        <v>0</v>
      </c>
      <c r="E21" s="4">
        <f t="shared" si="8"/>
        <v>331050.45</v>
      </c>
      <c r="F21" s="4">
        <f t="shared" si="8"/>
        <v>0</v>
      </c>
      <c r="G21" s="4">
        <f t="shared" si="8"/>
        <v>330982.69</v>
      </c>
      <c r="H21" s="4">
        <f t="shared" si="8"/>
        <v>67.760000000009313</v>
      </c>
      <c r="I21" s="4">
        <f t="shared" si="8"/>
        <v>330982.69</v>
      </c>
      <c r="J21" s="5">
        <f t="shared" si="3"/>
        <v>0.99979531820603174</v>
      </c>
      <c r="K21" s="5"/>
      <c r="L21" s="4"/>
      <c r="M21" s="5"/>
      <c r="N21" s="4"/>
      <c r="O21" s="5"/>
    </row>
    <row r="22" spans="1:16" x14ac:dyDescent="0.2">
      <c r="A22" t="s">
        <v>32</v>
      </c>
      <c r="B22" t="s">
        <v>21</v>
      </c>
      <c r="C22" s="115">
        <v>160891.04</v>
      </c>
      <c r="D22" s="115">
        <v>0</v>
      </c>
      <c r="E22" s="115">
        <f t="shared" si="6"/>
        <v>160891.04</v>
      </c>
      <c r="F22" s="115">
        <v>0</v>
      </c>
      <c r="G22" s="115">
        <v>160891.04</v>
      </c>
      <c r="H22" s="115">
        <f t="shared" si="7"/>
        <v>0</v>
      </c>
      <c r="I22" s="1">
        <f t="shared" si="5"/>
        <v>160891.04</v>
      </c>
      <c r="J22" s="2">
        <f t="shared" si="3"/>
        <v>1</v>
      </c>
    </row>
    <row r="23" spans="1:16" x14ac:dyDescent="0.2">
      <c r="A23" t="s">
        <v>32</v>
      </c>
      <c r="B23" t="s">
        <v>22</v>
      </c>
      <c r="C23" s="115">
        <v>67162.75</v>
      </c>
      <c r="D23" s="115">
        <v>-215.32</v>
      </c>
      <c r="E23" s="115">
        <f t="shared" si="6"/>
        <v>66947.429999999993</v>
      </c>
      <c r="F23" s="115">
        <v>0</v>
      </c>
      <c r="G23" s="115">
        <v>23332.31</v>
      </c>
      <c r="H23" s="115">
        <f t="shared" si="7"/>
        <v>43615.119999999995</v>
      </c>
      <c r="I23" s="1">
        <f t="shared" si="5"/>
        <v>23332.31</v>
      </c>
      <c r="J23" s="2">
        <f t="shared" si="3"/>
        <v>0.34851688854971735</v>
      </c>
    </row>
    <row r="24" spans="1:16" x14ac:dyDescent="0.2">
      <c r="A24" t="s">
        <v>32</v>
      </c>
      <c r="B24" t="s">
        <v>23</v>
      </c>
      <c r="C24" s="115">
        <v>0</v>
      </c>
      <c r="D24" s="115">
        <v>0</v>
      </c>
      <c r="E24" s="115">
        <f t="shared" si="6"/>
        <v>0</v>
      </c>
      <c r="F24" s="115">
        <v>0</v>
      </c>
      <c r="G24" s="115">
        <f t="shared" si="6"/>
        <v>0</v>
      </c>
      <c r="H24" s="115">
        <f t="shared" si="7"/>
        <v>0</v>
      </c>
      <c r="I24" s="1">
        <f t="shared" si="5"/>
        <v>0</v>
      </c>
      <c r="J24" s="2">
        <f t="shared" si="3"/>
        <v>0</v>
      </c>
    </row>
    <row r="25" spans="1:16" x14ac:dyDescent="0.2">
      <c r="A25" t="s">
        <v>32</v>
      </c>
      <c r="B25" t="s">
        <v>24</v>
      </c>
      <c r="C25" s="115">
        <v>0</v>
      </c>
      <c r="D25" s="115">
        <v>0</v>
      </c>
      <c r="E25" s="115">
        <f t="shared" si="6"/>
        <v>0</v>
      </c>
      <c r="F25" s="115">
        <v>0</v>
      </c>
      <c r="G25" s="115">
        <f t="shared" si="6"/>
        <v>0</v>
      </c>
      <c r="H25" s="115">
        <f t="shared" si="7"/>
        <v>0</v>
      </c>
      <c r="I25" s="1">
        <f t="shared" si="5"/>
        <v>0</v>
      </c>
      <c r="J25" s="2">
        <f t="shared" si="3"/>
        <v>0</v>
      </c>
    </row>
    <row r="26" spans="1:16" x14ac:dyDescent="0.2">
      <c r="A26" t="s">
        <v>32</v>
      </c>
      <c r="B26" t="s">
        <v>25</v>
      </c>
      <c r="C26" s="115">
        <v>0</v>
      </c>
      <c r="D26" s="115">
        <v>0</v>
      </c>
      <c r="E26" s="115">
        <f t="shared" si="6"/>
        <v>0</v>
      </c>
      <c r="F26" s="115">
        <v>0</v>
      </c>
      <c r="G26" s="115">
        <f t="shared" si="6"/>
        <v>0</v>
      </c>
      <c r="H26" s="115">
        <f t="shared" si="7"/>
        <v>0</v>
      </c>
      <c r="I26" s="1">
        <f t="shared" si="5"/>
        <v>0</v>
      </c>
      <c r="J26" s="2">
        <f t="shared" si="3"/>
        <v>0</v>
      </c>
    </row>
    <row r="27" spans="1:16" x14ac:dyDescent="0.2">
      <c r="A27" t="s">
        <v>32</v>
      </c>
      <c r="B27" t="s">
        <v>26</v>
      </c>
      <c r="C27" s="115">
        <v>23480.77</v>
      </c>
      <c r="D27" s="115">
        <v>0</v>
      </c>
      <c r="E27" s="115">
        <f t="shared" si="6"/>
        <v>23480.77</v>
      </c>
      <c r="F27" s="115">
        <v>0</v>
      </c>
      <c r="G27" s="115">
        <f t="shared" si="6"/>
        <v>23480.77</v>
      </c>
      <c r="H27" s="115">
        <f t="shared" si="7"/>
        <v>0</v>
      </c>
      <c r="I27" s="1">
        <f t="shared" si="5"/>
        <v>23480.77</v>
      </c>
      <c r="J27" s="2">
        <f t="shared" si="3"/>
        <v>1</v>
      </c>
    </row>
    <row r="28" spans="1:16" x14ac:dyDescent="0.2">
      <c r="A28" t="s">
        <v>32</v>
      </c>
      <c r="B28" t="s">
        <v>27</v>
      </c>
      <c r="C28" s="115">
        <v>0</v>
      </c>
      <c r="D28" s="115">
        <v>0</v>
      </c>
      <c r="E28" s="115">
        <f t="shared" si="6"/>
        <v>0</v>
      </c>
      <c r="F28" s="115">
        <v>0</v>
      </c>
      <c r="G28" s="115">
        <f t="shared" si="6"/>
        <v>0</v>
      </c>
      <c r="H28" s="115">
        <f t="shared" si="7"/>
        <v>0</v>
      </c>
      <c r="I28" s="1">
        <f t="shared" si="5"/>
        <v>0</v>
      </c>
      <c r="J28" s="2">
        <f t="shared" si="3"/>
        <v>0</v>
      </c>
    </row>
    <row r="29" spans="1:16" x14ac:dyDescent="0.2">
      <c r="A29" t="s">
        <v>32</v>
      </c>
      <c r="B29" t="s">
        <v>28</v>
      </c>
      <c r="C29" s="115">
        <v>0</v>
      </c>
      <c r="D29" s="115">
        <v>0</v>
      </c>
      <c r="E29" s="115">
        <f t="shared" si="6"/>
        <v>0</v>
      </c>
      <c r="F29" s="115">
        <v>0</v>
      </c>
      <c r="G29" s="115">
        <f t="shared" si="6"/>
        <v>0</v>
      </c>
      <c r="H29" s="115">
        <f t="shared" si="7"/>
        <v>0</v>
      </c>
      <c r="I29" s="1">
        <f t="shared" si="5"/>
        <v>0</v>
      </c>
      <c r="J29" s="2">
        <f t="shared" si="3"/>
        <v>0</v>
      </c>
      <c r="P29" s="106"/>
    </row>
    <row r="30" spans="1:16" x14ac:dyDescent="0.2">
      <c r="A30" t="s">
        <v>32</v>
      </c>
      <c r="B30" t="s">
        <v>29</v>
      </c>
      <c r="C30" s="115">
        <v>0</v>
      </c>
      <c r="D30" s="115">
        <v>0</v>
      </c>
      <c r="E30" s="115">
        <f t="shared" si="6"/>
        <v>0</v>
      </c>
      <c r="F30" s="115">
        <v>0</v>
      </c>
      <c r="G30" s="115">
        <f t="shared" si="6"/>
        <v>0</v>
      </c>
      <c r="H30" s="115">
        <f t="shared" si="7"/>
        <v>0</v>
      </c>
      <c r="I30" s="1">
        <f t="shared" si="5"/>
        <v>0</v>
      </c>
      <c r="J30" s="2">
        <f t="shared" si="3"/>
        <v>0</v>
      </c>
    </row>
    <row r="31" spans="1:16" x14ac:dyDescent="0.2">
      <c r="A31" s="3"/>
      <c r="B31" s="3" t="s">
        <v>32</v>
      </c>
      <c r="C31" s="4">
        <f t="shared" ref="C31:I31" si="9">SUM(C22:C30)</f>
        <v>251534.56</v>
      </c>
      <c r="D31" s="4">
        <f t="shared" si="9"/>
        <v>-215.32</v>
      </c>
      <c r="E31" s="4">
        <f t="shared" si="9"/>
        <v>251319.24</v>
      </c>
      <c r="F31" s="4">
        <f t="shared" si="9"/>
        <v>0</v>
      </c>
      <c r="G31" s="4">
        <f t="shared" si="9"/>
        <v>207704.12</v>
      </c>
      <c r="H31" s="4">
        <f t="shared" si="9"/>
        <v>43615.119999999995</v>
      </c>
      <c r="I31" s="4">
        <f t="shared" si="9"/>
        <v>207704.12</v>
      </c>
      <c r="J31" s="5">
        <f t="shared" si="3"/>
        <v>0.82645530839580772</v>
      </c>
      <c r="K31" s="5"/>
      <c r="L31" s="4"/>
      <c r="M31" s="5"/>
      <c r="N31" s="4"/>
      <c r="O31" s="5"/>
    </row>
    <row r="32" spans="1:16" x14ac:dyDescent="0.2">
      <c r="A32" t="s">
        <v>79</v>
      </c>
      <c r="B32" t="s">
        <v>21</v>
      </c>
    </row>
    <row r="33" spans="1:15" x14ac:dyDescent="0.2">
      <c r="A33" t="s">
        <v>79</v>
      </c>
      <c r="B33" t="s">
        <v>22</v>
      </c>
    </row>
    <row r="34" spans="1:15" x14ac:dyDescent="0.2">
      <c r="A34" t="s">
        <v>79</v>
      </c>
      <c r="B34" t="s">
        <v>23</v>
      </c>
    </row>
    <row r="35" spans="1:15" x14ac:dyDescent="0.2">
      <c r="A35" t="s">
        <v>79</v>
      </c>
      <c r="B35" t="s">
        <v>24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">
        <f>F35+G35</f>
        <v>0</v>
      </c>
    </row>
    <row r="36" spans="1:15" x14ac:dyDescent="0.2">
      <c r="A36" t="s">
        <v>79</v>
      </c>
      <c r="B36" t="s">
        <v>25</v>
      </c>
    </row>
    <row r="37" spans="1:15" x14ac:dyDescent="0.2">
      <c r="A37" t="s">
        <v>79</v>
      </c>
      <c r="B37" t="s">
        <v>26</v>
      </c>
    </row>
    <row r="38" spans="1:15" x14ac:dyDescent="0.2">
      <c r="A38" t="s">
        <v>79</v>
      </c>
      <c r="B38" t="s">
        <v>27</v>
      </c>
    </row>
    <row r="39" spans="1:15" x14ac:dyDescent="0.2">
      <c r="A39" t="s">
        <v>79</v>
      </c>
      <c r="B39" t="s">
        <v>28</v>
      </c>
    </row>
    <row r="40" spans="1:15" x14ac:dyDescent="0.2">
      <c r="A40" t="s">
        <v>79</v>
      </c>
      <c r="B40" t="s">
        <v>29</v>
      </c>
    </row>
    <row r="41" spans="1:15" x14ac:dyDescent="0.2">
      <c r="A41" s="3"/>
      <c r="B41" s="3" t="s">
        <v>80</v>
      </c>
      <c r="C41" s="4">
        <f t="shared" ref="C41:I41" si="10">SUM(C32:C40)</f>
        <v>0</v>
      </c>
      <c r="D41" s="4">
        <f t="shared" si="10"/>
        <v>0</v>
      </c>
      <c r="E41" s="4">
        <f t="shared" si="10"/>
        <v>0</v>
      </c>
      <c r="F41" s="4">
        <f t="shared" si="10"/>
        <v>0</v>
      </c>
      <c r="G41" s="4">
        <f t="shared" si="10"/>
        <v>0</v>
      </c>
      <c r="H41" s="4">
        <f t="shared" si="10"/>
        <v>0</v>
      </c>
      <c r="I41" s="4">
        <f t="shared" si="10"/>
        <v>0</v>
      </c>
      <c r="J41" s="5"/>
      <c r="K41" s="4"/>
      <c r="L41" s="4"/>
      <c r="M41" s="4"/>
      <c r="N41" s="4"/>
      <c r="O41" s="4"/>
    </row>
    <row r="42" spans="1:15" x14ac:dyDescent="0.2">
      <c r="A42" t="s">
        <v>33</v>
      </c>
      <c r="B42" t="s">
        <v>82</v>
      </c>
      <c r="C42" s="1">
        <f t="shared" ref="C42:I44" si="11">C2+C12+C22</f>
        <v>160891.04</v>
      </c>
      <c r="D42" s="1">
        <f t="shared" si="11"/>
        <v>0</v>
      </c>
      <c r="E42" s="1">
        <f t="shared" si="11"/>
        <v>160891.04</v>
      </c>
      <c r="F42" s="1">
        <f t="shared" si="11"/>
        <v>0</v>
      </c>
      <c r="G42" s="1">
        <f t="shared" si="11"/>
        <v>160891.04</v>
      </c>
      <c r="H42" s="1">
        <f t="shared" si="11"/>
        <v>0</v>
      </c>
      <c r="I42" s="1">
        <f t="shared" si="11"/>
        <v>160891.04</v>
      </c>
    </row>
    <row r="43" spans="1:15" x14ac:dyDescent="0.2">
      <c r="A43" t="s">
        <v>33</v>
      </c>
      <c r="B43" t="s">
        <v>83</v>
      </c>
      <c r="C43" s="1">
        <f t="shared" si="11"/>
        <v>572169.47</v>
      </c>
      <c r="D43" s="1">
        <f t="shared" si="11"/>
        <v>-215.32</v>
      </c>
      <c r="E43" s="1">
        <f t="shared" ref="E43" si="12">E3+E13+E23</f>
        <v>571954.15</v>
      </c>
      <c r="F43" s="1">
        <f t="shared" si="11"/>
        <v>0</v>
      </c>
      <c r="G43" s="1">
        <f t="shared" si="11"/>
        <v>526771.24000000011</v>
      </c>
      <c r="H43" s="1">
        <f t="shared" si="11"/>
        <v>45182.91</v>
      </c>
      <c r="I43" s="1">
        <f t="shared" si="11"/>
        <v>526771.24000000011</v>
      </c>
    </row>
    <row r="44" spans="1:15" x14ac:dyDescent="0.2">
      <c r="A44" t="s">
        <v>33</v>
      </c>
      <c r="B44" t="s">
        <v>84</v>
      </c>
      <c r="C44" s="1">
        <f t="shared" si="11"/>
        <v>16.96</v>
      </c>
      <c r="D44" s="1">
        <f t="shared" si="11"/>
        <v>0</v>
      </c>
      <c r="E44" s="1">
        <f t="shared" ref="E44" si="13">E4+E14+E24</f>
        <v>16.96</v>
      </c>
      <c r="F44" s="1">
        <f t="shared" si="11"/>
        <v>0</v>
      </c>
      <c r="G44" s="1">
        <f t="shared" si="11"/>
        <v>16.96</v>
      </c>
      <c r="H44" s="1">
        <f t="shared" si="11"/>
        <v>0</v>
      </c>
      <c r="I44" s="1">
        <f t="shared" si="11"/>
        <v>16.96</v>
      </c>
    </row>
    <row r="45" spans="1:15" x14ac:dyDescent="0.2">
      <c r="A45" t="s">
        <v>33</v>
      </c>
      <c r="B45" t="s">
        <v>85</v>
      </c>
      <c r="C45" s="1">
        <f>C5+C15+C25-C35</f>
        <v>1451231.72</v>
      </c>
      <c r="D45" s="1">
        <f t="shared" ref="D45:I45" si="14">D5+D15+D25-D35</f>
        <v>0</v>
      </c>
      <c r="E45" s="1">
        <f>E5+E15+E25-E35</f>
        <v>1451231.72</v>
      </c>
      <c r="F45" s="1">
        <f t="shared" si="14"/>
        <v>0</v>
      </c>
      <c r="G45" s="1">
        <f>G5+G15+G25-G35</f>
        <v>1380044.58</v>
      </c>
      <c r="H45" s="1">
        <f>H5+H15+H25-H35</f>
        <v>71187.139999999898</v>
      </c>
      <c r="I45" s="1">
        <f t="shared" si="14"/>
        <v>1380044.58</v>
      </c>
    </row>
    <row r="46" spans="1:15" x14ac:dyDescent="0.2">
      <c r="A46" t="s">
        <v>33</v>
      </c>
      <c r="B46" t="s">
        <v>86</v>
      </c>
      <c r="C46" s="1">
        <f>C6+C16+C26</f>
        <v>0</v>
      </c>
      <c r="D46" s="1">
        <f t="shared" ref="C46:I50" si="15">D6+D16+D26</f>
        <v>0</v>
      </c>
      <c r="E46" s="1">
        <f t="shared" si="15"/>
        <v>0</v>
      </c>
      <c r="F46" s="1">
        <f t="shared" si="15"/>
        <v>0</v>
      </c>
      <c r="G46" s="1">
        <f>G6+G16+G26</f>
        <v>0</v>
      </c>
      <c r="H46" s="1">
        <f t="shared" si="15"/>
        <v>0</v>
      </c>
      <c r="I46" s="1">
        <f t="shared" si="15"/>
        <v>0</v>
      </c>
    </row>
    <row r="47" spans="1:15" x14ac:dyDescent="0.2">
      <c r="A47" t="s">
        <v>33</v>
      </c>
      <c r="B47" t="s">
        <v>87</v>
      </c>
      <c r="C47" s="1">
        <f>C7+C17+C27</f>
        <v>103379.83000000002</v>
      </c>
      <c r="D47" s="1">
        <f t="shared" si="15"/>
        <v>0</v>
      </c>
      <c r="E47" s="1">
        <f t="shared" si="15"/>
        <v>103379.83000000002</v>
      </c>
      <c r="F47" s="1">
        <f t="shared" si="15"/>
        <v>0</v>
      </c>
      <c r="G47" s="1">
        <f>G7+G17+G27</f>
        <v>102559.34000000001</v>
      </c>
      <c r="H47" s="1">
        <f t="shared" si="15"/>
        <v>820.49000000000524</v>
      </c>
      <c r="I47" s="1">
        <f t="shared" si="15"/>
        <v>102559.34000000001</v>
      </c>
    </row>
    <row r="48" spans="1:15" x14ac:dyDescent="0.2">
      <c r="A48" t="s">
        <v>33</v>
      </c>
      <c r="B48" t="s">
        <v>88</v>
      </c>
      <c r="C48" s="1">
        <f>C8+C18+C28</f>
        <v>1689291.6500000004</v>
      </c>
      <c r="D48" s="1">
        <f t="shared" si="15"/>
        <v>0</v>
      </c>
      <c r="E48" s="1">
        <f t="shared" si="15"/>
        <v>1689291.6500000004</v>
      </c>
      <c r="F48" s="1">
        <f t="shared" si="15"/>
        <v>0</v>
      </c>
      <c r="G48" s="1">
        <f>G8+G18+G28</f>
        <v>1644167.0500000003</v>
      </c>
      <c r="H48" s="1">
        <f t="shared" si="15"/>
        <v>45124.600000000093</v>
      </c>
      <c r="I48" s="1">
        <f t="shared" si="15"/>
        <v>1644167.0500000003</v>
      </c>
    </row>
    <row r="49" spans="1:15" x14ac:dyDescent="0.2">
      <c r="A49" t="s">
        <v>33</v>
      </c>
      <c r="B49" t="s">
        <v>89</v>
      </c>
      <c r="C49" s="1">
        <f t="shared" si="15"/>
        <v>0</v>
      </c>
      <c r="D49" s="1">
        <f t="shared" si="15"/>
        <v>0</v>
      </c>
      <c r="E49" s="1">
        <f t="shared" si="15"/>
        <v>0</v>
      </c>
      <c r="F49" s="1">
        <f t="shared" si="15"/>
        <v>0</v>
      </c>
      <c r="G49" s="1">
        <f t="shared" si="15"/>
        <v>0</v>
      </c>
      <c r="H49" s="1">
        <f t="shared" si="15"/>
        <v>0</v>
      </c>
      <c r="I49" s="1">
        <f t="shared" si="15"/>
        <v>0</v>
      </c>
    </row>
    <row r="50" spans="1:15" x14ac:dyDescent="0.2">
      <c r="A50" t="s">
        <v>33</v>
      </c>
      <c r="B50" t="s">
        <v>90</v>
      </c>
      <c r="C50" s="1">
        <f t="shared" si="15"/>
        <v>0</v>
      </c>
      <c r="D50" s="1">
        <f t="shared" si="15"/>
        <v>0</v>
      </c>
      <c r="E50" s="1">
        <f t="shared" si="15"/>
        <v>0</v>
      </c>
      <c r="F50" s="1">
        <f t="shared" si="15"/>
        <v>0</v>
      </c>
      <c r="G50" s="1">
        <f t="shared" si="15"/>
        <v>0</v>
      </c>
      <c r="H50" s="1">
        <f t="shared" si="15"/>
        <v>0</v>
      </c>
      <c r="I50" s="1">
        <f t="shared" si="15"/>
        <v>0</v>
      </c>
    </row>
    <row r="51" spans="1:15" s="3" customFormat="1" x14ac:dyDescent="0.2">
      <c r="B51" s="3" t="s">
        <v>34</v>
      </c>
      <c r="C51" s="4">
        <f t="shared" ref="C51:I51" si="16">SUM(C42:C50)</f>
        <v>3976980.6700000004</v>
      </c>
      <c r="D51" s="4">
        <f t="shared" si="16"/>
        <v>-215.32</v>
      </c>
      <c r="E51" s="4">
        <f t="shared" si="16"/>
        <v>3976765.3500000006</v>
      </c>
      <c r="F51" s="4">
        <f t="shared" si="16"/>
        <v>0</v>
      </c>
      <c r="G51" s="4">
        <f t="shared" si="16"/>
        <v>3814450.2100000004</v>
      </c>
      <c r="H51" s="4">
        <f t="shared" si="16"/>
        <v>162315.14000000001</v>
      </c>
      <c r="I51" s="4">
        <f t="shared" si="16"/>
        <v>3814450.2100000004</v>
      </c>
      <c r="J51" s="5"/>
      <c r="K51" s="5"/>
      <c r="L51" s="4"/>
      <c r="M51" s="5"/>
      <c r="N51" s="4"/>
      <c r="O51" s="5"/>
    </row>
  </sheetData>
  <sheetProtection selectLockedCells="1" selectUnlockedCells="1"/>
  <pageMargins left="0.19652777777777777" right="0.19652777777777777" top="0.59027777777777779" bottom="0.59027777777777779" header="0.51180555555555551" footer="0.51180555555555551"/>
  <pageSetup paperSize="9" scale="76" firstPageNumber="0" orientation="landscape" r:id="rId1"/>
  <headerFooter alignWithMargins="0"/>
  <ignoredErrors>
    <ignoredError sqref="C45:I4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L51"/>
  <sheetViews>
    <sheetView zoomScale="85" zoomScaleNormal="85" workbookViewId="0">
      <pane ySplit="1" topLeftCell="A11" activePane="bottomLeft" state="frozen"/>
      <selection activeCell="K20" sqref="K20"/>
      <selection pane="bottomLeft" activeCell="L12" sqref="L12"/>
    </sheetView>
  </sheetViews>
  <sheetFormatPr baseColWidth="10" defaultColWidth="9.140625" defaultRowHeight="12.75" x14ac:dyDescent="0.2"/>
  <cols>
    <col min="1" max="1" width="6.28515625" customWidth="1"/>
    <col min="2" max="2" width="42.7109375" customWidth="1"/>
    <col min="3" max="3" width="18" style="1" customWidth="1"/>
    <col min="4" max="4" width="13.5703125" style="1" customWidth="1"/>
    <col min="5" max="5" width="20.28515625" style="1" customWidth="1"/>
    <col min="6" max="10" width="21" style="1" customWidth="1"/>
    <col min="11" max="11" width="13" style="2" customWidth="1"/>
    <col min="12" max="12" width="9.28515625" style="2" customWidth="1"/>
  </cols>
  <sheetData>
    <row r="1" spans="1:12" s="3" customFormat="1" x14ac:dyDescent="0.2">
      <c r="A1" s="3" t="s">
        <v>19</v>
      </c>
      <c r="B1" s="3" t="s">
        <v>48</v>
      </c>
      <c r="C1" s="4" t="s">
        <v>216</v>
      </c>
      <c r="D1" s="4" t="s">
        <v>217</v>
      </c>
      <c r="E1" s="4" t="s">
        <v>218</v>
      </c>
      <c r="F1" s="4" t="s">
        <v>219</v>
      </c>
      <c r="G1" s="4" t="s">
        <v>199</v>
      </c>
      <c r="H1" s="4" t="s">
        <v>220</v>
      </c>
      <c r="I1" s="4" t="s">
        <v>221</v>
      </c>
      <c r="J1" s="4" t="s">
        <v>214</v>
      </c>
      <c r="K1" s="5" t="s">
        <v>222</v>
      </c>
      <c r="L1" s="5" t="s">
        <v>223</v>
      </c>
    </row>
    <row r="2" spans="1:12" x14ac:dyDescent="0.2">
      <c r="A2" t="s">
        <v>20</v>
      </c>
      <c r="B2" t="s">
        <v>41</v>
      </c>
      <c r="C2" s="121">
        <v>0</v>
      </c>
      <c r="D2" s="121">
        <v>0</v>
      </c>
      <c r="E2" s="121">
        <v>0</v>
      </c>
      <c r="F2" s="1">
        <f t="shared" ref="F2:F10" si="0">C2+D2-E2</f>
        <v>0</v>
      </c>
      <c r="G2" s="121">
        <v>0</v>
      </c>
      <c r="H2" s="121">
        <v>0</v>
      </c>
      <c r="I2" s="1">
        <f>C2+D2-E2-G2-H2</f>
        <v>0</v>
      </c>
      <c r="J2" s="1">
        <f t="shared" ref="J2:J10" si="1">E2+G2+H2</f>
        <v>0</v>
      </c>
      <c r="K2" s="2">
        <f t="shared" ref="K2:K31" si="2">IFERROR(J2/C2,0)</f>
        <v>0</v>
      </c>
      <c r="L2" s="2">
        <f t="shared" ref="L2:L31" si="3">IFERROR(G2/C2,0)</f>
        <v>0</v>
      </c>
    </row>
    <row r="3" spans="1:12" x14ac:dyDescent="0.2">
      <c r="A3" t="s">
        <v>20</v>
      </c>
      <c r="B3" t="s">
        <v>42</v>
      </c>
      <c r="C3" s="121">
        <v>0</v>
      </c>
      <c r="D3" s="121">
        <v>0</v>
      </c>
      <c r="E3" s="121">
        <v>0</v>
      </c>
      <c r="F3" s="1">
        <f t="shared" si="0"/>
        <v>0</v>
      </c>
      <c r="G3" s="121">
        <v>0</v>
      </c>
      <c r="H3" s="121">
        <v>0</v>
      </c>
      <c r="I3" s="1">
        <f>C3+D3-E3-G3-H3</f>
        <v>0</v>
      </c>
      <c r="J3" s="1">
        <f t="shared" si="1"/>
        <v>0</v>
      </c>
      <c r="K3" s="2">
        <f t="shared" si="2"/>
        <v>0</v>
      </c>
      <c r="L3" s="2">
        <f t="shared" si="3"/>
        <v>0</v>
      </c>
    </row>
    <row r="4" spans="1:12" x14ac:dyDescent="0.2">
      <c r="A4" t="s">
        <v>20</v>
      </c>
      <c r="B4" t="s">
        <v>43</v>
      </c>
      <c r="C4" s="121">
        <v>609368.56999999995</v>
      </c>
      <c r="D4" s="121">
        <v>0</v>
      </c>
      <c r="E4" s="121">
        <v>31244.560000000001</v>
      </c>
      <c r="F4" s="1">
        <f t="shared" si="0"/>
        <v>578124.00999999989</v>
      </c>
      <c r="G4" s="121">
        <v>16565.14</v>
      </c>
      <c r="H4" s="121">
        <v>0</v>
      </c>
      <c r="I4" s="1">
        <f t="shared" ref="I4:I8" si="4">C4+D4-E4-G4-H4</f>
        <v>561558.86999999988</v>
      </c>
      <c r="J4" s="1">
        <f>E4+G4+H4</f>
        <v>47809.7</v>
      </c>
      <c r="K4" s="2">
        <f t="shared" si="2"/>
        <v>7.8457771460054143E-2</v>
      </c>
      <c r="L4" s="2">
        <f t="shared" si="3"/>
        <v>2.7184106328293239E-2</v>
      </c>
    </row>
    <row r="5" spans="1:12" x14ac:dyDescent="0.2">
      <c r="A5" t="s">
        <v>20</v>
      </c>
      <c r="B5" t="s">
        <v>24</v>
      </c>
      <c r="C5" s="121">
        <v>0</v>
      </c>
      <c r="D5" s="121">
        <v>0</v>
      </c>
      <c r="E5" s="121">
        <v>0</v>
      </c>
      <c r="F5" s="1">
        <f t="shared" si="0"/>
        <v>0</v>
      </c>
      <c r="G5" s="121">
        <v>0</v>
      </c>
      <c r="H5" s="121">
        <v>0</v>
      </c>
      <c r="I5" s="1">
        <f t="shared" si="4"/>
        <v>0</v>
      </c>
      <c r="J5" s="1">
        <f t="shared" si="1"/>
        <v>0</v>
      </c>
      <c r="K5" s="2">
        <f t="shared" si="2"/>
        <v>0</v>
      </c>
      <c r="L5" s="2">
        <f t="shared" si="3"/>
        <v>0</v>
      </c>
    </row>
    <row r="6" spans="1:12" x14ac:dyDescent="0.2">
      <c r="A6" t="s">
        <v>20</v>
      </c>
      <c r="B6" t="s">
        <v>44</v>
      </c>
      <c r="C6" s="121">
        <v>28589.26</v>
      </c>
      <c r="D6" s="121">
        <v>0</v>
      </c>
      <c r="E6" s="121">
        <v>0</v>
      </c>
      <c r="F6" s="1">
        <f t="shared" si="0"/>
        <v>28589.26</v>
      </c>
      <c r="G6" s="121">
        <v>28589.26</v>
      </c>
      <c r="H6" s="121">
        <v>0</v>
      </c>
      <c r="I6" s="1">
        <f t="shared" si="4"/>
        <v>0</v>
      </c>
      <c r="J6" s="1">
        <f t="shared" si="1"/>
        <v>28589.26</v>
      </c>
      <c r="K6" s="2">
        <f t="shared" si="2"/>
        <v>1</v>
      </c>
      <c r="L6" s="2">
        <f t="shared" si="3"/>
        <v>1</v>
      </c>
    </row>
    <row r="7" spans="1:12" x14ac:dyDescent="0.2">
      <c r="A7" t="s">
        <v>20</v>
      </c>
      <c r="B7" t="s">
        <v>45</v>
      </c>
      <c r="C7" s="121">
        <v>0</v>
      </c>
      <c r="D7" s="121">
        <v>0</v>
      </c>
      <c r="E7" s="121">
        <v>0</v>
      </c>
      <c r="F7" s="1">
        <f t="shared" si="0"/>
        <v>0</v>
      </c>
      <c r="G7" s="121">
        <v>0</v>
      </c>
      <c r="H7" s="121">
        <v>0</v>
      </c>
      <c r="I7" s="1">
        <f t="shared" si="4"/>
        <v>0</v>
      </c>
      <c r="J7" s="1">
        <f t="shared" si="1"/>
        <v>0</v>
      </c>
      <c r="K7" s="2">
        <f t="shared" si="2"/>
        <v>0</v>
      </c>
      <c r="L7" s="2">
        <f t="shared" si="3"/>
        <v>0</v>
      </c>
    </row>
    <row r="8" spans="1:12" x14ac:dyDescent="0.2">
      <c r="A8" t="s">
        <v>20</v>
      </c>
      <c r="B8" t="s">
        <v>27</v>
      </c>
      <c r="C8" s="121">
        <v>0</v>
      </c>
      <c r="D8" s="121">
        <v>0</v>
      </c>
      <c r="E8" s="121">
        <v>0</v>
      </c>
      <c r="F8" s="1">
        <f t="shared" si="0"/>
        <v>0</v>
      </c>
      <c r="G8" s="121">
        <v>0</v>
      </c>
      <c r="H8" s="121">
        <v>0</v>
      </c>
      <c r="I8" s="1">
        <f t="shared" si="4"/>
        <v>0</v>
      </c>
      <c r="J8" s="1">
        <f t="shared" si="1"/>
        <v>0</v>
      </c>
      <c r="K8" s="2">
        <f t="shared" si="2"/>
        <v>0</v>
      </c>
      <c r="L8" s="2">
        <f t="shared" si="3"/>
        <v>0</v>
      </c>
    </row>
    <row r="9" spans="1:12" x14ac:dyDescent="0.2">
      <c r="A9" t="s">
        <v>20</v>
      </c>
      <c r="B9" t="s">
        <v>28</v>
      </c>
      <c r="C9" s="121">
        <v>0</v>
      </c>
      <c r="D9" s="121">
        <v>0</v>
      </c>
      <c r="E9" s="121">
        <v>0</v>
      </c>
      <c r="F9" s="1">
        <f t="shared" si="0"/>
        <v>0</v>
      </c>
      <c r="G9" s="121">
        <v>0</v>
      </c>
      <c r="H9" s="121">
        <v>0</v>
      </c>
      <c r="I9" s="1">
        <f t="shared" ref="I9:I10" si="5">C9+D9-E9-G9-H9</f>
        <v>0</v>
      </c>
      <c r="J9" s="1">
        <f t="shared" si="1"/>
        <v>0</v>
      </c>
      <c r="K9" s="2">
        <f t="shared" si="2"/>
        <v>0</v>
      </c>
      <c r="L9" s="2">
        <f t="shared" si="3"/>
        <v>0</v>
      </c>
    </row>
    <row r="10" spans="1:12" x14ac:dyDescent="0.2">
      <c r="A10" t="s">
        <v>20</v>
      </c>
      <c r="B10" t="s">
        <v>29</v>
      </c>
      <c r="C10" s="121">
        <v>0</v>
      </c>
      <c r="D10" s="121">
        <v>0</v>
      </c>
      <c r="E10" s="121">
        <v>0</v>
      </c>
      <c r="F10" s="1">
        <f t="shared" si="0"/>
        <v>0</v>
      </c>
      <c r="G10" s="121">
        <v>0</v>
      </c>
      <c r="H10" s="121">
        <v>0</v>
      </c>
      <c r="I10" s="1">
        <f t="shared" si="5"/>
        <v>0</v>
      </c>
      <c r="J10" s="1">
        <f t="shared" si="1"/>
        <v>0</v>
      </c>
      <c r="K10" s="2">
        <f t="shared" si="2"/>
        <v>0</v>
      </c>
      <c r="L10" s="2">
        <f t="shared" si="3"/>
        <v>0</v>
      </c>
    </row>
    <row r="11" spans="1:12" s="3" customFormat="1" x14ac:dyDescent="0.2">
      <c r="B11" s="3" t="s">
        <v>15</v>
      </c>
      <c r="C11" s="4">
        <f t="shared" ref="C11:J11" si="6">SUM(C2:C10)</f>
        <v>637957.82999999996</v>
      </c>
      <c r="D11" s="4">
        <f t="shared" si="6"/>
        <v>0</v>
      </c>
      <c r="E11" s="4">
        <f t="shared" si="6"/>
        <v>31244.560000000001</v>
      </c>
      <c r="F11" s="4">
        <f t="shared" si="6"/>
        <v>606713.2699999999</v>
      </c>
      <c r="G11" s="4">
        <f t="shared" si="6"/>
        <v>45154.399999999994</v>
      </c>
      <c r="H11" s="1">
        <f t="shared" si="6"/>
        <v>0</v>
      </c>
      <c r="I11" s="4">
        <f t="shared" si="6"/>
        <v>561558.86999999988</v>
      </c>
      <c r="J11" s="4">
        <f t="shared" si="6"/>
        <v>76398.959999999992</v>
      </c>
      <c r="K11" s="5">
        <f t="shared" si="2"/>
        <v>0.11975550170769124</v>
      </c>
      <c r="L11" s="5">
        <f t="shared" si="3"/>
        <v>7.0779599961959858E-2</v>
      </c>
    </row>
    <row r="12" spans="1:12" x14ac:dyDescent="0.2">
      <c r="A12" t="s">
        <v>30</v>
      </c>
      <c r="B12" t="s">
        <v>41</v>
      </c>
      <c r="C12" s="121">
        <v>0</v>
      </c>
      <c r="D12" s="121">
        <v>0</v>
      </c>
      <c r="E12" s="121">
        <v>0</v>
      </c>
      <c r="F12" s="1">
        <f t="shared" ref="F12:F20" si="7">C12+D12-E12</f>
        <v>0</v>
      </c>
      <c r="G12" s="121">
        <v>0</v>
      </c>
      <c r="H12" s="121">
        <v>0</v>
      </c>
      <c r="I12" s="1">
        <f t="shared" ref="I12:I20" si="8">C12+D12-E12-G12-H12</f>
        <v>0</v>
      </c>
      <c r="J12" s="1">
        <f t="shared" ref="J12:J20" si="9">E12+G12+H12</f>
        <v>0</v>
      </c>
      <c r="K12" s="2">
        <f t="shared" si="2"/>
        <v>0</v>
      </c>
      <c r="L12" s="2">
        <f t="shared" si="3"/>
        <v>0</v>
      </c>
    </row>
    <row r="13" spans="1:12" x14ac:dyDescent="0.2">
      <c r="A13" t="s">
        <v>30</v>
      </c>
      <c r="B13" t="s">
        <v>42</v>
      </c>
      <c r="C13" s="121">
        <v>0</v>
      </c>
      <c r="D13" s="121">
        <v>0</v>
      </c>
      <c r="E13" s="121">
        <v>0</v>
      </c>
      <c r="F13" s="1">
        <f t="shared" si="7"/>
        <v>0</v>
      </c>
      <c r="G13" s="121">
        <v>0</v>
      </c>
      <c r="H13" s="121">
        <v>0</v>
      </c>
      <c r="I13" s="1">
        <f t="shared" si="8"/>
        <v>0</v>
      </c>
      <c r="J13" s="1">
        <f t="shared" si="9"/>
        <v>0</v>
      </c>
      <c r="K13" s="2">
        <f t="shared" si="2"/>
        <v>0</v>
      </c>
      <c r="L13" s="2">
        <f t="shared" si="3"/>
        <v>0</v>
      </c>
    </row>
    <row r="14" spans="1:12" x14ac:dyDescent="0.2">
      <c r="A14" t="s">
        <v>30</v>
      </c>
      <c r="B14" t="s">
        <v>43</v>
      </c>
      <c r="C14" s="121">
        <v>23181</v>
      </c>
      <c r="D14" s="121">
        <v>0</v>
      </c>
      <c r="E14" s="121">
        <v>0</v>
      </c>
      <c r="F14" s="1">
        <f t="shared" si="7"/>
        <v>23181</v>
      </c>
      <c r="G14" s="121">
        <v>7250</v>
      </c>
      <c r="H14" s="121">
        <v>0</v>
      </c>
      <c r="I14" s="1">
        <f t="shared" si="8"/>
        <v>15931</v>
      </c>
      <c r="J14" s="1">
        <f t="shared" si="9"/>
        <v>7250</v>
      </c>
      <c r="K14" s="2">
        <f t="shared" si="2"/>
        <v>0.31275613649109185</v>
      </c>
      <c r="L14" s="2">
        <f t="shared" si="3"/>
        <v>0.31275613649109185</v>
      </c>
    </row>
    <row r="15" spans="1:12" x14ac:dyDescent="0.2">
      <c r="A15" t="s">
        <v>30</v>
      </c>
      <c r="B15" t="s">
        <v>24</v>
      </c>
      <c r="C15" s="121">
        <v>878.79</v>
      </c>
      <c r="D15" s="121">
        <v>0</v>
      </c>
      <c r="E15" s="121">
        <v>0</v>
      </c>
      <c r="F15" s="1">
        <f t="shared" si="7"/>
        <v>878.79</v>
      </c>
      <c r="G15" s="121">
        <v>0</v>
      </c>
      <c r="H15" s="121">
        <v>0</v>
      </c>
      <c r="I15" s="1">
        <f t="shared" si="8"/>
        <v>878.79</v>
      </c>
      <c r="J15" s="1">
        <f t="shared" si="9"/>
        <v>0</v>
      </c>
      <c r="K15" s="2">
        <f t="shared" si="2"/>
        <v>0</v>
      </c>
      <c r="L15" s="2">
        <f t="shared" si="3"/>
        <v>0</v>
      </c>
    </row>
    <row r="16" spans="1:12" x14ac:dyDescent="0.2">
      <c r="A16" t="s">
        <v>30</v>
      </c>
      <c r="B16" t="s">
        <v>44</v>
      </c>
      <c r="C16" s="121">
        <v>0</v>
      </c>
      <c r="D16" s="121">
        <v>0</v>
      </c>
      <c r="E16" s="121">
        <v>0</v>
      </c>
      <c r="F16" s="1">
        <f t="shared" si="7"/>
        <v>0</v>
      </c>
      <c r="G16" s="121">
        <v>0</v>
      </c>
      <c r="H16" s="121">
        <v>0</v>
      </c>
      <c r="I16" s="1">
        <f t="shared" si="8"/>
        <v>0</v>
      </c>
      <c r="J16" s="1">
        <f t="shared" si="9"/>
        <v>0</v>
      </c>
      <c r="K16" s="2">
        <f t="shared" si="2"/>
        <v>0</v>
      </c>
      <c r="L16" s="2">
        <f t="shared" si="3"/>
        <v>0</v>
      </c>
    </row>
    <row r="17" spans="1:12" x14ac:dyDescent="0.2">
      <c r="A17" t="s">
        <v>30</v>
      </c>
      <c r="B17" t="s">
        <v>45</v>
      </c>
      <c r="C17" s="121">
        <v>0</v>
      </c>
      <c r="D17" s="121">
        <v>0</v>
      </c>
      <c r="E17" s="121">
        <v>0</v>
      </c>
      <c r="F17" s="1">
        <f t="shared" si="7"/>
        <v>0</v>
      </c>
      <c r="G17" s="121">
        <v>0</v>
      </c>
      <c r="H17" s="121">
        <v>0</v>
      </c>
      <c r="I17" s="1">
        <f t="shared" si="8"/>
        <v>0</v>
      </c>
      <c r="J17" s="1">
        <f t="shared" si="9"/>
        <v>0</v>
      </c>
      <c r="K17" s="2">
        <f t="shared" si="2"/>
        <v>0</v>
      </c>
      <c r="L17" s="2">
        <f t="shared" si="3"/>
        <v>0</v>
      </c>
    </row>
    <row r="18" spans="1:12" x14ac:dyDescent="0.2">
      <c r="A18" t="s">
        <v>30</v>
      </c>
      <c r="B18" t="s">
        <v>27</v>
      </c>
      <c r="C18" s="121">
        <v>0</v>
      </c>
      <c r="D18" s="121">
        <v>0</v>
      </c>
      <c r="E18" s="121">
        <v>0</v>
      </c>
      <c r="F18" s="1">
        <f t="shared" si="7"/>
        <v>0</v>
      </c>
      <c r="G18" s="121">
        <v>0</v>
      </c>
      <c r="H18" s="121">
        <v>0</v>
      </c>
      <c r="I18" s="1">
        <f t="shared" si="8"/>
        <v>0</v>
      </c>
      <c r="J18" s="1">
        <f t="shared" si="9"/>
        <v>0</v>
      </c>
      <c r="K18" s="2">
        <f t="shared" si="2"/>
        <v>0</v>
      </c>
      <c r="L18" s="2">
        <f t="shared" si="3"/>
        <v>0</v>
      </c>
    </row>
    <row r="19" spans="1:12" x14ac:dyDescent="0.2">
      <c r="A19" t="s">
        <v>30</v>
      </c>
      <c r="B19" t="s">
        <v>28</v>
      </c>
      <c r="C19" s="121">
        <v>0</v>
      </c>
      <c r="D19" s="121">
        <v>0</v>
      </c>
      <c r="E19" s="121">
        <v>0</v>
      </c>
      <c r="F19" s="1">
        <f t="shared" si="7"/>
        <v>0</v>
      </c>
      <c r="G19" s="121">
        <v>0</v>
      </c>
      <c r="H19" s="121">
        <v>0</v>
      </c>
      <c r="I19" s="1">
        <f t="shared" si="8"/>
        <v>0</v>
      </c>
      <c r="J19" s="1">
        <f t="shared" si="9"/>
        <v>0</v>
      </c>
      <c r="K19" s="2">
        <f t="shared" si="2"/>
        <v>0</v>
      </c>
      <c r="L19" s="2">
        <f t="shared" si="3"/>
        <v>0</v>
      </c>
    </row>
    <row r="20" spans="1:12" x14ac:dyDescent="0.2">
      <c r="A20" t="s">
        <v>30</v>
      </c>
      <c r="B20" t="s">
        <v>29</v>
      </c>
      <c r="C20" s="121">
        <v>0</v>
      </c>
      <c r="D20" s="121">
        <v>0</v>
      </c>
      <c r="E20" s="121">
        <v>0</v>
      </c>
      <c r="F20" s="1">
        <f t="shared" si="7"/>
        <v>0</v>
      </c>
      <c r="G20" s="121">
        <v>0</v>
      </c>
      <c r="H20" s="121">
        <v>0</v>
      </c>
      <c r="I20" s="1">
        <f t="shared" si="8"/>
        <v>0</v>
      </c>
      <c r="J20" s="1">
        <f t="shared" si="9"/>
        <v>0</v>
      </c>
      <c r="K20" s="2">
        <f t="shared" si="2"/>
        <v>0</v>
      </c>
      <c r="L20" s="2">
        <f t="shared" si="3"/>
        <v>0</v>
      </c>
    </row>
    <row r="21" spans="1:12" x14ac:dyDescent="0.2">
      <c r="A21" s="3"/>
      <c r="B21" s="3" t="s">
        <v>31</v>
      </c>
      <c r="C21" s="4">
        <f t="shared" ref="C21:J21" si="10">SUM(C12:C20)</f>
        <v>24059.79</v>
      </c>
      <c r="D21" s="4">
        <f t="shared" si="10"/>
        <v>0</v>
      </c>
      <c r="E21" s="4">
        <f t="shared" si="10"/>
        <v>0</v>
      </c>
      <c r="F21" s="4">
        <f t="shared" si="10"/>
        <v>24059.79</v>
      </c>
      <c r="G21" s="4">
        <f t="shared" si="10"/>
        <v>7250</v>
      </c>
      <c r="H21" s="4">
        <f t="shared" si="10"/>
        <v>0</v>
      </c>
      <c r="I21" s="4">
        <f t="shared" si="10"/>
        <v>16809.79</v>
      </c>
      <c r="J21" s="4">
        <f t="shared" si="10"/>
        <v>7250</v>
      </c>
      <c r="K21" s="5">
        <f t="shared" si="2"/>
        <v>0.30133263839792451</v>
      </c>
      <c r="L21" s="5">
        <f t="shared" si="3"/>
        <v>0.30133263839792451</v>
      </c>
    </row>
    <row r="22" spans="1:12" x14ac:dyDescent="0.2">
      <c r="A22" t="s">
        <v>32</v>
      </c>
      <c r="B22" t="s">
        <v>41</v>
      </c>
      <c r="C22" s="121">
        <v>0</v>
      </c>
      <c r="D22" s="121">
        <v>0</v>
      </c>
      <c r="E22" s="115">
        <v>0</v>
      </c>
      <c r="F22" s="1">
        <f t="shared" ref="F22:F30" si="11">C22+D22-E22</f>
        <v>0</v>
      </c>
      <c r="G22" s="121">
        <v>0</v>
      </c>
      <c r="H22" s="121">
        <v>0</v>
      </c>
      <c r="I22" s="1">
        <f t="shared" ref="I22:I30" si="12">F22-G22-H22</f>
        <v>0</v>
      </c>
      <c r="J22" s="1">
        <f t="shared" ref="J22:J30" si="13">E22+G22+H22</f>
        <v>0</v>
      </c>
      <c r="K22" s="2">
        <f t="shared" si="2"/>
        <v>0</v>
      </c>
      <c r="L22" s="2">
        <f t="shared" si="3"/>
        <v>0</v>
      </c>
    </row>
    <row r="23" spans="1:12" x14ac:dyDescent="0.2">
      <c r="A23" t="s">
        <v>32</v>
      </c>
      <c r="B23" t="s">
        <v>42</v>
      </c>
      <c r="C23" s="121">
        <v>0</v>
      </c>
      <c r="D23" s="121">
        <v>0</v>
      </c>
      <c r="E23" s="115">
        <v>0</v>
      </c>
      <c r="F23" s="1">
        <f t="shared" si="11"/>
        <v>0</v>
      </c>
      <c r="G23" s="121">
        <v>0</v>
      </c>
      <c r="H23" s="121">
        <v>0</v>
      </c>
      <c r="I23" s="1">
        <f t="shared" si="12"/>
        <v>0</v>
      </c>
      <c r="J23" s="1">
        <f t="shared" si="13"/>
        <v>0</v>
      </c>
      <c r="K23" s="2">
        <f t="shared" si="2"/>
        <v>0</v>
      </c>
      <c r="L23" s="2">
        <f t="shared" si="3"/>
        <v>0</v>
      </c>
    </row>
    <row r="24" spans="1:12" x14ac:dyDescent="0.2">
      <c r="A24" t="s">
        <v>32</v>
      </c>
      <c r="B24" t="s">
        <v>43</v>
      </c>
      <c r="C24" s="121">
        <v>21907.25</v>
      </c>
      <c r="D24" s="121">
        <v>0</v>
      </c>
      <c r="E24" s="115">
        <v>0</v>
      </c>
      <c r="F24" s="1">
        <f t="shared" si="11"/>
        <v>21907.25</v>
      </c>
      <c r="G24" s="121">
        <v>0</v>
      </c>
      <c r="H24" s="121">
        <v>0</v>
      </c>
      <c r="I24" s="1">
        <f t="shared" ref="I24" si="14">C24+D24-E24-G24-H24</f>
        <v>21907.25</v>
      </c>
      <c r="J24" s="1">
        <f t="shared" si="13"/>
        <v>0</v>
      </c>
      <c r="K24" s="2">
        <f t="shared" si="2"/>
        <v>0</v>
      </c>
      <c r="L24" s="2">
        <f t="shared" si="3"/>
        <v>0</v>
      </c>
    </row>
    <row r="25" spans="1:12" x14ac:dyDescent="0.2">
      <c r="A25" t="s">
        <v>32</v>
      </c>
      <c r="B25" t="s">
        <v>24</v>
      </c>
      <c r="C25" s="121">
        <v>0</v>
      </c>
      <c r="D25" s="121">
        <v>0</v>
      </c>
      <c r="E25" s="115">
        <v>0</v>
      </c>
      <c r="F25" s="1">
        <f t="shared" si="11"/>
        <v>0</v>
      </c>
      <c r="G25" s="121">
        <v>0</v>
      </c>
      <c r="H25" s="121">
        <v>0</v>
      </c>
      <c r="I25" s="1">
        <f t="shared" si="12"/>
        <v>0</v>
      </c>
      <c r="J25" s="1">
        <f t="shared" si="13"/>
        <v>0</v>
      </c>
      <c r="K25" s="2">
        <f t="shared" si="2"/>
        <v>0</v>
      </c>
      <c r="L25" s="2">
        <f t="shared" si="3"/>
        <v>0</v>
      </c>
    </row>
    <row r="26" spans="1:12" x14ac:dyDescent="0.2">
      <c r="A26" t="s">
        <v>32</v>
      </c>
      <c r="B26" t="s">
        <v>44</v>
      </c>
      <c r="C26" s="121">
        <v>0</v>
      </c>
      <c r="D26" s="121">
        <v>0</v>
      </c>
      <c r="E26" s="115">
        <v>0</v>
      </c>
      <c r="F26" s="1">
        <f t="shared" si="11"/>
        <v>0</v>
      </c>
      <c r="G26" s="121">
        <v>0</v>
      </c>
      <c r="H26" s="121">
        <v>0</v>
      </c>
      <c r="I26" s="1">
        <f t="shared" si="12"/>
        <v>0</v>
      </c>
      <c r="J26" s="1">
        <f t="shared" si="13"/>
        <v>0</v>
      </c>
      <c r="K26" s="2">
        <f t="shared" si="2"/>
        <v>0</v>
      </c>
      <c r="L26" s="2">
        <f t="shared" si="3"/>
        <v>0</v>
      </c>
    </row>
    <row r="27" spans="1:12" x14ac:dyDescent="0.2">
      <c r="A27" t="s">
        <v>32</v>
      </c>
      <c r="B27" t="s">
        <v>45</v>
      </c>
      <c r="C27" s="121">
        <v>0</v>
      </c>
      <c r="D27" s="121">
        <v>0</v>
      </c>
      <c r="E27" s="115">
        <v>0</v>
      </c>
      <c r="F27" s="1">
        <f t="shared" si="11"/>
        <v>0</v>
      </c>
      <c r="G27" s="121">
        <v>0</v>
      </c>
      <c r="H27" s="121">
        <v>0</v>
      </c>
      <c r="I27" s="1">
        <f t="shared" si="12"/>
        <v>0</v>
      </c>
      <c r="J27" s="1">
        <f t="shared" si="13"/>
        <v>0</v>
      </c>
      <c r="K27" s="2">
        <f t="shared" si="2"/>
        <v>0</v>
      </c>
      <c r="L27" s="2">
        <f t="shared" si="3"/>
        <v>0</v>
      </c>
    </row>
    <row r="28" spans="1:12" x14ac:dyDescent="0.2">
      <c r="A28" t="s">
        <v>32</v>
      </c>
      <c r="B28" t="s">
        <v>27</v>
      </c>
      <c r="C28" s="121">
        <v>0</v>
      </c>
      <c r="D28" s="121">
        <v>0</v>
      </c>
      <c r="E28" s="115">
        <v>0</v>
      </c>
      <c r="F28" s="1">
        <f t="shared" si="11"/>
        <v>0</v>
      </c>
      <c r="G28" s="121">
        <v>0</v>
      </c>
      <c r="H28" s="121">
        <v>0</v>
      </c>
      <c r="I28" s="1">
        <f t="shared" si="12"/>
        <v>0</v>
      </c>
      <c r="J28" s="1">
        <f t="shared" si="13"/>
        <v>0</v>
      </c>
      <c r="K28" s="2">
        <f t="shared" si="2"/>
        <v>0</v>
      </c>
      <c r="L28" s="2">
        <f t="shared" si="3"/>
        <v>0</v>
      </c>
    </row>
    <row r="29" spans="1:12" x14ac:dyDescent="0.2">
      <c r="A29" t="s">
        <v>32</v>
      </c>
      <c r="B29" t="s">
        <v>28</v>
      </c>
      <c r="C29" s="121">
        <v>0</v>
      </c>
      <c r="D29" s="121">
        <v>0</v>
      </c>
      <c r="E29" s="115">
        <v>0</v>
      </c>
      <c r="F29" s="1">
        <f t="shared" si="11"/>
        <v>0</v>
      </c>
      <c r="G29" s="121">
        <v>0</v>
      </c>
      <c r="H29" s="121">
        <v>0</v>
      </c>
      <c r="I29" s="1">
        <f t="shared" si="12"/>
        <v>0</v>
      </c>
      <c r="J29" s="1">
        <f t="shared" si="13"/>
        <v>0</v>
      </c>
      <c r="K29" s="2">
        <f t="shared" si="2"/>
        <v>0</v>
      </c>
      <c r="L29" s="2">
        <f t="shared" si="3"/>
        <v>0</v>
      </c>
    </row>
    <row r="30" spans="1:12" x14ac:dyDescent="0.2">
      <c r="A30" t="s">
        <v>32</v>
      </c>
      <c r="B30" t="s">
        <v>29</v>
      </c>
      <c r="C30" s="121">
        <v>0</v>
      </c>
      <c r="D30" s="121">
        <v>0</v>
      </c>
      <c r="E30" s="115">
        <v>0</v>
      </c>
      <c r="F30" s="1">
        <f t="shared" si="11"/>
        <v>0</v>
      </c>
      <c r="G30" s="121">
        <v>0</v>
      </c>
      <c r="H30" s="121">
        <v>0</v>
      </c>
      <c r="I30" s="1">
        <f t="shared" si="12"/>
        <v>0</v>
      </c>
      <c r="J30" s="1">
        <f t="shared" si="13"/>
        <v>0</v>
      </c>
      <c r="K30" s="2">
        <f t="shared" si="2"/>
        <v>0</v>
      </c>
      <c r="L30" s="2">
        <f t="shared" si="3"/>
        <v>0</v>
      </c>
    </row>
    <row r="31" spans="1:12" x14ac:dyDescent="0.2">
      <c r="A31" s="3"/>
      <c r="B31" s="3" t="s">
        <v>32</v>
      </c>
      <c r="C31" s="4">
        <f t="shared" ref="C31:J31" si="15">SUM(C22:C30)</f>
        <v>21907.25</v>
      </c>
      <c r="D31" s="4">
        <f t="shared" si="15"/>
        <v>0</v>
      </c>
      <c r="E31" s="4">
        <f t="shared" si="15"/>
        <v>0</v>
      </c>
      <c r="F31" s="4">
        <f t="shared" si="15"/>
        <v>21907.25</v>
      </c>
      <c r="G31" s="4">
        <f t="shared" si="15"/>
        <v>0</v>
      </c>
      <c r="H31" s="4">
        <f t="shared" si="15"/>
        <v>0</v>
      </c>
      <c r="I31" s="4">
        <f t="shared" si="15"/>
        <v>21907.25</v>
      </c>
      <c r="J31" s="4">
        <f t="shared" si="15"/>
        <v>0</v>
      </c>
      <c r="K31" s="5">
        <f t="shared" si="2"/>
        <v>0</v>
      </c>
      <c r="L31" s="5">
        <f t="shared" si="3"/>
        <v>0</v>
      </c>
    </row>
    <row r="32" spans="1:12" x14ac:dyDescent="0.2">
      <c r="A32" t="s">
        <v>79</v>
      </c>
      <c r="B32" t="s">
        <v>41</v>
      </c>
    </row>
    <row r="33" spans="1:12" x14ac:dyDescent="0.2">
      <c r="A33" t="s">
        <v>79</v>
      </c>
      <c r="B33" t="s">
        <v>42</v>
      </c>
    </row>
    <row r="34" spans="1:12" x14ac:dyDescent="0.2">
      <c r="A34" t="s">
        <v>79</v>
      </c>
      <c r="B34" t="s">
        <v>43</v>
      </c>
    </row>
    <row r="35" spans="1:12" x14ac:dyDescent="0.2">
      <c r="A35" t="s">
        <v>79</v>
      </c>
      <c r="B35" t="s">
        <v>24</v>
      </c>
      <c r="C35" s="115">
        <v>0</v>
      </c>
      <c r="D35" s="115">
        <v>0</v>
      </c>
      <c r="E35" s="115">
        <v>0</v>
      </c>
      <c r="F35" s="1">
        <f t="shared" ref="F35" si="16">C35+D35-E35</f>
        <v>0</v>
      </c>
      <c r="G35" s="115">
        <v>0</v>
      </c>
      <c r="H35" s="122">
        <v>0</v>
      </c>
      <c r="I35" s="1">
        <f t="shared" ref="I35" si="17">F35-G35-H35</f>
        <v>0</v>
      </c>
      <c r="J35" s="1">
        <f>E35+G35+H35</f>
        <v>0</v>
      </c>
      <c r="K35" s="2">
        <f>IFERROR(J35/C35,0)</f>
        <v>0</v>
      </c>
    </row>
    <row r="36" spans="1:12" x14ac:dyDescent="0.2">
      <c r="A36" t="s">
        <v>79</v>
      </c>
      <c r="B36" t="s">
        <v>44</v>
      </c>
    </row>
    <row r="37" spans="1:12" x14ac:dyDescent="0.2">
      <c r="A37" t="s">
        <v>79</v>
      </c>
      <c r="B37" t="s">
        <v>45</v>
      </c>
    </row>
    <row r="38" spans="1:12" x14ac:dyDescent="0.2">
      <c r="A38" t="s">
        <v>79</v>
      </c>
      <c r="B38" t="s">
        <v>27</v>
      </c>
    </row>
    <row r="39" spans="1:12" x14ac:dyDescent="0.2">
      <c r="A39" t="s">
        <v>79</v>
      </c>
      <c r="B39" t="s">
        <v>28</v>
      </c>
    </row>
    <row r="40" spans="1:12" x14ac:dyDescent="0.2">
      <c r="A40" t="s">
        <v>79</v>
      </c>
      <c r="B40" t="s">
        <v>29</v>
      </c>
    </row>
    <row r="41" spans="1:12" x14ac:dyDescent="0.2">
      <c r="A41" s="3"/>
      <c r="B41" s="3" t="s">
        <v>80</v>
      </c>
      <c r="C41" s="4">
        <f t="shared" ref="C41:J41" si="18">SUM(C32:C40)</f>
        <v>0</v>
      </c>
      <c r="D41" s="4">
        <f t="shared" si="18"/>
        <v>0</v>
      </c>
      <c r="E41" s="4">
        <f t="shared" si="18"/>
        <v>0</v>
      </c>
      <c r="F41" s="4">
        <f t="shared" si="18"/>
        <v>0</v>
      </c>
      <c r="G41" s="4">
        <f t="shared" si="18"/>
        <v>0</v>
      </c>
      <c r="H41" s="4">
        <f t="shared" si="18"/>
        <v>0</v>
      </c>
      <c r="I41" s="4">
        <f t="shared" si="18"/>
        <v>0</v>
      </c>
      <c r="J41" s="4">
        <f t="shared" si="18"/>
        <v>0</v>
      </c>
      <c r="K41" s="5"/>
      <c r="L41" s="5"/>
    </row>
    <row r="42" spans="1:12" x14ac:dyDescent="0.2">
      <c r="A42" t="s">
        <v>33</v>
      </c>
      <c r="B42" t="s">
        <v>91</v>
      </c>
      <c r="C42" s="1">
        <f t="shared" ref="C42:J44" si="19">C2+C12+C22</f>
        <v>0</v>
      </c>
      <c r="D42" s="1">
        <f t="shared" si="19"/>
        <v>0</v>
      </c>
      <c r="E42" s="1">
        <f t="shared" si="19"/>
        <v>0</v>
      </c>
      <c r="F42" s="1">
        <f t="shared" si="19"/>
        <v>0</v>
      </c>
      <c r="G42" s="1">
        <f t="shared" si="19"/>
        <v>0</v>
      </c>
      <c r="H42" s="1">
        <f t="shared" si="19"/>
        <v>0</v>
      </c>
      <c r="I42" s="1">
        <f t="shared" si="19"/>
        <v>0</v>
      </c>
      <c r="J42" s="1">
        <f t="shared" si="19"/>
        <v>0</v>
      </c>
      <c r="K42" s="2">
        <f t="shared" ref="K42:K51" si="20">IFERROR(J42/C42,0)</f>
        <v>0</v>
      </c>
      <c r="L42" s="2">
        <f t="shared" ref="L42:L51" si="21">IFERROR(G42/C42,0)</f>
        <v>0</v>
      </c>
    </row>
    <row r="43" spans="1:12" x14ac:dyDescent="0.2">
      <c r="A43" t="s">
        <v>33</v>
      </c>
      <c r="B43" t="s">
        <v>92</v>
      </c>
      <c r="C43" s="1">
        <f t="shared" si="19"/>
        <v>0</v>
      </c>
      <c r="D43" s="1">
        <f t="shared" si="19"/>
        <v>0</v>
      </c>
      <c r="E43" s="1">
        <f t="shared" si="19"/>
        <v>0</v>
      </c>
      <c r="F43" s="1">
        <f t="shared" si="19"/>
        <v>0</v>
      </c>
      <c r="G43" s="1">
        <f t="shared" si="19"/>
        <v>0</v>
      </c>
      <c r="H43" s="1">
        <f t="shared" si="19"/>
        <v>0</v>
      </c>
      <c r="I43" s="1">
        <f t="shared" si="19"/>
        <v>0</v>
      </c>
      <c r="J43" s="1">
        <f t="shared" si="19"/>
        <v>0</v>
      </c>
      <c r="K43" s="2">
        <f t="shared" si="20"/>
        <v>0</v>
      </c>
      <c r="L43" s="2">
        <f t="shared" si="21"/>
        <v>0</v>
      </c>
    </row>
    <row r="44" spans="1:12" x14ac:dyDescent="0.2">
      <c r="A44" t="s">
        <v>33</v>
      </c>
      <c r="B44" t="s">
        <v>93</v>
      </c>
      <c r="C44" s="1">
        <f t="shared" si="19"/>
        <v>654456.81999999995</v>
      </c>
      <c r="D44" s="1">
        <f t="shared" si="19"/>
        <v>0</v>
      </c>
      <c r="E44" s="1">
        <f t="shared" si="19"/>
        <v>31244.560000000001</v>
      </c>
      <c r="F44" s="1">
        <f t="shared" si="19"/>
        <v>623212.25999999989</v>
      </c>
      <c r="G44" s="1">
        <f t="shared" si="19"/>
        <v>23815.14</v>
      </c>
      <c r="H44" s="1">
        <f t="shared" si="19"/>
        <v>0</v>
      </c>
      <c r="I44" s="1">
        <f t="shared" si="19"/>
        <v>599397.11999999988</v>
      </c>
      <c r="J44" s="1">
        <f t="shared" si="19"/>
        <v>55059.7</v>
      </c>
      <c r="K44" s="2">
        <f t="shared" si="20"/>
        <v>8.4130378532841943E-2</v>
      </c>
      <c r="L44" s="2">
        <f t="shared" si="21"/>
        <v>3.6389169265590361E-2</v>
      </c>
    </row>
    <row r="45" spans="1:12" x14ac:dyDescent="0.2">
      <c r="A45" t="s">
        <v>33</v>
      </c>
      <c r="B45" t="s">
        <v>85</v>
      </c>
      <c r="C45" s="1">
        <f t="shared" ref="C45:J45" si="22">C5+C15+C25-C35</f>
        <v>878.79</v>
      </c>
      <c r="D45" s="1">
        <f t="shared" si="22"/>
        <v>0</v>
      </c>
      <c r="E45" s="1">
        <f t="shared" si="22"/>
        <v>0</v>
      </c>
      <c r="F45" s="1">
        <f t="shared" si="22"/>
        <v>878.79</v>
      </c>
      <c r="G45" s="1">
        <f t="shared" si="22"/>
        <v>0</v>
      </c>
      <c r="H45" s="1">
        <f t="shared" si="22"/>
        <v>0</v>
      </c>
      <c r="I45" s="1">
        <f t="shared" si="22"/>
        <v>878.79</v>
      </c>
      <c r="J45" s="1">
        <f t="shared" si="22"/>
        <v>0</v>
      </c>
      <c r="K45" s="2">
        <f t="shared" si="20"/>
        <v>0</v>
      </c>
      <c r="L45" s="2">
        <f t="shared" si="21"/>
        <v>0</v>
      </c>
    </row>
    <row r="46" spans="1:12" x14ac:dyDescent="0.2">
      <c r="A46" t="s">
        <v>33</v>
      </c>
      <c r="B46" t="s">
        <v>94</v>
      </c>
      <c r="C46" s="1">
        <f t="shared" ref="C46:J50" si="23">C6+C16+C26</f>
        <v>28589.26</v>
      </c>
      <c r="D46" s="1">
        <f t="shared" si="23"/>
        <v>0</v>
      </c>
      <c r="E46" s="1">
        <f t="shared" si="23"/>
        <v>0</v>
      </c>
      <c r="F46" s="1">
        <f t="shared" si="23"/>
        <v>28589.26</v>
      </c>
      <c r="G46" s="1">
        <f t="shared" si="23"/>
        <v>28589.26</v>
      </c>
      <c r="H46" s="1">
        <f t="shared" si="23"/>
        <v>0</v>
      </c>
      <c r="I46" s="1">
        <f t="shared" si="23"/>
        <v>0</v>
      </c>
      <c r="J46" s="1">
        <f t="shared" si="23"/>
        <v>28589.26</v>
      </c>
      <c r="K46" s="2">
        <f t="shared" si="20"/>
        <v>1</v>
      </c>
      <c r="L46" s="2">
        <f t="shared" si="21"/>
        <v>1</v>
      </c>
    </row>
    <row r="47" spans="1:12" x14ac:dyDescent="0.2">
      <c r="A47" t="s">
        <v>33</v>
      </c>
      <c r="B47" t="s">
        <v>95</v>
      </c>
      <c r="C47" s="1">
        <f t="shared" si="23"/>
        <v>0</v>
      </c>
      <c r="D47" s="1">
        <f t="shared" si="23"/>
        <v>0</v>
      </c>
      <c r="E47" s="1">
        <f t="shared" si="23"/>
        <v>0</v>
      </c>
      <c r="F47" s="1">
        <f t="shared" si="23"/>
        <v>0</v>
      </c>
      <c r="G47" s="1">
        <f t="shared" si="23"/>
        <v>0</v>
      </c>
      <c r="H47" s="1">
        <f t="shared" si="23"/>
        <v>0</v>
      </c>
      <c r="I47" s="1">
        <f t="shared" si="23"/>
        <v>0</v>
      </c>
      <c r="J47" s="1">
        <f t="shared" si="23"/>
        <v>0</v>
      </c>
      <c r="K47" s="2">
        <f t="shared" si="20"/>
        <v>0</v>
      </c>
      <c r="L47" s="2">
        <f t="shared" si="21"/>
        <v>0</v>
      </c>
    </row>
    <row r="48" spans="1:12" x14ac:dyDescent="0.2">
      <c r="A48" t="s">
        <v>33</v>
      </c>
      <c r="B48" t="s">
        <v>88</v>
      </c>
      <c r="C48" s="1">
        <f t="shared" si="23"/>
        <v>0</v>
      </c>
      <c r="D48" s="1">
        <f t="shared" si="23"/>
        <v>0</v>
      </c>
      <c r="E48" s="1">
        <f t="shared" si="23"/>
        <v>0</v>
      </c>
      <c r="F48" s="1">
        <f t="shared" si="23"/>
        <v>0</v>
      </c>
      <c r="G48" s="1">
        <f t="shared" si="23"/>
        <v>0</v>
      </c>
      <c r="H48" s="1">
        <f t="shared" si="23"/>
        <v>0</v>
      </c>
      <c r="I48" s="1">
        <f t="shared" si="23"/>
        <v>0</v>
      </c>
      <c r="J48" s="1">
        <f t="shared" si="23"/>
        <v>0</v>
      </c>
      <c r="K48" s="2">
        <f t="shared" si="20"/>
        <v>0</v>
      </c>
      <c r="L48" s="2">
        <f t="shared" si="21"/>
        <v>0</v>
      </c>
    </row>
    <row r="49" spans="1:12" x14ac:dyDescent="0.2">
      <c r="A49" t="s">
        <v>33</v>
      </c>
      <c r="B49" t="s">
        <v>89</v>
      </c>
      <c r="C49" s="1">
        <f t="shared" si="23"/>
        <v>0</v>
      </c>
      <c r="D49" s="1">
        <f t="shared" si="23"/>
        <v>0</v>
      </c>
      <c r="E49" s="1">
        <f t="shared" si="23"/>
        <v>0</v>
      </c>
      <c r="F49" s="1">
        <f t="shared" si="23"/>
        <v>0</v>
      </c>
      <c r="G49" s="1">
        <f t="shared" si="23"/>
        <v>0</v>
      </c>
      <c r="H49" s="1">
        <f t="shared" si="23"/>
        <v>0</v>
      </c>
      <c r="I49" s="1">
        <f t="shared" si="23"/>
        <v>0</v>
      </c>
      <c r="J49" s="1">
        <f t="shared" si="23"/>
        <v>0</v>
      </c>
      <c r="K49" s="2">
        <f t="shared" si="20"/>
        <v>0</v>
      </c>
      <c r="L49" s="2">
        <f t="shared" si="21"/>
        <v>0</v>
      </c>
    </row>
    <row r="50" spans="1:12" x14ac:dyDescent="0.2">
      <c r="A50" t="s">
        <v>33</v>
      </c>
      <c r="B50" t="s">
        <v>90</v>
      </c>
      <c r="C50" s="1">
        <f t="shared" si="23"/>
        <v>0</v>
      </c>
      <c r="D50" s="1">
        <f t="shared" si="23"/>
        <v>0</v>
      </c>
      <c r="E50" s="1">
        <f t="shared" si="23"/>
        <v>0</v>
      </c>
      <c r="F50" s="1">
        <f t="shared" si="23"/>
        <v>0</v>
      </c>
      <c r="G50" s="1">
        <f t="shared" si="23"/>
        <v>0</v>
      </c>
      <c r="H50" s="1">
        <f t="shared" si="23"/>
        <v>0</v>
      </c>
      <c r="I50" s="1">
        <f t="shared" si="23"/>
        <v>0</v>
      </c>
      <c r="J50" s="1">
        <f t="shared" si="23"/>
        <v>0</v>
      </c>
      <c r="K50" s="2">
        <f t="shared" si="20"/>
        <v>0</v>
      </c>
      <c r="L50" s="2">
        <f t="shared" si="21"/>
        <v>0</v>
      </c>
    </row>
    <row r="51" spans="1:12" s="3" customFormat="1" x14ac:dyDescent="0.2">
      <c r="B51" s="3" t="s">
        <v>34</v>
      </c>
      <c r="C51" s="4">
        <f t="shared" ref="C51:J51" si="24">SUM(C42:C50)</f>
        <v>683924.87</v>
      </c>
      <c r="D51" s="4">
        <f t="shared" si="24"/>
        <v>0</v>
      </c>
      <c r="E51" s="4">
        <f t="shared" si="24"/>
        <v>31244.560000000001</v>
      </c>
      <c r="F51" s="4">
        <f t="shared" si="24"/>
        <v>652680.30999999994</v>
      </c>
      <c r="G51" s="4">
        <f t="shared" si="24"/>
        <v>52404.399999999994</v>
      </c>
      <c r="H51" s="4">
        <f t="shared" si="24"/>
        <v>0</v>
      </c>
      <c r="I51" s="4">
        <f t="shared" si="24"/>
        <v>600275.90999999992</v>
      </c>
      <c r="J51" s="4">
        <f t="shared" si="24"/>
        <v>83648.959999999992</v>
      </c>
      <c r="K51" s="5">
        <f t="shared" si="20"/>
        <v>0.12230723529618098</v>
      </c>
      <c r="L51" s="5">
        <f t="shared" si="21"/>
        <v>7.6623036094593241E-2</v>
      </c>
    </row>
  </sheetData>
  <sheetProtection selectLockedCells="1" selectUnlockedCells="1"/>
  <pageMargins left="0.19652777777777777" right="0.19652777777777777" top="0.59027777777777779" bottom="0.19652777777777777" header="0.51180555555555551" footer="0.51180555555555551"/>
  <pageSetup paperSize="9" scale="64" firstPageNumber="0" orientation="landscape" r:id="rId1"/>
  <headerFooter alignWithMargins="0"/>
  <ignoredErrors>
    <ignoredError sqref="I24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N21"/>
  <sheetViews>
    <sheetView topLeftCell="B1" zoomScale="85" zoomScaleNormal="85" workbookViewId="0">
      <selection activeCell="B5" sqref="B5"/>
    </sheetView>
  </sheetViews>
  <sheetFormatPr baseColWidth="10" defaultColWidth="9.140625" defaultRowHeight="12.75" x14ac:dyDescent="0.2"/>
  <cols>
    <col min="1" max="1" width="24.140625" customWidth="1"/>
    <col min="2" max="2" width="22.85546875" bestFit="1" customWidth="1"/>
    <col min="3" max="3" width="33" style="1" customWidth="1"/>
    <col min="5" max="5" width="12.28515625" customWidth="1"/>
    <col min="6" max="6" width="17.5703125" customWidth="1"/>
    <col min="7" max="7" width="5.42578125" customWidth="1"/>
    <col min="8" max="8" width="6.5703125" customWidth="1"/>
    <col min="9" max="9" width="5.140625" customWidth="1"/>
    <col min="10" max="10" width="14" bestFit="1" customWidth="1"/>
    <col min="11" max="12" width="25.140625" customWidth="1"/>
    <col min="13" max="13" width="21.5703125" customWidth="1"/>
  </cols>
  <sheetData>
    <row r="2" spans="1:14" x14ac:dyDescent="0.2">
      <c r="B2" t="s">
        <v>203</v>
      </c>
      <c r="C2" s="1" t="s">
        <v>258</v>
      </c>
      <c r="L2" t="s">
        <v>258</v>
      </c>
    </row>
    <row r="3" spans="1:14" ht="9.75" customHeight="1" x14ac:dyDescent="0.2"/>
    <row r="4" spans="1:14" x14ac:dyDescent="0.2">
      <c r="B4" t="s">
        <v>148</v>
      </c>
      <c r="C4" s="1" t="s">
        <v>148</v>
      </c>
      <c r="K4" s="26" t="s">
        <v>324</v>
      </c>
      <c r="L4" s="26" t="s">
        <v>323</v>
      </c>
      <c r="M4" t="s">
        <v>271</v>
      </c>
    </row>
    <row r="5" spans="1:14" x14ac:dyDescent="0.2">
      <c r="A5" t="s">
        <v>202</v>
      </c>
      <c r="B5" s="1">
        <f>B9-B6-B8-B7</f>
        <v>213875169.74000004</v>
      </c>
      <c r="C5" s="1">
        <f>C9-C6-C8-C7</f>
        <v>201133193</v>
      </c>
      <c r="J5" t="s">
        <v>279</v>
      </c>
      <c r="K5" s="1">
        <v>179995398.53999999</v>
      </c>
      <c r="L5" s="1">
        <v>94000</v>
      </c>
      <c r="M5" s="115">
        <v>361088239.92000002</v>
      </c>
    </row>
    <row r="6" spans="1:14" x14ac:dyDescent="0.2">
      <c r="A6" t="s">
        <v>149</v>
      </c>
      <c r="B6" s="1">
        <f>+INGRCAPITOL!E50</f>
        <v>0</v>
      </c>
      <c r="C6" s="1">
        <v>0</v>
      </c>
      <c r="J6" t="s">
        <v>32</v>
      </c>
      <c r="K6" s="1">
        <v>5826550.2999999998</v>
      </c>
      <c r="L6" s="1">
        <v>0</v>
      </c>
      <c r="M6" s="115">
        <v>23816550.300000001</v>
      </c>
    </row>
    <row r="7" spans="1:14" x14ac:dyDescent="0.2">
      <c r="A7" t="s">
        <v>152</v>
      </c>
      <c r="B7" s="1">
        <f>+INGRCAPITOL!E49-INGRCAPITOL!E58</f>
        <v>600000</v>
      </c>
      <c r="C7" s="1">
        <v>0</v>
      </c>
      <c r="J7" t="s">
        <v>280</v>
      </c>
      <c r="K7" s="1">
        <v>2900165</v>
      </c>
      <c r="L7" s="1">
        <v>581211.65</v>
      </c>
      <c r="M7" s="115">
        <v>13691376.65</v>
      </c>
    </row>
    <row r="8" spans="1:14" x14ac:dyDescent="0.2">
      <c r="A8" t="s">
        <v>150</v>
      </c>
      <c r="B8" s="1">
        <f>+INGRCAPITOL!E58</f>
        <v>192223774.38999996</v>
      </c>
      <c r="C8" s="106">
        <f>L11</f>
        <v>189397325.49000001</v>
      </c>
      <c r="D8" s="99" t="s">
        <v>326</v>
      </c>
      <c r="E8" s="99"/>
      <c r="F8" t="s">
        <v>322</v>
      </c>
      <c r="J8" t="s">
        <v>281</v>
      </c>
      <c r="K8" s="116" t="s">
        <v>282</v>
      </c>
      <c r="L8" s="116" t="s">
        <v>282</v>
      </c>
      <c r="M8" s="106">
        <v>8065648.3799999999</v>
      </c>
      <c r="N8" s="107" t="s">
        <v>308</v>
      </c>
    </row>
    <row r="9" spans="1:14" x14ac:dyDescent="0.2">
      <c r="A9" t="s">
        <v>151</v>
      </c>
      <c r="B9" s="1">
        <f>+INGRCAPITOL!E51</f>
        <v>406698944.13</v>
      </c>
      <c r="C9" s="110">
        <f>M9</f>
        <v>390530518.49000001</v>
      </c>
      <c r="D9" s="99" t="s">
        <v>327</v>
      </c>
      <c r="E9" s="99"/>
      <c r="F9" t="s">
        <v>271</v>
      </c>
      <c r="J9" t="s">
        <v>283</v>
      </c>
      <c r="K9" s="117">
        <f>K5+K6+K7</f>
        <v>188722113.84</v>
      </c>
      <c r="L9" s="117">
        <f>L5+L6+L7</f>
        <v>675211.65</v>
      </c>
      <c r="M9" s="117">
        <f>M5+M6+M7-M8</f>
        <v>390530518.49000001</v>
      </c>
    </row>
    <row r="11" spans="1:14" x14ac:dyDescent="0.2">
      <c r="D11" t="s">
        <v>269</v>
      </c>
      <c r="K11" s="26" t="s">
        <v>325</v>
      </c>
      <c r="L11" s="117">
        <f>K9+L9</f>
        <v>189397325.49000001</v>
      </c>
    </row>
    <row r="12" spans="1:14" x14ac:dyDescent="0.2">
      <c r="C12" s="106" t="s">
        <v>277</v>
      </c>
    </row>
    <row r="13" spans="1:14" x14ac:dyDescent="0.2">
      <c r="C13" s="110" t="s">
        <v>278</v>
      </c>
    </row>
    <row r="15" spans="1:14" x14ac:dyDescent="0.2">
      <c r="F15" s="160"/>
      <c r="G15" s="160"/>
      <c r="H15" s="160"/>
      <c r="I15" s="161"/>
    </row>
    <row r="17" spans="6:9" x14ac:dyDescent="0.2">
      <c r="F17" s="1"/>
      <c r="G17" s="1"/>
      <c r="H17" s="1"/>
      <c r="I17" s="1"/>
    </row>
    <row r="18" spans="6:9" x14ac:dyDescent="0.2">
      <c r="F18" s="1"/>
      <c r="G18" s="1"/>
      <c r="H18" s="1"/>
      <c r="I18" s="1"/>
    </row>
    <row r="19" spans="6:9" x14ac:dyDescent="0.2">
      <c r="F19" s="1"/>
      <c r="G19" s="1"/>
      <c r="H19" s="1"/>
      <c r="I19" s="1"/>
    </row>
    <row r="20" spans="6:9" x14ac:dyDescent="0.2">
      <c r="F20" s="116"/>
      <c r="G20" s="116"/>
      <c r="H20" s="116"/>
      <c r="I20" s="1"/>
    </row>
    <row r="21" spans="6:9" x14ac:dyDescent="0.2">
      <c r="F21" s="106"/>
      <c r="G21" s="106"/>
      <c r="H21" s="106"/>
      <c r="I21" s="106"/>
    </row>
  </sheetData>
  <mergeCells count="1">
    <mergeCell ref="F15:I15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2:M41"/>
  <sheetViews>
    <sheetView topLeftCell="B31" zoomScaleNormal="100" workbookViewId="0">
      <selection activeCell="B33" sqref="B33:C41"/>
    </sheetView>
  </sheetViews>
  <sheetFormatPr baseColWidth="10" defaultColWidth="9.140625" defaultRowHeight="12.75" x14ac:dyDescent="0.2"/>
  <cols>
    <col min="1" max="1" width="46.42578125" customWidth="1"/>
    <col min="2" max="6" width="9.140625" customWidth="1"/>
    <col min="7" max="7" width="11" customWidth="1"/>
    <col min="8" max="9" width="9.140625" customWidth="1"/>
    <col min="10" max="10" width="9.140625" style="2" customWidth="1"/>
  </cols>
  <sheetData>
    <row r="2" spans="1:13" x14ac:dyDescent="0.2">
      <c r="A2" s="100" t="s">
        <v>270</v>
      </c>
    </row>
    <row r="4" spans="1:13" x14ac:dyDescent="0.2">
      <c r="A4" t="s">
        <v>118</v>
      </c>
    </row>
    <row r="5" spans="1:13" x14ac:dyDescent="0.2">
      <c r="C5" s="26" t="s">
        <v>119</v>
      </c>
      <c r="G5" s="26" t="s">
        <v>120</v>
      </c>
      <c r="M5" t="s">
        <v>265</v>
      </c>
    </row>
    <row r="6" spans="1:13" x14ac:dyDescent="0.2">
      <c r="A6" t="s">
        <v>8</v>
      </c>
      <c r="B6" t="s">
        <v>97</v>
      </c>
      <c r="C6" t="s">
        <v>99</v>
      </c>
      <c r="D6" t="s">
        <v>100</v>
      </c>
      <c r="E6" t="s">
        <v>101</v>
      </c>
      <c r="F6" t="s">
        <v>97</v>
      </c>
      <c r="G6" t="s">
        <v>99</v>
      </c>
      <c r="H6" t="s">
        <v>100</v>
      </c>
      <c r="I6" t="s">
        <v>101</v>
      </c>
    </row>
    <row r="7" spans="1:13" x14ac:dyDescent="0.2">
      <c r="A7" t="s">
        <v>82</v>
      </c>
      <c r="B7" s="2">
        <v>0.2204407549444673</v>
      </c>
      <c r="C7" s="157">
        <f>DESPCAPITOL!K42</f>
        <v>0.40541567651208094</v>
      </c>
      <c r="D7" s="2"/>
      <c r="E7" s="2"/>
      <c r="F7" s="2">
        <f t="shared" ref="F7:F15" si="0">B7</f>
        <v>0.2204407549444673</v>
      </c>
      <c r="G7" s="2">
        <f>C7-F7</f>
        <v>0.18497492156761364</v>
      </c>
      <c r="H7" s="2"/>
      <c r="I7" s="2"/>
      <c r="J7" s="2">
        <v>0.5</v>
      </c>
    </row>
    <row r="8" spans="1:13" x14ac:dyDescent="0.2">
      <c r="A8" t="s">
        <v>83</v>
      </c>
      <c r="B8" s="2">
        <v>0.56248610661320786</v>
      </c>
      <c r="C8" s="157">
        <f>DESPCAPITOL!K43</f>
        <v>0.62840780503988758</v>
      </c>
      <c r="D8" s="2"/>
      <c r="E8" s="2"/>
      <c r="F8" s="2">
        <f t="shared" si="0"/>
        <v>0.56248610661320786</v>
      </c>
      <c r="G8" s="2">
        <f t="shared" ref="G8:G15" si="1">C8-F8</f>
        <v>6.592169842667972E-2</v>
      </c>
      <c r="H8" s="2"/>
      <c r="I8" s="2"/>
      <c r="J8" s="2">
        <v>0.5</v>
      </c>
    </row>
    <row r="9" spans="1:13" x14ac:dyDescent="0.2">
      <c r="A9" t="s">
        <v>84</v>
      </c>
      <c r="B9" s="2">
        <v>0</v>
      </c>
      <c r="C9" s="157">
        <f>DESPCAPITOL!K44</f>
        <v>3.5233960422249052E-4</v>
      </c>
      <c r="D9" s="2"/>
      <c r="E9" s="2"/>
      <c r="F9" s="2">
        <f t="shared" si="0"/>
        <v>0</v>
      </c>
      <c r="G9" s="2">
        <f t="shared" si="1"/>
        <v>3.5233960422249052E-4</v>
      </c>
      <c r="H9" s="2"/>
      <c r="I9" s="2"/>
      <c r="J9" s="2">
        <v>0.5</v>
      </c>
    </row>
    <row r="10" spans="1:13" x14ac:dyDescent="0.2">
      <c r="A10" t="s">
        <v>85</v>
      </c>
      <c r="B10" s="2">
        <v>0.56865663461914007</v>
      </c>
      <c r="C10" s="157">
        <f>DESPCAPITOL!K45</f>
        <v>0.58016771756832353</v>
      </c>
      <c r="D10" s="2"/>
      <c r="E10" s="2"/>
      <c r="F10" s="2">
        <f t="shared" si="0"/>
        <v>0.56865663461914007</v>
      </c>
      <c r="G10" s="2">
        <f t="shared" si="1"/>
        <v>1.151108294918346E-2</v>
      </c>
      <c r="H10" s="2"/>
      <c r="I10" s="2"/>
      <c r="J10" s="2">
        <v>0.5</v>
      </c>
    </row>
    <row r="11" spans="1:13" x14ac:dyDescent="0.2">
      <c r="A11" t="s">
        <v>86</v>
      </c>
      <c r="B11" s="2">
        <v>0</v>
      </c>
      <c r="C11" s="157">
        <f>DESPCAPITOL!K46</f>
        <v>0</v>
      </c>
      <c r="D11" s="2"/>
      <c r="E11" s="2"/>
      <c r="F11" s="2">
        <f t="shared" si="0"/>
        <v>0</v>
      </c>
      <c r="G11" s="2">
        <f t="shared" si="1"/>
        <v>0</v>
      </c>
      <c r="H11" s="2"/>
      <c r="I11" s="2"/>
      <c r="J11" s="2">
        <v>0.5</v>
      </c>
    </row>
    <row r="12" spans="1:13" x14ac:dyDescent="0.2">
      <c r="A12" t="s">
        <v>87</v>
      </c>
      <c r="B12" s="2">
        <v>0.38433161651646164</v>
      </c>
      <c r="C12" s="157">
        <f>DESPCAPITOL!K47</f>
        <v>0.2202379390994483</v>
      </c>
      <c r="D12" s="2"/>
      <c r="E12" s="2"/>
      <c r="F12" s="2">
        <f>B12</f>
        <v>0.38433161651646164</v>
      </c>
      <c r="G12" s="2">
        <f t="shared" si="1"/>
        <v>-0.16409367741701333</v>
      </c>
      <c r="H12" s="2"/>
      <c r="I12" s="2"/>
      <c r="J12" s="2">
        <v>0.5</v>
      </c>
    </row>
    <row r="13" spans="1:13" x14ac:dyDescent="0.2">
      <c r="A13" t="s">
        <v>88</v>
      </c>
      <c r="B13" s="2">
        <v>0.74661989675676033</v>
      </c>
      <c r="C13" s="157">
        <f>DESPCAPITOL!K48</f>
        <v>0.70109766452098943</v>
      </c>
      <c r="D13" s="2"/>
      <c r="E13" s="2"/>
      <c r="F13" s="2">
        <f t="shared" si="0"/>
        <v>0.74661989675676033</v>
      </c>
      <c r="G13" s="2">
        <f t="shared" si="1"/>
        <v>-4.5522232235770899E-2</v>
      </c>
      <c r="H13" s="2"/>
      <c r="I13" s="2"/>
      <c r="J13" s="2">
        <v>0.5</v>
      </c>
    </row>
    <row r="14" spans="1:13" x14ac:dyDescent="0.2">
      <c r="A14" t="s">
        <v>89</v>
      </c>
      <c r="B14" s="2">
        <v>0.18966666666666668</v>
      </c>
      <c r="C14" s="157">
        <f>DESPCAPITOL!K49</f>
        <v>0.49116666666666664</v>
      </c>
      <c r="D14" s="2"/>
      <c r="E14" s="2"/>
      <c r="F14" s="2">
        <f t="shared" si="0"/>
        <v>0.18966666666666668</v>
      </c>
      <c r="G14" s="2">
        <f t="shared" si="1"/>
        <v>0.30149999999999999</v>
      </c>
      <c r="H14" s="2"/>
      <c r="I14" s="2"/>
      <c r="J14" s="2">
        <v>0.5</v>
      </c>
    </row>
    <row r="15" spans="1:13" x14ac:dyDescent="0.2">
      <c r="A15" t="s">
        <v>90</v>
      </c>
      <c r="B15" s="2">
        <v>0</v>
      </c>
      <c r="C15" s="157">
        <f>DESPCAPITOL!K50</f>
        <v>0</v>
      </c>
      <c r="D15" s="2"/>
      <c r="E15" s="2"/>
      <c r="F15" s="2">
        <f t="shared" si="0"/>
        <v>0</v>
      </c>
      <c r="G15" s="2">
        <f t="shared" si="1"/>
        <v>0</v>
      </c>
      <c r="H15" s="2"/>
      <c r="I15" s="2"/>
      <c r="J15" s="2">
        <v>0.5</v>
      </c>
    </row>
    <row r="16" spans="1:13" x14ac:dyDescent="0.2">
      <c r="B16" s="5"/>
    </row>
    <row r="18" spans="1:10" x14ac:dyDescent="0.2">
      <c r="C18" s="26" t="s">
        <v>119</v>
      </c>
      <c r="G18" s="26" t="s">
        <v>120</v>
      </c>
    </row>
    <row r="19" spans="1:10" x14ac:dyDescent="0.2">
      <c r="A19" t="s">
        <v>10</v>
      </c>
      <c r="B19" t="s">
        <v>97</v>
      </c>
      <c r="C19" t="s">
        <v>99</v>
      </c>
      <c r="D19" t="s">
        <v>100</v>
      </c>
      <c r="E19" t="s">
        <v>101</v>
      </c>
      <c r="F19" t="s">
        <v>97</v>
      </c>
      <c r="G19" t="s">
        <v>99</v>
      </c>
      <c r="H19" t="s">
        <v>100</v>
      </c>
      <c r="I19" t="s">
        <v>101</v>
      </c>
    </row>
    <row r="20" spans="1:10" x14ac:dyDescent="0.2">
      <c r="A20" t="s">
        <v>82</v>
      </c>
      <c r="B20" s="2">
        <v>0.21407957885259174</v>
      </c>
      <c r="C20" s="157">
        <f>DESPCAPITOL!M42</f>
        <v>0.40026653383816924</v>
      </c>
      <c r="D20" s="2"/>
      <c r="E20" s="2"/>
      <c r="F20" s="2">
        <f t="shared" ref="F20:F28" si="2">B20</f>
        <v>0.21407957885259174</v>
      </c>
      <c r="G20" s="2">
        <f>C20-F20</f>
        <v>0.1861869549855775</v>
      </c>
      <c r="H20" s="2"/>
      <c r="I20" s="2"/>
      <c r="J20" s="2">
        <v>0.5</v>
      </c>
    </row>
    <row r="21" spans="1:10" x14ac:dyDescent="0.2">
      <c r="A21" t="s">
        <v>83</v>
      </c>
      <c r="B21" s="2">
        <v>8.2270642299912697E-2</v>
      </c>
      <c r="C21" s="157">
        <f>DESPCAPITOL!M43</f>
        <v>0.20789035491586913</v>
      </c>
      <c r="D21" s="2"/>
      <c r="E21" s="2"/>
      <c r="F21" s="2">
        <f t="shared" si="2"/>
        <v>8.2270642299912697E-2</v>
      </c>
      <c r="G21" s="2">
        <f t="shared" ref="G21:G28" si="3">C21-F21</f>
        <v>0.12561971261595645</v>
      </c>
      <c r="H21" s="2"/>
      <c r="I21" s="2"/>
      <c r="J21" s="2">
        <v>0.5</v>
      </c>
    </row>
    <row r="22" spans="1:10" x14ac:dyDescent="0.2">
      <c r="A22" t="s">
        <v>84</v>
      </c>
      <c r="B22" s="2">
        <v>0</v>
      </c>
      <c r="C22" s="157">
        <f>DESPCAPITOL!M44</f>
        <v>3.5233960422249052E-4</v>
      </c>
      <c r="D22" s="2"/>
      <c r="E22" s="2"/>
      <c r="F22" s="2">
        <f t="shared" si="2"/>
        <v>0</v>
      </c>
      <c r="G22" s="2">
        <f t="shared" si="3"/>
        <v>3.5233960422249052E-4</v>
      </c>
      <c r="H22" s="2"/>
      <c r="I22" s="2"/>
      <c r="J22" s="2">
        <v>0.5</v>
      </c>
    </row>
    <row r="23" spans="1:10" x14ac:dyDescent="0.2">
      <c r="A23" t="s">
        <v>85</v>
      </c>
      <c r="B23" s="2">
        <v>0.29188916140898619</v>
      </c>
      <c r="C23" s="157">
        <f>DESPCAPITOL!M45</f>
        <v>0.29806508594188469</v>
      </c>
      <c r="D23" s="2"/>
      <c r="E23" s="2"/>
      <c r="F23" s="2">
        <f t="shared" si="2"/>
        <v>0.29188916140898619</v>
      </c>
      <c r="G23" s="2">
        <f t="shared" si="3"/>
        <v>6.1759245328985024E-3</v>
      </c>
      <c r="H23" s="2"/>
      <c r="I23" s="2"/>
      <c r="J23" s="2">
        <v>0.5</v>
      </c>
    </row>
    <row r="24" spans="1:10" x14ac:dyDescent="0.2">
      <c r="A24" t="s">
        <v>86</v>
      </c>
      <c r="B24" s="2">
        <v>0</v>
      </c>
      <c r="C24" s="157">
        <f>DESPCAPITOL!M46</f>
        <v>0</v>
      </c>
      <c r="D24" s="2"/>
      <c r="E24" s="2"/>
      <c r="F24" s="2">
        <f t="shared" si="2"/>
        <v>0</v>
      </c>
      <c r="G24" s="2">
        <f t="shared" si="3"/>
        <v>0</v>
      </c>
      <c r="H24" s="2"/>
      <c r="I24" s="2"/>
      <c r="J24" s="2">
        <v>0.5</v>
      </c>
    </row>
    <row r="25" spans="1:10" x14ac:dyDescent="0.2">
      <c r="A25" t="s">
        <v>87</v>
      </c>
      <c r="B25" s="2">
        <v>3.4869812292301502E-2</v>
      </c>
      <c r="C25" s="157">
        <f>DESPCAPITOL!M47</f>
        <v>9.9593561587769164E-2</v>
      </c>
      <c r="D25" s="2"/>
      <c r="E25" s="2"/>
      <c r="F25" s="2">
        <f t="shared" si="2"/>
        <v>3.4869812292301502E-2</v>
      </c>
      <c r="G25" s="2">
        <f t="shared" si="3"/>
        <v>6.4723749295467661E-2</v>
      </c>
      <c r="H25" s="2"/>
      <c r="I25" s="2"/>
      <c r="J25" s="2">
        <v>0.5</v>
      </c>
    </row>
    <row r="26" spans="1:10" x14ac:dyDescent="0.2">
      <c r="A26" t="s">
        <v>88</v>
      </c>
      <c r="B26" s="2">
        <v>1.2503100057526105E-2</v>
      </c>
      <c r="C26" s="157">
        <f>DESPCAPITOL!M48</f>
        <v>9.5969147025816187E-2</v>
      </c>
      <c r="D26" s="2"/>
      <c r="E26" s="2"/>
      <c r="F26" s="2">
        <f t="shared" si="2"/>
        <v>1.2503100057526105E-2</v>
      </c>
      <c r="G26" s="2">
        <f t="shared" si="3"/>
        <v>8.3466046968290075E-2</v>
      </c>
      <c r="H26" s="2"/>
      <c r="I26" s="2"/>
      <c r="J26" s="2">
        <v>0.5</v>
      </c>
    </row>
    <row r="27" spans="1:10" x14ac:dyDescent="0.2">
      <c r="A27" t="s">
        <v>89</v>
      </c>
      <c r="B27" s="2">
        <v>0.18966666666666668</v>
      </c>
      <c r="C27" s="157">
        <f>DESPCAPITOL!M49</f>
        <v>0.49116666666666664</v>
      </c>
      <c r="D27" s="2"/>
      <c r="E27" s="2"/>
      <c r="F27" s="2">
        <f t="shared" si="2"/>
        <v>0.18966666666666668</v>
      </c>
      <c r="G27" s="2">
        <f t="shared" si="3"/>
        <v>0.30149999999999999</v>
      </c>
      <c r="H27" s="2"/>
      <c r="I27" s="2"/>
      <c r="J27" s="2">
        <v>0.5</v>
      </c>
    </row>
    <row r="28" spans="1:10" x14ac:dyDescent="0.2">
      <c r="A28" t="s">
        <v>90</v>
      </c>
      <c r="B28" s="2">
        <v>0</v>
      </c>
      <c r="C28" s="157">
        <f>DESPCAPITOL!M50</f>
        <v>0</v>
      </c>
      <c r="D28" s="2"/>
      <c r="E28" s="2"/>
      <c r="F28" s="2">
        <f t="shared" si="2"/>
        <v>0</v>
      </c>
      <c r="G28" s="2">
        <f t="shared" si="3"/>
        <v>0</v>
      </c>
      <c r="H28" s="2"/>
      <c r="I28" s="2"/>
      <c r="J28" s="2">
        <v>0.5</v>
      </c>
    </row>
    <row r="29" spans="1:10" x14ac:dyDescent="0.2">
      <c r="G29" s="2"/>
    </row>
    <row r="31" spans="1:10" x14ac:dyDescent="0.2">
      <c r="C31" s="26" t="s">
        <v>119</v>
      </c>
      <c r="G31" s="26" t="s">
        <v>120</v>
      </c>
    </row>
    <row r="32" spans="1:10" x14ac:dyDescent="0.2">
      <c r="A32" t="s">
        <v>98</v>
      </c>
      <c r="B32" t="s">
        <v>97</v>
      </c>
      <c r="C32" t="s">
        <v>99</v>
      </c>
      <c r="D32" t="s">
        <v>100</v>
      </c>
      <c r="E32" t="s">
        <v>101</v>
      </c>
      <c r="F32" t="s">
        <v>97</v>
      </c>
      <c r="G32" t="s">
        <v>99</v>
      </c>
      <c r="H32" t="s">
        <v>100</v>
      </c>
      <c r="I32" t="s">
        <v>101</v>
      </c>
    </row>
    <row r="33" spans="1:10" x14ac:dyDescent="0.2">
      <c r="A33" t="s">
        <v>91</v>
      </c>
      <c r="B33" s="2">
        <v>0.24280980121857321</v>
      </c>
      <c r="C33" s="157">
        <f>INGRCAPITOL!G42</f>
        <v>0.45812540990482853</v>
      </c>
      <c r="D33" s="2"/>
      <c r="E33" s="2"/>
      <c r="F33" s="2">
        <f t="shared" ref="F33:F41" si="4">B33</f>
        <v>0.24280980121857321</v>
      </c>
      <c r="G33" s="2">
        <f>C33-F33</f>
        <v>0.21531560868625532</v>
      </c>
      <c r="H33" s="2"/>
      <c r="I33" s="2"/>
      <c r="J33" s="2">
        <v>0.5</v>
      </c>
    </row>
    <row r="34" spans="1:10" x14ac:dyDescent="0.2">
      <c r="A34" t="s">
        <v>92</v>
      </c>
      <c r="B34" s="2">
        <v>0.25905149556149237</v>
      </c>
      <c r="C34" s="157">
        <f>INGRCAPITOL!G43</f>
        <v>0.51810299112298475</v>
      </c>
      <c r="D34" s="2"/>
      <c r="E34" s="2"/>
      <c r="F34" s="2">
        <f t="shared" si="4"/>
        <v>0.25905149556149237</v>
      </c>
      <c r="G34" s="2">
        <f t="shared" ref="G34:G41" si="5">C34-F34</f>
        <v>0.25905149556149237</v>
      </c>
      <c r="H34" s="2"/>
      <c r="I34" s="2"/>
      <c r="J34" s="2">
        <v>0.5</v>
      </c>
    </row>
    <row r="35" spans="1:10" x14ac:dyDescent="0.2">
      <c r="A35" t="s">
        <v>93</v>
      </c>
      <c r="B35" s="2">
        <v>1.2536659991370528E-2</v>
      </c>
      <c r="C35" s="157">
        <f>INGRCAPITOL!G44</f>
        <v>4.2094219407612266E-2</v>
      </c>
      <c r="D35" s="2"/>
      <c r="E35" s="2"/>
      <c r="F35" s="2">
        <f t="shared" si="4"/>
        <v>1.2536659991370528E-2</v>
      </c>
      <c r="G35" s="2">
        <f t="shared" si="5"/>
        <v>2.955755941624174E-2</v>
      </c>
      <c r="H35" s="2"/>
      <c r="I35" s="2"/>
      <c r="J35" s="2">
        <v>0.5</v>
      </c>
    </row>
    <row r="36" spans="1:10" x14ac:dyDescent="0.2">
      <c r="A36" t="s">
        <v>85</v>
      </c>
      <c r="B36" s="2">
        <v>0.21338140129855571</v>
      </c>
      <c r="C36" s="157">
        <f>INGRCAPITOL!G45</f>
        <v>0.4248031647471498</v>
      </c>
      <c r="D36" s="2"/>
      <c r="E36" s="2"/>
      <c r="F36" s="2">
        <f t="shared" si="4"/>
        <v>0.21338140129855571</v>
      </c>
      <c r="G36" s="2">
        <f t="shared" si="5"/>
        <v>0.21142176344859409</v>
      </c>
      <c r="H36" s="2"/>
      <c r="I36" s="2"/>
      <c r="J36" s="2">
        <v>0.5</v>
      </c>
    </row>
    <row r="37" spans="1:10" x14ac:dyDescent="0.2">
      <c r="A37" t="s">
        <v>94</v>
      </c>
      <c r="B37" s="2">
        <v>0.1387464725358557</v>
      </c>
      <c r="C37" s="157">
        <f>INGRCAPITOL!G46</f>
        <v>0.25016371005504134</v>
      </c>
      <c r="D37" s="2"/>
      <c r="E37" s="2"/>
      <c r="F37" s="2">
        <f t="shared" si="4"/>
        <v>0.1387464725358557</v>
      </c>
      <c r="G37" s="2">
        <f t="shared" si="5"/>
        <v>0.11141723751918564</v>
      </c>
      <c r="H37" s="2"/>
      <c r="I37" s="2"/>
      <c r="J37" s="2">
        <v>0.5</v>
      </c>
    </row>
    <row r="38" spans="1:10" x14ac:dyDescent="0.2">
      <c r="A38" t="s">
        <v>95</v>
      </c>
      <c r="B38" s="2">
        <v>1</v>
      </c>
      <c r="C38" s="157">
        <f>INGRCAPITOL!G47</f>
        <v>1</v>
      </c>
      <c r="D38" s="2"/>
      <c r="E38" s="2"/>
      <c r="F38" s="2">
        <f t="shared" si="4"/>
        <v>1</v>
      </c>
      <c r="G38" s="2">
        <f t="shared" si="5"/>
        <v>0</v>
      </c>
      <c r="H38" s="2"/>
      <c r="I38" s="2"/>
      <c r="J38" s="2">
        <v>0.5</v>
      </c>
    </row>
    <row r="39" spans="1:10" x14ac:dyDescent="0.2">
      <c r="A39" t="s">
        <v>88</v>
      </c>
      <c r="B39" s="2">
        <v>1</v>
      </c>
      <c r="C39" s="157">
        <f>INGRCAPITOL!G48</f>
        <v>1</v>
      </c>
      <c r="D39" s="2"/>
      <c r="E39" s="2"/>
      <c r="F39" s="2">
        <f t="shared" si="4"/>
        <v>1</v>
      </c>
      <c r="G39" s="2">
        <f t="shared" si="5"/>
        <v>0</v>
      </c>
      <c r="H39" s="2"/>
      <c r="I39" s="2"/>
      <c r="J39" s="2">
        <v>0.5</v>
      </c>
    </row>
    <row r="40" spans="1:10" x14ac:dyDescent="0.2">
      <c r="A40" t="s">
        <v>89</v>
      </c>
      <c r="B40" s="2">
        <v>8.0649723182242669E-4</v>
      </c>
      <c r="C40" s="157">
        <f>INGRCAPITOL!G49</f>
        <v>9.6086009407358975E-4</v>
      </c>
      <c r="D40" s="2"/>
      <c r="E40" s="2"/>
      <c r="F40" s="2">
        <f t="shared" si="4"/>
        <v>8.0649723182242669E-4</v>
      </c>
      <c r="G40" s="2">
        <f t="shared" si="5"/>
        <v>1.5436286225116306E-4</v>
      </c>
      <c r="H40" s="2"/>
      <c r="I40" s="2"/>
      <c r="J40" s="2">
        <v>0.5</v>
      </c>
    </row>
    <row r="41" spans="1:10" x14ac:dyDescent="0.2">
      <c r="A41" t="s">
        <v>90</v>
      </c>
      <c r="B41" s="2">
        <v>0</v>
      </c>
      <c r="C41" s="157">
        <f>INGRCAPITOL!G50</f>
        <v>0</v>
      </c>
      <c r="D41" s="2"/>
      <c r="E41" s="2"/>
      <c r="F41" s="2">
        <f t="shared" si="4"/>
        <v>0</v>
      </c>
      <c r="G41" s="2">
        <f t="shared" si="5"/>
        <v>0</v>
      </c>
      <c r="H41" s="2"/>
      <c r="I41" s="2"/>
      <c r="J41" s="2"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32</vt:i4>
      </vt:variant>
      <vt:variant>
        <vt:lpstr>Rangos con nombre</vt:lpstr>
      </vt:variant>
      <vt:variant>
        <vt:i4>14</vt:i4>
      </vt:variant>
    </vt:vector>
  </HeadingPairs>
  <TitlesOfParts>
    <vt:vector size="46" baseType="lpstr">
      <vt:lpstr>CREDDEF</vt:lpstr>
      <vt:lpstr>DESPAREA</vt:lpstr>
      <vt:lpstr>DESPCAPITOL</vt:lpstr>
      <vt:lpstr>DESPPROG</vt:lpstr>
      <vt:lpstr>INGRCAPITOL</vt:lpstr>
      <vt:lpstr>TCTS_DESPRGC</vt:lpstr>
      <vt:lpstr>TCTS_INGRCAP</vt:lpstr>
      <vt:lpstr>FINANÇAMENT</vt:lpstr>
      <vt:lpstr>ANUAL_TRIM</vt:lpstr>
      <vt:lpstr>H_CORP</vt:lpstr>
      <vt:lpstr>PREVISIONSFIANY</vt:lpstr>
      <vt:lpstr>ESTABILITAT</vt:lpstr>
      <vt:lpstr>REGLADESPESA</vt:lpstr>
      <vt:lpstr>ENDEUTAMENT</vt:lpstr>
      <vt:lpstr>Portada</vt:lpstr>
      <vt:lpstr>Dades globals</vt:lpstr>
      <vt:lpstr>A1_PREGESTIONAT</vt:lpstr>
      <vt:lpstr>A1B_FINANÇAMENT</vt:lpstr>
      <vt:lpstr>A2_EVOL</vt:lpstr>
      <vt:lpstr>A3CAP_GrauModif</vt:lpstr>
      <vt:lpstr>A4CAP_SitCred</vt:lpstr>
      <vt:lpstr>A5PROG_SITCRED</vt:lpstr>
      <vt:lpstr>A6AREA_GrauModif</vt:lpstr>
      <vt:lpstr>A7AREA_SitCred</vt:lpstr>
      <vt:lpstr>A8_SITINGR</vt:lpstr>
      <vt:lpstr>A9_EXEC</vt:lpstr>
      <vt:lpstr>A10_trimestres</vt:lpstr>
      <vt:lpstr>A11_PREVISIONS</vt:lpstr>
      <vt:lpstr>A12_LOEPSF</vt:lpstr>
      <vt:lpstr>Hoja1</vt:lpstr>
      <vt:lpstr>Full11</vt:lpstr>
      <vt:lpstr>A1_PREGESTIONAT_old</vt:lpstr>
      <vt:lpstr>A1_PREGESTIONAT!Área_de_impresión</vt:lpstr>
      <vt:lpstr>A1_PREGESTIONAT_old!Área_de_impresión</vt:lpstr>
      <vt:lpstr>A10_trimestres!Área_de_impresión</vt:lpstr>
      <vt:lpstr>A11_PREVISIONS!Área_de_impresión</vt:lpstr>
      <vt:lpstr>A12_LOEPSF!Área_de_impresión</vt:lpstr>
      <vt:lpstr>A1B_FINANÇAMENT!Área_de_impresión</vt:lpstr>
      <vt:lpstr>A2_EVOL!Área_de_impresión</vt:lpstr>
      <vt:lpstr>A3CAP_GrauModif!Área_de_impresión</vt:lpstr>
      <vt:lpstr>A4CAP_SitCred!Área_de_impresión</vt:lpstr>
      <vt:lpstr>A5PROG_SITCRED!Área_de_impresión</vt:lpstr>
      <vt:lpstr>A6AREA_GrauModif!Área_de_impresión</vt:lpstr>
      <vt:lpstr>A7AREA_SitCred!Área_de_impresión</vt:lpstr>
      <vt:lpstr>A8_SITINGR!Área_de_impresión</vt:lpstr>
      <vt:lpstr>A9_EXEC!Área_de_impresión</vt:lpstr>
    </vt:vector>
  </TitlesOfParts>
  <Company>DIPUTACIÓ DE TARRAGONA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Agustí Porta Odena</cp:lastModifiedBy>
  <cp:lastPrinted>2025-09-05T10:52:07Z</cp:lastPrinted>
  <dcterms:created xsi:type="dcterms:W3CDTF">2017-08-29T06:57:14Z</dcterms:created>
  <dcterms:modified xsi:type="dcterms:W3CDTF">2026-07-27T12:33:45Z</dcterms:modified>
</cp:coreProperties>
</file>