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charts/chart7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7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8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9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/>
  <mc:AlternateContent xmlns:mc="http://schemas.openxmlformats.org/markup-compatibility/2006">
    <mc:Choice Requires="x15">
      <x15ac:absPath xmlns:x15ac="http://schemas.microsoft.com/office/spreadsheetml/2010/11/ac" url="K:\Coordinacio General\Estrategia Corporativa\3. Transparència\PORTAL_AOC\GESTIÓ ECONÒMICA\Gestió econòmica-Pressupost\Execució press trimestral\Execució 2025\"/>
    </mc:Choice>
  </mc:AlternateContent>
  <xr:revisionPtr revIDLastSave="0" documentId="8_{0C9166D4-BC1B-45C4-970A-1335E4252AC0}" xr6:coauthVersionLast="47" xr6:coauthVersionMax="47" xr10:uidLastSave="{00000000-0000-0000-0000-000000000000}"/>
  <bookViews>
    <workbookView xWindow="-23148" yWindow="-108" windowWidth="23256" windowHeight="12456" tabRatio="828" firstSheet="11" activeTab="14" xr2:uid="{00000000-000D-0000-FFFF-FFFF00000000}"/>
  </bookViews>
  <sheets>
    <sheet name="CREDDEF" sheetId="21" r:id="rId1"/>
    <sheet name="DESPAREA" sheetId="1" r:id="rId2"/>
    <sheet name="DESPCAPITOL" sheetId="2" r:id="rId3"/>
    <sheet name="DESPPROG" sheetId="16" r:id="rId4"/>
    <sheet name="INGRCAPITOL" sheetId="3" r:id="rId5"/>
    <sheet name="TCTS_DESPRGC" sheetId="33" r:id="rId6"/>
    <sheet name="TCTS_INGRCAP" sheetId="34" r:id="rId7"/>
    <sheet name="FINANÇAMENT" sheetId="23" r:id="rId8"/>
    <sheet name="ANUAL_TRIM" sheetId="17" r:id="rId9"/>
    <sheet name="H_CORP" sheetId="14" r:id="rId10"/>
    <sheet name="PREVISIONSFIANY" sheetId="24" r:id="rId11"/>
    <sheet name="ESTABILITAT" sheetId="26" r:id="rId12"/>
    <sheet name="REGLADESPESA" sheetId="27" r:id="rId13"/>
    <sheet name="ENDEUTAMENT" sheetId="29" r:id="rId14"/>
    <sheet name="Portada" sheetId="9" r:id="rId15"/>
    <sheet name="Dades globals" sheetId="10" r:id="rId16"/>
    <sheet name="A1_PREGESTIONAT" sheetId="31" r:id="rId17"/>
    <sheet name="A1B_FINANÇAMENT" sheetId="32" r:id="rId18"/>
    <sheet name="A2_EVOL" sheetId="22" r:id="rId19"/>
    <sheet name="A3CAP_GrauModif" sheetId="4" r:id="rId20"/>
    <sheet name="A4CAP_SitCred" sheetId="5" r:id="rId21"/>
    <sheet name="A5PROG_SITCRED" sheetId="18" r:id="rId22"/>
    <sheet name="A6AREA_GrauModif" sheetId="6" r:id="rId23"/>
    <sheet name="A7AREA_SitCred" sheetId="7" r:id="rId24"/>
    <sheet name="A8_SITINGR" sheetId="8" r:id="rId25"/>
    <sheet name="A9_EXEC" sheetId="13" r:id="rId26"/>
    <sheet name="A10_trimestres" sheetId="19" r:id="rId27"/>
    <sheet name="A11_PREVISIONS" sheetId="25" r:id="rId28"/>
    <sheet name="A12_LOEPSF" sheetId="30" r:id="rId29"/>
    <sheet name="Hoja1" sheetId="35" r:id="rId30"/>
    <sheet name="Full11" sheetId="11" state="hidden" r:id="rId31"/>
    <sheet name="A1_PREGESTIONAT_old" sheetId="20" state="hidden" r:id="rId32"/>
  </sheets>
  <externalReferences>
    <externalReference r:id="rId33"/>
    <externalReference r:id="rId34"/>
  </externalReferences>
  <definedNames>
    <definedName name="_xlnm.Print_Area" localSheetId="16">A1_PREGESTIONAT!$A$1:$H$58</definedName>
    <definedName name="_xlnm.Print_Area" localSheetId="31">A1_PREGESTIONAT_old!$A$1:$H$55</definedName>
    <definedName name="_xlnm.Print_Area" localSheetId="26">A10_trimestres!$A$1:$I$71</definedName>
    <definedName name="_xlnm.Print_Area" localSheetId="27">A11_PREVISIONS!$A$1:$G$60</definedName>
    <definedName name="_xlnm.Print_Area" localSheetId="28">A12_LOEPSF!$A$1:$G$58</definedName>
    <definedName name="_xlnm.Print_Area" localSheetId="17">A1B_FINANÇAMENT!$A$1:$H$58</definedName>
    <definedName name="_xlnm.Print_Area" localSheetId="18">A2_EVOL!$A$1:$G$55</definedName>
    <definedName name="_xlnm.Print_Area" localSheetId="19">A3CAP_GrauModif!$A$1:$H$63</definedName>
    <definedName name="_xlnm.Print_Area" localSheetId="20">A4CAP_SitCred!$A$1:$H$70</definedName>
    <definedName name="_xlnm.Print_Area" localSheetId="21">A5PROG_SITCRED!$A$1:$H$63</definedName>
    <definedName name="_xlnm.Print_Area" localSheetId="22">A6AREA_GrauModif!$A$1:$G$53</definedName>
    <definedName name="_xlnm.Print_Area" localSheetId="23">A7AREA_SitCred!$A$1:$H$72</definedName>
    <definedName name="_xlnm.Print_Area" localSheetId="24">A8_SITINGR!$A$1:$H$68</definedName>
    <definedName name="_xlnm.Print_Area" localSheetId="25">A9_EXEC!$A$1:$H$69</definedName>
  </definedNames>
  <calcPr calcId="191029"/>
  <pivotCaches>
    <pivotCache cacheId="0" r:id="rId3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" i="2" l="1"/>
  <c r="G39" i="18"/>
  <c r="C5" i="2"/>
  <c r="J26" i="29"/>
  <c r="J25" i="29"/>
  <c r="C5" i="23"/>
  <c r="C9" i="23"/>
  <c r="L9" i="23"/>
  <c r="K9" i="23"/>
  <c r="J31" i="16"/>
  <c r="J32" i="16"/>
  <c r="J33" i="16"/>
  <c r="J34" i="16"/>
  <c r="J35" i="16"/>
  <c r="G49" i="34"/>
  <c r="L49" i="34" s="1"/>
  <c r="G48" i="34"/>
  <c r="L48" i="34" s="1"/>
  <c r="G47" i="34"/>
  <c r="G50" i="34"/>
  <c r="G46" i="34"/>
  <c r="L46" i="34" s="1"/>
  <c r="L45" i="34"/>
  <c r="L47" i="34"/>
  <c r="L50" i="34"/>
  <c r="G45" i="34"/>
  <c r="C45" i="34"/>
  <c r="C43" i="34"/>
  <c r="C44" i="34"/>
  <c r="C46" i="34"/>
  <c r="C47" i="34"/>
  <c r="C48" i="34"/>
  <c r="C49" i="34"/>
  <c r="C50" i="34"/>
  <c r="F35" i="2"/>
  <c r="L11" i="23" l="1"/>
  <c r="C8" i="23" s="1"/>
  <c r="K42" i="8"/>
  <c r="K39" i="8"/>
  <c r="F47" i="8"/>
  <c r="F46" i="8"/>
  <c r="F45" i="8"/>
  <c r="F39" i="8"/>
  <c r="F40" i="8"/>
  <c r="F41" i="8"/>
  <c r="F42" i="8"/>
  <c r="F43" i="8"/>
  <c r="F44" i="8"/>
  <c r="L35" i="16" l="1"/>
  <c r="L34" i="16"/>
  <c r="L33" i="16"/>
  <c r="L32" i="16"/>
  <c r="L31" i="16"/>
  <c r="L30" i="16"/>
  <c r="M30" i="16" s="1"/>
  <c r="M32" i="16"/>
  <c r="D37" i="29"/>
  <c r="D38" i="29" s="1"/>
  <c r="E18" i="29" s="1"/>
  <c r="D31" i="29"/>
  <c r="D35" i="29" s="1"/>
  <c r="D18" i="29"/>
  <c r="J17" i="27"/>
  <c r="G45" i="33"/>
  <c r="C45" i="33"/>
  <c r="H5" i="33"/>
  <c r="G7" i="3"/>
  <c r="I7" i="3"/>
  <c r="I2" i="3"/>
  <c r="I3" i="3"/>
  <c r="I4" i="3"/>
  <c r="I5" i="3"/>
  <c r="I6" i="3"/>
  <c r="G2" i="3"/>
  <c r="G3" i="3"/>
  <c r="G4" i="3"/>
  <c r="G5" i="3"/>
  <c r="G6" i="3"/>
  <c r="G10" i="3"/>
  <c r="G9" i="3"/>
  <c r="J8" i="3"/>
  <c r="J7" i="3"/>
  <c r="G8" i="3"/>
  <c r="J48" i="3"/>
  <c r="G48" i="3"/>
  <c r="D56" i="3"/>
  <c r="C22" i="21"/>
  <c r="B22" i="21"/>
  <c r="J18" i="27" l="1"/>
  <c r="F45" i="34"/>
  <c r="F46" i="34"/>
  <c r="F47" i="34"/>
  <c r="F48" i="34"/>
  <c r="F49" i="34"/>
  <c r="F50" i="34"/>
  <c r="D12" i="26" l="1"/>
  <c r="D13" i="26"/>
  <c r="E13" i="26"/>
  <c r="D11" i="24"/>
  <c r="E45" i="3"/>
  <c r="E43" i="3"/>
  <c r="E44" i="3"/>
  <c r="E46" i="3"/>
  <c r="E47" i="3"/>
  <c r="E48" i="3"/>
  <c r="E49" i="3"/>
  <c r="E50" i="3"/>
  <c r="D8" i="1"/>
  <c r="E5" i="2"/>
  <c r="E45" i="2" l="1"/>
  <c r="N43" i="2"/>
  <c r="N44" i="2"/>
  <c r="N45" i="2"/>
  <c r="N46" i="2"/>
  <c r="N47" i="2"/>
  <c r="N48" i="2"/>
  <c r="N49" i="2"/>
  <c r="N50" i="2"/>
  <c r="L43" i="2"/>
  <c r="L44" i="2"/>
  <c r="L45" i="2"/>
  <c r="L46" i="2"/>
  <c r="L47" i="2"/>
  <c r="L48" i="2"/>
  <c r="L49" i="2"/>
  <c r="L50" i="2"/>
  <c r="J43" i="2"/>
  <c r="J44" i="2"/>
  <c r="J45" i="2"/>
  <c r="J46" i="2"/>
  <c r="J47" i="2"/>
  <c r="J48" i="2"/>
  <c r="J49" i="2"/>
  <c r="J50" i="2"/>
  <c r="I43" i="2"/>
  <c r="I44" i="2"/>
  <c r="I45" i="2"/>
  <c r="I46" i="2"/>
  <c r="I47" i="2"/>
  <c r="I48" i="2"/>
  <c r="I49" i="2"/>
  <c r="I50" i="2"/>
  <c r="H43" i="2"/>
  <c r="H44" i="2"/>
  <c r="H45" i="2"/>
  <c r="H46" i="2"/>
  <c r="H47" i="2"/>
  <c r="H48" i="2"/>
  <c r="H49" i="2"/>
  <c r="H50" i="2"/>
  <c r="F43" i="2"/>
  <c r="F44" i="2"/>
  <c r="F45" i="2"/>
  <c r="F46" i="2"/>
  <c r="F47" i="2"/>
  <c r="F48" i="2"/>
  <c r="F49" i="2"/>
  <c r="F50" i="2"/>
  <c r="G43" i="2"/>
  <c r="G44" i="2"/>
  <c r="G45" i="2"/>
  <c r="G46" i="2"/>
  <c r="G47" i="2"/>
  <c r="G48" i="2"/>
  <c r="G49" i="2"/>
  <c r="G50" i="2"/>
  <c r="L13" i="34" l="1"/>
  <c r="L14" i="34"/>
  <c r="L15" i="34"/>
  <c r="L16" i="34"/>
  <c r="L17" i="34"/>
  <c r="L18" i="34"/>
  <c r="L19" i="34"/>
  <c r="L20" i="34"/>
  <c r="K13" i="34"/>
  <c r="K14" i="34"/>
  <c r="K15" i="34"/>
  <c r="K16" i="34"/>
  <c r="K17" i="34"/>
  <c r="K18" i="34"/>
  <c r="K19" i="34"/>
  <c r="K20" i="34"/>
  <c r="J13" i="34"/>
  <c r="J14" i="34"/>
  <c r="J15" i="34"/>
  <c r="J16" i="34"/>
  <c r="J17" i="34"/>
  <c r="J18" i="34"/>
  <c r="J19" i="34"/>
  <c r="J20" i="34"/>
  <c r="F13" i="34"/>
  <c r="F14" i="34"/>
  <c r="F15" i="34"/>
  <c r="F16" i="34"/>
  <c r="F17" i="34"/>
  <c r="F18" i="34"/>
  <c r="F19" i="34"/>
  <c r="L3" i="34"/>
  <c r="L4" i="34"/>
  <c r="L5" i="34"/>
  <c r="L6" i="34"/>
  <c r="L7" i="34"/>
  <c r="L8" i="34"/>
  <c r="L9" i="34"/>
  <c r="L10" i="34"/>
  <c r="K3" i="34"/>
  <c r="K4" i="34"/>
  <c r="K5" i="34"/>
  <c r="K6" i="34"/>
  <c r="K7" i="34"/>
  <c r="K8" i="34"/>
  <c r="K9" i="34"/>
  <c r="K10" i="34"/>
  <c r="F4" i="34"/>
  <c r="F5" i="34"/>
  <c r="F6" i="34"/>
  <c r="F7" i="34"/>
  <c r="J5" i="34"/>
  <c r="J6" i="34"/>
  <c r="J7" i="34"/>
  <c r="J8" i="34"/>
  <c r="I3" i="34"/>
  <c r="I4" i="34"/>
  <c r="I5" i="34"/>
  <c r="I6" i="34"/>
  <c r="I7" i="34"/>
  <c r="I8" i="34"/>
  <c r="I9" i="34"/>
  <c r="I10" i="34"/>
  <c r="I15" i="33"/>
  <c r="H14" i="33"/>
  <c r="H15" i="33"/>
  <c r="H4" i="33"/>
  <c r="H6" i="33"/>
  <c r="H7" i="33"/>
  <c r="H8" i="33"/>
  <c r="H9" i="33"/>
  <c r="H10" i="33"/>
  <c r="H3" i="33"/>
  <c r="D55" i="3"/>
  <c r="I50" i="3"/>
  <c r="H43" i="3"/>
  <c r="H44" i="3"/>
  <c r="H45" i="3"/>
  <c r="H46" i="3"/>
  <c r="H47" i="3"/>
  <c r="H48" i="3"/>
  <c r="H49" i="3"/>
  <c r="H50" i="3"/>
  <c r="F43" i="3"/>
  <c r="F44" i="3"/>
  <c r="F45" i="3"/>
  <c r="F46" i="3"/>
  <c r="F47" i="3"/>
  <c r="F48" i="3"/>
  <c r="F49" i="3"/>
  <c r="F50" i="3"/>
  <c r="J29" i="3"/>
  <c r="G29" i="3"/>
  <c r="J19" i="3"/>
  <c r="G19" i="3"/>
  <c r="L36" i="16"/>
  <c r="H32" i="16"/>
  <c r="H33" i="16"/>
  <c r="H34" i="16"/>
  <c r="H35" i="16"/>
  <c r="G32" i="16"/>
  <c r="G33" i="16"/>
  <c r="G34" i="16"/>
  <c r="G35" i="16"/>
  <c r="F32" i="16"/>
  <c r="F33" i="16"/>
  <c r="F34" i="16"/>
  <c r="F35" i="16"/>
  <c r="E32" i="16"/>
  <c r="E33" i="16"/>
  <c r="E34" i="16"/>
  <c r="E35" i="16"/>
  <c r="D32" i="16"/>
  <c r="D33" i="16"/>
  <c r="D34" i="16"/>
  <c r="D35" i="16"/>
  <c r="C32" i="16"/>
  <c r="C33" i="16"/>
  <c r="C34" i="16"/>
  <c r="C35" i="16"/>
  <c r="D22" i="16"/>
  <c r="E22" i="16"/>
  <c r="M4" i="16"/>
  <c r="M5" i="16"/>
  <c r="M6" i="16"/>
  <c r="M7" i="16"/>
  <c r="M3" i="16"/>
  <c r="J4" i="16"/>
  <c r="J5" i="16"/>
  <c r="J6" i="16"/>
  <c r="J7" i="16"/>
  <c r="J3" i="16"/>
  <c r="O4" i="16"/>
  <c r="O5" i="16"/>
  <c r="O6" i="16"/>
  <c r="O7" i="16"/>
  <c r="K4" i="16"/>
  <c r="K5" i="16"/>
  <c r="K6" i="16"/>
  <c r="K7" i="16"/>
  <c r="I30" i="2"/>
  <c r="I29" i="2"/>
  <c r="I28" i="2"/>
  <c r="H30" i="2"/>
  <c r="H29" i="2"/>
  <c r="H28" i="2"/>
  <c r="G30" i="2"/>
  <c r="G29" i="2"/>
  <c r="G28" i="2"/>
  <c r="F30" i="2"/>
  <c r="F29" i="2"/>
  <c r="F28" i="2"/>
  <c r="B8" i="1"/>
  <c r="E27" i="16"/>
  <c r="C31" i="16"/>
  <c r="C30" i="16"/>
  <c r="E30" i="3"/>
  <c r="E28" i="3"/>
  <c r="E23" i="3"/>
  <c r="E22" i="3"/>
  <c r="E20" i="3"/>
  <c r="E19" i="3"/>
  <c r="E18" i="3"/>
  <c r="E17" i="3"/>
  <c r="E16" i="3"/>
  <c r="J16" i="3" s="1"/>
  <c r="E15" i="3"/>
  <c r="E14" i="3"/>
  <c r="E13" i="3"/>
  <c r="E12" i="3"/>
  <c r="E3" i="3"/>
  <c r="E4" i="3"/>
  <c r="E5" i="3"/>
  <c r="E6" i="3"/>
  <c r="E7" i="3"/>
  <c r="E8" i="3"/>
  <c r="E9" i="3"/>
  <c r="E10" i="3"/>
  <c r="E35" i="2"/>
  <c r="E30" i="2"/>
  <c r="E29" i="2"/>
  <c r="E28" i="2"/>
  <c r="E20" i="2"/>
  <c r="E19" i="2"/>
  <c r="E18" i="2"/>
  <c r="C13" i="26"/>
  <c r="O27" i="16"/>
  <c r="O29" i="16"/>
  <c r="I34" i="16"/>
  <c r="J10" i="3" l="1"/>
  <c r="I10" i="3"/>
  <c r="I9" i="3"/>
  <c r="G16" i="3"/>
  <c r="E2" i="3"/>
  <c r="O10" i="2"/>
  <c r="O9" i="2"/>
  <c r="O6" i="2"/>
  <c r="E14" i="1"/>
  <c r="I20" i="34"/>
  <c r="I19" i="34"/>
  <c r="I18" i="34"/>
  <c r="I17" i="34"/>
  <c r="I16" i="34"/>
  <c r="I15" i="34"/>
  <c r="I14" i="34"/>
  <c r="I13" i="34"/>
  <c r="I12" i="34"/>
  <c r="F30" i="34"/>
  <c r="F29" i="34"/>
  <c r="F28" i="34"/>
  <c r="F27" i="34"/>
  <c r="F26" i="34"/>
  <c r="F25" i="34"/>
  <c r="F24" i="34"/>
  <c r="F23" i="34"/>
  <c r="F22" i="34"/>
  <c r="F20" i="34"/>
  <c r="F12" i="34"/>
  <c r="H20" i="33"/>
  <c r="H19" i="33"/>
  <c r="H18" i="33"/>
  <c r="H17" i="33"/>
  <c r="H16" i="33"/>
  <c r="H13" i="33"/>
  <c r="H12" i="33"/>
  <c r="G13" i="24"/>
  <c r="C15" i="21"/>
  <c r="C11" i="21"/>
  <c r="C14" i="21" s="1"/>
  <c r="C10" i="21"/>
  <c r="C12" i="21" s="1"/>
  <c r="E10" i="31" s="1"/>
  <c r="B15" i="21"/>
  <c r="E11" i="2" l="1"/>
  <c r="B14" i="21"/>
  <c r="B10" i="21"/>
  <c r="B12" i="21" s="1"/>
  <c r="E22" i="21" l="1"/>
  <c r="C49" i="3" l="1"/>
  <c r="I15" i="3"/>
  <c r="D17" i="29"/>
  <c r="K27" i="16" l="1"/>
  <c r="M27" i="16"/>
  <c r="C12" i="26"/>
  <c r="F35" i="34"/>
  <c r="I24" i="34"/>
  <c r="I26" i="34"/>
  <c r="I29" i="34"/>
  <c r="I30" i="34"/>
  <c r="H15" i="29"/>
  <c r="F16" i="29"/>
  <c r="H16" i="29" s="1"/>
  <c r="D30" i="29" l="1"/>
  <c r="G12" i="24" l="1"/>
  <c r="C57" i="3" l="1"/>
  <c r="C56" i="3"/>
  <c r="C58" i="3" s="1"/>
  <c r="D57" i="3"/>
  <c r="D49" i="3"/>
  <c r="M7" i="31"/>
  <c r="H35" i="33"/>
  <c r="I35" i="33"/>
  <c r="G33" i="29"/>
  <c r="H33" i="29"/>
  <c r="H30" i="33"/>
  <c r="H29" i="33"/>
  <c r="H28" i="33"/>
  <c r="H27" i="33"/>
  <c r="H23" i="33"/>
  <c r="H22" i="33"/>
  <c r="H2" i="33"/>
  <c r="D29" i="29"/>
  <c r="I33" i="29" l="1"/>
  <c r="D28" i="29"/>
  <c r="J16" i="27"/>
  <c r="D10" i="26"/>
  <c r="C11" i="26"/>
  <c r="F8" i="24"/>
  <c r="F11" i="24" s="1"/>
  <c r="E8" i="24"/>
  <c r="E11" i="24" s="1"/>
  <c r="D8" i="24"/>
  <c r="C8" i="24"/>
  <c r="C11" i="24" s="1"/>
  <c r="F29" i="24"/>
  <c r="E29" i="24"/>
  <c r="D29" i="24"/>
  <c r="C29" i="24"/>
  <c r="G14" i="24"/>
  <c r="F14" i="24"/>
  <c r="E14" i="24"/>
  <c r="D14" i="24"/>
  <c r="C14" i="24"/>
  <c r="G28" i="24"/>
  <c r="G27" i="24"/>
  <c r="G25" i="24"/>
  <c r="G24" i="24"/>
  <c r="G19" i="24"/>
  <c r="G20" i="24"/>
  <c r="G21" i="24"/>
  <c r="G22" i="24"/>
  <c r="G18" i="24"/>
  <c r="F23" i="24"/>
  <c r="F26" i="24" s="1"/>
  <c r="F30" i="24" s="1"/>
  <c r="E23" i="24"/>
  <c r="E26" i="24" s="1"/>
  <c r="D23" i="24"/>
  <c r="D26" i="24" s="1"/>
  <c r="C23" i="24"/>
  <c r="C26" i="24" s="1"/>
  <c r="G10" i="24"/>
  <c r="G9" i="24"/>
  <c r="G4" i="24"/>
  <c r="G5" i="24"/>
  <c r="G6" i="24"/>
  <c r="G7" i="24"/>
  <c r="G3" i="24"/>
  <c r="F17" i="29" l="1"/>
  <c r="H17" i="29" s="1"/>
  <c r="F18" i="29"/>
  <c r="H18" i="29" s="1"/>
  <c r="D15" i="24"/>
  <c r="E30" i="24"/>
  <c r="D30" i="24"/>
  <c r="F15" i="24"/>
  <c r="E15" i="24"/>
  <c r="G29" i="24"/>
  <c r="C15" i="24"/>
  <c r="G23" i="24"/>
  <c r="G26" i="24" s="1"/>
  <c r="C30" i="24"/>
  <c r="G8" i="24"/>
  <c r="D11" i="26"/>
  <c r="G30" i="24" l="1"/>
  <c r="B21" i="21" s="1"/>
  <c r="G11" i="24"/>
  <c r="G15" i="24" s="1"/>
  <c r="B20" i="21" s="1"/>
  <c r="I3" i="1"/>
  <c r="C48" i="7" l="1"/>
  <c r="D45" i="7" l="1"/>
  <c r="D46" i="7"/>
  <c r="D47" i="7"/>
  <c r="D48" i="7"/>
  <c r="D49" i="7"/>
  <c r="D43" i="7"/>
  <c r="C41" i="7"/>
  <c r="C45" i="7"/>
  <c r="J35" i="34"/>
  <c r="I35" i="34"/>
  <c r="F10" i="34"/>
  <c r="F9" i="34"/>
  <c r="F8" i="34"/>
  <c r="F3" i="34"/>
  <c r="F2" i="34"/>
  <c r="I2" i="34"/>
  <c r="I2" i="33" l="1"/>
  <c r="G34" i="24" l="1"/>
  <c r="G24" i="3" l="1"/>
  <c r="I24" i="3"/>
  <c r="G25" i="3"/>
  <c r="I25" i="3"/>
  <c r="G26" i="3"/>
  <c r="I26" i="3"/>
  <c r="D9" i="26" l="1"/>
  <c r="D8" i="26"/>
  <c r="C9" i="26"/>
  <c r="C10" i="26"/>
  <c r="E35" i="3"/>
  <c r="C47" i="6"/>
  <c r="J13" i="16"/>
  <c r="C45" i="2"/>
  <c r="C42" i="2"/>
  <c r="I6" i="1"/>
  <c r="D58" i="3" l="1"/>
  <c r="E55" i="3"/>
  <c r="G28" i="17"/>
  <c r="C49" i="7"/>
  <c r="J12" i="1"/>
  <c r="I50" i="34"/>
  <c r="H11" i="33"/>
  <c r="H34" i="17"/>
  <c r="H35" i="17"/>
  <c r="H36" i="17"/>
  <c r="H37" i="17"/>
  <c r="H38" i="17"/>
  <c r="H39" i="17"/>
  <c r="H40" i="17"/>
  <c r="H41" i="17"/>
  <c r="H33" i="17"/>
  <c r="H21" i="17"/>
  <c r="H22" i="17"/>
  <c r="H23" i="17"/>
  <c r="H24" i="17"/>
  <c r="H25" i="17"/>
  <c r="H26" i="17"/>
  <c r="H27" i="17"/>
  <c r="H28" i="17"/>
  <c r="H20" i="17"/>
  <c r="H8" i="17"/>
  <c r="H9" i="17"/>
  <c r="H10" i="17"/>
  <c r="H11" i="17"/>
  <c r="H12" i="17"/>
  <c r="H13" i="17"/>
  <c r="H14" i="17"/>
  <c r="H15" i="17"/>
  <c r="H7" i="17"/>
  <c r="G15" i="17"/>
  <c r="K39" i="7"/>
  <c r="M2" i="31"/>
  <c r="H50" i="34"/>
  <c r="E50" i="34"/>
  <c r="D50" i="34"/>
  <c r="H49" i="34"/>
  <c r="E49" i="34"/>
  <c r="D49" i="34"/>
  <c r="H48" i="34"/>
  <c r="E48" i="34"/>
  <c r="D48" i="34"/>
  <c r="H47" i="34"/>
  <c r="E47" i="34"/>
  <c r="D47" i="34"/>
  <c r="H46" i="34"/>
  <c r="E46" i="34"/>
  <c r="D46" i="34"/>
  <c r="H45" i="34"/>
  <c r="E45" i="34"/>
  <c r="D45" i="34"/>
  <c r="H44" i="34"/>
  <c r="G44" i="34"/>
  <c r="E44" i="34"/>
  <c r="D44" i="34"/>
  <c r="H43" i="34"/>
  <c r="G43" i="34"/>
  <c r="E43" i="34"/>
  <c r="D43" i="34"/>
  <c r="H42" i="34"/>
  <c r="G42" i="34"/>
  <c r="E42" i="34"/>
  <c r="D42" i="34"/>
  <c r="C42" i="34"/>
  <c r="H41" i="34"/>
  <c r="G41" i="34"/>
  <c r="E41" i="34"/>
  <c r="D41" i="34"/>
  <c r="C41" i="34"/>
  <c r="F41" i="34"/>
  <c r="H31" i="34"/>
  <c r="G31" i="34"/>
  <c r="E31" i="34"/>
  <c r="D31" i="34"/>
  <c r="C31" i="34"/>
  <c r="L30" i="34"/>
  <c r="J30" i="34"/>
  <c r="K30" i="34" s="1"/>
  <c r="L29" i="34"/>
  <c r="J29" i="34"/>
  <c r="K29" i="34" s="1"/>
  <c r="L28" i="34"/>
  <c r="J28" i="34"/>
  <c r="K28" i="34" s="1"/>
  <c r="L27" i="34"/>
  <c r="J27" i="34"/>
  <c r="K27" i="34" s="1"/>
  <c r="I27" i="34"/>
  <c r="L26" i="34"/>
  <c r="J26" i="34"/>
  <c r="K26" i="34" s="1"/>
  <c r="I46" i="34"/>
  <c r="L25" i="34"/>
  <c r="J25" i="34"/>
  <c r="K25" i="34" s="1"/>
  <c r="I25" i="34"/>
  <c r="L24" i="34"/>
  <c r="J24" i="34"/>
  <c r="K24" i="34" s="1"/>
  <c r="L23" i="34"/>
  <c r="J23" i="34"/>
  <c r="K23" i="34" s="1"/>
  <c r="I23" i="34"/>
  <c r="L22" i="34"/>
  <c r="J22" i="34"/>
  <c r="K22" i="34" s="1"/>
  <c r="I22" i="34"/>
  <c r="H21" i="34"/>
  <c r="G21" i="34"/>
  <c r="E21" i="34"/>
  <c r="D21" i="34"/>
  <c r="C21" i="34"/>
  <c r="L12" i="34"/>
  <c r="J12" i="34"/>
  <c r="H11" i="34"/>
  <c r="G11" i="34"/>
  <c r="E11" i="34"/>
  <c r="D11" i="34"/>
  <c r="C11" i="34"/>
  <c r="J10" i="34"/>
  <c r="J9" i="34"/>
  <c r="J4" i="34"/>
  <c r="J3" i="34"/>
  <c r="F11" i="34"/>
  <c r="L2" i="34"/>
  <c r="J2" i="34"/>
  <c r="K2" i="34" s="1"/>
  <c r="F42" i="34"/>
  <c r="G50" i="33"/>
  <c r="F50" i="33"/>
  <c r="D50" i="33"/>
  <c r="C50" i="33"/>
  <c r="G49" i="33"/>
  <c r="F49" i="33"/>
  <c r="D49" i="33"/>
  <c r="C49" i="33"/>
  <c r="G48" i="33"/>
  <c r="F48" i="33"/>
  <c r="D48" i="33"/>
  <c r="C48" i="33"/>
  <c r="G47" i="33"/>
  <c r="F47" i="33"/>
  <c r="E47" i="33"/>
  <c r="D47" i="33"/>
  <c r="C47" i="33"/>
  <c r="G46" i="33"/>
  <c r="F46" i="33"/>
  <c r="D46" i="33"/>
  <c r="C46" i="33"/>
  <c r="F45" i="33"/>
  <c r="D45" i="33"/>
  <c r="G44" i="33"/>
  <c r="F44" i="33"/>
  <c r="D44" i="33"/>
  <c r="C44" i="33"/>
  <c r="G43" i="33"/>
  <c r="F43" i="33"/>
  <c r="E43" i="33"/>
  <c r="D43" i="33"/>
  <c r="C43" i="33"/>
  <c r="G42" i="33"/>
  <c r="F42" i="33"/>
  <c r="D42" i="33"/>
  <c r="C42" i="33"/>
  <c r="G41" i="33"/>
  <c r="F41" i="33"/>
  <c r="D41" i="33"/>
  <c r="C41" i="33"/>
  <c r="I41" i="33"/>
  <c r="G31" i="33"/>
  <c r="F31" i="33"/>
  <c r="D31" i="33"/>
  <c r="C31" i="33"/>
  <c r="I30" i="33"/>
  <c r="I29" i="33"/>
  <c r="J29" i="33" s="1"/>
  <c r="I28" i="33"/>
  <c r="H48" i="33"/>
  <c r="I27" i="33"/>
  <c r="J27" i="33" s="1"/>
  <c r="I26" i="33"/>
  <c r="H26" i="33"/>
  <c r="H46" i="33" s="1"/>
  <c r="I25" i="33"/>
  <c r="H25" i="33"/>
  <c r="H45" i="33" s="1"/>
  <c r="I24" i="33"/>
  <c r="I23" i="33"/>
  <c r="J23" i="33" s="1"/>
  <c r="I22" i="33"/>
  <c r="J22" i="33" s="1"/>
  <c r="G21" i="33"/>
  <c r="F21" i="33"/>
  <c r="E21" i="33"/>
  <c r="D21" i="33"/>
  <c r="C21" i="33"/>
  <c r="I20" i="33"/>
  <c r="J20" i="33" s="1"/>
  <c r="I19" i="33"/>
  <c r="I18" i="33"/>
  <c r="I17" i="33"/>
  <c r="J17" i="33" s="1"/>
  <c r="I16" i="33"/>
  <c r="J16" i="33" s="1"/>
  <c r="H21" i="33"/>
  <c r="I14" i="33"/>
  <c r="J14" i="33" s="1"/>
  <c r="I13" i="33"/>
  <c r="J13" i="33" s="1"/>
  <c r="I12" i="33"/>
  <c r="J12" i="33" s="1"/>
  <c r="G11" i="33"/>
  <c r="F11" i="33"/>
  <c r="D11" i="33"/>
  <c r="C11" i="33"/>
  <c r="I10" i="33"/>
  <c r="I9" i="33"/>
  <c r="I8" i="33"/>
  <c r="J8" i="33" s="1"/>
  <c r="I7" i="33"/>
  <c r="J7" i="33" s="1"/>
  <c r="H47" i="33"/>
  <c r="I6" i="33"/>
  <c r="J6" i="33" s="1"/>
  <c r="I5" i="33"/>
  <c r="J5" i="33" s="1"/>
  <c r="I4" i="33"/>
  <c r="J4" i="33" s="1"/>
  <c r="I3" i="33"/>
  <c r="J3" i="33" s="1"/>
  <c r="H43" i="33"/>
  <c r="I6" i="27"/>
  <c r="J6" i="27" s="1"/>
  <c r="C8" i="26"/>
  <c r="D7" i="26"/>
  <c r="C7" i="26"/>
  <c r="D6" i="26"/>
  <c r="C6" i="26"/>
  <c r="D5" i="26"/>
  <c r="C5" i="26"/>
  <c r="E4" i="26"/>
  <c r="D4" i="26" s="1"/>
  <c r="C4" i="26"/>
  <c r="C3" i="26"/>
  <c r="C2" i="26"/>
  <c r="A31" i="14"/>
  <c r="A30" i="14"/>
  <c r="A29" i="14"/>
  <c r="J14" i="14"/>
  <c r="I14" i="14"/>
  <c r="H14" i="14"/>
  <c r="F41" i="17"/>
  <c r="F28" i="17"/>
  <c r="F15" i="17"/>
  <c r="E57" i="3"/>
  <c r="E47" i="8"/>
  <c r="B6" i="23"/>
  <c r="D50" i="3"/>
  <c r="C50" i="3"/>
  <c r="G46" i="8"/>
  <c r="E45" i="8"/>
  <c r="D48" i="3"/>
  <c r="C48" i="3"/>
  <c r="G44" i="8"/>
  <c r="C44" i="8"/>
  <c r="D47" i="3"/>
  <c r="C47" i="3"/>
  <c r="G43" i="8"/>
  <c r="E43" i="8"/>
  <c r="C43" i="8"/>
  <c r="D46" i="3"/>
  <c r="C46" i="3"/>
  <c r="D45" i="3"/>
  <c r="C45" i="3"/>
  <c r="G41" i="8"/>
  <c r="D44" i="3"/>
  <c r="C44" i="3"/>
  <c r="G40" i="8"/>
  <c r="E40" i="8"/>
  <c r="C40" i="8"/>
  <c r="D43" i="3"/>
  <c r="C43" i="3"/>
  <c r="H42" i="3"/>
  <c r="G39" i="8" s="1"/>
  <c r="F42" i="3"/>
  <c r="E39" i="8" s="1"/>
  <c r="E42" i="3"/>
  <c r="D42" i="3"/>
  <c r="C42" i="3"/>
  <c r="H41" i="3"/>
  <c r="F41" i="3"/>
  <c r="E41" i="3"/>
  <c r="D41" i="3"/>
  <c r="C41" i="3"/>
  <c r="H31" i="3"/>
  <c r="F31" i="3"/>
  <c r="E15" i="32" s="1"/>
  <c r="E31" i="3"/>
  <c r="D15" i="32" s="1"/>
  <c r="D31" i="3"/>
  <c r="C31" i="3"/>
  <c r="J30" i="3"/>
  <c r="I30" i="3"/>
  <c r="G30" i="3"/>
  <c r="I29" i="3"/>
  <c r="J28" i="3"/>
  <c r="I28" i="3"/>
  <c r="G28" i="3"/>
  <c r="J27" i="3"/>
  <c r="I27" i="3"/>
  <c r="G27" i="3"/>
  <c r="J26" i="3"/>
  <c r="J25" i="3"/>
  <c r="J24" i="3"/>
  <c r="J23" i="3"/>
  <c r="I23" i="3"/>
  <c r="G23" i="3"/>
  <c r="J22" i="3"/>
  <c r="I22" i="3"/>
  <c r="G22" i="3"/>
  <c r="H21" i="3"/>
  <c r="F21" i="3"/>
  <c r="E16" i="31" s="1"/>
  <c r="E21" i="3"/>
  <c r="D16" i="32" s="1"/>
  <c r="D21" i="3"/>
  <c r="C21" i="3"/>
  <c r="J20" i="3"/>
  <c r="I20" i="3"/>
  <c r="G20" i="3"/>
  <c r="I19" i="3"/>
  <c r="J18" i="3"/>
  <c r="I18" i="3"/>
  <c r="G18" i="3"/>
  <c r="J17" i="3"/>
  <c r="I17" i="3"/>
  <c r="G17" i="3"/>
  <c r="I16" i="3"/>
  <c r="J15" i="3"/>
  <c r="G15" i="3"/>
  <c r="J14" i="3"/>
  <c r="I14" i="3"/>
  <c r="G14" i="3"/>
  <c r="J13" i="3"/>
  <c r="I13" i="3"/>
  <c r="G13" i="3"/>
  <c r="J12" i="3"/>
  <c r="I12" i="3"/>
  <c r="G12" i="3"/>
  <c r="H11" i="3"/>
  <c r="F11" i="3"/>
  <c r="E14" i="31" s="1"/>
  <c r="E11" i="3"/>
  <c r="D14" i="32" s="1"/>
  <c r="D11" i="3"/>
  <c r="C11" i="3"/>
  <c r="J9" i="3"/>
  <c r="I8" i="3"/>
  <c r="J6" i="3"/>
  <c r="J5" i="3"/>
  <c r="J4" i="3"/>
  <c r="J3" i="3"/>
  <c r="J2" i="3"/>
  <c r="N35" i="16"/>
  <c r="F43" i="18"/>
  <c r="I35" i="16"/>
  <c r="D43" i="18"/>
  <c r="C43" i="18"/>
  <c r="N34" i="16"/>
  <c r="F42" i="18"/>
  <c r="C42" i="18"/>
  <c r="N33" i="16"/>
  <c r="F41" i="18"/>
  <c r="I33" i="16"/>
  <c r="D41" i="18"/>
  <c r="C41" i="18"/>
  <c r="N32" i="16"/>
  <c r="F40" i="18"/>
  <c r="I32" i="16"/>
  <c r="D40" i="18"/>
  <c r="C40" i="18"/>
  <c r="N31" i="16"/>
  <c r="F39" i="18"/>
  <c r="I31" i="16"/>
  <c r="H31" i="16"/>
  <c r="G31" i="16"/>
  <c r="F31" i="16"/>
  <c r="E31" i="16"/>
  <c r="D31" i="16"/>
  <c r="C39" i="18"/>
  <c r="N30" i="16"/>
  <c r="F38" i="18"/>
  <c r="I30" i="16"/>
  <c r="H30" i="16"/>
  <c r="G30" i="16"/>
  <c r="F30" i="16"/>
  <c r="E30" i="16"/>
  <c r="D38" i="18" s="1"/>
  <c r="D30" i="16"/>
  <c r="N29" i="16"/>
  <c r="L29" i="16"/>
  <c r="J29" i="16"/>
  <c r="I29" i="16"/>
  <c r="H29" i="16"/>
  <c r="G29" i="16"/>
  <c r="F29" i="16"/>
  <c r="E29" i="16"/>
  <c r="D29" i="16"/>
  <c r="C29" i="16"/>
  <c r="N22" i="16"/>
  <c r="L22" i="16"/>
  <c r="I22" i="16"/>
  <c r="H22" i="16"/>
  <c r="G22" i="16"/>
  <c r="F22" i="16"/>
  <c r="C22" i="16"/>
  <c r="O21" i="16"/>
  <c r="M21" i="16"/>
  <c r="J21" i="16"/>
  <c r="K21" i="16" s="1"/>
  <c r="O20" i="16"/>
  <c r="M20" i="16"/>
  <c r="J20" i="16"/>
  <c r="K20" i="16"/>
  <c r="O19" i="16"/>
  <c r="M19" i="16"/>
  <c r="J19" i="16"/>
  <c r="K19" i="16"/>
  <c r="O18" i="16"/>
  <c r="M18" i="16"/>
  <c r="J18" i="16"/>
  <c r="K18" i="16"/>
  <c r="O17" i="16"/>
  <c r="M17" i="16"/>
  <c r="J17" i="16"/>
  <c r="K17" i="16"/>
  <c r="O16" i="16"/>
  <c r="M16" i="16"/>
  <c r="J16" i="16"/>
  <c r="K16" i="16"/>
  <c r="N15" i="16"/>
  <c r="L15" i="16"/>
  <c r="I15" i="16"/>
  <c r="H15" i="16"/>
  <c r="G15" i="16"/>
  <c r="F15" i="16"/>
  <c r="E15" i="16"/>
  <c r="D15" i="16"/>
  <c r="C15" i="16"/>
  <c r="M14" i="16"/>
  <c r="J14" i="16"/>
  <c r="K14" i="16" s="1"/>
  <c r="O13" i="16"/>
  <c r="M13" i="16"/>
  <c r="K13" i="16"/>
  <c r="O12" i="16"/>
  <c r="M12" i="16"/>
  <c r="J12" i="16"/>
  <c r="K12" i="16"/>
  <c r="O11" i="16"/>
  <c r="M11" i="16"/>
  <c r="J11" i="16"/>
  <c r="O10" i="16"/>
  <c r="M10" i="16"/>
  <c r="J10" i="16"/>
  <c r="K10" i="16" s="1"/>
  <c r="O9" i="16"/>
  <c r="M9" i="16"/>
  <c r="J9" i="16"/>
  <c r="K9" i="16" s="1"/>
  <c r="N8" i="16"/>
  <c r="L8" i="16"/>
  <c r="I8" i="16"/>
  <c r="H8" i="16"/>
  <c r="G8" i="16"/>
  <c r="F8" i="16"/>
  <c r="E8" i="16"/>
  <c r="D8" i="16"/>
  <c r="C8" i="16"/>
  <c r="E42" i="18"/>
  <c r="O3" i="16"/>
  <c r="E39" i="18"/>
  <c r="F48" i="5"/>
  <c r="E48" i="5"/>
  <c r="D48" i="5"/>
  <c r="C48" i="5"/>
  <c r="E50" i="2"/>
  <c r="D50" i="2"/>
  <c r="E44" i="4" s="1"/>
  <c r="C50" i="2"/>
  <c r="D44" i="4" s="1"/>
  <c r="F47" i="5"/>
  <c r="L47" i="5" s="1"/>
  <c r="E47" i="5"/>
  <c r="D47" i="5"/>
  <c r="C47" i="5"/>
  <c r="E49" i="2"/>
  <c r="D49" i="2"/>
  <c r="E43" i="4" s="1"/>
  <c r="C49" i="2"/>
  <c r="D43" i="4" s="1"/>
  <c r="F46" i="5"/>
  <c r="L46" i="5" s="1"/>
  <c r="E46" i="5"/>
  <c r="D46" i="5"/>
  <c r="C46" i="5"/>
  <c r="E48" i="2"/>
  <c r="D48" i="2"/>
  <c r="E42" i="4" s="1"/>
  <c r="C48" i="2"/>
  <c r="D42" i="4" s="1"/>
  <c r="F45" i="5"/>
  <c r="L45" i="5" s="1"/>
  <c r="E45" i="5"/>
  <c r="D45" i="5"/>
  <c r="C45" i="5"/>
  <c r="E47" i="2"/>
  <c r="D47" i="2"/>
  <c r="E41" i="4" s="1"/>
  <c r="C47" i="2"/>
  <c r="D41" i="4" s="1"/>
  <c r="G44" i="5"/>
  <c r="F44" i="5"/>
  <c r="L44" i="5" s="1"/>
  <c r="E44" i="5"/>
  <c r="D44" i="5"/>
  <c r="C44" i="5"/>
  <c r="E46" i="2"/>
  <c r="D46" i="2"/>
  <c r="E40" i="4" s="1"/>
  <c r="C46" i="2"/>
  <c r="D40" i="4" s="1"/>
  <c r="F43" i="5"/>
  <c r="L43" i="5" s="1"/>
  <c r="E43" i="5"/>
  <c r="D43" i="5"/>
  <c r="C43" i="5"/>
  <c r="D45" i="2"/>
  <c r="E39" i="4" s="1"/>
  <c r="D39" i="4"/>
  <c r="G42" i="5"/>
  <c r="M42" i="5" s="1"/>
  <c r="F42" i="5"/>
  <c r="L42" i="5" s="1"/>
  <c r="E42" i="5"/>
  <c r="D42" i="5"/>
  <c r="C42" i="5"/>
  <c r="E44" i="2"/>
  <c r="D44" i="2"/>
  <c r="E38" i="4" s="1"/>
  <c r="C44" i="2"/>
  <c r="D38" i="4" s="1"/>
  <c r="F41" i="5"/>
  <c r="D41" i="5"/>
  <c r="C41" i="5"/>
  <c r="E43" i="2"/>
  <c r="D43" i="2"/>
  <c r="E37" i="4" s="1"/>
  <c r="C43" i="2"/>
  <c r="N42" i="2"/>
  <c r="L42" i="2"/>
  <c r="G40" i="5" s="1"/>
  <c r="M40" i="5" s="1"/>
  <c r="I42" i="2"/>
  <c r="F40" i="5" s="1"/>
  <c r="L40" i="5" s="1"/>
  <c r="H42" i="2"/>
  <c r="E40" i="5" s="1"/>
  <c r="G42" i="2"/>
  <c r="D40" i="5" s="1"/>
  <c r="F42" i="2"/>
  <c r="C40" i="5" s="1"/>
  <c r="E42" i="2"/>
  <c r="D42" i="2"/>
  <c r="E36" i="4" s="1"/>
  <c r="N41" i="2"/>
  <c r="L41" i="2"/>
  <c r="G14" i="20" s="1"/>
  <c r="I41" i="2"/>
  <c r="H41" i="2"/>
  <c r="G41" i="2"/>
  <c r="F41" i="2"/>
  <c r="E41" i="2"/>
  <c r="D14" i="20" s="1"/>
  <c r="D41" i="2"/>
  <c r="C41" i="2"/>
  <c r="J35" i="2"/>
  <c r="J41" i="2" s="1"/>
  <c r="I31" i="2"/>
  <c r="H31" i="2"/>
  <c r="G31" i="2"/>
  <c r="F31" i="2"/>
  <c r="E31" i="2"/>
  <c r="D31" i="2"/>
  <c r="C31" i="2"/>
  <c r="O27" i="2"/>
  <c r="M27" i="2"/>
  <c r="J27" i="2"/>
  <c r="K27" i="2" s="1"/>
  <c r="O26" i="2"/>
  <c r="M26" i="2"/>
  <c r="J26" i="2"/>
  <c r="K26" i="2" s="1"/>
  <c r="O25" i="2"/>
  <c r="M25" i="2"/>
  <c r="J25" i="2"/>
  <c r="K25" i="2" s="1"/>
  <c r="O24" i="2"/>
  <c r="M24" i="2"/>
  <c r="J24" i="2"/>
  <c r="K24" i="2" s="1"/>
  <c r="O23" i="2"/>
  <c r="M23" i="2"/>
  <c r="J23" i="2"/>
  <c r="K23" i="2" s="1"/>
  <c r="O22" i="2"/>
  <c r="M22" i="2"/>
  <c r="J22" i="2"/>
  <c r="K22" i="2" s="1"/>
  <c r="N21" i="2"/>
  <c r="L21" i="2"/>
  <c r="I21" i="2"/>
  <c r="H21" i="2"/>
  <c r="G21" i="2"/>
  <c r="F21" i="2"/>
  <c r="E21" i="2"/>
  <c r="D21" i="2"/>
  <c r="C21" i="2"/>
  <c r="O20" i="2"/>
  <c r="M20" i="2"/>
  <c r="J20" i="2"/>
  <c r="O19" i="2"/>
  <c r="M19" i="2"/>
  <c r="J19" i="2"/>
  <c r="K19" i="2" s="1"/>
  <c r="O18" i="2"/>
  <c r="M18" i="2"/>
  <c r="J18" i="2"/>
  <c r="K18" i="2" s="1"/>
  <c r="M17" i="2"/>
  <c r="J17" i="2"/>
  <c r="M16" i="2"/>
  <c r="J16" i="2"/>
  <c r="K16" i="2" s="1"/>
  <c r="O15" i="2"/>
  <c r="M15" i="2"/>
  <c r="J15" i="2"/>
  <c r="K15" i="2" s="1"/>
  <c r="O14" i="2"/>
  <c r="M14" i="2"/>
  <c r="J14" i="2"/>
  <c r="K14" i="2" s="1"/>
  <c r="O13" i="2"/>
  <c r="M13" i="2"/>
  <c r="J13" i="2"/>
  <c r="K13" i="2" s="1"/>
  <c r="O12" i="2"/>
  <c r="M12" i="2"/>
  <c r="J12" i="2"/>
  <c r="K12" i="2" s="1"/>
  <c r="N11" i="2"/>
  <c r="L11" i="2"/>
  <c r="G11" i="20" s="1"/>
  <c r="I11" i="2"/>
  <c r="H11" i="2"/>
  <c r="G11" i="2"/>
  <c r="F11" i="2"/>
  <c r="D11" i="20"/>
  <c r="D11" i="2"/>
  <c r="C11" i="2"/>
  <c r="J9" i="2"/>
  <c r="O8" i="2"/>
  <c r="M8" i="2"/>
  <c r="J8" i="2"/>
  <c r="K8" i="2" s="1"/>
  <c r="O7" i="2"/>
  <c r="M7" i="2"/>
  <c r="J7" i="2"/>
  <c r="K7" i="2" s="1"/>
  <c r="M6" i="2"/>
  <c r="J6" i="2"/>
  <c r="K6" i="2" s="1"/>
  <c r="O5" i="2"/>
  <c r="M5" i="2"/>
  <c r="J5" i="2"/>
  <c r="K5" i="2" s="1"/>
  <c r="O4" i="2"/>
  <c r="M4" i="2"/>
  <c r="J4" i="2"/>
  <c r="K4" i="2" s="1"/>
  <c r="O3" i="2"/>
  <c r="M3" i="2"/>
  <c r="K3" i="2"/>
  <c r="O2" i="2"/>
  <c r="M2" i="2"/>
  <c r="J2" i="2"/>
  <c r="K2" i="2" s="1"/>
  <c r="N12" i="1"/>
  <c r="L12" i="1"/>
  <c r="M11" i="1"/>
  <c r="M14" i="1" s="1"/>
  <c r="K11" i="1"/>
  <c r="H11" i="1"/>
  <c r="H14" i="1" s="1"/>
  <c r="G11" i="1"/>
  <c r="G14" i="1" s="1"/>
  <c r="F11" i="1"/>
  <c r="F14" i="1" s="1"/>
  <c r="E11" i="1"/>
  <c r="D11" i="1"/>
  <c r="D14" i="1" s="1"/>
  <c r="C11" i="1"/>
  <c r="C14" i="1" s="1"/>
  <c r="B11" i="1"/>
  <c r="B14" i="1" s="1"/>
  <c r="N10" i="1"/>
  <c r="L10" i="1"/>
  <c r="I10" i="1"/>
  <c r="J10" i="1" s="1"/>
  <c r="N9" i="1"/>
  <c r="L9" i="1"/>
  <c r="I9" i="1"/>
  <c r="J9" i="1" s="1"/>
  <c r="N8" i="1"/>
  <c r="L8" i="1"/>
  <c r="I8" i="1"/>
  <c r="J8" i="1" s="1"/>
  <c r="N7" i="1"/>
  <c r="L7" i="1"/>
  <c r="I7" i="1"/>
  <c r="J7" i="1" s="1"/>
  <c r="N6" i="1"/>
  <c r="L6" i="1"/>
  <c r="J6" i="1"/>
  <c r="N5" i="1"/>
  <c r="L5" i="1"/>
  <c r="I5" i="1"/>
  <c r="J5" i="1" s="1"/>
  <c r="N4" i="1"/>
  <c r="L4" i="1"/>
  <c r="I4" i="1"/>
  <c r="J4" i="1" s="1"/>
  <c r="N3" i="1"/>
  <c r="L3" i="1"/>
  <c r="J3" i="1"/>
  <c r="N2" i="1"/>
  <c r="L2" i="1"/>
  <c r="I2" i="1"/>
  <c r="J2" i="1" s="1"/>
  <c r="G31" i="9"/>
  <c r="G18" i="9"/>
  <c r="L5" i="32"/>
  <c r="L10" i="32" s="1"/>
  <c r="N10" i="32" s="1"/>
  <c r="K40" i="7"/>
  <c r="K41" i="7"/>
  <c r="D40" i="7"/>
  <c r="D41" i="7"/>
  <c r="D42" i="7"/>
  <c r="D44" i="7"/>
  <c r="D39" i="7"/>
  <c r="C40" i="7"/>
  <c r="C42" i="7"/>
  <c r="C43" i="7"/>
  <c r="C44" i="7"/>
  <c r="C46" i="7"/>
  <c r="C47" i="7"/>
  <c r="C39" i="7"/>
  <c r="N16" i="32"/>
  <c r="D17" i="32"/>
  <c r="D6" i="32"/>
  <c r="N13" i="31"/>
  <c r="M13" i="31"/>
  <c r="O13" i="31"/>
  <c r="O7" i="31"/>
  <c r="D6" i="31"/>
  <c r="D6" i="30"/>
  <c r="E20" i="25"/>
  <c r="E19" i="25"/>
  <c r="E17" i="25"/>
  <c r="E16" i="25"/>
  <c r="E11" i="25"/>
  <c r="E12" i="25"/>
  <c r="E13" i="25"/>
  <c r="E14" i="25"/>
  <c r="D20" i="25"/>
  <c r="D19" i="25"/>
  <c r="D17" i="25"/>
  <c r="D16" i="25"/>
  <c r="D11" i="25"/>
  <c r="D12" i="25"/>
  <c r="D13" i="25"/>
  <c r="D14" i="25"/>
  <c r="D10" i="25"/>
  <c r="D6" i="25"/>
  <c r="D6" i="22"/>
  <c r="D6" i="20"/>
  <c r="D6" i="19"/>
  <c r="C6" i="18"/>
  <c r="D6" i="4"/>
  <c r="D6" i="5"/>
  <c r="C6" i="6"/>
  <c r="C41" i="6"/>
  <c r="D41" i="6"/>
  <c r="C42" i="6"/>
  <c r="D42" i="6"/>
  <c r="C43" i="6"/>
  <c r="D43" i="6"/>
  <c r="C44" i="6"/>
  <c r="D44" i="6"/>
  <c r="C45" i="6"/>
  <c r="D45" i="6"/>
  <c r="C46" i="6"/>
  <c r="D46" i="6"/>
  <c r="D47" i="6"/>
  <c r="C48" i="6"/>
  <c r="D48" i="6"/>
  <c r="C49" i="6"/>
  <c r="D49" i="6"/>
  <c r="C50" i="6"/>
  <c r="D50" i="6"/>
  <c r="C51" i="6"/>
  <c r="D51" i="6"/>
  <c r="C6" i="7"/>
  <c r="F39" i="7"/>
  <c r="F40" i="7"/>
  <c r="F41" i="7"/>
  <c r="F42" i="7"/>
  <c r="F43" i="7"/>
  <c r="F44" i="7"/>
  <c r="F45" i="7"/>
  <c r="F46" i="7"/>
  <c r="F47" i="7"/>
  <c r="F48" i="7"/>
  <c r="D6" i="8"/>
  <c r="D6" i="13"/>
  <c r="L48" i="5"/>
  <c r="G17" i="32"/>
  <c r="H17" i="32" s="1"/>
  <c r="G17" i="31"/>
  <c r="I41" i="34"/>
  <c r="E42" i="33"/>
  <c r="H42" i="33"/>
  <c r="H41" i="33"/>
  <c r="E44" i="33"/>
  <c r="E48" i="33"/>
  <c r="J19" i="33"/>
  <c r="E41" i="33"/>
  <c r="F44" i="34"/>
  <c r="F21" i="34"/>
  <c r="D36" i="4"/>
  <c r="J30" i="16"/>
  <c r="K30" i="16" s="1"/>
  <c r="K11" i="16"/>
  <c r="E40" i="18"/>
  <c r="C38" i="18"/>
  <c r="J41" i="34"/>
  <c r="F43" i="34"/>
  <c r="I21" i="34"/>
  <c r="D15" i="31"/>
  <c r="D12" i="20"/>
  <c r="J2" i="33"/>
  <c r="D49" i="5" l="1"/>
  <c r="I50" i="33"/>
  <c r="D43" i="8"/>
  <c r="E41" i="7"/>
  <c r="E46" i="6"/>
  <c r="C47" i="8"/>
  <c r="D47" i="8" s="1"/>
  <c r="K29" i="16"/>
  <c r="M29" i="16"/>
  <c r="D42" i="18"/>
  <c r="G42" i="18" s="1"/>
  <c r="K34" i="16"/>
  <c r="E13" i="20"/>
  <c r="E16" i="32"/>
  <c r="F16" i="32" s="1"/>
  <c r="J49" i="3"/>
  <c r="I48" i="3"/>
  <c r="I46" i="3"/>
  <c r="E14" i="32"/>
  <c r="F14" i="32" s="1"/>
  <c r="I42" i="3"/>
  <c r="O33" i="16"/>
  <c r="K31" i="16"/>
  <c r="M8" i="16"/>
  <c r="D17" i="31"/>
  <c r="H17" i="31" s="1"/>
  <c r="K48" i="5"/>
  <c r="E44" i="6"/>
  <c r="E43" i="6"/>
  <c r="E42" i="6"/>
  <c r="J43" i="34"/>
  <c r="K43" i="34" s="1"/>
  <c r="I28" i="34"/>
  <c r="I48" i="34" s="1"/>
  <c r="L42" i="34"/>
  <c r="D21" i="25"/>
  <c r="J22" i="16"/>
  <c r="K22" i="16" s="1"/>
  <c r="J47" i="34"/>
  <c r="K47" i="34" s="1"/>
  <c r="C51" i="34"/>
  <c r="F31" i="34"/>
  <c r="L11" i="34"/>
  <c r="I46" i="33"/>
  <c r="F15" i="32"/>
  <c r="G50" i="3"/>
  <c r="I47" i="3"/>
  <c r="I43" i="3"/>
  <c r="J43" i="3"/>
  <c r="I11" i="3"/>
  <c r="E11" i="20"/>
  <c r="F11" i="20" s="1"/>
  <c r="C42" i="8"/>
  <c r="G45" i="3"/>
  <c r="B36" i="17" s="1"/>
  <c r="F36" i="17" s="1"/>
  <c r="C39" i="8"/>
  <c r="D39" i="8" s="1"/>
  <c r="E51" i="3"/>
  <c r="C45" i="8"/>
  <c r="B39" i="17"/>
  <c r="F39" i="17" s="1"/>
  <c r="O8" i="16"/>
  <c r="K33" i="16"/>
  <c r="F36" i="16"/>
  <c r="G40" i="18"/>
  <c r="M33" i="16"/>
  <c r="G41" i="18"/>
  <c r="G14" i="31"/>
  <c r="O11" i="2"/>
  <c r="M11" i="2"/>
  <c r="C29" i="14" s="1"/>
  <c r="K47" i="5"/>
  <c r="I49" i="34"/>
  <c r="J42" i="34"/>
  <c r="K42" i="34" s="1"/>
  <c r="J48" i="34"/>
  <c r="K48" i="34" s="1"/>
  <c r="I11" i="34"/>
  <c r="J44" i="34"/>
  <c r="K44" i="34" s="1"/>
  <c r="I42" i="33"/>
  <c r="J24" i="33"/>
  <c r="J25" i="33"/>
  <c r="E46" i="33"/>
  <c r="J26" i="33"/>
  <c r="H24" i="33"/>
  <c r="H44" i="33" s="1"/>
  <c r="I44" i="33"/>
  <c r="E49" i="33"/>
  <c r="E11" i="33"/>
  <c r="K43" i="8"/>
  <c r="I21" i="3"/>
  <c r="G21" i="3"/>
  <c r="B30" i="14" s="1"/>
  <c r="J47" i="3"/>
  <c r="D40" i="8"/>
  <c r="G44" i="3"/>
  <c r="B35" i="17" s="1"/>
  <c r="F35" i="17" s="1"/>
  <c r="C41" i="8"/>
  <c r="G43" i="3"/>
  <c r="B34" i="17" s="1"/>
  <c r="F34" i="17" s="1"/>
  <c r="G11" i="3"/>
  <c r="B29" i="14" s="1"/>
  <c r="C51" i="3"/>
  <c r="O22" i="16"/>
  <c r="J15" i="16"/>
  <c r="K15" i="16" s="1"/>
  <c r="G36" i="16"/>
  <c r="O32" i="16"/>
  <c r="E41" i="18"/>
  <c r="G38" i="18"/>
  <c r="G43" i="18"/>
  <c r="K40" i="5"/>
  <c r="H40" i="5" s="1"/>
  <c r="F39" i="4"/>
  <c r="O47" i="2"/>
  <c r="O44" i="2"/>
  <c r="M42" i="2"/>
  <c r="B20" i="17" s="1"/>
  <c r="F20" i="17" s="1"/>
  <c r="O21" i="2"/>
  <c r="G13" i="20"/>
  <c r="H11" i="20"/>
  <c r="O46" i="2"/>
  <c r="D14" i="31"/>
  <c r="F40" i="4"/>
  <c r="E44" i="7"/>
  <c r="G40" i="7"/>
  <c r="E45" i="6"/>
  <c r="H14" i="20"/>
  <c r="L21" i="34"/>
  <c r="I47" i="34"/>
  <c r="J46" i="34"/>
  <c r="K46" i="34" s="1"/>
  <c r="I31" i="33"/>
  <c r="I43" i="33"/>
  <c r="E40" i="7"/>
  <c r="F51" i="3"/>
  <c r="K35" i="16"/>
  <c r="M22" i="16"/>
  <c r="M35" i="16"/>
  <c r="D36" i="16"/>
  <c r="H43" i="8"/>
  <c r="I49" i="3"/>
  <c r="G14" i="32"/>
  <c r="E46" i="8"/>
  <c r="G42" i="3"/>
  <c r="B33" i="17" s="1"/>
  <c r="F33" i="17" s="1"/>
  <c r="H51" i="3"/>
  <c r="J45" i="3"/>
  <c r="O34" i="16"/>
  <c r="C44" i="18"/>
  <c r="O31" i="16"/>
  <c r="F44" i="18"/>
  <c r="O35" i="16"/>
  <c r="M34" i="16"/>
  <c r="H36" i="16"/>
  <c r="C36" i="16"/>
  <c r="J8" i="16"/>
  <c r="K8" i="16" s="1"/>
  <c r="I36" i="16"/>
  <c r="K45" i="2"/>
  <c r="B10" i="17" s="1"/>
  <c r="F10" i="17" s="1"/>
  <c r="M46" i="2"/>
  <c r="B24" i="17" s="1"/>
  <c r="F24" i="17" s="1"/>
  <c r="F42" i="4"/>
  <c r="F36" i="4"/>
  <c r="K44" i="5"/>
  <c r="H44" i="5" s="1"/>
  <c r="G44" i="7"/>
  <c r="G41" i="7"/>
  <c r="F38" i="4"/>
  <c r="E45" i="4"/>
  <c r="K46" i="5"/>
  <c r="C49" i="5"/>
  <c r="K17" i="2"/>
  <c r="K47" i="2"/>
  <c r="B12" i="17" s="1"/>
  <c r="F12" i="17" s="1"/>
  <c r="L41" i="5"/>
  <c r="L49" i="5" s="1"/>
  <c r="F49" i="5"/>
  <c r="O15" i="16"/>
  <c r="M15" i="16"/>
  <c r="H40" i="8"/>
  <c r="E38" i="18"/>
  <c r="K46" i="2"/>
  <c r="B11" i="17" s="1"/>
  <c r="F11" i="17" s="1"/>
  <c r="I51" i="2"/>
  <c r="J44" i="3"/>
  <c r="K40" i="8"/>
  <c r="N36" i="16"/>
  <c r="K32" i="16"/>
  <c r="I11" i="1"/>
  <c r="E36" i="16"/>
  <c r="K3" i="16"/>
  <c r="J11" i="2"/>
  <c r="K11" i="2" s="1"/>
  <c r="E42" i="8"/>
  <c r="O30" i="16"/>
  <c r="J42" i="3"/>
  <c r="G16" i="31"/>
  <c r="G47" i="7"/>
  <c r="E43" i="7"/>
  <c r="O42" i="2"/>
  <c r="E41" i="5"/>
  <c r="E49" i="5" s="1"/>
  <c r="H51" i="2"/>
  <c r="F44" i="4"/>
  <c r="J11" i="3"/>
  <c r="I31" i="3"/>
  <c r="E15" i="31"/>
  <c r="F15" i="31" s="1"/>
  <c r="E12" i="20"/>
  <c r="F12" i="20" s="1"/>
  <c r="G31" i="3"/>
  <c r="B31" i="14" s="1"/>
  <c r="G42" i="8"/>
  <c r="I45" i="3"/>
  <c r="G49" i="3"/>
  <c r="B40" i="17" s="1"/>
  <c r="F40" i="17" s="1"/>
  <c r="C46" i="8"/>
  <c r="J10" i="33"/>
  <c r="E31" i="33"/>
  <c r="J28" i="33"/>
  <c r="L31" i="34"/>
  <c r="J45" i="34"/>
  <c r="K45" i="34" s="1"/>
  <c r="H51" i="34"/>
  <c r="L43" i="34"/>
  <c r="E51" i="34"/>
  <c r="G46" i="7"/>
  <c r="E51" i="6"/>
  <c r="E50" i="6"/>
  <c r="E47" i="6"/>
  <c r="M44" i="2"/>
  <c r="B22" i="17" s="1"/>
  <c r="F22" i="17" s="1"/>
  <c r="K43" i="5"/>
  <c r="F41" i="4"/>
  <c r="D51" i="3"/>
  <c r="I43" i="34"/>
  <c r="J31" i="34"/>
  <c r="K31" i="34" s="1"/>
  <c r="K35" i="34"/>
  <c r="D51" i="34"/>
  <c r="G51" i="34"/>
  <c r="L44" i="34"/>
  <c r="C51" i="33"/>
  <c r="I47" i="33"/>
  <c r="I21" i="33"/>
  <c r="J21" i="33" s="1"/>
  <c r="F51" i="33"/>
  <c r="D51" i="33"/>
  <c r="D15" i="25"/>
  <c r="D18" i="25" s="1"/>
  <c r="E21" i="25"/>
  <c r="E10" i="25"/>
  <c r="E15" i="25" s="1"/>
  <c r="L11" i="1"/>
  <c r="D52" i="6"/>
  <c r="K20" i="2"/>
  <c r="G41" i="5"/>
  <c r="M43" i="2"/>
  <c r="B21" i="17" s="1"/>
  <c r="F21" i="17" s="1"/>
  <c r="M45" i="2"/>
  <c r="B23" i="17" s="1"/>
  <c r="F23" i="17" s="1"/>
  <c r="G43" i="5"/>
  <c r="M47" i="2"/>
  <c r="B25" i="17" s="1"/>
  <c r="F25" i="17" s="1"/>
  <c r="G45" i="5"/>
  <c r="I49" i="33"/>
  <c r="J9" i="33"/>
  <c r="I11" i="33"/>
  <c r="J15" i="33"/>
  <c r="I45" i="33"/>
  <c r="J18" i="33"/>
  <c r="I48" i="33"/>
  <c r="J50" i="34"/>
  <c r="K50" i="34" s="1"/>
  <c r="J42" i="2"/>
  <c r="G51" i="2"/>
  <c r="F51" i="2"/>
  <c r="E41" i="6"/>
  <c r="N11" i="1"/>
  <c r="D51" i="2"/>
  <c r="K44" i="2"/>
  <c r="B9" i="17" s="1"/>
  <c r="F9" i="17" s="1"/>
  <c r="J21" i="2"/>
  <c r="K21" i="2" s="1"/>
  <c r="K43" i="2"/>
  <c r="B8" i="17" s="1"/>
  <c r="F8" i="17" s="1"/>
  <c r="J11" i="34"/>
  <c r="K11" i="34" s="1"/>
  <c r="M44" i="5"/>
  <c r="G42" i="7"/>
  <c r="G48" i="7"/>
  <c r="M21" i="2"/>
  <c r="C30" i="14" s="1"/>
  <c r="D16" i="31"/>
  <c r="D13" i="20"/>
  <c r="D37" i="4"/>
  <c r="C51" i="2"/>
  <c r="E51" i="2"/>
  <c r="O43" i="2"/>
  <c r="K42" i="5"/>
  <c r="H42" i="5" s="1"/>
  <c r="O45" i="2"/>
  <c r="K45" i="5"/>
  <c r="F43" i="4"/>
  <c r="D39" i="18"/>
  <c r="M31" i="16"/>
  <c r="G16" i="32"/>
  <c r="J21" i="3"/>
  <c r="G15" i="32"/>
  <c r="J31" i="3"/>
  <c r="E14" i="20"/>
  <c r="F14" i="20" s="1"/>
  <c r="E17" i="32"/>
  <c r="E17" i="31"/>
  <c r="E41" i="8"/>
  <c r="I44" i="3"/>
  <c r="G46" i="3"/>
  <c r="B37" i="17" s="1"/>
  <c r="F37" i="17" s="1"/>
  <c r="J46" i="3"/>
  <c r="G47" i="3"/>
  <c r="B38" i="17" s="1"/>
  <c r="F38" i="17" s="1"/>
  <c r="E44" i="8"/>
  <c r="D44" i="8" s="1"/>
  <c r="G45" i="8"/>
  <c r="E56" i="3"/>
  <c r="E58" i="3" s="1"/>
  <c r="B8" i="23" s="1"/>
  <c r="H50" i="33"/>
  <c r="E50" i="33"/>
  <c r="J21" i="34"/>
  <c r="K21" i="34" s="1"/>
  <c r="K12" i="34"/>
  <c r="G43" i="7"/>
  <c r="G39" i="7"/>
  <c r="E49" i="6"/>
  <c r="E48" i="6"/>
  <c r="G45" i="7"/>
  <c r="E46" i="7"/>
  <c r="E42" i="7"/>
  <c r="H39" i="8"/>
  <c r="G47" i="8"/>
  <c r="J50" i="3"/>
  <c r="E45" i="33"/>
  <c r="J30" i="33"/>
  <c r="G51" i="33"/>
  <c r="J49" i="34"/>
  <c r="I45" i="34"/>
  <c r="H49" i="33"/>
  <c r="I42" i="34"/>
  <c r="I44" i="34"/>
  <c r="D50" i="7"/>
  <c r="C50" i="7"/>
  <c r="E47" i="7"/>
  <c r="E48" i="7"/>
  <c r="E39" i="7"/>
  <c r="E45" i="7"/>
  <c r="C52" i="6"/>
  <c r="K48" i="6" s="1"/>
  <c r="J11" i="33" l="1"/>
  <c r="D46" i="8"/>
  <c r="D45" i="8"/>
  <c r="H16" i="32"/>
  <c r="D22" i="25"/>
  <c r="F21" i="25"/>
  <c r="H14" i="32"/>
  <c r="H14" i="31"/>
  <c r="F14" i="31"/>
  <c r="I51" i="3"/>
  <c r="J11" i="1"/>
  <c r="J31" i="33"/>
  <c r="D41" i="8"/>
  <c r="D42" i="8"/>
  <c r="C48" i="8"/>
  <c r="C49" i="8" s="1"/>
  <c r="J36" i="16"/>
  <c r="K36" i="16" s="1"/>
  <c r="E43" i="18"/>
  <c r="E44" i="18" s="1"/>
  <c r="L51" i="34"/>
  <c r="J51" i="3"/>
  <c r="B9" i="23"/>
  <c r="M36" i="16"/>
  <c r="O36" i="16"/>
  <c r="H46" i="8"/>
  <c r="K46" i="8"/>
  <c r="H42" i="8"/>
  <c r="H51" i="33"/>
  <c r="F51" i="34"/>
  <c r="H31" i="33"/>
  <c r="B7" i="23"/>
  <c r="K41" i="5"/>
  <c r="H41" i="5" s="1"/>
  <c r="G51" i="3"/>
  <c r="D21" i="14" s="1"/>
  <c r="I51" i="34"/>
  <c r="I51" i="33"/>
  <c r="D19" i="31"/>
  <c r="F19" i="31" s="1"/>
  <c r="D18" i="32"/>
  <c r="D19" i="32" s="1"/>
  <c r="K49" i="34"/>
  <c r="J51" i="34"/>
  <c r="K51" i="34" s="1"/>
  <c r="H45" i="8"/>
  <c r="G48" i="8"/>
  <c r="H44" i="8"/>
  <c r="K44" i="8"/>
  <c r="F17" i="31"/>
  <c r="E18" i="31"/>
  <c r="G19" i="32"/>
  <c r="H15" i="32"/>
  <c r="G44" i="18"/>
  <c r="D44" i="18"/>
  <c r="F37" i="4"/>
  <c r="D45" i="4"/>
  <c r="H13" i="20"/>
  <c r="D15" i="20"/>
  <c r="M45" i="5"/>
  <c r="H45" i="5"/>
  <c r="M43" i="5"/>
  <c r="H43" i="5"/>
  <c r="K45" i="8"/>
  <c r="F13" i="20"/>
  <c r="K50" i="6"/>
  <c r="I31" i="34"/>
  <c r="E51" i="33"/>
  <c r="H47" i="8"/>
  <c r="K47" i="8"/>
  <c r="H41" i="8"/>
  <c r="K41" i="8"/>
  <c r="E48" i="8"/>
  <c r="F17" i="32"/>
  <c r="E19" i="32"/>
  <c r="F16" i="31"/>
  <c r="D18" i="31"/>
  <c r="E18" i="25"/>
  <c r="F15" i="25"/>
  <c r="H16" i="31"/>
  <c r="K42" i="2"/>
  <c r="B7" i="17" s="1"/>
  <c r="F7" i="17" s="1"/>
  <c r="E15" i="20"/>
  <c r="M41" i="5"/>
  <c r="K47" i="6"/>
  <c r="K49" i="6"/>
  <c r="K45" i="6"/>
  <c r="E52" i="6"/>
  <c r="K46" i="6"/>
  <c r="K41" i="6"/>
  <c r="K51" i="6"/>
  <c r="K44" i="6"/>
  <c r="K43" i="6"/>
  <c r="K42" i="6"/>
  <c r="B5" i="23" l="1"/>
  <c r="D48" i="8"/>
  <c r="F19" i="32"/>
  <c r="L8" i="32" s="1"/>
  <c r="M8" i="32" s="1"/>
  <c r="D10" i="32"/>
  <c r="E22" i="25"/>
  <c r="F22" i="25" s="1"/>
  <c r="F18" i="25"/>
  <c r="K48" i="8"/>
  <c r="E49" i="8"/>
  <c r="D49" i="8" s="1"/>
  <c r="F48" i="8"/>
  <c r="L36" i="4"/>
  <c r="L40" i="4"/>
  <c r="F45" i="4"/>
  <c r="L42" i="4"/>
  <c r="L43" i="4"/>
  <c r="L38" i="4"/>
  <c r="L44" i="4"/>
  <c r="L39" i="4"/>
  <c r="L41" i="4"/>
  <c r="H19" i="32"/>
  <c r="L14" i="32" s="1"/>
  <c r="F15" i="20"/>
  <c r="D20" i="31"/>
  <c r="D10" i="31"/>
  <c r="F10" i="31" s="1"/>
  <c r="L37" i="4"/>
  <c r="E20" i="31"/>
  <c r="F18" i="31"/>
  <c r="G49" i="8"/>
  <c r="H48" i="8"/>
  <c r="F44" i="6"/>
  <c r="G44" i="6" s="1"/>
  <c r="F45" i="6"/>
  <c r="G45" i="6" s="1"/>
  <c r="F46" i="6"/>
  <c r="G46" i="6" s="1"/>
  <c r="F51" i="6"/>
  <c r="G51" i="6" s="1"/>
  <c r="F48" i="6"/>
  <c r="G48" i="6" s="1"/>
  <c r="F47" i="6"/>
  <c r="G47" i="6" s="1"/>
  <c r="F41" i="6"/>
  <c r="G41" i="6" s="1"/>
  <c r="F43" i="6"/>
  <c r="G43" i="6" s="1"/>
  <c r="F50" i="6"/>
  <c r="G50" i="6" s="1"/>
  <c r="F42" i="6"/>
  <c r="G42" i="6" s="1"/>
  <c r="F49" i="6"/>
  <c r="G49" i="6" s="1"/>
  <c r="F20" i="31" l="1"/>
  <c r="M11" i="31" s="1"/>
  <c r="M12" i="31" s="1"/>
  <c r="N12" i="31" s="1"/>
  <c r="L9" i="32"/>
  <c r="M9" i="32" s="1"/>
  <c r="H49" i="8"/>
  <c r="L15" i="32"/>
  <c r="M15" i="32" s="1"/>
  <c r="M14" i="32"/>
  <c r="G44" i="4"/>
  <c r="H44" i="4" s="1"/>
  <c r="G39" i="4"/>
  <c r="H39" i="4" s="1"/>
  <c r="G38" i="4"/>
  <c r="H38" i="4" s="1"/>
  <c r="G40" i="4"/>
  <c r="H40" i="4" s="1"/>
  <c r="L3" i="4"/>
  <c r="G36" i="4"/>
  <c r="H36" i="4" s="1"/>
  <c r="G41" i="4"/>
  <c r="H41" i="4" s="1"/>
  <c r="G42" i="4"/>
  <c r="H42" i="4" s="1"/>
  <c r="G43" i="4"/>
  <c r="H43" i="4" s="1"/>
  <c r="K49" i="8"/>
  <c r="F49" i="8"/>
  <c r="G37" i="4"/>
  <c r="H37" i="4" s="1"/>
  <c r="N11" i="31" l="1"/>
  <c r="L4" i="4"/>
  <c r="M4" i="4" s="1"/>
  <c r="M3" i="4"/>
  <c r="K14" i="1"/>
  <c r="L14" i="1" s="1"/>
  <c r="F49" i="7"/>
  <c r="E49" i="7" s="1"/>
  <c r="L13" i="1"/>
  <c r="N13" i="1"/>
  <c r="I13" i="1"/>
  <c r="I14" i="1" s="1"/>
  <c r="J14" i="1" s="1"/>
  <c r="J13" i="1" l="1"/>
  <c r="G49" i="7"/>
  <c r="N14" i="1"/>
  <c r="F50" i="7"/>
  <c r="N31" i="2"/>
  <c r="N51" i="2" l="1"/>
  <c r="G46" i="5"/>
  <c r="L31" i="2"/>
  <c r="G12" i="20" s="1"/>
  <c r="G15" i="31"/>
  <c r="H15" i="31" s="1"/>
  <c r="M49" i="2"/>
  <c r="B27" i="17" s="1"/>
  <c r="F27" i="17" s="1"/>
  <c r="G48" i="5"/>
  <c r="O30" i="2"/>
  <c r="M30" i="2"/>
  <c r="M28" i="2"/>
  <c r="O28" i="2"/>
  <c r="O29" i="2"/>
  <c r="M29" i="2"/>
  <c r="J28" i="2"/>
  <c r="K28" i="2" s="1"/>
  <c r="J29" i="2"/>
  <c r="K29" i="2" s="1"/>
  <c r="J30" i="2"/>
  <c r="K50" i="2" s="1"/>
  <c r="M50" i="2" l="1"/>
  <c r="K49" i="2"/>
  <c r="B14" i="17" s="1"/>
  <c r="F14" i="17" s="1"/>
  <c r="O31" i="2"/>
  <c r="G15" i="20"/>
  <c r="H15" i="20" s="1"/>
  <c r="H12" i="20"/>
  <c r="M48" i="5"/>
  <c r="H48" i="5"/>
  <c r="M46" i="5"/>
  <c r="H46" i="5"/>
  <c r="G47" i="5"/>
  <c r="K30" i="2"/>
  <c r="J31" i="2"/>
  <c r="K31" i="2" s="1"/>
  <c r="O49" i="2"/>
  <c r="O48" i="2"/>
  <c r="O50" i="2"/>
  <c r="L51" i="2"/>
  <c r="M31" i="2"/>
  <c r="C31" i="14" s="1"/>
  <c r="G18" i="31"/>
  <c r="H18" i="31" s="1"/>
  <c r="M5" i="31" s="1"/>
  <c r="M48" i="2"/>
  <c r="B26" i="17" s="1"/>
  <c r="F26" i="17" s="1"/>
  <c r="M47" i="5" l="1"/>
  <c r="M49" i="5" s="1"/>
  <c r="H47" i="5"/>
  <c r="G49" i="5"/>
  <c r="K48" i="2"/>
  <c r="B13" i="17" s="1"/>
  <c r="F13" i="17" s="1"/>
  <c r="J51" i="2"/>
  <c r="K51" i="2" s="1"/>
  <c r="B21" i="14" s="1"/>
  <c r="O51" i="2"/>
  <c r="M51" i="2"/>
  <c r="C21" i="14" s="1"/>
  <c r="M6" i="31"/>
  <c r="N6" i="31" s="1"/>
  <c r="N5" i="31"/>
  <c r="M9" i="23"/>
  <c r="E10" i="32" l="1"/>
  <c r="F10" i="32" s="1"/>
</calcChain>
</file>

<file path=xl/sharedStrings.xml><?xml version="1.0" encoding="utf-8"?>
<sst xmlns="http://schemas.openxmlformats.org/spreadsheetml/2006/main" count="1051" uniqueCount="335">
  <si>
    <t>Direcció d'àrea</t>
  </si>
  <si>
    <t>Crèdits inicials</t>
  </si>
  <si>
    <t>Modificacions</t>
  </si>
  <si>
    <t>Crèdits definitius</t>
  </si>
  <si>
    <t>Romanent disponible</t>
  </si>
  <si>
    <t>Saldo retencions</t>
  </si>
  <si>
    <t>Saldo autoritzacions</t>
  </si>
  <si>
    <t>Saldo compromisos</t>
  </si>
  <si>
    <t>Compromisos</t>
  </si>
  <si>
    <t>% D / CDef</t>
  </si>
  <si>
    <t>Obligacions</t>
  </si>
  <si>
    <t>% O / CDef</t>
  </si>
  <si>
    <t>Pagaments</t>
  </si>
  <si>
    <t>% MP / O</t>
  </si>
  <si>
    <t>Secretaria, Intervenció i Tresoreria</t>
  </si>
  <si>
    <t>Corporació</t>
  </si>
  <si>
    <t>O.A. Patronat de Turisme</t>
  </si>
  <si>
    <t>O.A. BASE</t>
  </si>
  <si>
    <t>Suma DIPTA</t>
  </si>
  <si>
    <t>Ens</t>
  </si>
  <si>
    <t>CORP</t>
  </si>
  <si>
    <t>DESPESES DE PERSONAL</t>
  </si>
  <si>
    <t>DESPESES EN BÉNS CORRENTS I SERVEIS</t>
  </si>
  <si>
    <t>DESPESES FINANCERES</t>
  </si>
  <si>
    <t>TRANSFERÈNCIES CORRENTS</t>
  </si>
  <si>
    <t>FONS DE CONTINGÈNCIA</t>
  </si>
  <si>
    <t>INVERSIONS REALS</t>
  </si>
  <si>
    <t>TRANSFERÈNCIES DE CAPITAL</t>
  </si>
  <si>
    <t>ACTIUS FINANCERS</t>
  </si>
  <si>
    <t>PASSIUS FINANCERS</t>
  </si>
  <si>
    <t>TUR</t>
  </si>
  <si>
    <t>Turisme</t>
  </si>
  <si>
    <t>BASE</t>
  </si>
  <si>
    <t>DIPTA</t>
  </si>
  <si>
    <t>Diputació de Tarragona</t>
  </si>
  <si>
    <t>Previsions inicials</t>
  </si>
  <si>
    <t>Previsions definitives</t>
  </si>
  <si>
    <t>Drets reconeguts néts</t>
  </si>
  <si>
    <t>% DRN / PDef</t>
  </si>
  <si>
    <t>Ingressos</t>
  </si>
  <si>
    <t>% I / DRN</t>
  </si>
  <si>
    <t>IMPOSTOS DIRECTES</t>
  </si>
  <si>
    <t>IMPOSTOS INDIRECTES</t>
  </si>
  <si>
    <t>TAXES, PREUS PÚBLICS I ALTRES INGRESSOS</t>
  </si>
  <si>
    <t>INGRESSOS PATRIMONIALS</t>
  </si>
  <si>
    <t>VENDA D'INVERSIONS REALS</t>
  </si>
  <si>
    <t>DIPUTACIÓ DE TARRAGONA</t>
  </si>
  <si>
    <t>CRÈDITS DEFINITIUS PER CAPÍTOL</t>
  </si>
  <si>
    <t>Capítol</t>
  </si>
  <si>
    <t>Crèdits Definitius</t>
  </si>
  <si>
    <t>Despeses de personal</t>
  </si>
  <si>
    <t>Despeses en béns corrents i serveis</t>
  </si>
  <si>
    <t>Despeses financeres</t>
  </si>
  <si>
    <t>Transferències corrents</t>
  </si>
  <si>
    <t>Fons de contingència</t>
  </si>
  <si>
    <t>Inversions reals</t>
  </si>
  <si>
    <t>Transferències de capital</t>
  </si>
  <si>
    <t>Actius financers</t>
  </si>
  <si>
    <t>Passius financers</t>
  </si>
  <si>
    <t>Total Pressupost</t>
  </si>
  <si>
    <t>SITUACIÓ DELS CRÈDITS DEFINITIUS PER CAPÍTOL</t>
  </si>
  <si>
    <t>Crèdits disponibles</t>
  </si>
  <si>
    <t>Saldo crèdits retinguts</t>
  </si>
  <si>
    <t>Saldo crèdits autoritzats</t>
  </si>
  <si>
    <t>Saldo crèdits compromesos</t>
  </si>
  <si>
    <t>Obligacions reconegudes nétes</t>
  </si>
  <si>
    <t>CRÈDITS DEFINITIUS PER COORDINACIONS</t>
  </si>
  <si>
    <t>Àrea de coordinació</t>
  </si>
  <si>
    <t>Pes de l'àrea</t>
  </si>
  <si>
    <t>SITUACIÓ DELS CRÈDITS DEFINITIUS PER COORDINACIONS</t>
  </si>
  <si>
    <t>ESTAT D'EXECUCIÓ PER CAPÍTOLS</t>
  </si>
  <si>
    <t>Impostos directes</t>
  </si>
  <si>
    <t>Impostos indirectes</t>
  </si>
  <si>
    <t>Taxes i altres ingressos</t>
  </si>
  <si>
    <t>Ingressos patrimonials</t>
  </si>
  <si>
    <t>Venda d'inversions reals</t>
  </si>
  <si>
    <t>Estat d'execució del Pressupost</t>
  </si>
  <si>
    <t>Informació trimestral</t>
  </si>
  <si>
    <t>(Intervenció General)</t>
  </si>
  <si>
    <t>Ajust</t>
  </si>
  <si>
    <t>Ajustos consolidació</t>
  </si>
  <si>
    <t>Saldo previsions definitives</t>
  </si>
  <si>
    <t>1.DESPESES DE PERSONAL</t>
  </si>
  <si>
    <t>2.DESPESES EN BÉNS CORRENTS I SERVEIS</t>
  </si>
  <si>
    <t>3.DESPESES FINANCERES</t>
  </si>
  <si>
    <t>4.TRANSFERÈNCIES CORRENTS</t>
  </si>
  <si>
    <t>5.FONS DE CONTINGÈNCIA</t>
  </si>
  <si>
    <t>6.INVERSIONS REALS</t>
  </si>
  <si>
    <t>7.TRANSFERÈNCIES DE CAPITAL</t>
  </si>
  <si>
    <t>8.ACTIUS FINANCERS</t>
  </si>
  <si>
    <t>9.PASSIUS FINANCERS</t>
  </si>
  <si>
    <t>1.IMPOSTOS DIRECTES</t>
  </si>
  <si>
    <t>2.IMPOSTOS INDIRECTES</t>
  </si>
  <si>
    <t>3.TAXES, PREUS PÚBLICS I ALTRES INGRESSOS</t>
  </si>
  <si>
    <t>5.INGRESSOS PATRIMONIALS</t>
  </si>
  <si>
    <t>6.VENDA D'INVERSIONS REALS</t>
  </si>
  <si>
    <t>% I / Pdef</t>
  </si>
  <si>
    <t>T1</t>
  </si>
  <si>
    <t>Drets</t>
  </si>
  <si>
    <t>T2</t>
  </si>
  <si>
    <t>T3</t>
  </si>
  <si>
    <t>T4</t>
  </si>
  <si>
    <t>COBERTURA</t>
  </si>
  <si>
    <t>%DR</t>
  </si>
  <si>
    <t>%OBL</t>
  </si>
  <si>
    <t>Només dades Corporació</t>
  </si>
  <si>
    <t>DEUTE PÚBLIC</t>
  </si>
  <si>
    <t>SERVEIS PÚBLICS BÀSICS</t>
  </si>
  <si>
    <t>ACTUACIONS DE PROTECCIÓ I PROMOCIÓ SOCIAL</t>
  </si>
  <si>
    <t>BÉNS DE CARÀCTER PREFERENT</t>
  </si>
  <si>
    <t>ACTUACIONS DE CARÀCTER ECONÒMIC</t>
  </si>
  <si>
    <t>ACTUACIONS DE CARÀCTER GENERAL</t>
  </si>
  <si>
    <t>0.DEUTE PÚBLIC</t>
  </si>
  <si>
    <t>1.SERVEIS PÚBLICS BÀSICS</t>
  </si>
  <si>
    <t>2.ACTUACIONS DE PROTECCIÓ I PROMOCIÓ SOCIAL</t>
  </si>
  <si>
    <t>3.BÉNS DE CARÀCTER PREFERENT</t>
  </si>
  <si>
    <t>4.ACTUACIONS DE CARÀCTER ECONÒMIC</t>
  </si>
  <si>
    <t>9.ACTUACIONS DE CARÀCTER GENERAL</t>
  </si>
  <si>
    <t>CONSOLIDADES</t>
  </si>
  <si>
    <t>Total</t>
  </si>
  <si>
    <t>Augment</t>
  </si>
  <si>
    <t>SITUACIÓ DELS CRÈDITS DEFINITIUS PER ÀREA DE DESPESA</t>
  </si>
  <si>
    <t>Crèdit inicial</t>
  </si>
  <si>
    <t>Crèdit definitiu</t>
  </si>
  <si>
    <t>Romanents de crèdit</t>
  </si>
  <si>
    <t>Deute públic</t>
  </si>
  <si>
    <t>Serveis públics bàsics</t>
  </si>
  <si>
    <t>Protecció i promoció i social</t>
  </si>
  <si>
    <t>Béns públics de caràcter preferent</t>
  </si>
  <si>
    <t>Actuacions de caràcter econòmic</t>
  </si>
  <si>
    <t>Actuacions de caràcter general</t>
  </si>
  <si>
    <t>87.RLT</t>
  </si>
  <si>
    <t>Pressupost sense RLT</t>
  </si>
  <si>
    <t>Drets pendents de cobrar</t>
  </si>
  <si>
    <t>RESUM PER TRIMESTRES DE L'EXECUCIÓ CONSOLIDADA</t>
  </si>
  <si>
    <t>Patronat de Turisme</t>
  </si>
  <si>
    <t>Ajustos de consolidació</t>
  </si>
  <si>
    <t>Total Pressupost Consolidat</t>
  </si>
  <si>
    <t>Pressupost</t>
  </si>
  <si>
    <t>AJUSTOS</t>
  </si>
  <si>
    <t>CORP*</t>
  </si>
  <si>
    <t>OA</t>
  </si>
  <si>
    <t>AGREGAT</t>
  </si>
  <si>
    <t>CONSOLIDAT</t>
  </si>
  <si>
    <t>CONS</t>
  </si>
  <si>
    <t>EAD</t>
  </si>
  <si>
    <t>OADL</t>
  </si>
  <si>
    <t>OASI</t>
  </si>
  <si>
    <t>DADES CONSOLIDADES</t>
  </si>
  <si>
    <t>Endeutament</t>
  </si>
  <si>
    <t>Romanent de tresoreria</t>
  </si>
  <si>
    <t>Total consolidat</t>
  </si>
  <si>
    <t>Actius financers no RLT</t>
  </si>
  <si>
    <t>Ajustos</t>
  </si>
  <si>
    <t>Consolidats</t>
  </si>
  <si>
    <t>Capítol 1</t>
  </si>
  <si>
    <t>Capítol 2</t>
  </si>
  <si>
    <t>Capítol 3</t>
  </si>
  <si>
    <t>Capítol 4</t>
  </si>
  <si>
    <t>Capítol 5</t>
  </si>
  <si>
    <t>Pressupost corrent</t>
  </si>
  <si>
    <t>Capítol 6</t>
  </si>
  <si>
    <t>Capítol 7</t>
  </si>
  <si>
    <t>Pressupost no financer</t>
  </si>
  <si>
    <t>Capítol 8</t>
  </si>
  <si>
    <t>Capítol 9</t>
  </si>
  <si>
    <t>Pressupost financer</t>
  </si>
  <si>
    <t>Despeses</t>
  </si>
  <si>
    <t>RP</t>
  </si>
  <si>
    <t>DRETS</t>
  </si>
  <si>
    <t>OBLIGACIONS</t>
  </si>
  <si>
    <t>PREVISIONS D'EXECUCIÓ A FI D'ANY</t>
  </si>
  <si>
    <t>Saldo Pressupostari</t>
  </si>
  <si>
    <t>Capacitat de finançament</t>
  </si>
  <si>
    <t>% s/DRN corrents</t>
  </si>
  <si>
    <t>DRN corrents</t>
  </si>
  <si>
    <t>Exercici</t>
  </si>
  <si>
    <t>Deute financer</t>
  </si>
  <si>
    <t>PREVISIONS LOEPSF</t>
  </si>
  <si>
    <t>Capacitat de finançament (milers €)</t>
  </si>
  <si>
    <t>Capital pendent disposat</t>
  </si>
  <si>
    <t>Capital no disposat</t>
  </si>
  <si>
    <t>Deute participació tributs de l'estat</t>
  </si>
  <si>
    <t>Ingressos corrents liquidats</t>
  </si>
  <si>
    <t>%/DRN cts</t>
  </si>
  <si>
    <t>Límit 110%</t>
  </si>
  <si>
    <t>Límit 75%</t>
  </si>
  <si>
    <t>Pressupost gestionat a data</t>
  </si>
  <si>
    <t>Pressupost any anterior</t>
  </si>
  <si>
    <t>%Var</t>
  </si>
  <si>
    <t>Dades consolidades</t>
  </si>
  <si>
    <t>Objectiu</t>
  </si>
  <si>
    <t>OBL</t>
  </si>
  <si>
    <t>Reals</t>
  </si>
  <si>
    <t>Manquen/sobren</t>
  </si>
  <si>
    <t>Gràfic</t>
  </si>
  <si>
    <t>DRN</t>
  </si>
  <si>
    <t>Mínim</t>
  </si>
  <si>
    <t>FINANÇAMENT DEL PRESSUPOST</t>
  </si>
  <si>
    <t>Recaptació</t>
  </si>
  <si>
    <t>Ajust romanent líquid de tresoreria</t>
  </si>
  <si>
    <t>I</t>
  </si>
  <si>
    <t>Recursos no financers</t>
  </si>
  <si>
    <t>EXERCICI ACTUAL</t>
  </si>
  <si>
    <t>Previsions d'ingressos sense RLT</t>
  </si>
  <si>
    <t>Gestionats a data</t>
  </si>
  <si>
    <t>MC/Pdef</t>
  </si>
  <si>
    <t>Total general</t>
  </si>
  <si>
    <t>%DR/PD</t>
  </si>
  <si>
    <t>%I/RD</t>
  </si>
  <si>
    <t>ULL NO FA SUMES, ÉS CÒPIA!</t>
  </si>
  <si>
    <t>Oblig inicials</t>
  </si>
  <si>
    <t>Total obligacions</t>
  </si>
  <si>
    <t>Prescripcions</t>
  </si>
  <si>
    <t>Pendents de pag</t>
  </si>
  <si>
    <t>Total cancel·lades</t>
  </si>
  <si>
    <t>% Canc/Total obl</t>
  </si>
  <si>
    <t>Inicials</t>
  </si>
  <si>
    <t>Rectificacions</t>
  </si>
  <si>
    <t>Anul·lacions</t>
  </si>
  <si>
    <t>Pendents</t>
  </si>
  <si>
    <t>Cancel·lacions</t>
  </si>
  <si>
    <t>Pendents finals</t>
  </si>
  <si>
    <t>% Canc/ Inic</t>
  </si>
  <si>
    <t>% Recap</t>
  </si>
  <si>
    <t>Pes inicial capítol</t>
  </si>
  <si>
    <t>Pes def. capítol</t>
  </si>
  <si>
    <t>Var. Pes</t>
  </si>
  <si>
    <t>Romanents no compromesos</t>
  </si>
  <si>
    <t>%Exec.</t>
  </si>
  <si>
    <t>Pes inicial</t>
  </si>
  <si>
    <t>Saldos no compromesos</t>
  </si>
  <si>
    <t>Saldos compromesos</t>
  </si>
  <si>
    <t>max</t>
  </si>
  <si>
    <t>min</t>
  </si>
  <si>
    <t>objectiu</t>
  </si>
  <si>
    <t>meitat objectiu</t>
  </si>
  <si>
    <t>75% objectiu</t>
  </si>
  <si>
    <t>% Exec. Obligacions</t>
  </si>
  <si>
    <t>% Exec. Compr.</t>
  </si>
  <si>
    <t>CREDITSDEF</t>
  </si>
  <si>
    <t>Avaluació del compliment de la regla de la despesa</t>
  </si>
  <si>
    <t>Despesa computable liquidació exercici anterior</t>
  </si>
  <si>
    <t>Despesa en inversions financeres sostenibles exercici anterior</t>
  </si>
  <si>
    <t>Taxa de referència</t>
  </si>
  <si>
    <t>Despesa computable aplicant la taxa de referència</t>
  </si>
  <si>
    <t>Augments o disminucions (art. 12.4) del Pressupost actual</t>
  </si>
  <si>
    <t>Límit de la regla de la despesa a l'exercici</t>
  </si>
  <si>
    <t>Despeses en inversions financerament sostenibles</t>
  </si>
  <si>
    <t>Despesa computable a l'exercici</t>
  </si>
  <si>
    <t>Compliment (+) o incompliment (-) de la regla de la despesa</t>
  </si>
  <si>
    <t>n/a</t>
  </si>
  <si>
    <t>2012 ²</t>
  </si>
  <si>
    <t>2013 ²</t>
  </si>
  <si>
    <t>2014 ²</t>
  </si>
  <si>
    <t>¹ Inclou els Organismes Autònoms dissolts 2011</t>
  </si>
  <si>
    <t>² Inclou el Consorci del Camp de Tarragona</t>
  </si>
  <si>
    <t>³ A partir de l'exercici 2018 s'inclou l'Associació Arc Llatí</t>
  </si>
  <si>
    <t>Servei de comptabilitat i gestió pressupostària</t>
  </si>
  <si>
    <t>EXERCICI ANTERIOR (total 31,12)</t>
  </si>
  <si>
    <t>PRESSUPOST GESTIONAT</t>
  </si>
  <si>
    <t>Pressupost d'ingressos reals</t>
  </si>
  <si>
    <r>
      <rPr>
        <sz val="10"/>
        <rFont val="Arial"/>
        <family val="2"/>
      </rPr>
      <t xml:space="preserve">2011 </t>
    </r>
    <r>
      <rPr>
        <sz val="10"/>
        <rFont val="Calibri"/>
        <family val="2"/>
      </rPr>
      <t xml:space="preserve">¹ </t>
    </r>
    <r>
      <rPr>
        <sz val="10"/>
        <rFont val="Arial"/>
        <family val="2"/>
      </rPr>
      <t>²</t>
    </r>
  </si>
  <si>
    <r>
      <rPr>
        <sz val="10"/>
        <rFont val="Arial"/>
        <family val="2"/>
      </rPr>
      <t xml:space="preserve">2015 </t>
    </r>
    <r>
      <rPr>
        <sz val="10"/>
        <rFont val="Calibri"/>
        <family val="2"/>
      </rPr>
      <t>²</t>
    </r>
  </si>
  <si>
    <r>
      <rPr>
        <sz val="10"/>
        <rFont val="Arial"/>
        <family val="2"/>
      </rPr>
      <t xml:space="preserve">2018 </t>
    </r>
    <r>
      <rPr>
        <sz val="10"/>
        <rFont val="Calibri"/>
        <family val="2"/>
      </rPr>
      <t>³</t>
    </r>
  </si>
  <si>
    <t>EVOLUCIÓ DE L'EXECUCIÓ I COBERTURA INGRESSOS/DESPESA</t>
  </si>
  <si>
    <t>Modificar fórmula pel T2</t>
  </si>
  <si>
    <t xml:space="preserve"> </t>
  </si>
  <si>
    <t>Drets reconeguts nets</t>
  </si>
  <si>
    <t>La resta de dades s'omplen automaticament</t>
  </si>
  <si>
    <t>QUEREMOS REFLEJAR LA EJECUCIÓN DE CADA TRIMESTRE SIN ACUMULAR, RESPECTO DEL PRESUPUESTO DEFINITVO PARA CADA TRIMESTRE (ESTO ES MC's INCLUÍDAS)</t>
  </si>
  <si>
    <t>Prev. Def. Ingressos Consolidats</t>
  </si>
  <si>
    <t>Obligacions reconegudes netes</t>
  </si>
  <si>
    <t>Recaptació neta</t>
  </si>
  <si>
    <t>Suma de Obligacions reconegudes netes</t>
  </si>
  <si>
    <t>Actualitzar aquesta taula dinàmica i ordenar les ORN de menor a major</t>
  </si>
  <si>
    <r>
      <t xml:space="preserve">2022 </t>
    </r>
    <r>
      <rPr>
        <vertAlign val="superscript"/>
        <sz val="10"/>
        <rFont val="Calibri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</si>
  <si>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2022 exclou Arc Llatí </t>
    </r>
  </si>
  <si>
    <t>FI 2021</t>
  </si>
  <si>
    <t>FI 2022</t>
  </si>
  <si>
    <t>CORPORACIÓ</t>
  </si>
  <si>
    <t>TURISME</t>
  </si>
  <si>
    <t>AJUST</t>
  </si>
  <si>
    <t>TOTAL</t>
  </si>
  <si>
    <t>----</t>
  </si>
  <si>
    <t>ll/t</t>
  </si>
  <si>
    <t>c/t</t>
  </si>
  <si>
    <t xml:space="preserve"> Sanitari 41971</t>
  </si>
  <si>
    <t>Sanitari 41972</t>
  </si>
  <si>
    <t>FI 2023</t>
  </si>
  <si>
    <t>se actualiza con los datos de liq definitva</t>
  </si>
  <si>
    <t>mientras no se liquide 24, tomaremos el ex anterior cerrado</t>
  </si>
  <si>
    <t>A 31 de març de 2025</t>
  </si>
  <si>
    <t>SITUACIÓ DE DESPESES A 31/03/2025</t>
  </si>
  <si>
    <t>SITUACIÓ D'INGRESSOS A 31/03/2025</t>
  </si>
  <si>
    <t>RESUM EXECUCIÓ A 31/03/2025</t>
  </si>
  <si>
    <t>PRESSUPOST A 31/03/2025</t>
  </si>
  <si>
    <t>DADES PTO DEF 2025</t>
  </si>
  <si>
    <t>Descomptat l'import de la transfer a Turisme i BASE per tal d'unificar el criteri a l'hora de fer els gràfics (tots consideraven el consolidat, excepte el gràfic de A6)</t>
  </si>
  <si>
    <t>Tomar último cuadro de MC aunque la MC no esté aprobada ni registrada</t>
  </si>
  <si>
    <t>pq en el informe ya se incluyen otras previsiones a futuro, por tanto a</t>
  </si>
  <si>
    <t>fecha actual es como se prevee liquidar</t>
  </si>
  <si>
    <t>el primer trimestre del año actualizar DRN del cierre anterior, en excel Estalvi Net (celda G9 o J9, es DRN ctes de cada ente)</t>
  </si>
  <si>
    <t>FI 2024</t>
  </si>
  <si>
    <t xml:space="preserve"> PENDENT 1T BALANÇ a 31/03/2025</t>
  </si>
  <si>
    <t>am. 1T 2025</t>
  </si>
  <si>
    <t>pòlissa BASE dispossat a 31/03/2025</t>
  </si>
  <si>
    <t>no comptabilitzat, infomat per plopezc</t>
  </si>
  <si>
    <t>DEUTE VIU PTE a FI D'EXERCICI</t>
  </si>
  <si>
    <t>según plataforma Autoriza, saldo a 31/12/2024</t>
  </si>
  <si>
    <t>Saldo a 31/03/2025=</t>
  </si>
  <si>
    <t>s/autoriza</t>
  </si>
  <si>
    <t>Me dice Berna que el trimestre está contabilizado, pero no cuadra con lo que dice Autoriza</t>
  </si>
  <si>
    <t>RESUM EXECUCIÓ TANCATS A 31/03/2025</t>
  </si>
  <si>
    <t>d'imports als municipis a càrrec dels ingressos de padrons en l'exercici 2025.</t>
  </si>
  <si>
    <t xml:space="preserve">* El deute financer per 20.700.000 € correspon a l'ens BASE, deute a curt termini per l'avançament </t>
  </si>
  <si>
    <t>Saldo a 31/03/2025 Sanitari =</t>
  </si>
  <si>
    <t>Concertació i Assistència Municipal</t>
  </si>
  <si>
    <t>Promoció Social i Cultural</t>
  </si>
  <si>
    <t>Òrgans de govern i Coordinació general</t>
  </si>
  <si>
    <t>Infraestructures del Territori</t>
  </si>
  <si>
    <t>Serveis Generals i Instal·lacions Corporatives</t>
  </si>
  <si>
    <t>Persones i Talent</t>
  </si>
  <si>
    <t>Innovació i Tecnologia</t>
  </si>
  <si>
    <t>Gabinet de Presidència i Planificació i PERC</t>
  </si>
  <si>
    <t>exccis anteriors són dades consolidades 3 ensos</t>
  </si>
  <si>
    <t>Introduïr les dades de K8</t>
  </si>
  <si>
    <t>només PREVISIONS DEFINITVES INGRESSOS PER TRANSFERS A Turisme i BASE (si n'hi ha)</t>
  </si>
  <si>
    <t>S'ha modificat la fórmula pq no excedeixi el 100%</t>
  </si>
  <si>
    <t>87000 i 87010</t>
  </si>
  <si>
    <t xml:space="preserve"> Aplicacions ingres 87000</t>
  </si>
  <si>
    <t xml:space="preserve"> Aplicacions ingres 87010</t>
  </si>
  <si>
    <t>87000 + 87010</t>
  </si>
  <si>
    <t>Introduïr les dades de L11</t>
  </si>
  <si>
    <t>tomar el estalvi net de la liq anterior i tomar DRN caps 1a5 y descontar la transfer a TUR+BASE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</si>
</sst>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???,???,??0.00"/>
  </numFmts>
  <fonts count="2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indexed="8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vertAlign val="superscript"/>
      <sz val="10"/>
      <name val="Calibri"/>
      <family val="2"/>
    </font>
    <font>
      <vertAlign val="superscript"/>
      <sz val="10"/>
      <name val="Arial"/>
      <family val="2"/>
    </font>
    <font>
      <sz val="10"/>
      <color rgb="FF00B05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10"/>
      <color rgb="FF00B050"/>
      <name val="Arial"/>
      <family val="2"/>
    </font>
    <font>
      <sz val="9"/>
      <color rgb="FF00B050"/>
      <name val="Arial"/>
      <family val="2"/>
    </font>
    <font>
      <b/>
      <u/>
      <sz val="9"/>
      <color rgb="FF00B050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22"/>
        <bgColor indexed="5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0" fillId="6" borderId="15" applyNumberFormat="0" applyAlignment="0" applyProtection="0"/>
    <xf numFmtId="164" fontId="1" fillId="0" borderId="0" applyFill="0" applyBorder="0" applyAlignment="0" applyProtection="0"/>
    <xf numFmtId="0" fontId="11" fillId="7" borderId="0" applyNumberFormat="0" applyBorder="0" applyAlignment="0" applyProtection="0"/>
    <xf numFmtId="0" fontId="9" fillId="0" borderId="0"/>
    <xf numFmtId="0" fontId="1" fillId="0" borderId="0"/>
    <xf numFmtId="0" fontId="9" fillId="8" borderId="16" applyNumberFormat="0" applyFont="0" applyAlignment="0" applyProtection="0"/>
    <xf numFmtId="9" fontId="1" fillId="0" borderId="0" applyFill="0" applyBorder="0" applyAlignment="0" applyProtection="0"/>
    <xf numFmtId="0" fontId="12" fillId="0" borderId="17" applyNumberFormat="0" applyFill="0" applyAlignment="0" applyProtection="0"/>
    <xf numFmtId="0" fontId="6" fillId="0" borderId="0" applyNumberFormat="0" applyFill="0" applyBorder="0" applyAlignment="0" applyProtection="0"/>
  </cellStyleXfs>
  <cellXfs count="167">
    <xf numFmtId="0" fontId="0" fillId="0" borderId="0" xfId="0"/>
    <xf numFmtId="4" fontId="0" fillId="0" borderId="0" xfId="0" applyNumberFormat="1"/>
    <xf numFmtId="10" fontId="0" fillId="0" borderId="0" xfId="0" applyNumberFormat="1"/>
    <xf numFmtId="0" fontId="2" fillId="0" borderId="0" xfId="0" applyFont="1"/>
    <xf numFmtId="4" fontId="2" fillId="0" borderId="0" xfId="0" applyNumberFormat="1" applyFont="1"/>
    <xf numFmtId="10" fontId="2" fillId="0" borderId="0" xfId="0" applyNumberFormat="1" applyFont="1"/>
    <xf numFmtId="10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4" fontId="0" fillId="0" borderId="2" xfId="0" applyNumberFormat="1" applyBorder="1"/>
    <xf numFmtId="10" fontId="0" fillId="0" borderId="2" xfId="0" applyNumberForma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10" fontId="0" fillId="0" borderId="3" xfId="0" applyNumberForma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0" fillId="0" borderId="4" xfId="0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5" xfId="0" applyBorder="1"/>
    <xf numFmtId="4" fontId="3" fillId="0" borderId="0" xfId="0" applyNumberFormat="1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3" borderId="6" xfId="0" applyFont="1" applyFill="1" applyBorder="1" applyAlignment="1">
      <alignment horizontal="center"/>
    </xf>
    <xf numFmtId="4" fontId="0" fillId="0" borderId="6" xfId="0" applyNumberFormat="1" applyBorder="1"/>
    <xf numFmtId="4" fontId="2" fillId="3" borderId="6" xfId="0" applyNumberFormat="1" applyFont="1" applyFill="1" applyBorder="1"/>
    <xf numFmtId="0" fontId="2" fillId="0" borderId="6" xfId="0" applyFont="1" applyBorder="1" applyAlignment="1">
      <alignment horizontal="right"/>
    </xf>
    <xf numFmtId="4" fontId="2" fillId="0" borderId="6" xfId="0" applyNumberFormat="1" applyFont="1" applyBorder="1"/>
    <xf numFmtId="0" fontId="2" fillId="3" borderId="6" xfId="0" applyFont="1" applyFill="1" applyBorder="1" applyAlignment="1">
      <alignment horizontal="center" wrapText="1"/>
    </xf>
    <xf numFmtId="0" fontId="0" fillId="0" borderId="6" xfId="0" applyBorder="1"/>
    <xf numFmtId="0" fontId="2" fillId="3" borderId="6" xfId="0" applyFont="1" applyFill="1" applyBorder="1"/>
    <xf numFmtId="3" fontId="0" fillId="0" borderId="0" xfId="0" applyNumberFormat="1"/>
    <xf numFmtId="4" fontId="0" fillId="0" borderId="0" xfId="0" applyNumberFormat="1" applyAlignment="1">
      <alignment horizontal="right"/>
    </xf>
    <xf numFmtId="10" fontId="2" fillId="0" borderId="0" xfId="0" applyNumberFormat="1" applyFont="1" applyAlignment="1">
      <alignment wrapText="1"/>
    </xf>
    <xf numFmtId="0" fontId="0" fillId="0" borderId="7" xfId="0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4" fontId="0" fillId="9" borderId="2" xfId="0" applyNumberFormat="1" applyFill="1" applyBorder="1"/>
    <xf numFmtId="10" fontId="0" fillId="9" borderId="2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wrapText="1"/>
    </xf>
    <xf numFmtId="4" fontId="2" fillId="0" borderId="3" xfId="0" applyNumberFormat="1" applyFont="1" applyBorder="1"/>
    <xf numFmtId="10" fontId="0" fillId="0" borderId="8" xfId="0" applyNumberFormat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4" fontId="2" fillId="0" borderId="10" xfId="0" applyNumberFormat="1" applyFont="1" applyBorder="1"/>
    <xf numFmtId="9" fontId="0" fillId="0" borderId="0" xfId="0" applyNumberFormat="1"/>
    <xf numFmtId="0" fontId="1" fillId="0" borderId="0" xfId="5"/>
    <xf numFmtId="0" fontId="2" fillId="0" borderId="0" xfId="5" applyFont="1" applyAlignment="1">
      <alignment horizontal="center"/>
    </xf>
    <xf numFmtId="0" fontId="1" fillId="0" borderId="0" xfId="5" applyAlignment="1">
      <alignment vertical="center"/>
    </xf>
    <xf numFmtId="4" fontId="1" fillId="0" borderId="0" xfId="5" applyNumberFormat="1" applyAlignment="1">
      <alignment vertical="center"/>
    </xf>
    <xf numFmtId="4" fontId="1" fillId="0" borderId="0" xfId="5" applyNumberFormat="1"/>
    <xf numFmtId="0" fontId="0" fillId="0" borderId="0" xfId="5" applyFont="1"/>
    <xf numFmtId="4" fontId="5" fillId="0" borderId="0" xfId="0" applyNumberFormat="1" applyFont="1" applyAlignment="1">
      <alignment horizontal="right"/>
    </xf>
    <xf numFmtId="4" fontId="8" fillId="0" borderId="0" xfId="2" applyNumberFormat="1" applyFont="1" applyFill="1" applyBorder="1" applyAlignment="1" applyProtection="1">
      <alignment horizontal="right" vertical="top"/>
    </xf>
    <xf numFmtId="10" fontId="0" fillId="0" borderId="0" xfId="0" applyNumberFormat="1" applyAlignment="1">
      <alignment horizontal="right"/>
    </xf>
    <xf numFmtId="0" fontId="0" fillId="0" borderId="1" xfId="0" applyBorder="1"/>
    <xf numFmtId="4" fontId="0" fillId="0" borderId="1" xfId="0" applyNumberFormat="1" applyBorder="1"/>
    <xf numFmtId="0" fontId="0" fillId="0" borderId="18" xfId="0" pivotButton="1" applyBorder="1"/>
    <xf numFmtId="0" fontId="0" fillId="0" borderId="19" xfId="0" applyBorder="1"/>
    <xf numFmtId="0" fontId="0" fillId="0" borderId="18" xfId="0" applyBorder="1"/>
    <xf numFmtId="0" fontId="0" fillId="0" borderId="20" xfId="0" applyBorder="1"/>
    <xf numFmtId="0" fontId="0" fillId="0" borderId="22" xfId="0" applyBorder="1"/>
    <xf numFmtId="10" fontId="2" fillId="0" borderId="0" xfId="0" applyNumberFormat="1" applyFont="1" applyAlignment="1">
      <alignment horizontal="center"/>
    </xf>
    <xf numFmtId="0" fontId="0" fillId="4" borderId="0" xfId="0" applyFill="1"/>
    <xf numFmtId="0" fontId="2" fillId="5" borderId="11" xfId="5" applyFont="1" applyFill="1" applyBorder="1" applyAlignment="1">
      <alignment horizontal="center" vertical="center" wrapText="1"/>
    </xf>
    <xf numFmtId="0" fontId="0" fillId="0" borderId="11" xfId="5" applyFont="1" applyBorder="1" applyAlignment="1">
      <alignment horizontal="right"/>
    </xf>
    <xf numFmtId="0" fontId="0" fillId="0" borderId="11" xfId="5" applyFont="1" applyBorder="1" applyAlignment="1">
      <alignment horizontal="center" vertical="center" wrapText="1"/>
    </xf>
    <xf numFmtId="4" fontId="1" fillId="0" borderId="11" xfId="5" applyNumberFormat="1" applyBorder="1" applyAlignment="1">
      <alignment horizontal="right"/>
    </xf>
    <xf numFmtId="0" fontId="2" fillId="0" borderId="11" xfId="5" applyFont="1" applyBorder="1" applyAlignment="1">
      <alignment horizontal="center" vertical="center" wrapText="1"/>
    </xf>
    <xf numFmtId="4" fontId="0" fillId="0" borderId="11" xfId="5" applyNumberFormat="1" applyFont="1" applyBorder="1" applyAlignment="1">
      <alignment horizontal="right"/>
    </xf>
    <xf numFmtId="4" fontId="1" fillId="0" borderId="11" xfId="5" applyNumberFormat="1" applyBorder="1"/>
    <xf numFmtId="10" fontId="1" fillId="0" borderId="12" xfId="7" applyNumberFormat="1" applyFill="1" applyBorder="1" applyAlignment="1" applyProtection="1"/>
    <xf numFmtId="4" fontId="1" fillId="0" borderId="12" xfId="5" applyNumberFormat="1" applyBorder="1"/>
    <xf numFmtId="0" fontId="1" fillId="0" borderId="11" xfId="5" applyBorder="1"/>
    <xf numFmtId="10" fontId="1" fillId="0" borderId="11" xfId="7" applyNumberFormat="1" applyFill="1" applyBorder="1" applyAlignment="1" applyProtection="1"/>
    <xf numFmtId="0" fontId="1" fillId="0" borderId="13" xfId="5" applyBorder="1"/>
    <xf numFmtId="10" fontId="1" fillId="0" borderId="13" xfId="7" applyNumberFormat="1" applyFill="1" applyBorder="1" applyAlignment="1" applyProtection="1"/>
    <xf numFmtId="0" fontId="1" fillId="0" borderId="14" xfId="5" applyBorder="1"/>
    <xf numFmtId="4" fontId="1" fillId="0" borderId="14" xfId="5" applyNumberFormat="1" applyBorder="1"/>
    <xf numFmtId="10" fontId="1" fillId="0" borderId="14" xfId="7" applyNumberFormat="1" applyFill="1" applyBorder="1" applyAlignment="1" applyProtection="1"/>
    <xf numFmtId="165" fontId="8" fillId="0" borderId="0" xfId="2" applyNumberFormat="1" applyFont="1" applyAlignment="1">
      <alignment horizontal="right" vertical="top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0" fillId="0" borderId="30" xfId="0" applyBorder="1"/>
    <xf numFmtId="0" fontId="0" fillId="0" borderId="27" xfId="0" applyBorder="1"/>
    <xf numFmtId="0" fontId="2" fillId="3" borderId="30" xfId="0" applyFont="1" applyFill="1" applyBorder="1"/>
    <xf numFmtId="0" fontId="2" fillId="3" borderId="27" xfId="0" applyFont="1" applyFill="1" applyBorder="1"/>
    <xf numFmtId="0" fontId="2" fillId="3" borderId="30" xfId="0" applyFont="1" applyFill="1" applyBorder="1" applyAlignment="1">
      <alignment horizontal="center"/>
    </xf>
    <xf numFmtId="4" fontId="1" fillId="0" borderId="13" xfId="5" applyNumberFormat="1" applyBorder="1"/>
    <xf numFmtId="0" fontId="14" fillId="0" borderId="0" xfId="0" applyFont="1"/>
    <xf numFmtId="10" fontId="0" fillId="10" borderId="0" xfId="0" applyNumberFormat="1" applyFill="1"/>
    <xf numFmtId="0" fontId="0" fillId="11" borderId="0" xfId="0" applyFill="1"/>
    <xf numFmtId="4" fontId="13" fillId="11" borderId="0" xfId="2" applyNumberFormat="1" applyFont="1" applyFill="1" applyAlignment="1">
      <alignment horizontal="right" vertical="top"/>
    </xf>
    <xf numFmtId="0" fontId="15" fillId="0" borderId="0" xfId="0" applyFont="1"/>
    <xf numFmtId="4" fontId="0" fillId="0" borderId="31" xfId="0" applyNumberFormat="1" applyBorder="1"/>
    <xf numFmtId="4" fontId="0" fillId="0" borderId="14" xfId="0" applyNumberFormat="1" applyBorder="1"/>
    <xf numFmtId="4" fontId="0" fillId="0" borderId="19" xfId="0" applyNumberFormat="1" applyBorder="1"/>
    <xf numFmtId="4" fontId="0" fillId="0" borderId="21" xfId="0" applyNumberFormat="1" applyBorder="1"/>
    <xf numFmtId="4" fontId="0" fillId="0" borderId="23" xfId="0" applyNumberFormat="1" applyBorder="1"/>
    <xf numFmtId="4" fontId="16" fillId="0" borderId="0" xfId="0" applyNumberFormat="1" applyFont="1"/>
    <xf numFmtId="0" fontId="0" fillId="0" borderId="0" xfId="0" quotePrefix="1"/>
    <xf numFmtId="0" fontId="0" fillId="0" borderId="33" xfId="0" applyBorder="1"/>
    <xf numFmtId="4" fontId="0" fillId="0" borderId="34" xfId="0" applyNumberFormat="1" applyBorder="1"/>
    <xf numFmtId="10" fontId="0" fillId="0" borderId="35" xfId="0" applyNumberFormat="1" applyBorder="1"/>
    <xf numFmtId="0" fontId="0" fillId="0" borderId="36" xfId="0" applyBorder="1"/>
    <xf numFmtId="10" fontId="0" fillId="0" borderId="37" xfId="0" applyNumberFormat="1" applyBorder="1"/>
    <xf numFmtId="0" fontId="0" fillId="0" borderId="0" xfId="0" quotePrefix="1" applyAlignment="1">
      <alignment horizontal="center"/>
    </xf>
    <xf numFmtId="4" fontId="0" fillId="12" borderId="0" xfId="0" applyNumberFormat="1" applyFill="1"/>
    <xf numFmtId="4" fontId="19" fillId="0" borderId="0" xfId="0" applyNumberFormat="1" applyFont="1"/>
    <xf numFmtId="4" fontId="20" fillId="0" borderId="0" xfId="0" applyNumberFormat="1" applyFont="1"/>
    <xf numFmtId="4" fontId="2" fillId="11" borderId="0" xfId="0" applyNumberFormat="1" applyFont="1" applyFill="1"/>
    <xf numFmtId="10" fontId="19" fillId="0" borderId="0" xfId="0" applyNumberFormat="1" applyFont="1"/>
    <xf numFmtId="4" fontId="19" fillId="0" borderId="6" xfId="0" applyNumberFormat="1" applyFont="1" applyBorder="1"/>
    <xf numFmtId="0" fontId="21" fillId="0" borderId="0" xfId="0" applyFont="1" applyAlignment="1">
      <alignment horizontal="right"/>
    </xf>
    <xf numFmtId="0" fontId="0" fillId="0" borderId="32" xfId="0" applyBorder="1"/>
    <xf numFmtId="0" fontId="19" fillId="0" borderId="0" xfId="0" applyFont="1"/>
    <xf numFmtId="0" fontId="16" fillId="0" borderId="0" xfId="0" applyFont="1"/>
    <xf numFmtId="0" fontId="19" fillId="0" borderId="0" xfId="0" applyFont="1" applyAlignment="1">
      <alignment horizontal="right"/>
    </xf>
    <xf numFmtId="4" fontId="22" fillId="0" borderId="0" xfId="0" applyNumberFormat="1" applyFont="1"/>
    <xf numFmtId="0" fontId="0" fillId="0" borderId="38" xfId="0" applyBorder="1"/>
    <xf numFmtId="10" fontId="16" fillId="0" borderId="0" xfId="0" applyNumberFormat="1" applyFont="1"/>
    <xf numFmtId="4" fontId="0" fillId="13" borderId="0" xfId="0" applyNumberFormat="1" applyFill="1"/>
    <xf numFmtId="4" fontId="0" fillId="13" borderId="34" xfId="0" applyNumberFormat="1" applyFill="1" applyBorder="1"/>
    <xf numFmtId="10" fontId="0" fillId="13" borderId="0" xfId="0" applyNumberFormat="1" applyFill="1"/>
    <xf numFmtId="10" fontId="0" fillId="13" borderId="34" xfId="0" applyNumberFormat="1" applyFill="1" applyBorder="1"/>
    <xf numFmtId="10" fontId="0" fillId="13" borderId="32" xfId="0" applyNumberFormat="1" applyFill="1" applyBorder="1"/>
    <xf numFmtId="10" fontId="0" fillId="0" borderId="39" xfId="0" applyNumberFormat="1" applyBorder="1"/>
    <xf numFmtId="4" fontId="23" fillId="0" borderId="40" xfId="0" applyNumberFormat="1" applyFont="1" applyBorder="1"/>
    <xf numFmtId="4" fontId="19" fillId="0" borderId="41" xfId="0" applyNumberFormat="1" applyFont="1" applyBorder="1"/>
    <xf numFmtId="4" fontId="0" fillId="0" borderId="41" xfId="0" applyNumberFormat="1" applyBorder="1"/>
    <xf numFmtId="4" fontId="24" fillId="0" borderId="40" xfId="0" applyNumberFormat="1" applyFont="1" applyBorder="1"/>
    <xf numFmtId="0" fontId="22" fillId="0" borderId="0" xfId="0" applyFont="1"/>
    <xf numFmtId="0" fontId="0" fillId="0" borderId="13" xfId="5" applyFont="1" applyBorder="1" applyAlignment="1">
      <alignment horizontal="right"/>
    </xf>
    <xf numFmtId="4" fontId="1" fillId="0" borderId="42" xfId="5" applyNumberFormat="1" applyBorder="1"/>
    <xf numFmtId="10" fontId="1" fillId="0" borderId="42" xfId="7" applyNumberFormat="1" applyFill="1" applyBorder="1" applyAlignment="1" applyProtection="1"/>
    <xf numFmtId="0" fontId="0" fillId="0" borderId="14" xfId="5" applyFont="1" applyBorder="1" applyAlignment="1">
      <alignment horizontal="right"/>
    </xf>
    <xf numFmtId="4" fontId="0" fillId="13" borderId="32" xfId="0" applyNumberFormat="1" applyFill="1" applyBorder="1"/>
    <xf numFmtId="4" fontId="0" fillId="0" borderId="32" xfId="0" applyNumberFormat="1" applyBorder="1"/>
    <xf numFmtId="3" fontId="26" fillId="0" borderId="0" xfId="0" applyNumberFormat="1" applyFont="1"/>
    <xf numFmtId="0" fontId="26" fillId="0" borderId="0" xfId="0" applyFont="1"/>
    <xf numFmtId="4" fontId="26" fillId="0" borderId="0" xfId="0" applyNumberFormat="1" applyFont="1"/>
    <xf numFmtId="0" fontId="26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4" fontId="14" fillId="0" borderId="0" xfId="0" applyNumberFormat="1" applyFont="1"/>
    <xf numFmtId="4" fontId="26" fillId="0" borderId="32" xfId="0" applyNumberFormat="1" applyFont="1" applyBorder="1"/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vertical="center"/>
    </xf>
    <xf numFmtId="10" fontId="0" fillId="0" borderId="2" xfId="0" applyNumberFormat="1" applyBorder="1" applyAlignment="1">
      <alignment horizontal="center" vertical="center"/>
    </xf>
    <xf numFmtId="4" fontId="23" fillId="0" borderId="0" xfId="0" applyNumberFormat="1" applyFont="1"/>
    <xf numFmtId="4" fontId="24" fillId="0" borderId="0" xfId="0" applyNumberFormat="1" applyFont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25" fillId="0" borderId="0" xfId="0" applyNumberFormat="1" applyFont="1"/>
    <xf numFmtId="4" fontId="16" fillId="12" borderId="0" xfId="0" applyNumberFormat="1" applyFont="1" applyFill="1"/>
    <xf numFmtId="4" fontId="2" fillId="12" borderId="1" xfId="0" applyNumberFormat="1" applyFont="1" applyFill="1" applyBorder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0">
    <cellStyle name="Entrada" xfId="1" builtinId="20" customBuiltin="1"/>
    <cellStyle name="Millares" xfId="2" builtinId="3"/>
    <cellStyle name="Neutral" xfId="3" builtinId="28" customBuiltin="1"/>
    <cellStyle name="Normal" xfId="0" builtinId="0"/>
    <cellStyle name="Normal 2" xfId="4" xr:uid="{00000000-0005-0000-0000-000004000000}"/>
    <cellStyle name="Normal 3" xfId="5" xr:uid="{00000000-0005-0000-0000-000005000000}"/>
    <cellStyle name="Notas 2" xfId="6" xr:uid="{00000000-0005-0000-0000-000006000000}"/>
    <cellStyle name="Porcentaje" xfId="7" builtinId="5"/>
    <cellStyle name="Total" xfId="8" builtinId="25" customBuiltin="1"/>
    <cellStyle name="Valor de la tabla dinámica" xfId="9" xr:uid="{00000000-0005-0000-0000-000009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pivotCacheDefinition" Target="pivotCache/pivotCacheDefinition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Finançament del pressupost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FINANÇAMENT!$B$4</c:f>
              <c:strCache>
                <c:ptCount val="1"/>
                <c:pt idx="0">
                  <c:v>DADES CONSOLIDADES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5BCF-451A-9D63-100B10E11FAA}"/>
              </c:ext>
            </c:extLst>
          </c:dPt>
          <c:dPt>
            <c:idx val="1"/>
            <c:bubble3D val="0"/>
            <c:spPr>
              <a:solidFill>
                <a:schemeClr val="accent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BCF-451A-9D63-100B10E11FAA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5BCF-451A-9D63-100B10E11FAA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BCF-451A-9D63-100B10E11FAA}"/>
              </c:ext>
            </c:extLst>
          </c:dPt>
          <c:dLbls>
            <c:dLbl>
              <c:idx val="0"/>
              <c:layout>
                <c:manualLayout>
                  <c:x val="1.0187830755683226E-2"/>
                  <c:y val="-4.380692979415309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CF-451A-9D63-100B10E11FAA}"/>
                </c:ext>
              </c:extLst>
            </c:dLbl>
            <c:dLbl>
              <c:idx val="1"/>
              <c:layout>
                <c:manualLayout>
                  <c:x val="2.7573418143578918E-2"/>
                  <c:y val="2.09769061886132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CF-451A-9D63-100B10E11FAA}"/>
                </c:ext>
              </c:extLst>
            </c:dLbl>
            <c:dLbl>
              <c:idx val="2"/>
              <c:layout>
                <c:manualLayout>
                  <c:x val="-4.8279600229124454E-2"/>
                  <c:y val="-2.81463873619571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F-451A-9D63-100B10E11FAA}"/>
                </c:ext>
              </c:extLst>
            </c:dLbl>
            <c:dLbl>
              <c:idx val="3"/>
              <c:layout>
                <c:manualLayout>
                  <c:x val="8.4770918293193762E-3"/>
                  <c:y val="-2.977962660327836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CF-451A-9D63-100B10E11FAA}"/>
                </c:ext>
              </c:extLst>
            </c:dLbl>
            <c:dLbl>
              <c:idx val="4"/>
              <c:layout>
                <c:manualLayout>
                  <c:x val="7.3456615968606528E-3"/>
                  <c:y val="-0.18351408904075669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CF-451A-9D63-100B10E11F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FINANÇAMENT!$A$5:$A$8</c:f>
              <c:strCache>
                <c:ptCount val="4"/>
                <c:pt idx="0">
                  <c:v>Recursos no financers</c:v>
                </c:pt>
                <c:pt idx="1">
                  <c:v>Endeutament</c:v>
                </c:pt>
                <c:pt idx="2">
                  <c:v>Actius financers no RLT</c:v>
                </c:pt>
                <c:pt idx="3">
                  <c:v>Romanent de tresoreria</c:v>
                </c:pt>
              </c:strCache>
            </c:strRef>
          </c:cat>
          <c:val>
            <c:numRef>
              <c:f>FINANÇAMENT!$B$5:$B$8</c:f>
              <c:numCache>
                <c:formatCode>#,##0.00</c:formatCode>
                <c:ptCount val="4"/>
                <c:pt idx="0">
                  <c:v>213800000</c:v>
                </c:pt>
                <c:pt idx="1">
                  <c:v>8000000</c:v>
                </c:pt>
                <c:pt idx="2">
                  <c:v>600000</c:v>
                </c:pt>
                <c:pt idx="3">
                  <c:v>1352889.53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CF-451A-9D63-100B10E11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814096204481609"/>
          <c:y val="0.40880635203618415"/>
          <c:w val="0.21044058487904316"/>
          <c:h val="0.27044124201455949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Crèdits definitius del Pressupost consolidat</a:t>
            </a:r>
          </a:p>
        </c:rich>
      </c:tx>
      <c:layout>
        <c:manualLayout>
          <c:xMode val="edge"/>
          <c:yMode val="edge"/>
          <c:x val="0.3235625234345707"/>
          <c:y val="3.0302983971663734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hPercent val="42"/>
      <c:rotY val="18"/>
      <c:depthPercent val="100"/>
      <c:rAngAx val="1"/>
    </c:view3D>
    <c:floor>
      <c:thickness val="0"/>
      <c:spPr>
        <a:solidFill>
          <a:srgbClr val="80808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9101250047219577E-2"/>
          <c:y val="0.12987040438650818"/>
          <c:w val="0.78048761342713691"/>
          <c:h val="0.4607228683570517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A3CAP_GrauModif!$D$35</c:f>
              <c:strCache>
                <c:ptCount val="1"/>
                <c:pt idx="0">
                  <c:v>Crèdits inicials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A3CAP_GrauModif!$C$36:$C$44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A3CAP_GrauModif!$D$36:$D$44</c:f>
              <c:numCache>
                <c:formatCode>#,##0.00</c:formatCode>
                <c:ptCount val="9"/>
                <c:pt idx="0">
                  <c:v>76528283.150000036</c:v>
                </c:pt>
                <c:pt idx="1">
                  <c:v>38222376.210000001</c:v>
                </c:pt>
                <c:pt idx="2">
                  <c:v>843701</c:v>
                </c:pt>
                <c:pt idx="3">
                  <c:v>29030287.109999999</c:v>
                </c:pt>
                <c:pt idx="4">
                  <c:v>5406601.6200000001</c:v>
                </c:pt>
                <c:pt idx="5">
                  <c:v>22103422.539999999</c:v>
                </c:pt>
                <c:pt idx="6">
                  <c:v>49665328.370000005</c:v>
                </c:pt>
                <c:pt idx="7">
                  <c:v>600000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11-4711-893F-F78B1CD7410C}"/>
            </c:ext>
          </c:extLst>
        </c:ser>
        <c:ser>
          <c:idx val="1"/>
          <c:order val="1"/>
          <c:tx>
            <c:strRef>
              <c:f>A3CAP_GrauModif!$E$35</c:f>
              <c:strCache>
                <c:ptCount val="1"/>
                <c:pt idx="0">
                  <c:v>Modificacions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A3CAP_GrauModif!$C$36:$C$44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A3CAP_GrauModif!$E$36:$E$44</c:f>
              <c:numCache>
                <c:formatCode>#,##0.00</c:formatCode>
                <c:ptCount val="9"/>
                <c:pt idx="0">
                  <c:v>232967.12</c:v>
                </c:pt>
                <c:pt idx="1">
                  <c:v>1095295.8</c:v>
                </c:pt>
                <c:pt idx="2">
                  <c:v>0</c:v>
                </c:pt>
                <c:pt idx="3">
                  <c:v>0</c:v>
                </c:pt>
                <c:pt idx="4">
                  <c:v>-232967.12</c:v>
                </c:pt>
                <c:pt idx="5">
                  <c:v>257593.72999999998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11-4711-893F-F78B1CD74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7856512"/>
        <c:axId val="142204224"/>
        <c:axId val="0"/>
      </c:bar3DChart>
      <c:catAx>
        <c:axId val="13785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16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20422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42204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37856512"/>
        <c:crosses val="autoZero"/>
        <c:crossBetween val="between"/>
        <c:dispUnits>
          <c:builtInUnit val="millions"/>
          <c:dispUnitsLbl>
            <c:tx>
              <c:rich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r>
                    <a:rPr lang="es-ES"/>
                    <a:t>Milions €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6322225346831644"/>
          <c:y val="0.92718548530948186"/>
          <c:w val="0.4685918947631546"/>
          <c:h val="4.854368932038832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paperSize="9" firstPageNumber="0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Pes MC sobre Crèdits Definitius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4E-4DCA-8A45-67CDB734C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4E-4DCA-8A45-67CDB734CA2C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B14E-4DCA-8A45-67CDB734CA2C}"/>
              </c:ext>
            </c:extLst>
          </c:dPt>
          <c:val>
            <c:numRef>
              <c:f>A3CAP_GrauModif!$M$3:$M$5</c:f>
              <c:numCache>
                <c:formatCode>0.00%</c:formatCode>
                <c:ptCount val="3"/>
                <c:pt idx="0">
                  <c:v>3.0231777851937171E-3</c:v>
                </c:pt>
                <c:pt idx="1">
                  <c:v>0.49697682221480627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4E-4DCA-8A45-67CDB734C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Estat d'execució dels crèdits definitius</a:t>
            </a:r>
          </a:p>
        </c:rich>
      </c:tx>
      <c:layout>
        <c:manualLayout>
          <c:xMode val="edge"/>
          <c:yMode val="edge"/>
          <c:x val="0.30583233211863647"/>
          <c:y val="3.18626457999803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84075491250869"/>
          <c:y val="0.16176509307285222"/>
          <c:w val="0.87624527433021038"/>
          <c:h val="0.4558834441144016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A4CAP_SitCred!$K$39</c:f>
              <c:strCache>
                <c:ptCount val="1"/>
                <c:pt idx="0">
                  <c:v>Romanents no compromesos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A4CAP_SitCred!$J$40:$J$48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A4CAP_SitCred!$K$40:$K$48</c:f>
              <c:numCache>
                <c:formatCode>#,##0.00</c:formatCode>
                <c:ptCount val="9"/>
                <c:pt idx="0">
                  <c:v>59839942.310000077</c:v>
                </c:pt>
                <c:pt idx="1">
                  <c:v>17196038.25999999</c:v>
                </c:pt>
                <c:pt idx="2">
                  <c:v>843701</c:v>
                </c:pt>
                <c:pt idx="3">
                  <c:v>15108121.74</c:v>
                </c:pt>
                <c:pt idx="4">
                  <c:v>1849907.13</c:v>
                </c:pt>
                <c:pt idx="5">
                  <c:v>13290733.169999998</c:v>
                </c:pt>
                <c:pt idx="6">
                  <c:v>4208220.2</c:v>
                </c:pt>
                <c:pt idx="7">
                  <c:v>486200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F-4E71-BB5A-B1E20F4D3B21}"/>
            </c:ext>
          </c:extLst>
        </c:ser>
        <c:ser>
          <c:idx val="1"/>
          <c:order val="1"/>
          <c:tx>
            <c:strRef>
              <c:f>A4CAP_SitCred!$L$39</c:f>
              <c:strCache>
                <c:ptCount val="1"/>
                <c:pt idx="0">
                  <c:v>Saldo crèdits compromesos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A4CAP_SitCred!$J$40:$J$48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A4CAP_SitCred!$L$40:$L$48</c:f>
              <c:numCache>
                <c:formatCode>#,##0.00</c:formatCode>
                <c:ptCount val="9"/>
                <c:pt idx="0">
                  <c:v>488291.83</c:v>
                </c:pt>
                <c:pt idx="1">
                  <c:v>18880954.120000001</c:v>
                </c:pt>
                <c:pt idx="2">
                  <c:v>0</c:v>
                </c:pt>
                <c:pt idx="3">
                  <c:v>8034639.2100000009</c:v>
                </c:pt>
                <c:pt idx="4">
                  <c:v>0</c:v>
                </c:pt>
                <c:pt idx="5">
                  <c:v>7814321.0899999999</c:v>
                </c:pt>
                <c:pt idx="6">
                  <c:v>36460151.770000003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CF-4E71-BB5A-B1E20F4D3B21}"/>
            </c:ext>
          </c:extLst>
        </c:ser>
        <c:ser>
          <c:idx val="2"/>
          <c:order val="2"/>
          <c:tx>
            <c:strRef>
              <c:f>A4CAP_SitCred!$M$39</c:f>
              <c:strCache>
                <c:ptCount val="1"/>
                <c:pt idx="0">
                  <c:v>Obligacions reconegudes netes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A4CAP_SitCred!$J$40:$J$48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A4CAP_SitCred!$M$40:$M$48</c:f>
              <c:numCache>
                <c:formatCode>#,##0.00</c:formatCode>
                <c:ptCount val="9"/>
                <c:pt idx="0">
                  <c:v>16433016.129999999</c:v>
                </c:pt>
                <c:pt idx="1">
                  <c:v>3234690.13</c:v>
                </c:pt>
                <c:pt idx="2">
                  <c:v>0</c:v>
                </c:pt>
                <c:pt idx="3">
                  <c:v>8473626.1600000001</c:v>
                </c:pt>
                <c:pt idx="4">
                  <c:v>0</c:v>
                </c:pt>
                <c:pt idx="5">
                  <c:v>779724.43999999983</c:v>
                </c:pt>
                <c:pt idx="6">
                  <c:v>620970.56999999995</c:v>
                </c:pt>
                <c:pt idx="7">
                  <c:v>113800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CF-4E71-BB5A-B1E20F4D3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993216"/>
        <c:axId val="142218880"/>
      </c:barChart>
      <c:catAx>
        <c:axId val="13799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162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2188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22188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37993216"/>
        <c:crossesAt val="1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195119367960466"/>
          <c:y val="0.87136929460580914"/>
          <c:w val="0.82541715072501165"/>
          <c:h val="0.10373443983402486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Situació dels crèdits del Pressupost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A4CAP_SitCred!$B$49</c:f>
              <c:strCache>
                <c:ptCount val="1"/>
                <c:pt idx="0">
                  <c:v>Total Pressupost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562F-485F-BE72-6C98AB96F2F5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62F-485F-BE72-6C98AB96F2F5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562F-485F-BE72-6C98AB96F2F5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62F-485F-BE72-6C98AB96F2F5}"/>
              </c:ext>
            </c:extLst>
          </c:dPt>
          <c:dPt>
            <c:idx val="4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562F-485F-BE72-6C98AB96F2F5}"/>
              </c:ext>
            </c:extLst>
          </c:dPt>
          <c:dLbls>
            <c:dLbl>
              <c:idx val="0"/>
              <c:layout>
                <c:manualLayout>
                  <c:x val="-0.11111661479787606"/>
                  <c:y val="8.3844969773989582E-4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2F-485F-BE72-6C98AB96F2F5}"/>
                </c:ext>
              </c:extLst>
            </c:dLbl>
            <c:dLbl>
              <c:idx val="1"/>
              <c:layout>
                <c:manualLayout>
                  <c:x val="-3.6298611901056104E-3"/>
                  <c:y val="-6.9588626763746053E-3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8252885058876E-2"/>
                      <c:h val="6.51279124828498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62F-485F-BE72-6C98AB96F2F5}"/>
                </c:ext>
              </c:extLst>
            </c:dLbl>
            <c:dLbl>
              <c:idx val="2"/>
              <c:layout>
                <c:manualLayout>
                  <c:x val="1.0846397606078792E-2"/>
                  <c:y val="-9.3595404513193269E-3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083544305687925E-2"/>
                      <c:h val="6.51279124828498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62F-485F-BE72-6C98AB96F2F5}"/>
                </c:ext>
              </c:extLst>
            </c:dLbl>
            <c:dLbl>
              <c:idx val="3"/>
              <c:layout>
                <c:manualLayout>
                  <c:x val="-5.0514035034107153E-2"/>
                  <c:y val="9.9247155234122378E-3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F-485F-BE72-6C98AB96F2F5}"/>
                </c:ext>
              </c:extLst>
            </c:dLbl>
            <c:dLbl>
              <c:idx val="4"/>
              <c:layout>
                <c:manualLayout>
                  <c:x val="3.0605662974678472E-2"/>
                  <c:y val="-4.306867891513560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F-485F-BE72-6C98AB96F2F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A4CAP_SitCred!$C$39:$G$39</c:f>
              <c:strCache>
                <c:ptCount val="5"/>
                <c:pt idx="0">
                  <c:v>Crèdits disponibles</c:v>
                </c:pt>
                <c:pt idx="1">
                  <c:v>Saldo crèdits retinguts</c:v>
                </c:pt>
                <c:pt idx="2">
                  <c:v>Saldo crèdits autoritzats</c:v>
                </c:pt>
                <c:pt idx="3">
                  <c:v>Saldo crèdits compromesos</c:v>
                </c:pt>
                <c:pt idx="4">
                  <c:v>Obligacions reconegudes netes</c:v>
                </c:pt>
              </c:strCache>
            </c:strRef>
          </c:cat>
          <c:val>
            <c:numRef>
              <c:f>A4CAP_SitCred!$C$49:$G$49</c:f>
              <c:numCache>
                <c:formatCode>#,##0.00</c:formatCode>
                <c:ptCount val="5"/>
                <c:pt idx="0">
                  <c:v>102461458.81000005</c:v>
                </c:pt>
                <c:pt idx="1">
                  <c:v>4460800.84</c:v>
                </c:pt>
                <c:pt idx="2">
                  <c:v>5900604.1600000001</c:v>
                </c:pt>
                <c:pt idx="3">
                  <c:v>71678358.020000011</c:v>
                </c:pt>
                <c:pt idx="4">
                  <c:v>29655827.43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2F-485F-BE72-6C98AB96F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48062885269115"/>
          <c:y val="0.27168299887278979"/>
          <c:w val="0.21632131861379922"/>
          <c:h val="0.546499806646426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Obligacions per àrea de despesa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A5PROG_SITCRED!$F$37</c:f>
              <c:strCache>
                <c:ptCount val="1"/>
                <c:pt idx="0">
                  <c:v>Obligacions</c:v>
                </c:pt>
              </c:strCache>
            </c:strRef>
          </c:tx>
          <c:dPt>
            <c:idx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8FCA-4EFC-A717-9CD450AE17B8}"/>
              </c:ext>
            </c:extLst>
          </c:dPt>
          <c:dPt>
            <c:idx val="1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8FCA-4EFC-A717-9CD450AE17B8}"/>
              </c:ext>
            </c:extLst>
          </c:dPt>
          <c:dPt>
            <c:idx val="2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8FCA-4EFC-A717-9CD450AE17B8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FCA-4EFC-A717-9CD450AE17B8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8FCA-4EFC-A717-9CD450AE17B8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5-8FCA-4EFC-A717-9CD450AE17B8}"/>
              </c:ext>
            </c:extLst>
          </c:dPt>
          <c:dLbls>
            <c:dLbl>
              <c:idx val="0"/>
              <c:layout>
                <c:manualLayout>
                  <c:x val="-2.7080522527807235E-2"/>
                  <c:y val="-1.17052100905197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CA-4EFC-A717-9CD450AE17B8}"/>
                </c:ext>
              </c:extLst>
            </c:dLbl>
            <c:dLbl>
              <c:idx val="2"/>
              <c:layout>
                <c:manualLayout>
                  <c:x val="3.4962810880731596E-2"/>
                  <c:y val="1.106767196772041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A-4EFC-A717-9CD450AE17B8}"/>
                </c:ext>
              </c:extLst>
            </c:dLbl>
            <c:dLbl>
              <c:idx val="3"/>
              <c:layout>
                <c:manualLayout>
                  <c:x val="-2.9345185719979847E-4"/>
                  <c:y val="2.2573572051709904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A-4EFC-A717-9CD450AE17B8}"/>
                </c:ext>
              </c:extLst>
            </c:dLbl>
            <c:dLbl>
              <c:idx val="4"/>
              <c:layout>
                <c:manualLayout>
                  <c:x val="1.6535884303860299E-2"/>
                  <c:y val="-2.4293985560307398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A-4EFC-A717-9CD450AE17B8}"/>
                </c:ext>
              </c:extLst>
            </c:dLbl>
            <c:dLbl>
              <c:idx val="5"/>
              <c:layout>
                <c:manualLayout>
                  <c:x val="-9.4960588593284937E-3"/>
                  <c:y val="-5.4191188741728631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A-4EFC-A717-9CD450AE17B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A5PROG_SITCRED!$B$38:$B$43</c:f>
              <c:strCache>
                <c:ptCount val="6"/>
                <c:pt idx="0">
                  <c:v>Deute públic</c:v>
                </c:pt>
                <c:pt idx="1">
                  <c:v>Serveis públics bàsics</c:v>
                </c:pt>
                <c:pt idx="2">
                  <c:v>Protecció i promoció i social</c:v>
                </c:pt>
                <c:pt idx="3">
                  <c:v>Béns públics de caràcter preferent</c:v>
                </c:pt>
                <c:pt idx="4">
                  <c:v>Actuacions de caràcter econòmic</c:v>
                </c:pt>
                <c:pt idx="5">
                  <c:v>Actuacions de caràcter general</c:v>
                </c:pt>
              </c:strCache>
            </c:strRef>
          </c:cat>
          <c:val>
            <c:numRef>
              <c:f>A5PROG_SITCRED!$F$38:$F$43</c:f>
              <c:numCache>
                <c:formatCode>#,##0.00</c:formatCode>
                <c:ptCount val="6"/>
                <c:pt idx="0">
                  <c:v>0</c:v>
                </c:pt>
                <c:pt idx="1">
                  <c:v>790420.63999999966</c:v>
                </c:pt>
                <c:pt idx="2">
                  <c:v>555096.29999999993</c:v>
                </c:pt>
                <c:pt idx="3">
                  <c:v>5279362.1700000037</c:v>
                </c:pt>
                <c:pt idx="4">
                  <c:v>2702590.5899999994</c:v>
                </c:pt>
                <c:pt idx="5">
                  <c:v>20328357.729999993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CA-4EFC-A717-9CD450AE1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770768822436524"/>
          <c:y val="0.16747283401169058"/>
          <c:w val="0.27363900439411359"/>
          <c:h val="0.6618365095667387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421419702140634"/>
          <c:y val="4.6413502109704644E-2"/>
          <c:w val="0.41430081862996587"/>
          <c:h val="0.75927572344596161"/>
        </c:manualLayout>
      </c:layout>
      <c:barChart>
        <c:barDir val="bar"/>
        <c:grouping val="clustered"/>
        <c:varyColors val="0"/>
        <c:ser>
          <c:idx val="0"/>
          <c:order val="0"/>
          <c:tx>
            <c:v>Compromisos</c:v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DESPPROG!$B$30:$B$35</c:f>
              <c:strCache>
                <c:ptCount val="6"/>
                <c:pt idx="0">
                  <c:v>0.DEUTE PÚBLIC</c:v>
                </c:pt>
                <c:pt idx="1">
                  <c:v>1.SERVEIS PÚBLICS BÀSICS</c:v>
                </c:pt>
                <c:pt idx="2">
                  <c:v>2.ACTUACIONS DE PROTECCIÓ I PROMOCIÓ SOCIAL</c:v>
                </c:pt>
                <c:pt idx="3">
                  <c:v>3.BÉNS DE CARÀCTER PREFERENT</c:v>
                </c:pt>
                <c:pt idx="4">
                  <c:v>4.ACTUACIONS DE CARÀCTER ECONÒMIC</c:v>
                </c:pt>
                <c:pt idx="5">
                  <c:v>9.ACTUACIONS DE CARÀCTER GENERAL</c:v>
                </c:pt>
              </c:strCache>
            </c:strRef>
          </c:cat>
          <c:val>
            <c:numRef>
              <c:f>DESPPROG!$K$30:$K$35</c:f>
              <c:numCache>
                <c:formatCode>0.00%</c:formatCode>
                <c:ptCount val="6"/>
                <c:pt idx="0">
                  <c:v>0</c:v>
                </c:pt>
                <c:pt idx="1">
                  <c:v>0.62824537421029925</c:v>
                </c:pt>
                <c:pt idx="2">
                  <c:v>0.23908758857742907</c:v>
                </c:pt>
                <c:pt idx="3">
                  <c:v>0.29537620107720586</c:v>
                </c:pt>
                <c:pt idx="4">
                  <c:v>0.47797032540421647</c:v>
                </c:pt>
                <c:pt idx="5">
                  <c:v>0.47878779131764093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8-4184-89A8-59E3AA7D5DF2}"/>
            </c:ext>
          </c:extLst>
        </c:ser>
        <c:ser>
          <c:idx val="1"/>
          <c:order val="1"/>
          <c:tx>
            <c:v>Obligacions</c:v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DESPPROG!$B$30:$B$35</c:f>
              <c:strCache>
                <c:ptCount val="6"/>
                <c:pt idx="0">
                  <c:v>0.DEUTE PÚBLIC</c:v>
                </c:pt>
                <c:pt idx="1">
                  <c:v>1.SERVEIS PÚBLICS BÀSICS</c:v>
                </c:pt>
                <c:pt idx="2">
                  <c:v>2.ACTUACIONS DE PROTECCIÓ I PROMOCIÓ SOCIAL</c:v>
                </c:pt>
                <c:pt idx="3">
                  <c:v>3.BÉNS DE CARÀCTER PREFERENT</c:v>
                </c:pt>
                <c:pt idx="4">
                  <c:v>4.ACTUACIONS DE CARÀCTER ECONÒMIC</c:v>
                </c:pt>
                <c:pt idx="5">
                  <c:v>9.ACTUACIONS DE CARÀCTER GENERAL</c:v>
                </c:pt>
              </c:strCache>
            </c:strRef>
          </c:cat>
          <c:val>
            <c:numRef>
              <c:f>DESPPROG!$M$30:$M$35</c:f>
              <c:numCache>
                <c:formatCode>0.00%</c:formatCode>
                <c:ptCount val="6"/>
                <c:pt idx="0">
                  <c:v>0</c:v>
                </c:pt>
                <c:pt idx="1">
                  <c:v>4.4946885081427822E-2</c:v>
                </c:pt>
                <c:pt idx="2">
                  <c:v>0.19294181666049334</c:v>
                </c:pt>
                <c:pt idx="3">
                  <c:v>0.12568344690863339</c:v>
                </c:pt>
                <c:pt idx="4">
                  <c:v>7.2650607367200346E-2</c:v>
                </c:pt>
                <c:pt idx="5">
                  <c:v>0.16382587038425897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08-4184-89A8-59E3AA7D5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49195264"/>
        <c:axId val="142256960"/>
      </c:barChart>
      <c:catAx>
        <c:axId val="149195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42256960"/>
        <c:crosses val="autoZero"/>
        <c:auto val="1"/>
        <c:lblAlgn val="ctr"/>
        <c:lblOffset val="100"/>
        <c:noMultiLvlLbl val="0"/>
      </c:catAx>
      <c:valAx>
        <c:axId val="142256960"/>
        <c:scaling>
          <c:orientation val="minMax"/>
        </c:scaling>
        <c:delete val="0"/>
        <c:axPos val="b"/>
        <c:numFmt formatCode="0.0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49195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1869699620880726"/>
          <c:y val="0.88889155522226393"/>
          <c:w val="0.36573826188393116"/>
          <c:h val="7.61908094821480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92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Composició dels crèdits definitius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92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Dades agregades</a:t>
            </a:r>
          </a:p>
        </c:rich>
      </c:tx>
      <c:layout>
        <c:manualLayout>
          <c:xMode val="edge"/>
          <c:yMode val="edge"/>
          <c:x val="0.35114547254904505"/>
          <c:y val="3.0634756181793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51155736488949"/>
          <c:y val="0.14223209945135079"/>
          <c:w val="0.83511512636802721"/>
          <c:h val="0.435449042935673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A6AREA_GrauModif!$C$40</c:f>
              <c:strCache>
                <c:ptCount val="1"/>
                <c:pt idx="0">
                  <c:v>Crèdits inicials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A6AREA_GrauModif!$B$41:$B$51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Instal·lacions Corporatives</c:v>
                </c:pt>
                <c:pt idx="5">
                  <c:v>Gabinet de Presidència i Planificació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A6AREA_GrauModif!$C$41:$C$51</c:f>
              <c:numCache>
                <c:formatCode>#,##0.00</c:formatCode>
                <c:ptCount val="11"/>
                <c:pt idx="0">
                  <c:v>4482651.919999999</c:v>
                </c:pt>
                <c:pt idx="1">
                  <c:v>78792451.829999998</c:v>
                </c:pt>
                <c:pt idx="2">
                  <c:v>10186417.560000001</c:v>
                </c:pt>
                <c:pt idx="3">
                  <c:v>23336567.410000004</c:v>
                </c:pt>
                <c:pt idx="4">
                  <c:v>15441886.360000001</c:v>
                </c:pt>
                <c:pt idx="5">
                  <c:v>5921619.3899999987</c:v>
                </c:pt>
                <c:pt idx="6">
                  <c:v>12609102.43</c:v>
                </c:pt>
                <c:pt idx="7">
                  <c:v>34102397.929999992</c:v>
                </c:pt>
                <c:pt idx="8">
                  <c:v>9526905.1699999999</c:v>
                </c:pt>
                <c:pt idx="9">
                  <c:v>9429999.9999999981</c:v>
                </c:pt>
                <c:pt idx="10">
                  <c:v>18570000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9-4EED-AEA8-30D70CAFB502}"/>
            </c:ext>
          </c:extLst>
        </c:ser>
        <c:ser>
          <c:idx val="1"/>
          <c:order val="1"/>
          <c:tx>
            <c:strRef>
              <c:f>A6AREA_GrauModif!$D$40</c:f>
              <c:strCache>
                <c:ptCount val="1"/>
                <c:pt idx="0">
                  <c:v>Modificacions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A6AREA_GrauModif!$B$41:$B$51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Instal·lacions Corporatives</c:v>
                </c:pt>
                <c:pt idx="5">
                  <c:v>Gabinet de Presidència i Planificació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A6AREA_GrauModif!$D$41:$D$51</c:f>
              <c:numCache>
                <c:formatCode>#,##0.00</c:formatCode>
                <c:ptCount val="11"/>
                <c:pt idx="0">
                  <c:v>13697.93</c:v>
                </c:pt>
                <c:pt idx="1">
                  <c:v>19511.330000000002</c:v>
                </c:pt>
                <c:pt idx="2">
                  <c:v>0</c:v>
                </c:pt>
                <c:pt idx="3">
                  <c:v>18883.18</c:v>
                </c:pt>
                <c:pt idx="4">
                  <c:v>45316.41</c:v>
                </c:pt>
                <c:pt idx="5">
                  <c:v>0</c:v>
                </c:pt>
                <c:pt idx="6">
                  <c:v>-140595.93</c:v>
                </c:pt>
                <c:pt idx="7">
                  <c:v>33110.86</c:v>
                </c:pt>
                <c:pt idx="8">
                  <c:v>10076.219999999999</c:v>
                </c:pt>
                <c:pt idx="9">
                  <c:v>0</c:v>
                </c:pt>
                <c:pt idx="10">
                  <c:v>1352889.53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9-4EED-AEA8-30D70CAFB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276160"/>
        <c:axId val="142259840"/>
      </c:barChart>
      <c:catAx>
        <c:axId val="14927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2598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2259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276160"/>
        <c:crossesAt val="1"/>
        <c:crossBetween val="between"/>
      </c:valAx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807328735070908"/>
          <c:y val="0.93640558088133719"/>
          <c:w val="0.69622950619544655"/>
          <c:h val="4.3859649122807043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paperSize="9" firstPageNumber="0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Estat d'execució dels crèdits definitius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Dades agregades</a:t>
            </a:r>
          </a:p>
        </c:rich>
      </c:tx>
      <c:layout>
        <c:manualLayout>
          <c:xMode val="edge"/>
          <c:yMode val="edge"/>
          <c:x val="0.31847995471154339"/>
          <c:y val="3.04259713437459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06168282432806"/>
          <c:y val="0.1480731689682597"/>
          <c:w val="0.85059032152988912"/>
          <c:h val="0.3509131264590264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A7AREA_SitCred!$C$38</c:f>
              <c:strCache>
                <c:ptCount val="1"/>
                <c:pt idx="0">
                  <c:v>Saldos no compromesos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A7AREA_SitCred!$B$39:$B$49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Instal·lacions Corporatives</c:v>
                </c:pt>
                <c:pt idx="5">
                  <c:v>Gabinet de Presidència i Planificació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A7AREA_SitCred!$C$39:$C$49</c:f>
              <c:numCache>
                <c:formatCode>#,##0.00</c:formatCode>
                <c:ptCount val="11"/>
                <c:pt idx="0">
                  <c:v>3559963.7199999993</c:v>
                </c:pt>
                <c:pt idx="1">
                  <c:v>17138350.439999994</c:v>
                </c:pt>
                <c:pt idx="2">
                  <c:v>4424487.07</c:v>
                </c:pt>
                <c:pt idx="3">
                  <c:v>10759164.310000002</c:v>
                </c:pt>
                <c:pt idx="4">
                  <c:v>9415512.2100000046</c:v>
                </c:pt>
                <c:pt idx="5">
                  <c:v>3809704.6199999992</c:v>
                </c:pt>
                <c:pt idx="6">
                  <c:v>14545506.220000001</c:v>
                </c:pt>
                <c:pt idx="7">
                  <c:v>24812300.060000006</c:v>
                </c:pt>
                <c:pt idx="8">
                  <c:v>6767854.3399999971</c:v>
                </c:pt>
                <c:pt idx="9">
                  <c:v>5273043.5</c:v>
                </c:pt>
                <c:pt idx="10">
                  <c:v>12316977.320000004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74-4A2A-BC91-E3D3E562069F}"/>
            </c:ext>
          </c:extLst>
        </c:ser>
        <c:ser>
          <c:idx val="1"/>
          <c:order val="1"/>
          <c:tx>
            <c:strRef>
              <c:f>A7AREA_SitCred!$D$38</c:f>
              <c:strCache>
                <c:ptCount val="1"/>
                <c:pt idx="0">
                  <c:v>Saldos compromesos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A7AREA_SitCred!$B$39:$B$49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Instal·lacions Corporatives</c:v>
                </c:pt>
                <c:pt idx="5">
                  <c:v>Gabinet de Presidència i Planificació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A7AREA_SitCred!$D$39:$D$49</c:f>
              <c:numCache>
                <c:formatCode>#,##0.00</c:formatCode>
                <c:ptCount val="11"/>
                <c:pt idx="0">
                  <c:v>41602.83</c:v>
                </c:pt>
                <c:pt idx="1">
                  <c:v>44305249.219999991</c:v>
                </c:pt>
                <c:pt idx="2">
                  <c:v>534941.06000000006</c:v>
                </c:pt>
                <c:pt idx="3">
                  <c:v>10504995.940000001</c:v>
                </c:pt>
                <c:pt idx="4">
                  <c:v>3930278.11</c:v>
                </c:pt>
                <c:pt idx="5">
                  <c:v>252538.96000000002</c:v>
                </c:pt>
                <c:pt idx="6">
                  <c:v>135344.26999999999</c:v>
                </c:pt>
                <c:pt idx="7">
                  <c:v>1578049.7599999995</c:v>
                </c:pt>
                <c:pt idx="8">
                  <c:v>1606627.5099999998</c:v>
                </c:pt>
                <c:pt idx="9">
                  <c:v>3997026.97</c:v>
                </c:pt>
                <c:pt idx="10">
                  <c:v>4791703.3899999987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74-4A2A-BC91-E3D3E562069F}"/>
            </c:ext>
          </c:extLst>
        </c:ser>
        <c:ser>
          <c:idx val="2"/>
          <c:order val="2"/>
          <c:tx>
            <c:strRef>
              <c:f>A7AREA_SitCred!$F$38</c:f>
              <c:strCache>
                <c:ptCount val="1"/>
                <c:pt idx="0">
                  <c:v>Obligacions reconegudes netes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A7AREA_SitCred!$B$39:$B$49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Instal·lacions Corporatives</c:v>
                </c:pt>
                <c:pt idx="5">
                  <c:v>Gabinet de Presidència i Planificació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A7AREA_SitCred!$F$39:$F$49</c:f>
              <c:numCache>
                <c:formatCode>#,##0.00</c:formatCode>
                <c:ptCount val="11"/>
                <c:pt idx="0">
                  <c:v>894783.29999999993</c:v>
                </c:pt>
                <c:pt idx="1">
                  <c:v>10847477.669999996</c:v>
                </c:pt>
                <c:pt idx="2">
                  <c:v>702989.42999999993</c:v>
                </c:pt>
                <c:pt idx="3">
                  <c:v>2091290.3400000003</c:v>
                </c:pt>
                <c:pt idx="4">
                  <c:v>1741412.4500000002</c:v>
                </c:pt>
                <c:pt idx="5">
                  <c:v>859375.80999999982</c:v>
                </c:pt>
                <c:pt idx="6">
                  <c:v>1317691.0699999998</c:v>
                </c:pt>
                <c:pt idx="7">
                  <c:v>7070158.9700000081</c:v>
                </c:pt>
                <c:pt idx="8">
                  <c:v>1156510.0399999996</c:v>
                </c:pt>
                <c:pt idx="9">
                  <c:v>159929.53000000003</c:v>
                </c:pt>
                <c:pt idx="10">
                  <c:v>2814208.8200000003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74-4A2A-BC91-E3D3E5620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517824"/>
        <c:axId val="149317312"/>
      </c:barChart>
      <c:catAx>
        <c:axId val="14951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3173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931731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517824"/>
        <c:crossesAt val="1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096337467620468"/>
          <c:y val="0.88934426229508201"/>
          <c:w val="0.7856173468512514"/>
          <c:h val="9.0163934426229497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Footer>&amp;CServei de Comptabilitat | Intervenció&amp;D5</c:oddFooter>
    </c:headerFooter>
    <c:pageMargins b="0.98425196850393704" l="0.74803149606299213" r="0.74803149606299213" t="0.98425196850393704" header="0.51181102362204722" footer="0.51181102362204722"/>
    <c:pageSetup paperSize="9" firstPageNumber="0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[1rT 2025.xlsx]A7AREA_SitCred!Tabla dinámica2</c:name>
    <c:fmtId val="0"/>
  </c:pivotSource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Obligacions reconegudes netes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 wrap="square" lIns="38100" tIns="19050" rIns="38100" bIns="19050" anchor="ctr">
              <a:spAutoFit/>
            </a:bodyPr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ca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ca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A7AREA_SitCred!$L$1:$L$2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A7AREA_SitCred!$K$3:$K$14</c:f>
              <c:strCache>
                <c:ptCount val="11"/>
                <c:pt idx="0">
                  <c:v>O.A. Patronat de Turisme</c:v>
                </c:pt>
                <c:pt idx="1">
                  <c:v>Promoció Social i Cultural</c:v>
                </c:pt>
                <c:pt idx="2">
                  <c:v>Gabinet de Presidència i Planificació i PERC</c:v>
                </c:pt>
                <c:pt idx="3">
                  <c:v>Òrgans de govern i Coordinació general</c:v>
                </c:pt>
                <c:pt idx="4">
                  <c:v>Innovació i Tecnologia</c:v>
                </c:pt>
                <c:pt idx="5">
                  <c:v>Secretaria, Intervenció i Tresoreria</c:v>
                </c:pt>
                <c:pt idx="6">
                  <c:v>Serveis Generals i Instal·lacions Corporatives</c:v>
                </c:pt>
                <c:pt idx="7">
                  <c:v>Infraestructures del Territori</c:v>
                </c:pt>
                <c:pt idx="8">
                  <c:v>O.A. BASE</c:v>
                </c:pt>
                <c:pt idx="9">
                  <c:v>Persones i Talent</c:v>
                </c:pt>
                <c:pt idx="10">
                  <c:v>Concertació i Assistència Municipal</c:v>
                </c:pt>
              </c:strCache>
            </c:strRef>
          </c:cat>
          <c:val>
            <c:numRef>
              <c:f>A7AREA_SitCred!$L$3:$L$14</c:f>
              <c:numCache>
                <c:formatCode>#,##0.00</c:formatCode>
                <c:ptCount val="11"/>
                <c:pt idx="0">
                  <c:v>159929.53000000003</c:v>
                </c:pt>
                <c:pt idx="1">
                  <c:v>702989.42999999993</c:v>
                </c:pt>
                <c:pt idx="2">
                  <c:v>859375.80999999982</c:v>
                </c:pt>
                <c:pt idx="3">
                  <c:v>894783.29999999993</c:v>
                </c:pt>
                <c:pt idx="4">
                  <c:v>1156510.0399999996</c:v>
                </c:pt>
                <c:pt idx="5">
                  <c:v>1317691.0699999998</c:v>
                </c:pt>
                <c:pt idx="6">
                  <c:v>1741412.4500000002</c:v>
                </c:pt>
                <c:pt idx="7">
                  <c:v>2091290.3400000003</c:v>
                </c:pt>
                <c:pt idx="8">
                  <c:v>2814208.8200000003</c:v>
                </c:pt>
                <c:pt idx="9">
                  <c:v>7070158.9700000081</c:v>
                </c:pt>
                <c:pt idx="10">
                  <c:v>10847477.669999996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51-4F90-BB7D-469FF18F4B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9519872"/>
        <c:axId val="149319040"/>
      </c:barChart>
      <c:catAx>
        <c:axId val="149519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49319040"/>
        <c:crosses val="autoZero"/>
        <c:auto val="0"/>
        <c:lblAlgn val="ctr"/>
        <c:lblOffset val="100"/>
        <c:noMultiLvlLbl val="0"/>
      </c:catAx>
      <c:valAx>
        <c:axId val="149319040"/>
        <c:scaling>
          <c:orientation val="minMax"/>
        </c:scaling>
        <c:delete val="0"/>
        <c:axPos val="b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49519872"/>
        <c:crosses val="autoZero"/>
        <c:crossBetween val="between"/>
        <c:dispUnits>
          <c:builtInUnit val="thousands"/>
          <c:dispUnitsLbl>
            <c:tx>
              <c:rich>
                <a:bodyPr rot="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es-ES"/>
                    <a:t>Milers €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Estat d'execució d'ingressos</a:t>
            </a:r>
          </a:p>
        </c:rich>
      </c:tx>
      <c:layout>
        <c:manualLayout>
          <c:xMode val="edge"/>
          <c:yMode val="edge"/>
          <c:x val="0.36753240666345277"/>
          <c:y val="3.06603773584905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415584415584416E-2"/>
          <c:y val="0.15566055661823386"/>
          <c:w val="0.89740259740259742"/>
          <c:h val="0.4905666026756461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A8_SITINGR!$D$38</c:f>
              <c:strCache>
                <c:ptCount val="1"/>
                <c:pt idx="0">
                  <c:v>Saldo previsions definitives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A8_SITINGR!$B$39:$B$47</c:f>
              <c:strCache>
                <c:ptCount val="9"/>
                <c:pt idx="0">
                  <c:v>Impostos directes</c:v>
                </c:pt>
                <c:pt idx="1">
                  <c:v>Impostos indirectes</c:v>
                </c:pt>
                <c:pt idx="2">
                  <c:v>Taxes i altres ingressos</c:v>
                </c:pt>
                <c:pt idx="3">
                  <c:v>Transferències corrents</c:v>
                </c:pt>
                <c:pt idx="4">
                  <c:v>Ingressos patrimonials</c:v>
                </c:pt>
                <c:pt idx="5">
                  <c:v>Venda d'inversions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A8_SITINGR!$D$39:$D$47</c:f>
              <c:numCache>
                <c:formatCode>#,##0.00</c:formatCode>
                <c:ptCount val="9"/>
                <c:pt idx="0">
                  <c:v>14963843.520000003</c:v>
                </c:pt>
                <c:pt idx="1">
                  <c:v>10673261</c:v>
                </c:pt>
                <c:pt idx="2">
                  <c:v>19785328.279999997</c:v>
                </c:pt>
                <c:pt idx="3">
                  <c:v>118357385.03999998</c:v>
                </c:pt>
                <c:pt idx="4">
                  <c:v>6691586.7599999998</c:v>
                </c:pt>
                <c:pt idx="5">
                  <c:v>0</c:v>
                </c:pt>
                <c:pt idx="6">
                  <c:v>0</c:v>
                </c:pt>
                <c:pt idx="7">
                  <c:v>1951314.53</c:v>
                </c:pt>
                <c:pt idx="8">
                  <c:v>8000000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3-49CA-AF2E-BC6C0C1A59AB}"/>
            </c:ext>
          </c:extLst>
        </c:ser>
        <c:ser>
          <c:idx val="1"/>
          <c:order val="1"/>
          <c:tx>
            <c:strRef>
              <c:f>A8_SITINGR!$K$38</c:f>
              <c:strCache>
                <c:ptCount val="1"/>
                <c:pt idx="0">
                  <c:v>Drets pendents de cobrar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A8_SITINGR!$B$39:$B$47</c:f>
              <c:strCache>
                <c:ptCount val="9"/>
                <c:pt idx="0">
                  <c:v>Impostos directes</c:v>
                </c:pt>
                <c:pt idx="1">
                  <c:v>Impostos indirectes</c:v>
                </c:pt>
                <c:pt idx="2">
                  <c:v>Taxes i altres ingressos</c:v>
                </c:pt>
                <c:pt idx="3">
                  <c:v>Transferències corrents</c:v>
                </c:pt>
                <c:pt idx="4">
                  <c:v>Ingressos patrimonials</c:v>
                </c:pt>
                <c:pt idx="5">
                  <c:v>Venda d'inversions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A8_SITINGR!$K$39:$K$47</c:f>
              <c:numCache>
                <c:formatCode>#,##0.00</c:formatCode>
                <c:ptCount val="9"/>
                <c:pt idx="0">
                  <c:v>14280.229999999516</c:v>
                </c:pt>
                <c:pt idx="1">
                  <c:v>0</c:v>
                </c:pt>
                <c:pt idx="2">
                  <c:v>34569.669999999984</c:v>
                </c:pt>
                <c:pt idx="3">
                  <c:v>222955.6400000006</c:v>
                </c:pt>
                <c:pt idx="4">
                  <c:v>5150.6400000001304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3-49CA-AF2E-BC6C0C1A59AB}"/>
            </c:ext>
          </c:extLst>
        </c:ser>
        <c:ser>
          <c:idx val="2"/>
          <c:order val="2"/>
          <c:tx>
            <c:strRef>
              <c:f>A8_SITINGR!$G$38</c:f>
              <c:strCache>
                <c:ptCount val="1"/>
                <c:pt idx="0">
                  <c:v>Recaptació neta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A8_SITINGR!$B$39:$B$47</c:f>
              <c:strCache>
                <c:ptCount val="9"/>
                <c:pt idx="0">
                  <c:v>Impostos directes</c:v>
                </c:pt>
                <c:pt idx="1">
                  <c:v>Impostos indirectes</c:v>
                </c:pt>
                <c:pt idx="2">
                  <c:v>Taxes i altres ingressos</c:v>
                </c:pt>
                <c:pt idx="3">
                  <c:v>Transferències corrents</c:v>
                </c:pt>
                <c:pt idx="4">
                  <c:v>Ingressos patrimonials</c:v>
                </c:pt>
                <c:pt idx="5">
                  <c:v>Venda d'inversions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A8_SITINGR!$G$39:$G$47</c:f>
              <c:numCache>
                <c:formatCode>#,##0.00</c:formatCode>
                <c:ptCount val="9"/>
                <c:pt idx="0">
                  <c:v>4784207.49</c:v>
                </c:pt>
                <c:pt idx="1">
                  <c:v>3731601.06</c:v>
                </c:pt>
                <c:pt idx="2">
                  <c:v>216621.36000000002</c:v>
                </c:pt>
                <c:pt idx="3">
                  <c:v>31883156.16</c:v>
                </c:pt>
                <c:pt idx="4">
                  <c:v>1072852.56</c:v>
                </c:pt>
                <c:pt idx="5">
                  <c:v>2304</c:v>
                </c:pt>
                <c:pt idx="6">
                  <c:v>2833869.44</c:v>
                </c:pt>
                <c:pt idx="7">
                  <c:v>1575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3-49CA-AF2E-BC6C0C1A5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202880"/>
        <c:axId val="149321344"/>
      </c:barChart>
      <c:catAx>
        <c:axId val="15020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3213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932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0202880"/>
        <c:crossesAt val="1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723565804274469"/>
          <c:y val="0.9316047640271381"/>
          <c:w val="0.77894249825914608"/>
          <c:h val="5.1886792452830233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Obligacions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3F-470D-8367-20E93CA6D0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3F-470D-8367-20E93CA6D096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7F3F-470D-8367-20E93CA6D096}"/>
              </c:ext>
            </c:extLst>
          </c:dPt>
          <c:val>
            <c:numRef>
              <c:f>A1_PREGESTIONAT!$N$5:$N$7</c:f>
              <c:numCache>
                <c:formatCode>0.00%</c:formatCode>
                <c:ptCount val="3"/>
                <c:pt idx="0">
                  <c:v>0.26507659849482162</c:v>
                </c:pt>
                <c:pt idx="1">
                  <c:v>0.23492340150517838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3F-470D-8367-20E93CA6D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Grau d'execució del pressupost d'ingressos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A8_SITINGR!$B$49</c:f>
              <c:strCache>
                <c:ptCount val="1"/>
                <c:pt idx="0">
                  <c:v>Pressupost sense RLT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1BBB-4E1D-91D1-2E6EC183482F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BBB-4E1D-91D1-2E6EC183482F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1BBB-4E1D-91D1-2E6EC183482F}"/>
              </c:ext>
            </c:extLst>
          </c:dPt>
          <c:dLbls>
            <c:dLbl>
              <c:idx val="0"/>
              <c:layout>
                <c:manualLayout>
                  <c:x val="1.2384169084127643E-2"/>
                  <c:y val="-5.3701151939340913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BB-4E1D-91D1-2E6EC183482F}"/>
                </c:ext>
              </c:extLst>
            </c:dLbl>
            <c:dLbl>
              <c:idx val="1"/>
              <c:layout>
                <c:manualLayout>
                  <c:x val="2.4120044205000689E-3"/>
                  <c:y val="1.193824730242053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BB-4E1D-91D1-2E6EC183482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(A8_SITINGR!$D$38,A8_SITINGR!$G$38,A8_SITINGR!$K$38)</c:f>
              <c:strCache>
                <c:ptCount val="3"/>
                <c:pt idx="0">
                  <c:v>Saldo previsions definitives</c:v>
                </c:pt>
                <c:pt idx="1">
                  <c:v>Recaptació neta</c:v>
                </c:pt>
                <c:pt idx="2">
                  <c:v>Drets pendents de cobrar</c:v>
                </c:pt>
              </c:strCache>
            </c:strRef>
          </c:cat>
          <c:val>
            <c:numRef>
              <c:f>(A8_SITINGR!$D$49,A8_SITINGR!$G$49,A8_SITINGR!$K$49)</c:f>
              <c:numCache>
                <c:formatCode>#,##0.00</c:formatCode>
                <c:ptCount val="3"/>
                <c:pt idx="0">
                  <c:v>177596856.75</c:v>
                </c:pt>
                <c:pt idx="1">
                  <c:v>44526187.07</c:v>
                </c:pt>
                <c:pt idx="2">
                  <c:v>276956.1799999997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BB-4E1D-91D1-2E6EC1834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377247417716192"/>
          <c:y val="0.32526024212371374"/>
          <c:w val="0.29517562242704154"/>
          <c:h val="0.335640501684694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EXECUCIÓ DE DESPESES</a:t>
            </a:r>
          </a:p>
        </c:rich>
      </c:tx>
      <c:layout>
        <c:manualLayout>
          <c:xMode val="edge"/>
          <c:yMode val="edge"/>
          <c:x val="0.3686385355676694"/>
          <c:y val="2.9296680380705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134818103358531"/>
          <c:y val="0.123046875"/>
          <c:w val="0.68775837114101401"/>
          <c:h val="0.73828125"/>
        </c:manualLayout>
      </c:layout>
      <c:barChart>
        <c:barDir val="bar"/>
        <c:grouping val="clustered"/>
        <c:varyColors val="0"/>
        <c:ser>
          <c:idx val="0"/>
          <c:order val="0"/>
          <c:tx>
            <c:v>COMPROMISOS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DESPCAPITOL!$B$42:$B$50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DESPCAPITOL!$K$42:$K$50</c:f>
              <c:numCache>
                <c:formatCode>0.00%</c:formatCode>
                <c:ptCount val="9"/>
                <c:pt idx="0">
                  <c:v>0.2204407549444673</c:v>
                </c:pt>
                <c:pt idx="1">
                  <c:v>0.56248610661320786</c:v>
                </c:pt>
                <c:pt idx="2">
                  <c:v>0</c:v>
                </c:pt>
                <c:pt idx="3">
                  <c:v>0.56865663461914007</c:v>
                </c:pt>
                <c:pt idx="4">
                  <c:v>0</c:v>
                </c:pt>
                <c:pt idx="5">
                  <c:v>0.38433161651646164</c:v>
                </c:pt>
                <c:pt idx="6">
                  <c:v>0.74661989675676033</c:v>
                </c:pt>
                <c:pt idx="7">
                  <c:v>0.18966666666666668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E-40D1-B274-300CAC1FD99E}"/>
            </c:ext>
          </c:extLst>
        </c:ser>
        <c:ser>
          <c:idx val="1"/>
          <c:order val="1"/>
          <c:tx>
            <c:v>OBLIGACIONS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DESPCAPITOL!$M$42:$M$50</c:f>
              <c:numCache>
                <c:formatCode>0.00%</c:formatCode>
                <c:ptCount val="9"/>
                <c:pt idx="0">
                  <c:v>0.21407957885259174</c:v>
                </c:pt>
                <c:pt idx="1">
                  <c:v>8.2270642299912697E-2</c:v>
                </c:pt>
                <c:pt idx="2">
                  <c:v>0</c:v>
                </c:pt>
                <c:pt idx="3">
                  <c:v>0.29188916140898619</c:v>
                </c:pt>
                <c:pt idx="4">
                  <c:v>0</c:v>
                </c:pt>
                <c:pt idx="5">
                  <c:v>3.4869812292301502E-2</c:v>
                </c:pt>
                <c:pt idx="6">
                  <c:v>1.2503100057526105E-2</c:v>
                </c:pt>
                <c:pt idx="7">
                  <c:v>0.18966666666666668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E-40D1-B274-300CAC1FD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912064"/>
        <c:axId val="151488192"/>
      </c:barChart>
      <c:catAx>
        <c:axId val="1499120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148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488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9120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492467793752507"/>
          <c:y val="0.94324935410470945"/>
          <c:w val="0.29023402439067586"/>
          <c:h val="4.6966731898238745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EXECUCIÓ D'INGRESSOS</a:t>
            </a:r>
          </a:p>
        </c:rich>
      </c:tx>
      <c:layout>
        <c:manualLayout>
          <c:xMode val="edge"/>
          <c:yMode val="edge"/>
          <c:x val="0.36956556430446191"/>
          <c:y val="2.92275574112734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1606215223097115"/>
          <c:y val="0.12943632567849686"/>
          <c:w val="0.53992902887139105"/>
          <c:h val="0.71816283924843427"/>
        </c:manualLayout>
      </c:layout>
      <c:barChart>
        <c:barDir val="bar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INGRCAPITOL!$B$42:$B$50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INGRCAPITOL!$G$42:$G$50</c:f>
              <c:numCache>
                <c:formatCode>0.00%</c:formatCode>
                <c:ptCount val="9"/>
                <c:pt idx="0">
                  <c:v>0.24280980121857321</c:v>
                </c:pt>
                <c:pt idx="1">
                  <c:v>0.25905149556149237</c:v>
                </c:pt>
                <c:pt idx="2">
                  <c:v>1.2536659991370528E-2</c:v>
                </c:pt>
                <c:pt idx="3">
                  <c:v>0.21338140129855571</c:v>
                </c:pt>
                <c:pt idx="4">
                  <c:v>0.1387464725358557</c:v>
                </c:pt>
                <c:pt idx="5">
                  <c:v>1</c:v>
                </c:pt>
                <c:pt idx="6">
                  <c:v>1</c:v>
                </c:pt>
                <c:pt idx="7">
                  <c:v>8.0649723182242669E-4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4-4B90-88E9-91184FD1C1AD}"/>
            </c:ext>
          </c:extLst>
        </c:ser>
        <c:ser>
          <c:idx val="1"/>
          <c:order val="1"/>
          <c:tx>
            <c:v>INGRESSOS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INGRCAPITOL!$B$42:$B$50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INGRCAPITOL!$J$42:$J$50</c:f>
              <c:numCache>
                <c:formatCode>0.00%</c:formatCode>
                <c:ptCount val="9"/>
                <c:pt idx="0">
                  <c:v>0.2420872027646471</c:v>
                </c:pt>
                <c:pt idx="1">
                  <c:v>0.25905149556149237</c:v>
                </c:pt>
                <c:pt idx="2">
                  <c:v>1.0811326890089476E-2</c:v>
                </c:pt>
                <c:pt idx="3">
                  <c:v>0.21189960907198604</c:v>
                </c:pt>
                <c:pt idx="4">
                  <c:v>0.13808354952106122</c:v>
                </c:pt>
                <c:pt idx="5">
                  <c:v>1</c:v>
                </c:pt>
                <c:pt idx="6">
                  <c:v>1</c:v>
                </c:pt>
                <c:pt idx="7">
                  <c:v>8.0649723182242669E-4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4-4B90-88E9-91184FD1C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68896"/>
        <c:axId val="151489920"/>
      </c:barChart>
      <c:catAx>
        <c:axId val="151568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1489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4899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1568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054397200349952"/>
          <c:y val="0.93319415448851772"/>
          <c:w val="0.21603275590551174"/>
          <c:h val="5.0104384133611735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Compromisos</a:t>
            </a:r>
          </a:p>
        </c:rich>
      </c:tx>
      <c:layout>
        <c:manualLayout>
          <c:xMode val="edge"/>
          <c:yMode val="edge"/>
          <c:x val="0.42673551052020137"/>
          <c:y val="3.59278964003373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25969737840503E-2"/>
          <c:y val="0.2035931120080815"/>
          <c:w val="0.81619588500404494"/>
          <c:h val="0.362275978720262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ANUAL_TRIM!$F$6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ANUAL_TRIM!$F$7:$F$15</c:f>
              <c:numCache>
                <c:formatCode>0.00%</c:formatCode>
                <c:ptCount val="9"/>
                <c:pt idx="0">
                  <c:v>0.2204407549444673</c:v>
                </c:pt>
                <c:pt idx="1">
                  <c:v>0.56248610661320786</c:v>
                </c:pt>
                <c:pt idx="2">
                  <c:v>0</c:v>
                </c:pt>
                <c:pt idx="3">
                  <c:v>0.56865663461914007</c:v>
                </c:pt>
                <c:pt idx="4">
                  <c:v>0</c:v>
                </c:pt>
                <c:pt idx="5">
                  <c:v>0.38433161651646164</c:v>
                </c:pt>
                <c:pt idx="6">
                  <c:v>0.74661989675676033</c:v>
                </c:pt>
                <c:pt idx="7">
                  <c:v>0.18966666666666668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F-47EF-82D6-44F9B460C7CA}"/>
            </c:ext>
          </c:extLst>
        </c:ser>
        <c:ser>
          <c:idx val="0"/>
          <c:order val="1"/>
          <c:tx>
            <c:strRef>
              <c:f>ANUAL_TRIM!$G$6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ANUAL_TRIM!$G$7:$G$15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9F-47EF-82D6-44F9B460C7CA}"/>
            </c:ext>
          </c:extLst>
        </c:ser>
        <c:ser>
          <c:idx val="4"/>
          <c:order val="2"/>
          <c:tx>
            <c:strRef>
              <c:f>ANUAL_TRIM!$H$6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ANUAL_TRIM!$H$7:$H$15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9F-47EF-82D6-44F9B460C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336128"/>
        <c:axId val="151492224"/>
      </c:barChart>
      <c:lineChart>
        <c:grouping val="standard"/>
        <c:varyColors val="0"/>
        <c:ser>
          <c:idx val="2"/>
          <c:order val="3"/>
          <c:tx>
            <c:strRef>
              <c:f>ANUAL_TRIM!$I$6</c:f>
              <c:strCache>
                <c:ptCount val="1"/>
                <c:pt idx="0">
                  <c:v>T4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ANUAL_TRIM!$I$7:$I$15</c:f>
              <c:numCache>
                <c:formatCode>0.00%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9F-47EF-82D6-44F9B460C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36128"/>
        <c:axId val="151492224"/>
      </c:lineChart>
      <c:lineChart>
        <c:grouping val="standard"/>
        <c:varyColors val="0"/>
        <c:ser>
          <c:idx val="3"/>
          <c:order val="4"/>
          <c:tx>
            <c:strRef>
              <c:f>ANUAL_TRIM!$J$6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ANUAL_TRIM!$J$7:$J$15</c:f>
              <c:numCache>
                <c:formatCode>0.00%</c:formatCode>
                <c:ptCount val="9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9F-47EF-82D6-44F9B460C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36640"/>
        <c:axId val="151492800"/>
      </c:lineChart>
      <c:catAx>
        <c:axId val="1643361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1492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1492224"/>
        <c:scaling>
          <c:orientation val="minMax"/>
        </c:scaling>
        <c:delete val="0"/>
        <c:axPos val="l"/>
        <c:numFmt formatCode="0.0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64336128"/>
        <c:crosses val="autoZero"/>
        <c:crossBetween val="between"/>
      </c:valAx>
      <c:catAx>
        <c:axId val="16433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492800"/>
        <c:crosses val="autoZero"/>
        <c:auto val="0"/>
        <c:lblAlgn val="ctr"/>
        <c:lblOffset val="100"/>
        <c:noMultiLvlLbl val="0"/>
      </c:catAx>
      <c:valAx>
        <c:axId val="151492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643366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04108124567657"/>
          <c:y val="0.22522585577703688"/>
          <c:w val="6.8035997391877046E-2"/>
          <c:h val="0.318319264146035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US" sz="100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Obligacions</a:t>
            </a:r>
          </a:p>
        </c:rich>
      </c:tx>
      <c:layout>
        <c:manualLayout>
          <c:xMode val="edge"/>
          <c:yMode val="edge"/>
          <c:x val="0.43902440316019764"/>
          <c:y val="3.58209565121725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4249037227215E-2"/>
          <c:y val="0.20298507462686566"/>
          <c:w val="0.81643132220795889"/>
          <c:h val="0.337313432835820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ANUAL_TRIM!$F$19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ANUAL_TRIM!$F$20:$F$28</c:f>
              <c:numCache>
                <c:formatCode>0.00%</c:formatCode>
                <c:ptCount val="9"/>
                <c:pt idx="0">
                  <c:v>0.21407957885259174</c:v>
                </c:pt>
                <c:pt idx="1">
                  <c:v>8.2270642299912697E-2</c:v>
                </c:pt>
                <c:pt idx="2">
                  <c:v>0</c:v>
                </c:pt>
                <c:pt idx="3">
                  <c:v>0.29188916140898619</c:v>
                </c:pt>
                <c:pt idx="4">
                  <c:v>0</c:v>
                </c:pt>
                <c:pt idx="5">
                  <c:v>3.4869812292301502E-2</c:v>
                </c:pt>
                <c:pt idx="6">
                  <c:v>1.2503100057526105E-2</c:v>
                </c:pt>
                <c:pt idx="7">
                  <c:v>0.18966666666666668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02-400F-A326-2184DD14DE23}"/>
            </c:ext>
          </c:extLst>
        </c:ser>
        <c:ser>
          <c:idx val="0"/>
          <c:order val="1"/>
          <c:tx>
            <c:strRef>
              <c:f>ANUAL_TRIM!$G$19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ANUAL_TRIM!$G$20:$G$28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02-400F-A326-2184DD14DE23}"/>
            </c:ext>
          </c:extLst>
        </c:ser>
        <c:ser>
          <c:idx val="4"/>
          <c:order val="2"/>
          <c:tx>
            <c:strRef>
              <c:f>ANUAL_TRIM!$H$19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ANUAL_TRIM!$H$20:$H$28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02-400F-A326-2184DD14D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338688"/>
        <c:axId val="150135360"/>
      </c:barChart>
      <c:lineChart>
        <c:grouping val="standard"/>
        <c:varyColors val="0"/>
        <c:ser>
          <c:idx val="2"/>
          <c:order val="3"/>
          <c:tx>
            <c:strRef>
              <c:f>ANUAL_TRIM!$I$19</c:f>
              <c:strCache>
                <c:ptCount val="1"/>
                <c:pt idx="0">
                  <c:v>T4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ANUAL_TRIM!$I$20:$I$28</c:f>
              <c:numCache>
                <c:formatCode>0.00%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02-400F-A326-2184DD14DE23}"/>
            </c:ext>
          </c:extLst>
        </c:ser>
        <c:ser>
          <c:idx val="3"/>
          <c:order val="4"/>
          <c:tx>
            <c:strRef>
              <c:f>ANUAL_TRIM!$J$19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ANUAL_TRIM!$J$20:$J$28</c:f>
              <c:numCache>
                <c:formatCode>0.00%</c:formatCode>
                <c:ptCount val="9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02-400F-A326-2184DD14D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39200"/>
        <c:axId val="150135936"/>
      </c:lineChart>
      <c:catAx>
        <c:axId val="1643386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01353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0135360"/>
        <c:scaling>
          <c:orientation val="minMax"/>
        </c:scaling>
        <c:delete val="0"/>
        <c:axPos val="l"/>
        <c:numFmt formatCode="0.0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64338688"/>
        <c:crosses val="autoZero"/>
        <c:crossBetween val="between"/>
      </c:valAx>
      <c:catAx>
        <c:axId val="16433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135936"/>
        <c:crosses val="autoZero"/>
        <c:auto val="0"/>
        <c:lblAlgn val="ctr"/>
        <c:lblOffset val="100"/>
        <c:noMultiLvlLbl val="0"/>
      </c:catAx>
      <c:valAx>
        <c:axId val="150135936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643392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426183170987608"/>
          <c:y val="0.21556917660741506"/>
          <c:w val="6.8035997391877046E-2"/>
          <c:h val="0.3173655837930438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Drets</a:t>
            </a:r>
          </a:p>
        </c:rich>
      </c:tx>
      <c:layout>
        <c:manualLayout>
          <c:xMode val="edge"/>
          <c:yMode val="edge"/>
          <c:x val="0.47051336467072596"/>
          <c:y val="3.57142857142857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025754990178023E-2"/>
          <c:y val="0.20238154058995009"/>
          <c:w val="0.81666768913723098"/>
          <c:h val="0.33928670040079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ANUAL_TRIM!$F$32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ANUAL_TRIM!$F$33:$F$41</c:f>
              <c:numCache>
                <c:formatCode>0.00%</c:formatCode>
                <c:ptCount val="9"/>
                <c:pt idx="0">
                  <c:v>0.24280980121857321</c:v>
                </c:pt>
                <c:pt idx="1">
                  <c:v>0.25905149556149237</c:v>
                </c:pt>
                <c:pt idx="2">
                  <c:v>1.2536659991370528E-2</c:v>
                </c:pt>
                <c:pt idx="3">
                  <c:v>0.21338140129855571</c:v>
                </c:pt>
                <c:pt idx="4">
                  <c:v>0.1387464725358557</c:v>
                </c:pt>
                <c:pt idx="5">
                  <c:v>1</c:v>
                </c:pt>
                <c:pt idx="6">
                  <c:v>1</c:v>
                </c:pt>
                <c:pt idx="7">
                  <c:v>8.0649723182242669E-4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7-482B-BBDF-DB36AD071CD6}"/>
            </c:ext>
          </c:extLst>
        </c:ser>
        <c:ser>
          <c:idx val="0"/>
          <c:order val="1"/>
          <c:tx>
            <c:strRef>
              <c:f>ANUAL_TRIM!$G$32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ANUAL_TRIM!$G$33:$G$41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B7-482B-BBDF-DB36AD071CD6}"/>
            </c:ext>
          </c:extLst>
        </c:ser>
        <c:ser>
          <c:idx val="4"/>
          <c:order val="2"/>
          <c:tx>
            <c:strRef>
              <c:f>ANUAL_TRIM!$H$32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ANUAL_TRIM!$H$33:$H$41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B7-482B-BBDF-DB36AD071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250048"/>
        <c:axId val="150138240"/>
      </c:barChart>
      <c:lineChart>
        <c:grouping val="standard"/>
        <c:varyColors val="0"/>
        <c:ser>
          <c:idx val="2"/>
          <c:order val="3"/>
          <c:tx>
            <c:strRef>
              <c:f>ANUAL_TRIM!$I$32</c:f>
              <c:strCache>
                <c:ptCount val="1"/>
                <c:pt idx="0">
                  <c:v>T4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ANUAL_TRIM!$I$33:$I$41</c:f>
              <c:numCache>
                <c:formatCode>0.00%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B7-482B-BBDF-DB36AD071CD6}"/>
            </c:ext>
          </c:extLst>
        </c:ser>
        <c:ser>
          <c:idx val="3"/>
          <c:order val="4"/>
          <c:tx>
            <c:strRef>
              <c:f>ANUAL_TRIM!$J$32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ANUAL_TRIM!$J$33:$J$41</c:f>
              <c:numCache>
                <c:formatCode>0.00%</c:formatCode>
                <c:ptCount val="9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B7-482B-BBDF-DB36AD071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50560"/>
        <c:axId val="150138816"/>
      </c:lineChart>
      <c:catAx>
        <c:axId val="1652500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01382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0138240"/>
        <c:scaling>
          <c:orientation val="minMax"/>
        </c:scaling>
        <c:delete val="0"/>
        <c:axPos val="l"/>
        <c:numFmt formatCode="0.0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65250048"/>
        <c:crosses val="autoZero"/>
        <c:crossBetween val="between"/>
      </c:valAx>
      <c:catAx>
        <c:axId val="16525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138816"/>
        <c:crosses val="autoZero"/>
        <c:auto val="0"/>
        <c:lblAlgn val="ctr"/>
        <c:lblOffset val="100"/>
        <c:noMultiLvlLbl val="0"/>
      </c:catAx>
      <c:valAx>
        <c:axId val="150138816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652505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179614827743517"/>
          <c:y val="0.22321491063617047"/>
          <c:w val="6.7948855259591268E-2"/>
          <c:h val="0.3154771278590176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Drets i obligacions per exercicis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960784313725492E-2"/>
          <c:y val="0.15697944006999126"/>
          <c:w val="0.59280376717616179"/>
          <c:h val="0.64370734908136473"/>
        </c:manualLayout>
      </c:layout>
      <c:lineChart>
        <c:grouping val="standard"/>
        <c:varyColors val="0"/>
        <c:ser>
          <c:idx val="2"/>
          <c:order val="0"/>
          <c:tx>
            <c:strRef>
              <c:f>CREDDEF!$A$19</c:f>
              <c:strCache>
                <c:ptCount val="1"/>
                <c:pt idx="0">
                  <c:v>CONSOLIDAT</c:v>
                </c:pt>
              </c:strCache>
            </c:strRef>
          </c:tx>
          <c:cat>
            <c:numRef>
              <c:f>CREDDEF!$B$1:$H$1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CREDDEF!$B$19:$H$19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0-4406-80F8-A0FC7FBB80E8}"/>
            </c:ext>
          </c:extLst>
        </c:ser>
        <c:ser>
          <c:idx val="0"/>
          <c:order val="1"/>
          <c:tx>
            <c:strRef>
              <c:f>CREDDEF!$A$20</c:f>
              <c:strCache>
                <c:ptCount val="1"/>
                <c:pt idx="0">
                  <c:v>DRETS</c:v>
                </c:pt>
              </c:strCache>
            </c:strRef>
          </c:tx>
          <c:cat>
            <c:numRef>
              <c:f>CREDDEF!$B$1:$H$1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CREDDEF!$B$20:$H$20</c:f>
              <c:numCache>
                <c:formatCode>#,##0.00</c:formatCode>
                <c:ptCount val="7"/>
                <c:pt idx="0">
                  <c:v>197998809.23000002</c:v>
                </c:pt>
                <c:pt idx="1">
                  <c:v>240010936.28000003</c:v>
                </c:pt>
                <c:pt idx="2">
                  <c:v>197449511.12</c:v>
                </c:pt>
                <c:pt idx="3">
                  <c:v>189435021.37</c:v>
                </c:pt>
                <c:pt idx="4" formatCode="???,???,??0.00">
                  <c:v>161273126.72999999</c:v>
                </c:pt>
                <c:pt idx="5">
                  <c:v>158638019.75</c:v>
                </c:pt>
                <c:pt idx="6">
                  <c:v>152390901.91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1-41B2-8BD8-B932312380DE}"/>
            </c:ext>
          </c:extLst>
        </c:ser>
        <c:ser>
          <c:idx val="1"/>
          <c:order val="2"/>
          <c:tx>
            <c:strRef>
              <c:f>CREDDEF!$A$21</c:f>
              <c:strCache>
                <c:ptCount val="1"/>
                <c:pt idx="0">
                  <c:v>OBLIGACIONS</c:v>
                </c:pt>
              </c:strCache>
            </c:strRef>
          </c:tx>
          <c:cat>
            <c:numRef>
              <c:f>CREDDEF!$B$1:$H$1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CREDDEF!$B$21:$H$21</c:f>
              <c:numCache>
                <c:formatCode>#,##0.00</c:formatCode>
                <c:ptCount val="7"/>
                <c:pt idx="0">
                  <c:v>200210954.40000004</c:v>
                </c:pt>
                <c:pt idx="1">
                  <c:v>198704612.16000003</c:v>
                </c:pt>
                <c:pt idx="2">
                  <c:v>180834099.25999999</c:v>
                </c:pt>
                <c:pt idx="3">
                  <c:v>168736286.91000003</c:v>
                </c:pt>
                <c:pt idx="4" formatCode="???,???,??0.00">
                  <c:v>155181734.50999999</c:v>
                </c:pt>
                <c:pt idx="5">
                  <c:v>144233371.49000001</c:v>
                </c:pt>
                <c:pt idx="6">
                  <c:v>165748019.88999999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40-4726-99E7-4275D9F20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04128"/>
        <c:axId val="150141696"/>
      </c:lineChart>
      <c:catAx>
        <c:axId val="1651041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50141696"/>
        <c:crosses val="autoZero"/>
        <c:auto val="1"/>
        <c:lblAlgn val="ctr"/>
        <c:lblOffset val="100"/>
        <c:noMultiLvlLbl val="0"/>
      </c:catAx>
      <c:valAx>
        <c:axId val="150141696"/>
        <c:scaling>
          <c:orientation val="minMax"/>
          <c:min val="100000000"/>
        </c:scaling>
        <c:delete val="0"/>
        <c:axPos val="r"/>
        <c:majorGridlines/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1041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 Resultat Pressupostari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CREDDEF!$A$22</c:f>
              <c:strCache>
                <c:ptCount val="1"/>
                <c:pt idx="0">
                  <c:v>RP</c:v>
                </c:pt>
              </c:strCache>
            </c:strRef>
          </c:tx>
          <c:spPr>
            <a:solidFill>
              <a:srgbClr val="4F81BD"/>
            </a:solidFill>
          </c:spPr>
          <c:invertIfNegative val="0"/>
          <c:dLbls>
            <c:dLbl>
              <c:idx val="0"/>
              <c:layout>
                <c:manualLayout>
                  <c:x val="1.6607728304424668E-2"/>
                  <c:y val="-6.48140857392825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75-400D-BF9B-676998FDE1A8}"/>
                </c:ext>
              </c:extLst>
            </c:dLbl>
            <c:dLbl>
              <c:idx val="1"/>
              <c:layout>
                <c:manualLayout>
                  <c:x val="0"/>
                  <c:y val="2.77777777777777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4A-4D32-8E7D-AC63BA93973D}"/>
                </c:ext>
              </c:extLst>
            </c:dLbl>
            <c:dLbl>
              <c:idx val="2"/>
              <c:layout>
                <c:manualLayout>
                  <c:x val="-2.372105622028563E-3"/>
                  <c:y val="2.77777777777777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4A-4D32-8E7D-AC63BA93973D}"/>
                </c:ext>
              </c:extLst>
            </c:dLbl>
            <c:dLbl>
              <c:idx val="3"/>
              <c:layout>
                <c:manualLayout>
                  <c:x val="0"/>
                  <c:y val="-1.8518518518518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4A-4D32-8E7D-AC63BA93973D}"/>
                </c:ext>
              </c:extLst>
            </c:dLbl>
            <c:dLbl>
              <c:idx val="4"/>
              <c:layout>
                <c:manualLayout>
                  <c:x val="3.7361877807978632E-7"/>
                  <c:y val="2.77777777777778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4A-4D32-8E7D-AC63BA93973D}"/>
                </c:ext>
              </c:extLst>
            </c:dLbl>
            <c:dLbl>
              <c:idx val="5"/>
              <c:layout>
                <c:manualLayout>
                  <c:x val="0"/>
                  <c:y val="9.259259259259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4A-4D32-8E7D-AC63BA93973D}"/>
                </c:ext>
              </c:extLst>
            </c:dLbl>
            <c:dLbl>
              <c:idx val="6"/>
              <c:layout>
                <c:manualLayout>
                  <c:x val="-4.7445848628352057E-3"/>
                  <c:y val="1.38888888888888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75-400D-BF9B-676998FDE1A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CREDDEF!$B$19:$H$19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CREDDEF!$B$22:$H$22</c:f>
              <c:numCache>
                <c:formatCode>#,##0.00</c:formatCode>
                <c:ptCount val="7"/>
                <c:pt idx="0">
                  <c:v>-2212145.1700000167</c:v>
                </c:pt>
                <c:pt idx="1">
                  <c:v>41306324.120000005</c:v>
                </c:pt>
                <c:pt idx="2">
                  <c:v>16615411.860000014</c:v>
                </c:pt>
                <c:pt idx="3">
                  <c:v>20698734.459999979</c:v>
                </c:pt>
                <c:pt idx="4">
                  <c:v>6091392.2199999988</c:v>
                </c:pt>
                <c:pt idx="5">
                  <c:v>14404648.25999999</c:v>
                </c:pt>
                <c:pt idx="6">
                  <c:v>-13357117.979999989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3A-4EF8-9442-9B2E0D36629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5105152"/>
        <c:axId val="165045376"/>
      </c:barChart>
      <c:catAx>
        <c:axId val="16510515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045376"/>
        <c:crosses val="autoZero"/>
        <c:auto val="1"/>
        <c:lblAlgn val="ctr"/>
        <c:lblOffset val="100"/>
        <c:noMultiLvlLbl val="0"/>
      </c:catAx>
      <c:valAx>
        <c:axId val="165045376"/>
        <c:scaling>
          <c:orientation val="minMax"/>
        </c:scaling>
        <c:delete val="0"/>
        <c:axPos val="r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1051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Capacitat de finançament (milers €)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ESTABILITAT!$C$1</c:f>
              <c:strCache>
                <c:ptCount val="1"/>
                <c:pt idx="0">
                  <c:v>Capacitat de finançament (milers €)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65473523030889E-2"/>
                  <c:y val="2.30434959213443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9-41DA-8933-6979C4385685}"/>
                </c:ext>
              </c:extLst>
            </c:dLbl>
            <c:dLbl>
              <c:idx val="2"/>
              <c:layout>
                <c:manualLayout>
                  <c:x val="7.3260073260072809E-3"/>
                  <c:y val="2.77777777777777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9-41DA-8933-6979C4385685}"/>
                </c:ext>
              </c:extLst>
            </c:dLbl>
            <c:dLbl>
              <c:idx val="3"/>
              <c:layout>
                <c:manualLayout>
                  <c:x val="0"/>
                  <c:y val="1.8727539245525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9-41DA-8933-6979C4385685}"/>
                </c:ext>
              </c:extLst>
            </c:dLbl>
            <c:dLbl>
              <c:idx val="4"/>
              <c:layout>
                <c:manualLayout>
                  <c:x val="2.4423917669473623E-3"/>
                  <c:y val="1.37844807989276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9-41DA-8933-6979C4385685}"/>
                </c:ext>
              </c:extLst>
            </c:dLbl>
            <c:dLbl>
              <c:idx val="7"/>
              <c:layout>
                <c:manualLayout>
                  <c:x val="0"/>
                  <c:y val="1.810043747474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39-498D-A91A-E1A1EF7C5AB3}"/>
                </c:ext>
              </c:extLst>
            </c:dLbl>
            <c:dLbl>
              <c:idx val="8"/>
              <c:layout>
                <c:manualLayout>
                  <c:x val="-1.7096742368631537E-2"/>
                  <c:y val="2.71506562121200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39-498D-A91A-E1A1EF7C5AB3}"/>
                </c:ext>
              </c:extLst>
            </c:dLbl>
            <c:dLbl>
              <c:idx val="9"/>
              <c:layout>
                <c:manualLayout>
                  <c:x val="0"/>
                  <c:y val="9.25925925925934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9-41DA-8933-6979C4385685}"/>
                </c:ext>
              </c:extLst>
            </c:dLbl>
            <c:dLbl>
              <c:idx val="10"/>
              <c:layout>
                <c:manualLayout>
                  <c:x val="-1.7907811035456693E-16"/>
                  <c:y val="1.8518518518518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9-41DA-8933-6979C4385685}"/>
                </c:ext>
              </c:extLst>
            </c:dLbl>
            <c:dLbl>
              <c:idx val="11"/>
              <c:layout>
                <c:manualLayout>
                  <c:x val="0"/>
                  <c:y val="1.3575328106060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39-498D-A91A-E1A1EF7C5AB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ESTABILITAT!$A$2:$A$13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ESTABILITAT!$C$2:$C$13</c:f>
              <c:numCache>
                <c:formatCode>#,##0</c:formatCode>
                <c:ptCount val="12"/>
                <c:pt idx="0">
                  <c:v>32587</c:v>
                </c:pt>
                <c:pt idx="1">
                  <c:v>13060</c:v>
                </c:pt>
                <c:pt idx="2">
                  <c:v>31706</c:v>
                </c:pt>
                <c:pt idx="3">
                  <c:v>25633</c:v>
                </c:pt>
                <c:pt idx="4">
                  <c:v>21574</c:v>
                </c:pt>
                <c:pt idx="5">
                  <c:v>16123</c:v>
                </c:pt>
                <c:pt idx="6">
                  <c:v>19978</c:v>
                </c:pt>
                <c:pt idx="7">
                  <c:v>6996</c:v>
                </c:pt>
                <c:pt idx="8">
                  <c:v>27047</c:v>
                </c:pt>
                <c:pt idx="9">
                  <c:v>25416</c:v>
                </c:pt>
                <c:pt idx="10">
                  <c:v>40096</c:v>
                </c:pt>
                <c:pt idx="11">
                  <c:v>6077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D4-4C6B-B079-A28DE0098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648384"/>
        <c:axId val="165047680"/>
      </c:barChart>
      <c:catAx>
        <c:axId val="16564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047680"/>
        <c:crosses val="autoZero"/>
        <c:auto val="1"/>
        <c:lblAlgn val="ctr"/>
        <c:lblOffset val="100"/>
        <c:noMultiLvlLbl val="0"/>
      </c:catAx>
      <c:valAx>
        <c:axId val="1650476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64838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Nivell d'endeutament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1"/>
          <c:order val="0"/>
          <c:tx>
            <c:v>Deute financer</c:v>
          </c:tx>
          <c:spPr>
            <a:solidFill>
              <a:srgbClr val="1F497D">
                <a:lumMod val="60000"/>
                <a:lumOff val="40000"/>
              </a:srgbClr>
            </a:solidFill>
          </c:spPr>
          <c:dLbls>
            <c:dLbl>
              <c:idx val="0"/>
              <c:layout>
                <c:manualLayout>
                  <c:x val="2.4468739355135044E-3"/>
                  <c:y val="-8.76859180297820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58-45CD-AB7C-C9E111B18B2B}"/>
                </c:ext>
              </c:extLst>
            </c:dLbl>
            <c:dLbl>
              <c:idx val="1"/>
              <c:layout>
                <c:manualLayout>
                  <c:x val="-2.4468739355135044E-3"/>
                  <c:y val="-9.3787969754809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58-45CD-AB7C-C9E111B18B2B}"/>
                </c:ext>
              </c:extLst>
            </c:dLbl>
            <c:dLbl>
              <c:idx val="2"/>
              <c:layout>
                <c:manualLayout>
                  <c:x val="0"/>
                  <c:y val="-6.1653003500214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58-45CD-AB7C-C9E111B18B2B}"/>
                </c:ext>
              </c:extLst>
            </c:dLbl>
            <c:dLbl>
              <c:idx val="3"/>
              <c:layout>
                <c:manualLayout>
                  <c:x val="3.8533447803362272E-7"/>
                  <c:y val="-5.758945084278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58-45CD-AB7C-C9E111B18B2B}"/>
                </c:ext>
              </c:extLst>
            </c:dLbl>
            <c:dLbl>
              <c:idx val="4"/>
              <c:layout>
                <c:manualLayout>
                  <c:x val="-7.3406218065405577E-3"/>
                  <c:y val="-4.3264529073513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58-45CD-AB7C-C9E111B18B2B}"/>
                </c:ext>
              </c:extLst>
            </c:dLbl>
            <c:dLbl>
              <c:idx val="5"/>
              <c:layout>
                <c:manualLayout>
                  <c:x val="-4.8937478710270087E-3"/>
                  <c:y val="-1.51928410788431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58-45CD-AB7C-C9E111B18B2B}"/>
                </c:ext>
              </c:extLst>
            </c:dLbl>
            <c:dLbl>
              <c:idx val="7"/>
              <c:layout>
                <c:manualLayout>
                  <c:x val="2.4468865597432636E-3"/>
                  <c:y val="1.3825832758850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A1-457F-91D4-0C50DD259701}"/>
                </c:ext>
              </c:extLst>
            </c:dLbl>
            <c:dLbl>
              <c:idx val="8"/>
              <c:layout>
                <c:manualLayout>
                  <c:x val="-9.6333619508405681E-8"/>
                  <c:y val="1.2389870561208754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010342377390419E-2"/>
                      <c:h val="2.977816608073652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12E-48B0-999F-53A798FDB573}"/>
                </c:ext>
              </c:extLst>
            </c:dLbl>
            <c:dLbl>
              <c:idx val="9"/>
              <c:layout>
                <c:manualLayout>
                  <c:x val="4.8943476065870335E-3"/>
                  <c:y val="1.4227781551737605E-2"/>
                </c:manualLayout>
              </c:layout>
              <c:tx>
                <c:rich>
                  <a:bodyPr/>
                  <a:lstStyle/>
                  <a:p>
                    <a:fld id="{341BA23F-00A6-47BB-BF8D-77570E0AFD58}" type="VALUE">
                      <a:rPr lang="en-US" sz="700" b="0" i="0" u="none" strike="noStrike" kern="1200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rPr>
                      <a:pPr/>
                      <a:t>[VALOR]</a:t>
                    </a:fld>
                    <a:endParaRPr lang="ca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B82-4A75-A448-0B026A27F09A}"/>
                </c:ext>
              </c:extLst>
            </c:dLbl>
            <c:dLbl>
              <c:idx val="10"/>
              <c:layout>
                <c:manualLayout>
                  <c:x val="-6.9360206046052092E-6"/>
                  <c:y val="1.486082009731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82-4A75-A448-0B026A27F09A}"/>
                </c:ext>
              </c:extLst>
            </c:dLbl>
            <c:dLbl>
              <c:idx val="11"/>
              <c:layout>
                <c:manualLayout>
                  <c:x val="2.812992407776712E-2"/>
                  <c:y val="1.4614097532072294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lang="en-US" sz="700" b="0" i="0" u="none" strike="noStrike" kern="1200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472F875C-F8AD-42BC-8ED6-6FB7A5FD19DA}" type="VALUE">
                      <a:rPr lang="en-US" sz="700" b="0" i="0" u="none" strike="noStrike" kern="1200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rPr>
                      <a:pPr>
                        <a:defRPr lang="en-US" sz="700" b="0" i="0" u="none" strike="noStrike" kern="1200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[VALOR]</a:t>
                    </a:fld>
                    <a:endParaRPr lang="ca-ES"/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503465698295421E-2"/>
                      <c:h val="4.081580573534689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B82-4A75-A448-0B026A27F0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ENDEUTAMENT!$A$7:$A$18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ENDEUTAMENT!$D$7:$D$18</c:f>
              <c:numCache>
                <c:formatCode>#,##0.00</c:formatCode>
                <c:ptCount val="12"/>
                <c:pt idx="0">
                  <c:v>62721647.148586072</c:v>
                </c:pt>
                <c:pt idx="1">
                  <c:v>52256177.159999996</c:v>
                </c:pt>
                <c:pt idx="2">
                  <c:v>41051625.280000001</c:v>
                </c:pt>
                <c:pt idx="3">
                  <c:v>33975051.270000003</c:v>
                </c:pt>
                <c:pt idx="4">
                  <c:v>28162786.509999998</c:v>
                </c:pt>
                <c:pt idx="5">
                  <c:v>4531399.2300000004</c:v>
                </c:pt>
                <c:pt idx="6">
                  <c:v>3380160.43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20700000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3-4FA3-96D2-2537F095B547}"/>
            </c:ext>
          </c:extLst>
        </c:ser>
        <c:ser>
          <c:idx val="2"/>
          <c:order val="1"/>
          <c:tx>
            <c:v>Deute participació tributs de l'estat</c:v>
          </c:tx>
          <c:spPr>
            <a:solidFill>
              <a:srgbClr val="1F497D">
                <a:lumMod val="20000"/>
                <a:lumOff val="80000"/>
              </a:srgbClr>
            </a:solidFill>
            <a:ln>
              <a:solidFill>
                <a:schemeClr val="bg2">
                  <a:lumMod val="25000"/>
                </a:schemeClr>
              </a:solidFill>
            </a:ln>
          </c:spPr>
          <c:dLbls>
            <c:dLbl>
              <c:idx val="0"/>
              <c:layout>
                <c:manualLayout>
                  <c:x val="1.7130216623054327E-2"/>
                  <c:y val="-8.236914064537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43-4FA3-96D2-2537F095B547}"/>
                </c:ext>
              </c:extLst>
            </c:dLbl>
            <c:dLbl>
              <c:idx val="1"/>
              <c:layout>
                <c:manualLayout>
                  <c:x val="1.7130216623054303E-2"/>
                  <c:y val="-7.520660667621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43-4FA3-96D2-2537F095B547}"/>
                </c:ext>
              </c:extLst>
            </c:dLbl>
            <c:dLbl>
              <c:idx val="2"/>
              <c:layout>
                <c:manualLayout>
                  <c:x val="2.4471738032934721E-2"/>
                  <c:y val="-6.804407270705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43-4FA3-96D2-2537F095B547}"/>
                </c:ext>
              </c:extLst>
            </c:dLbl>
            <c:dLbl>
              <c:idx val="3"/>
              <c:layout>
                <c:manualLayout>
                  <c:x val="1.2751895114516128E-2"/>
                  <c:y val="-7.877180025779488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43-4FA3-96D2-2537F095B547}"/>
                </c:ext>
              </c:extLst>
            </c:dLbl>
            <c:dLbl>
              <c:idx val="4"/>
              <c:layout>
                <c:manualLayout>
                  <c:x val="9.7886952131738883E-3"/>
                  <c:y val="-7.1625339691633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2E-48B0-999F-53A798FDB573}"/>
                </c:ext>
              </c:extLst>
            </c:dLbl>
            <c:dLbl>
              <c:idx val="5"/>
              <c:layout>
                <c:manualLayout>
                  <c:x val="2.4493786096206334E-3"/>
                  <c:y val="-8.542049222522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2-4A75-A448-0B026A27F09A}"/>
                </c:ext>
              </c:extLst>
            </c:dLbl>
            <c:dLbl>
              <c:idx val="6"/>
              <c:layout>
                <c:manualLayout>
                  <c:x val="1.2236681684435724E-2"/>
                  <c:y val="-6.8767582020158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82-4A75-A448-0B026A27F09A}"/>
                </c:ext>
              </c:extLst>
            </c:dLbl>
            <c:dLbl>
              <c:idx val="7"/>
              <c:layout>
                <c:manualLayout>
                  <c:x val="1.2106823965338393E-2"/>
                  <c:y val="-7.181943107518833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43-4FA3-96D2-2537F095B547}"/>
                </c:ext>
              </c:extLst>
            </c:dLbl>
            <c:dLbl>
              <c:idx val="8"/>
              <c:layout>
                <c:manualLayout>
                  <c:x val="2.3834864138769737E-3"/>
                  <c:y val="-6.18456305490035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43-4FA3-96D2-2537F095B547}"/>
                </c:ext>
              </c:extLst>
            </c:dLbl>
            <c:dLbl>
              <c:idx val="9"/>
              <c:layout>
                <c:manualLayout>
                  <c:x val="-7.4687455204866925E-3"/>
                  <c:y val="-7.490173825331719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43-4FA3-96D2-2537F095B547}"/>
                </c:ext>
              </c:extLst>
            </c:dLbl>
            <c:dLbl>
              <c:idx val="10"/>
              <c:layout>
                <c:manualLayout>
                  <c:x val="-4.894325872744059E-3"/>
                  <c:y val="-6.1363514132020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2E-48B0-999F-53A798FDB573}"/>
                </c:ext>
              </c:extLst>
            </c:dLbl>
            <c:dLbl>
              <c:idx val="11"/>
              <c:layout>
                <c:manualLayout>
                  <c:x val="-7.3415214098804162E-3"/>
                  <c:y val="-4.6556470799561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2E-48B0-999F-53A798FDB573}"/>
                </c:ext>
              </c:extLst>
            </c:dLbl>
            <c:dLbl>
              <c:idx val="12"/>
              <c:layout>
                <c:manualLayout>
                  <c:x val="2.4471738032934721E-3"/>
                  <c:y val="-4.29752038149799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58-45CD-AB7C-C9E111B18B2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ENDEUTAMENT!$A$7:$A$18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ENDEUTAMENT!$E$7:$E$18</c:f>
              <c:numCache>
                <c:formatCode>#,##0.00</c:formatCode>
                <c:ptCount val="12"/>
                <c:pt idx="0">
                  <c:v>24403657.779999997</c:v>
                </c:pt>
                <c:pt idx="1">
                  <c:v>24902433.210000001</c:v>
                </c:pt>
                <c:pt idx="2">
                  <c:v>20667557.690000001</c:v>
                </c:pt>
                <c:pt idx="3">
                  <c:v>19289720.57</c:v>
                </c:pt>
                <c:pt idx="4">
                  <c:v>17911883.449999999</c:v>
                </c:pt>
                <c:pt idx="5">
                  <c:v>16929001.460000001</c:v>
                </c:pt>
                <c:pt idx="6">
                  <c:v>15156209.210000001</c:v>
                </c:pt>
                <c:pt idx="7">
                  <c:v>13383416.960000001</c:v>
                </c:pt>
                <c:pt idx="8">
                  <c:v>12940218.897500001</c:v>
                </c:pt>
                <c:pt idx="9">
                  <c:v>16536495.199999999</c:v>
                </c:pt>
                <c:pt idx="10">
                  <c:v>11125197.130000001</c:v>
                </c:pt>
                <c:pt idx="11">
                  <c:v>9689687.8899999987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43-4FA3-96D2-2537F095B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381632"/>
        <c:axId val="165050560"/>
      </c:areaChart>
      <c:lineChart>
        <c:grouping val="standard"/>
        <c:varyColors val="0"/>
        <c:ser>
          <c:idx val="3"/>
          <c:order val="2"/>
          <c:tx>
            <c:v>%/DRN cts</c:v>
          </c:tx>
          <c:spPr>
            <a:ln>
              <a:solidFill>
                <a:sysClr val="windowText" lastClr="000000"/>
              </a:solidFill>
            </a:ln>
          </c:spPr>
          <c:marker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4.1582984862520385E-2"/>
                  <c:y val="-2.87895118687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82-4A75-A448-0B026A27F09A}"/>
                </c:ext>
              </c:extLst>
            </c:dLbl>
            <c:dLbl>
              <c:idx val="1"/>
              <c:layout>
                <c:manualLayout>
                  <c:x val="-4.0275278149242963E-2"/>
                  <c:y val="-3.587019570919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2-4A75-A448-0B026A27F09A}"/>
                </c:ext>
              </c:extLst>
            </c:dLbl>
            <c:dLbl>
              <c:idx val="2"/>
              <c:layout>
                <c:manualLayout>
                  <c:x val="-3.7839473106137972E-2"/>
                  <c:y val="-2.9017286239954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2E-48B0-999F-53A798FDB573}"/>
                </c:ext>
              </c:extLst>
            </c:dLbl>
            <c:dLbl>
              <c:idx val="3"/>
              <c:layout>
                <c:manualLayout>
                  <c:x val="-2.8040179896178168E-2"/>
                  <c:y val="-3.235378631566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82-4A75-A448-0B026A27F09A}"/>
                </c:ext>
              </c:extLst>
            </c:dLbl>
            <c:dLbl>
              <c:idx val="4"/>
              <c:layout>
                <c:manualLayout>
                  <c:x val="-3.0497951696257557E-2"/>
                  <c:y val="-3.6179820209117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2E-48B0-999F-53A798FDB573}"/>
                </c:ext>
              </c:extLst>
            </c:dLbl>
            <c:dLbl>
              <c:idx val="5"/>
              <c:layout>
                <c:manualLayout>
                  <c:x val="-3.5377943762744939E-2"/>
                  <c:y val="-3.2272988199809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2-4A75-A448-0B026A27F09A}"/>
                </c:ext>
              </c:extLst>
            </c:dLbl>
            <c:dLbl>
              <c:idx val="6"/>
              <c:layout>
                <c:manualLayout>
                  <c:x val="-3.2929517540648136E-2"/>
                  <c:y val="-2.8724017132555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951333998759076E-2"/>
                      <c:h val="4.1345868331758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B82-4A75-A448-0B026A27F09A}"/>
                </c:ext>
              </c:extLst>
            </c:dLbl>
            <c:dLbl>
              <c:idx val="7"/>
              <c:layout>
                <c:manualLayout>
                  <c:x val="-3.2945125499551031E-2"/>
                  <c:y val="-3.2598553224536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2E-48B0-999F-53A798FDB573}"/>
                </c:ext>
              </c:extLst>
            </c:dLbl>
            <c:dLbl>
              <c:idx val="8"/>
              <c:layout>
                <c:manualLayout>
                  <c:x val="-4.2718758236524469E-2"/>
                  <c:y val="-2.2027259745776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82-4A75-A448-0B026A27F09A}"/>
                </c:ext>
              </c:extLst>
            </c:dLbl>
            <c:dLbl>
              <c:idx val="9"/>
              <c:layout>
                <c:manualLayout>
                  <c:x val="-4.6317974928597523E-2"/>
                  <c:y val="-3.2598423641210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2E-48B0-999F-53A798FDB573}"/>
                </c:ext>
              </c:extLst>
            </c:dLbl>
            <c:dLbl>
              <c:idx val="10"/>
              <c:layout>
                <c:manualLayout>
                  <c:x val="-5.8539821235628953E-2"/>
                  <c:y val="-2.8918753093831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2E-48B0-999F-53A798FDB573}"/>
                </c:ext>
              </c:extLst>
            </c:dLbl>
            <c:dLbl>
              <c:idx val="11"/>
              <c:layout>
                <c:manualLayout>
                  <c:x val="-3.2945125499551031E-2"/>
                  <c:y val="-4.334235417828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2E-48B0-999F-53A798FDB5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ENDEUTAMENT!$A$7:$A$18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ENDEUTAMENT!$H$7:$H$18</c:f>
              <c:numCache>
                <c:formatCode>0.00%</c:formatCode>
                <c:ptCount val="12"/>
                <c:pt idx="0">
                  <c:v>0.61389782011304439</c:v>
                </c:pt>
                <c:pt idx="1">
                  <c:v>0.54993744026362223</c:v>
                </c:pt>
                <c:pt idx="2">
                  <c:v>0.41316050311604452</c:v>
                </c:pt>
                <c:pt idx="3">
                  <c:v>0.36021599721962672</c:v>
                </c:pt>
                <c:pt idx="4">
                  <c:v>0.31548963578696432</c:v>
                </c:pt>
                <c:pt idx="5">
                  <c:v>0.14084850017375977</c:v>
                </c:pt>
                <c:pt idx="6">
                  <c:v>0.11765112900278139</c:v>
                </c:pt>
                <c:pt idx="7">
                  <c:v>8.2973461426681633E-2</c:v>
                </c:pt>
                <c:pt idx="8">
                  <c:v>7.1328154175594766E-2</c:v>
                </c:pt>
                <c:pt idx="9">
                  <c:v>8.6134668700396905E-2</c:v>
                </c:pt>
                <c:pt idx="10">
                  <c:v>4.6208406529642997E-2</c:v>
                </c:pt>
                <c:pt idx="11">
                  <c:v>0.1262232961736372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43-4FA3-96D2-2537F095B547}"/>
            </c:ext>
          </c:extLst>
        </c:ser>
        <c:ser>
          <c:idx val="4"/>
          <c:order val="3"/>
          <c:tx>
            <c:v>Límit 110%</c:v>
          </c:tx>
          <c:spPr>
            <a:ln>
              <a:solidFill>
                <a:srgbClr val="FF0000"/>
              </a:solidFill>
            </a:ln>
          </c:spPr>
          <c:marker>
            <c:spPr>
              <a:ln>
                <a:noFill/>
              </a:ln>
            </c:spPr>
          </c:marker>
          <c:cat>
            <c:numRef>
              <c:f>ENDEUTAMENT!$A$7:$A$18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ENDEUTAMENT!$I$7:$I$18</c:f>
              <c:numCache>
                <c:formatCode>0.00%</c:formatCode>
                <c:ptCount val="12"/>
                <c:pt idx="0">
                  <c:v>1.1000000000000001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1.1000000000000001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1.1000000000000001</c:v>
                </c:pt>
                <c:pt idx="11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43-4FA3-96D2-2537F095B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82144"/>
        <c:axId val="165051136"/>
      </c:lineChart>
      <c:catAx>
        <c:axId val="16538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050560"/>
        <c:crosses val="autoZero"/>
        <c:auto val="1"/>
        <c:lblAlgn val="ctr"/>
        <c:lblOffset val="100"/>
        <c:noMultiLvlLbl val="0"/>
      </c:catAx>
      <c:valAx>
        <c:axId val="165050560"/>
        <c:scaling>
          <c:orientation val="minMax"/>
          <c:max val="12000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381632"/>
        <c:crosses val="autoZero"/>
        <c:crossBetween val="between"/>
        <c:dispUnits>
          <c:builtInUnit val="millions"/>
          <c:dispUnitsLbl>
            <c:tx>
              <c:rich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es-ES"/>
                    <a:t>Milions €</a:t>
                  </a:r>
                </a:p>
              </c:rich>
            </c:tx>
          </c:dispUnitsLbl>
        </c:dispUnits>
      </c:valAx>
      <c:catAx>
        <c:axId val="165382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051136"/>
        <c:crosses val="autoZero"/>
        <c:auto val="1"/>
        <c:lblAlgn val="ctr"/>
        <c:lblOffset val="100"/>
        <c:noMultiLvlLbl val="0"/>
      </c:catAx>
      <c:valAx>
        <c:axId val="16505113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382144"/>
        <c:crosses val="max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Drets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5D-4C38-B05D-18B316EFD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5D-4C38-B05D-18B316EFDBF6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8E5D-4C38-B05D-18B316EFDBF6}"/>
              </c:ext>
            </c:extLst>
          </c:dPt>
          <c:val>
            <c:numRef>
              <c:f>A1_PREGESTIONAT!$N$11:$N$13</c:f>
              <c:numCache>
                <c:formatCode>0.00%</c:formatCode>
                <c:ptCount val="3"/>
                <c:pt idx="0">
                  <c:v>0.4029059644784172</c:v>
                </c:pt>
                <c:pt idx="1">
                  <c:v>9.70940355215828E-2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5D-4C38-B05D-18B316EFD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Pressupost consolidat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Corporació amb ajustos de consolidació</c:v>
          </c:tx>
          <c:invertIfNegative val="0"/>
          <c:cat>
            <c:numRef>
              <c:f>CREDDEF!$H$1:$M$1</c:f>
              <c:numCache>
                <c:formatCode>General</c:formatCode>
                <c:ptCount val="6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</c:numCache>
            </c:numRef>
          </c:cat>
          <c:val>
            <c:numRef>
              <c:f>CREDDEF!$H$14:$M$14</c:f>
              <c:numCache>
                <c:formatCode>#,##0.00</c:formatCode>
                <c:ptCount val="6"/>
                <c:pt idx="0">
                  <c:v>279492023.12</c:v>
                </c:pt>
                <c:pt idx="1">
                  <c:v>261631736.67000002</c:v>
                </c:pt>
                <c:pt idx="2">
                  <c:v>260013167.33000001</c:v>
                </c:pt>
                <c:pt idx="3">
                  <c:v>230906347</c:v>
                </c:pt>
                <c:pt idx="4">
                  <c:v>234113704.22999999</c:v>
                </c:pt>
                <c:pt idx="5">
                  <c:v>209939284.22000003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B-49BC-8F0F-6CE3DC439901}"/>
            </c:ext>
          </c:extLst>
        </c:ser>
        <c:ser>
          <c:idx val="1"/>
          <c:order val="1"/>
          <c:tx>
            <c:v>Organismes autònoms</c:v>
          </c:tx>
          <c:invertIfNegative val="0"/>
          <c:cat>
            <c:numRef>
              <c:f>CREDDEF!$H$1:$M$1</c:f>
              <c:numCache>
                <c:formatCode>General</c:formatCode>
                <c:ptCount val="6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</c:numCache>
            </c:numRef>
          </c:cat>
          <c:val>
            <c:numRef>
              <c:f>CREDDEF!$H$15:$M$15</c:f>
              <c:numCache>
                <c:formatCode>#,##0.00</c:formatCode>
                <c:ptCount val="6"/>
                <c:pt idx="0">
                  <c:v>32247720.829999983</c:v>
                </c:pt>
                <c:pt idx="1">
                  <c:v>30080259.620000005</c:v>
                </c:pt>
                <c:pt idx="2">
                  <c:v>26740073.830000013</c:v>
                </c:pt>
                <c:pt idx="3">
                  <c:v>31784275.469999999</c:v>
                </c:pt>
                <c:pt idx="4">
                  <c:v>30054115.130000025</c:v>
                </c:pt>
                <c:pt idx="5">
                  <c:v>27360718.329999983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DB-49BC-8F0F-6CE3DC439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529088"/>
        <c:axId val="164790848"/>
      </c:barChart>
      <c:catAx>
        <c:axId val="16552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4790848"/>
        <c:crosses val="autoZero"/>
        <c:auto val="1"/>
        <c:lblAlgn val="ctr"/>
        <c:lblOffset val="100"/>
        <c:noMultiLvlLbl val="0"/>
      </c:catAx>
      <c:valAx>
        <c:axId val="16479084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529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13162118780096"/>
          <c:y val="0.47386759581881532"/>
          <c:w val="0.3258426966292135"/>
          <c:h val="0.15331010452961669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Finançament del pressupost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FINANÇAMENT!$B$4</c:f>
              <c:strCache>
                <c:ptCount val="1"/>
                <c:pt idx="0">
                  <c:v>DADES CONSOLIDADES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A9DB-4A93-A65F-A445C9B6CB21}"/>
              </c:ext>
            </c:extLst>
          </c:dPt>
          <c:dPt>
            <c:idx val="1"/>
            <c:bubble3D val="0"/>
            <c:spPr>
              <a:solidFill>
                <a:schemeClr val="accent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9DB-4A93-A65F-A445C9B6CB21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A9DB-4A93-A65F-A445C9B6CB21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9DB-4A93-A65F-A445C9B6CB21}"/>
              </c:ext>
            </c:extLst>
          </c:dPt>
          <c:dLbls>
            <c:dLbl>
              <c:idx val="0"/>
              <c:layout>
                <c:manualLayout>
                  <c:x val="1.0187830755683226E-2"/>
                  <c:y val="-4.380692979415309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DB-4A93-A65F-A445C9B6CB21}"/>
                </c:ext>
              </c:extLst>
            </c:dLbl>
            <c:dLbl>
              <c:idx val="1"/>
              <c:layout>
                <c:manualLayout>
                  <c:x val="2.7573418143578918E-2"/>
                  <c:y val="2.09769061886132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B-4A93-A65F-A445C9B6CB21}"/>
                </c:ext>
              </c:extLst>
            </c:dLbl>
            <c:dLbl>
              <c:idx val="2"/>
              <c:layout>
                <c:manualLayout>
                  <c:x val="-4.8279600229124454E-2"/>
                  <c:y val="-2.81463873619571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B-4A93-A65F-A445C9B6CB21}"/>
                </c:ext>
              </c:extLst>
            </c:dLbl>
            <c:dLbl>
              <c:idx val="3"/>
              <c:layout>
                <c:manualLayout>
                  <c:x val="8.4770918293193762E-3"/>
                  <c:y val="-2.977962660327836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B-4A93-A65F-A445C9B6CB21}"/>
                </c:ext>
              </c:extLst>
            </c:dLbl>
            <c:dLbl>
              <c:idx val="4"/>
              <c:layout>
                <c:manualLayout>
                  <c:x val="7.3456615968606528E-3"/>
                  <c:y val="-0.18351408904075669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B-4A93-A65F-A445C9B6CB2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FINANÇAMENT!$A$5:$A$8</c:f>
              <c:strCache>
                <c:ptCount val="4"/>
                <c:pt idx="0">
                  <c:v>Recursos no financers</c:v>
                </c:pt>
                <c:pt idx="1">
                  <c:v>Endeutament</c:v>
                </c:pt>
                <c:pt idx="2">
                  <c:v>Actius financers no RLT</c:v>
                </c:pt>
                <c:pt idx="3">
                  <c:v>Romanent de tresoreria</c:v>
                </c:pt>
              </c:strCache>
            </c:strRef>
          </c:cat>
          <c:val>
            <c:numRef>
              <c:f>FINANÇAMENT!$B$5:$B$8</c:f>
              <c:numCache>
                <c:formatCode>#,##0.00</c:formatCode>
                <c:ptCount val="4"/>
                <c:pt idx="0">
                  <c:v>213800000</c:v>
                </c:pt>
                <c:pt idx="1">
                  <c:v>8000000</c:v>
                </c:pt>
                <c:pt idx="2">
                  <c:v>600000</c:v>
                </c:pt>
                <c:pt idx="3">
                  <c:v>1352889.53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DB-4A93-A65F-A445C9B6C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850162866449513"/>
          <c:y val="0.40880635203618415"/>
          <c:w val="0.21009771986970682"/>
          <c:h val="0.27044124201455949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Pressupost consolidat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Corporació amb ajustos de consolidació</c:v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CREDDEF!$B$1:$H$1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CREDDEF!$B$14:$H$14</c:f>
              <c:numCache>
                <c:formatCode>#,##0.00</c:formatCode>
                <c:ptCount val="7"/>
                <c:pt idx="0">
                  <c:v>194400000</c:v>
                </c:pt>
                <c:pt idx="1">
                  <c:v>352972591.54000002</c:v>
                </c:pt>
                <c:pt idx="2">
                  <c:v>317795075.73000002</c:v>
                </c:pt>
                <c:pt idx="3">
                  <c:v>265752208.45999998</c:v>
                </c:pt>
                <c:pt idx="4">
                  <c:v>279549426.58999997</c:v>
                </c:pt>
                <c:pt idx="5">
                  <c:v>269257022.35000002</c:v>
                </c:pt>
                <c:pt idx="6">
                  <c:v>279492023.12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7E-4963-936F-17C29DD9EAD2}"/>
            </c:ext>
          </c:extLst>
        </c:ser>
        <c:ser>
          <c:idx val="2"/>
          <c:order val="1"/>
          <c:tx>
            <c:v>Organismes autònoms</c:v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CREDDEF!$B$1:$H$1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CREDDEF!$B$15:$H$15</c:f>
              <c:numCache>
                <c:formatCode>#,##0.00</c:formatCode>
                <c:ptCount val="7"/>
                <c:pt idx="0">
                  <c:v>29352889.530000001</c:v>
                </c:pt>
                <c:pt idx="1">
                  <c:v>37507926.950000003</c:v>
                </c:pt>
                <c:pt idx="2">
                  <c:v>37111551.780000031</c:v>
                </c:pt>
                <c:pt idx="3">
                  <c:v>32403889.629999995</c:v>
                </c:pt>
                <c:pt idx="4">
                  <c:v>33597231.380000055</c:v>
                </c:pt>
                <c:pt idx="5">
                  <c:v>31043774.210000038</c:v>
                </c:pt>
                <c:pt idx="6">
                  <c:v>32247720.829999983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7E-4963-936F-17C29DD9E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037568"/>
        <c:axId val="133063232"/>
      </c:barChart>
      <c:catAx>
        <c:axId val="1330375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33063232"/>
        <c:crosses val="autoZero"/>
        <c:auto val="1"/>
        <c:lblAlgn val="ctr"/>
        <c:lblOffset val="100"/>
        <c:noMultiLvlLbl val="0"/>
      </c:catAx>
      <c:valAx>
        <c:axId val="1330632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3303756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algn="ctr">
                    <a:defRPr sz="1000" b="0" i="0" u="none" strike="noStrike" kern="1200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es-ES"/>
                    <a:t>Milions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</c:dispUnitsLbl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935703791743015"/>
          <c:y val="0.88850174216027877"/>
          <c:w val="0.67883814263126419"/>
          <c:h val="8.67286013708718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Finançament del pressupost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FINANÇAMENT!$B$4</c:f>
              <c:strCache>
                <c:ptCount val="1"/>
                <c:pt idx="0">
                  <c:v>DADES CONSOLIDADES</c:v>
                </c:pt>
              </c:strCache>
            </c:strRef>
          </c:tx>
          <c:explosion val="39"/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4EF5-40F6-B354-3A5320AA7DBE}"/>
              </c:ext>
            </c:extLst>
          </c:dPt>
          <c:dPt>
            <c:idx val="1"/>
            <c:bubble3D val="0"/>
            <c:spPr>
              <a:solidFill>
                <a:schemeClr val="accent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EF5-40F6-B354-3A5320AA7DBE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4EF5-40F6-B354-3A5320AA7DBE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EF5-40F6-B354-3A5320AA7DBE}"/>
              </c:ext>
            </c:extLst>
          </c:dPt>
          <c:dLbls>
            <c:dLbl>
              <c:idx val="0"/>
              <c:layout>
                <c:manualLayout>
                  <c:x val="2.2019604484973514E-2"/>
                  <c:y val="-5.2041362903481828E-3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F5-40F6-B354-3A5320AA7DBE}"/>
                </c:ext>
              </c:extLst>
            </c:dLbl>
            <c:dLbl>
              <c:idx val="1"/>
              <c:layout>
                <c:manualLayout>
                  <c:x val="2.9545464073583317E-2"/>
                  <c:y val="1.668775249804621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869002203482118E-2"/>
                      <c:h val="6.521769966976413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EF5-40F6-B354-3A5320AA7DBE}"/>
                </c:ext>
              </c:extLst>
            </c:dLbl>
            <c:dLbl>
              <c:idx val="2"/>
              <c:layout>
                <c:manualLayout>
                  <c:x val="-4.8279600229124454E-2"/>
                  <c:y val="-2.81463873619571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F5-40F6-B354-3A5320AA7DBE}"/>
                </c:ext>
              </c:extLst>
            </c:dLbl>
            <c:dLbl>
              <c:idx val="3"/>
              <c:layout>
                <c:manualLayout>
                  <c:x val="8.4770918293193762E-3"/>
                  <c:y val="-2.977962660327836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F5-40F6-B354-3A5320AA7DBE}"/>
                </c:ext>
              </c:extLst>
            </c:dLbl>
            <c:dLbl>
              <c:idx val="4"/>
              <c:layout>
                <c:manualLayout>
                  <c:x val="7.3456615968606528E-3"/>
                  <c:y val="-0.18351408904075669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F5-40F6-B354-3A5320AA7DB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FINANÇAMENT!$A$5:$A$8</c:f>
              <c:strCache>
                <c:ptCount val="4"/>
                <c:pt idx="0">
                  <c:v>Recursos no financers</c:v>
                </c:pt>
                <c:pt idx="1">
                  <c:v>Endeutament</c:v>
                </c:pt>
                <c:pt idx="2">
                  <c:v>Actius financers no RLT</c:v>
                </c:pt>
                <c:pt idx="3">
                  <c:v>Romanent de tresoreria</c:v>
                </c:pt>
              </c:strCache>
            </c:strRef>
          </c:cat>
          <c:val>
            <c:numRef>
              <c:f>FINANÇAMENT!$B$5:$B$8</c:f>
              <c:numCache>
                <c:formatCode>#,##0.00</c:formatCode>
                <c:ptCount val="4"/>
                <c:pt idx="0">
                  <c:v>213800000</c:v>
                </c:pt>
                <c:pt idx="1">
                  <c:v>8000000</c:v>
                </c:pt>
                <c:pt idx="2">
                  <c:v>600000</c:v>
                </c:pt>
                <c:pt idx="3">
                  <c:v>1352889.53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F5-40F6-B354-3A5320AA7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904345290172048"/>
          <c:y val="0.18913336459901761"/>
          <c:w val="0.20941582302212225"/>
          <c:h val="0.5579940595199894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Drets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4E-455D-A64A-211D107F9D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4E-455D-A64A-211D107F9D9A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594E-455D-A64A-211D107F9D9A}"/>
              </c:ext>
            </c:extLst>
          </c:dPt>
          <c:val>
            <c:numRef>
              <c:f>A1B_FINANÇAMENT!$M$8:$M$10</c:f>
              <c:numCache>
                <c:formatCode>0.00%</c:formatCode>
                <c:ptCount val="3"/>
                <c:pt idx="0">
                  <c:v>0.40290596447841726</c:v>
                </c:pt>
                <c:pt idx="1">
                  <c:v>9.7094035521582744E-2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4E-455D-A64A-211D107F9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Recaptació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00-49B5-9D06-D31170CEC6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00-49B5-9D06-D31170CEC649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EB00-49B5-9D06-D31170CEC649}"/>
              </c:ext>
            </c:extLst>
          </c:dPt>
          <c:val>
            <c:numRef>
              <c:f>A1B_FINANÇAMENT!$M$14:$M$16</c:f>
              <c:numCache>
                <c:formatCode>0.00%</c:formatCode>
                <c:ptCount val="3"/>
                <c:pt idx="0">
                  <c:v>0.49690918806237999</c:v>
                </c:pt>
                <c:pt idx="1">
                  <c:v>3.0908119376200083E-3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00-49B5-9D06-D31170CEC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DRETS I OBLIGACIONS PER ENS</a:t>
            </a:r>
          </a:p>
        </c:rich>
      </c:tx>
      <c:layout>
        <c:manualLayout>
          <c:xMode val="edge"/>
          <c:yMode val="edge"/>
          <c:x val="0.33482851246815232"/>
          <c:y val="3.59278964003373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5568885035912114"/>
          <c:w val="0.83258716453423443"/>
          <c:h val="0.64371351590790471"/>
        </c:manualLayout>
      </c:layout>
      <c:barChart>
        <c:barDir val="bar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H_CORP!$A$29:$A$31</c:f>
              <c:strCache>
                <c:ptCount val="3"/>
                <c:pt idx="0">
                  <c:v>Corporació</c:v>
                </c:pt>
                <c:pt idx="1">
                  <c:v>Turisme</c:v>
                </c:pt>
                <c:pt idx="2">
                  <c:v>BASE</c:v>
                </c:pt>
              </c:strCache>
            </c:strRef>
          </c:cat>
          <c:val>
            <c:numRef>
              <c:f>H_CORP!$B$29:$B$31</c:f>
              <c:numCache>
                <c:formatCode>0.00%</c:formatCode>
                <c:ptCount val="3"/>
                <c:pt idx="0">
                  <c:v>0.21958359573834008</c:v>
                </c:pt>
                <c:pt idx="1">
                  <c:v>4.0939386002120888E-2</c:v>
                </c:pt>
                <c:pt idx="2">
                  <c:v>1.0456289971708737E-2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8-4AE6-87AE-A8854E83F53D}"/>
            </c:ext>
          </c:extLst>
        </c:ser>
        <c:ser>
          <c:idx val="1"/>
          <c:order val="1"/>
          <c:tx>
            <c:v>OBLIGACIONS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H_CORP!$A$29:$A$31</c:f>
              <c:strCache>
                <c:ptCount val="3"/>
                <c:pt idx="0">
                  <c:v>Corporació</c:v>
                </c:pt>
                <c:pt idx="1">
                  <c:v>Turisme</c:v>
                </c:pt>
                <c:pt idx="2">
                  <c:v>BASE</c:v>
                </c:pt>
              </c:strCache>
            </c:strRef>
          </c:cat>
          <c:val>
            <c:numRef>
              <c:f>H_CORP!$C$29:$C$31</c:f>
              <c:numCache>
                <c:formatCode>0.00%</c:formatCode>
                <c:ptCount val="3"/>
                <c:pt idx="0">
                  <c:v>0.13252713991953508</c:v>
                </c:pt>
                <c:pt idx="1">
                  <c:v>1.6959653234358437E-2</c:v>
                </c:pt>
                <c:pt idx="2">
                  <c:v>0.14125505317701775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78-4AE6-87AE-A8854E83F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432320"/>
        <c:axId val="142199616"/>
      </c:barChart>
      <c:catAx>
        <c:axId val="1334323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199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199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334323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899912767126652"/>
          <c:y val="0.91291543512015949"/>
          <c:w val="0.33333364076196187"/>
          <c:h val="6.6066381341971847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EXECUCIÓ COMPARATIVA DEL TRIMESTRE </a:t>
            </a:r>
          </a:p>
        </c:rich>
      </c:tx>
      <c:layout>
        <c:manualLayout>
          <c:xMode val="edge"/>
          <c:yMode val="edge"/>
          <c:x val="0.30447771281808661"/>
          <c:y val="3.99201986544134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537380872041802E-2"/>
          <c:y val="0.18562901388972136"/>
          <c:w val="0.88656781029020693"/>
          <c:h val="0.61377335237730457"/>
        </c:manualLayout>
      </c:layout>
      <c:lineChart>
        <c:grouping val="standard"/>
        <c:varyColors val="0"/>
        <c:ser>
          <c:idx val="2"/>
          <c:order val="0"/>
          <c:tx>
            <c:v>Compromisos</c:v>
          </c:tx>
          <c:dLbls>
            <c:dLbl>
              <c:idx val="0"/>
              <c:layout>
                <c:manualLayout>
                  <c:x val="-5.7224606580829757E-3"/>
                  <c:y val="2.1563342318059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4F-4F96-BE60-0A0B4B5C3B32}"/>
                </c:ext>
              </c:extLst>
            </c:dLbl>
            <c:dLbl>
              <c:idx val="1"/>
              <c:layout>
                <c:manualLayout>
                  <c:x val="-3.2427277062470228E-2"/>
                  <c:y val="-3.2345013477088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4F-4F96-BE60-0A0B4B5C3B32}"/>
                </c:ext>
              </c:extLst>
            </c:dLbl>
            <c:dLbl>
              <c:idx val="2"/>
              <c:layout>
                <c:manualLayout>
                  <c:x val="-3.0519790176442536E-2"/>
                  <c:y val="-2.5157232704402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4F-4F96-BE60-0A0B4B5C3B32}"/>
                </c:ext>
              </c:extLst>
            </c:dLbl>
            <c:dLbl>
              <c:idx val="3"/>
              <c:layout>
                <c:manualLayout>
                  <c:x val="-1.1444921316166021E-2"/>
                  <c:y val="2.8751123090745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4F-4F96-BE60-0A0B4B5C3B32}"/>
                </c:ext>
              </c:extLst>
            </c:dLbl>
            <c:dLbl>
              <c:idx val="4"/>
              <c:layout>
                <c:manualLayout>
                  <c:x val="-2.4797329518359633E-2"/>
                  <c:y val="3.2345013477088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4F-4F96-BE60-0A0B4B5C3B32}"/>
                </c:ext>
              </c:extLst>
            </c:dLbl>
            <c:dLbl>
              <c:idx val="5"/>
              <c:layout>
                <c:manualLayout>
                  <c:x val="-2.8621915822753984E-2"/>
                  <c:y val="-2.5157232704402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6D-4FF2-A79D-FEE40F52CD7C}"/>
                </c:ext>
              </c:extLst>
            </c:dLbl>
            <c:dLbl>
              <c:idx val="6"/>
              <c:layout>
                <c:manualLayout>
                  <c:x val="-3.0519790176442536E-2"/>
                  <c:y val="-3.5938903863432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4F-4F96-BE60-0A0B4B5C3B32}"/>
                </c:ext>
              </c:extLst>
            </c:dLbl>
            <c:dLbl>
              <c:idx val="8"/>
              <c:layout>
                <c:manualLayout>
                  <c:x val="-4.005722460658083E-2"/>
                  <c:y val="-2.8751123090745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4F-4F96-BE60-0A0B4B5C3B32}"/>
                </c:ext>
              </c:extLst>
            </c:dLbl>
            <c:dLbl>
              <c:idx val="9"/>
              <c:layout>
                <c:manualLayout>
                  <c:x val="-3.4334763948497854E-2"/>
                  <c:y val="-2.8751123090745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4F-4F96-BE60-0A0B4B5C3B32}"/>
                </c:ext>
              </c:extLst>
            </c:dLbl>
            <c:dLbl>
              <c:idx val="10"/>
              <c:layout>
                <c:manualLayout>
                  <c:x val="-5.7224606580829757E-3"/>
                  <c:y val="-2.1563342318059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4F-4F96-BE60-0A0B4B5C3B32}"/>
                </c:ext>
              </c:extLst>
            </c:dLbl>
            <c:dLbl>
              <c:idx val="11"/>
              <c:layout>
                <c:manualLayout>
                  <c:x val="-3.2427277062470193E-2"/>
                  <c:y val="4.3126684636118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6D-4FF2-A79D-FEE40F52CD7C}"/>
                </c:ext>
              </c:extLst>
            </c:dLbl>
            <c:dLbl>
              <c:idx val="12"/>
              <c:layout>
                <c:manualLayout>
                  <c:x val="-2.2889842632332041E-2"/>
                  <c:y val="-3.2345013477088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4F-4F96-BE60-0A0B4B5C3B3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H_CORP!$A$9:$A$21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H_CORP!$B$9:$B$21</c:f>
              <c:numCache>
                <c:formatCode>0.00%</c:formatCode>
                <c:ptCount val="13"/>
                <c:pt idx="0">
                  <c:v>0.27400000000000002</c:v>
                </c:pt>
                <c:pt idx="1">
                  <c:v>0.32200000000000001</c:v>
                </c:pt>
                <c:pt idx="2">
                  <c:v>0.34129999999999999</c:v>
                </c:pt>
                <c:pt idx="3">
                  <c:v>0.34339999999999998</c:v>
                </c:pt>
                <c:pt idx="4">
                  <c:v>0.39517330038863474</c:v>
                </c:pt>
                <c:pt idx="5">
                  <c:v>0.40692284565516967</c:v>
                </c:pt>
                <c:pt idx="6">
                  <c:v>0.40564183188782699</c:v>
                </c:pt>
                <c:pt idx="7">
                  <c:v>0.36647859815265965</c:v>
                </c:pt>
                <c:pt idx="8">
                  <c:v>0.51319429270797123</c:v>
                </c:pt>
                <c:pt idx="9">
                  <c:v>0.51034684541004682</c:v>
                </c:pt>
                <c:pt idx="10">
                  <c:v>0.53759999999999997</c:v>
                </c:pt>
                <c:pt idx="11">
                  <c:v>0.41670000000000001</c:v>
                </c:pt>
                <c:pt idx="12">
                  <c:v>0.45288436570743568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35-453D-AB36-B0898C13D44A}"/>
            </c:ext>
          </c:extLst>
        </c:ser>
        <c:ser>
          <c:idx val="3"/>
          <c:order val="1"/>
          <c:tx>
            <c:v>Obligacions</c:v>
          </c:tx>
          <c:dLbls>
            <c:dLbl>
              <c:idx val="0"/>
              <c:layout>
                <c:manualLayout>
                  <c:x val="-4.3872198378636144E-2"/>
                  <c:y val="3.2345013477088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6D-4FF2-A79D-FEE40F52CD7C}"/>
                </c:ext>
              </c:extLst>
            </c:dLbl>
            <c:dLbl>
              <c:idx val="1"/>
              <c:layout>
                <c:manualLayout>
                  <c:x val="-2.2889842632331937E-2"/>
                  <c:y val="3.5938903863432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4F-4F96-BE60-0A0B4B5C3B32}"/>
                </c:ext>
              </c:extLst>
            </c:dLbl>
            <c:dLbl>
              <c:idx val="2"/>
              <c:layout>
                <c:manualLayout>
                  <c:x val="-2.8612303290414878E-2"/>
                  <c:y val="5.0314465408804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4F-4F96-BE60-0A0B4B5C3B32}"/>
                </c:ext>
              </c:extLst>
            </c:dLbl>
            <c:dLbl>
              <c:idx val="3"/>
              <c:layout>
                <c:manualLayout>
                  <c:x val="-4.5779685264663875E-2"/>
                  <c:y val="4.3126684636118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4F-4F96-BE60-0A0B4B5C3B32}"/>
                </c:ext>
              </c:extLst>
            </c:dLbl>
            <c:dLbl>
              <c:idx val="4"/>
              <c:layout>
                <c:manualLayout>
                  <c:x val="-2.6704816404387221E-2"/>
                  <c:y val="-2.8751123090745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4F-4F96-BE60-0A0B4B5C3B32}"/>
                </c:ext>
              </c:extLst>
            </c:dLbl>
            <c:dLbl>
              <c:idx val="5"/>
              <c:layout>
                <c:manualLayout>
                  <c:x val="-3.6242250834525584E-2"/>
                  <c:y val="-3.2345013477088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4F-4F96-BE60-0A0B4B5C3B32}"/>
                </c:ext>
              </c:extLst>
            </c:dLbl>
            <c:dLbl>
              <c:idx val="6"/>
              <c:layout>
                <c:manualLayout>
                  <c:x val="-4.196471149260856E-2"/>
                  <c:y val="-3.9532794249775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4F-4F96-BE60-0A0B4B5C3B32}"/>
                </c:ext>
              </c:extLst>
            </c:dLbl>
            <c:dLbl>
              <c:idx val="7"/>
              <c:layout>
                <c:manualLayout>
                  <c:x val="-3.2427277062470193E-2"/>
                  <c:y val="3.2345013477088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4F-4F96-BE60-0A0B4B5C3B32}"/>
                </c:ext>
              </c:extLst>
            </c:dLbl>
            <c:dLbl>
              <c:idx val="8"/>
              <c:layout>
                <c:manualLayout>
                  <c:x val="-4.1964711492608629E-2"/>
                  <c:y val="3.5938903863432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4F-4F96-BE60-0A0B4B5C3B32}"/>
                </c:ext>
              </c:extLst>
            </c:dLbl>
            <c:dLbl>
              <c:idx val="9"/>
              <c:layout>
                <c:manualLayout>
                  <c:x val="-2.479732951835956E-2"/>
                  <c:y val="2.8751123090745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4F-4F96-BE60-0A0B4B5C3B32}"/>
                </c:ext>
              </c:extLst>
            </c:dLbl>
            <c:dLbl>
              <c:idx val="10"/>
              <c:layout>
                <c:manualLayout>
                  <c:x val="-4.5779685264663805E-2"/>
                  <c:y val="5.3908355795148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6D-4FF2-A79D-FEE40F52CD7C}"/>
                </c:ext>
              </c:extLst>
            </c:dLbl>
            <c:dLbl>
              <c:idx val="11"/>
              <c:layout>
                <c:manualLayout>
                  <c:x val="-3.8149737720553169E-2"/>
                  <c:y val="3.2345013477088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6D-4FF2-A79D-FEE40F52CD7C}"/>
                </c:ext>
              </c:extLst>
            </c:dLbl>
            <c:dLbl>
              <c:idx val="12"/>
              <c:layout>
                <c:manualLayout>
                  <c:x val="-1.3988075572760164E-16"/>
                  <c:y val="-2.5157232704402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6D-4FF2-A79D-FEE40F52CD7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H_CORP!$A$9:$A$21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H_CORP!$C$9:$C$21</c:f>
              <c:numCache>
                <c:formatCode>0.00%</c:formatCode>
                <c:ptCount val="13"/>
                <c:pt idx="0">
                  <c:v>0.1019</c:v>
                </c:pt>
                <c:pt idx="1">
                  <c:v>0.10440000000000001</c:v>
                </c:pt>
                <c:pt idx="2">
                  <c:v>0.1113</c:v>
                </c:pt>
                <c:pt idx="3">
                  <c:v>0.1208</c:v>
                </c:pt>
                <c:pt idx="4">
                  <c:v>0.19696500182028451</c:v>
                </c:pt>
                <c:pt idx="5">
                  <c:v>0.12198576837105285</c:v>
                </c:pt>
                <c:pt idx="6">
                  <c:v>0.12989774023568892</c:v>
                </c:pt>
                <c:pt idx="7">
                  <c:v>9.0587541799626164E-2</c:v>
                </c:pt>
                <c:pt idx="8">
                  <c:v>0.10448601817810367</c:v>
                </c:pt>
                <c:pt idx="9">
                  <c:v>9.7866151914800165E-2</c:v>
                </c:pt>
                <c:pt idx="10">
                  <c:v>0.23269999999999999</c:v>
                </c:pt>
                <c:pt idx="11">
                  <c:v>9.2100000000000001E-2</c:v>
                </c:pt>
                <c:pt idx="12">
                  <c:v>0.13253829924741081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7-49E4-992F-F326C9316E1D}"/>
            </c:ext>
          </c:extLst>
        </c:ser>
        <c:ser>
          <c:idx val="0"/>
          <c:order val="2"/>
          <c:tx>
            <c:v>Drets</c:v>
          </c:tx>
          <c:dLbls>
            <c:dLbl>
              <c:idx val="0"/>
              <c:layout>
                <c:manualLayout>
                  <c:x val="-2.479732951835956E-2"/>
                  <c:y val="-3.2345013477089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4F-4F96-BE60-0A0B4B5C3B32}"/>
                </c:ext>
              </c:extLst>
            </c:dLbl>
            <c:dLbl>
              <c:idx val="1"/>
              <c:layout>
                <c:manualLayout>
                  <c:x val="-2.8612303290414913E-2"/>
                  <c:y val="-3.2345013477089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F-4F96-BE60-0A0B4B5C3B32}"/>
                </c:ext>
              </c:extLst>
            </c:dLbl>
            <c:dLbl>
              <c:idx val="2"/>
              <c:layout>
                <c:manualLayout>
                  <c:x val="-4.196471149260849E-2"/>
                  <c:y val="-2.5157232704402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F-4F96-BE60-0A0B4B5C3B32}"/>
                </c:ext>
              </c:extLst>
            </c:dLbl>
            <c:dLbl>
              <c:idx val="3"/>
              <c:layout>
                <c:manualLayout>
                  <c:x val="-4.3872198378636144E-2"/>
                  <c:y val="-1.7969451931716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F-4F96-BE60-0A0B4B5C3B32}"/>
                </c:ext>
              </c:extLst>
            </c:dLbl>
            <c:dLbl>
              <c:idx val="4"/>
              <c:layout>
                <c:manualLayout>
                  <c:x val="-4.7687172150691466E-2"/>
                  <c:y val="4.3126684636118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F-4F96-BE60-0A0B4B5C3B32}"/>
                </c:ext>
              </c:extLst>
            </c:dLbl>
            <c:dLbl>
              <c:idx val="5"/>
              <c:layout>
                <c:manualLayout>
                  <c:x val="-4.196471149260849E-2"/>
                  <c:y val="3.5938903863432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F-4F96-BE60-0A0B4B5C3B32}"/>
                </c:ext>
              </c:extLst>
            </c:dLbl>
            <c:dLbl>
              <c:idx val="6"/>
              <c:layout>
                <c:manualLayout>
                  <c:x val="-3.8149737720553169E-2"/>
                  <c:y val="3.9532794249775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F-4F96-BE60-0A0B4B5C3B32}"/>
                </c:ext>
              </c:extLst>
            </c:dLbl>
            <c:dLbl>
              <c:idx val="7"/>
              <c:layout>
                <c:manualLayout>
                  <c:x val="-4.7687172150691536E-2"/>
                  <c:y val="-3.2345013477088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4F-4F96-BE60-0A0B4B5C3B32}"/>
                </c:ext>
              </c:extLst>
            </c:dLbl>
            <c:dLbl>
              <c:idx val="8"/>
              <c:layout>
                <c:manualLayout>
                  <c:x val="-4.3872198378636144E-2"/>
                  <c:y val="-2.8751123090745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4F-4F96-BE60-0A0B4B5C3B32}"/>
                </c:ext>
              </c:extLst>
            </c:dLbl>
            <c:dLbl>
              <c:idx val="9"/>
              <c:layout>
                <c:manualLayout>
                  <c:x val="-4.9594659036719266E-2"/>
                  <c:y val="-3.2345013477089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4F-4F96-BE60-0A0B4B5C3B32}"/>
                </c:ext>
              </c:extLst>
            </c:dLbl>
            <c:dLbl>
              <c:idx val="10"/>
              <c:layout>
                <c:manualLayout>
                  <c:x val="-2.0982355746304245E-2"/>
                  <c:y val="-2.5157232704402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4F-4F96-BE60-0A0B4B5C3B32}"/>
                </c:ext>
              </c:extLst>
            </c:dLbl>
            <c:dLbl>
              <c:idx val="11"/>
              <c:layout>
                <c:manualLayout>
                  <c:x val="-3.4334763948497854E-2"/>
                  <c:y val="-4.6720575022461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4F-4F96-BE60-0A0B4B5C3B32}"/>
                </c:ext>
              </c:extLst>
            </c:dLbl>
            <c:dLbl>
              <c:idx val="12"/>
              <c:layout>
                <c:manualLayout>
                  <c:x val="-7.6299475441107744E-3"/>
                  <c:y val="-3.2345013477089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4F-4F96-BE60-0A0B4B5C3B3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H_CORP!$A$9:$A$21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H_CORP!$D$9:$D$21</c:f>
              <c:numCache>
                <c:formatCode>0.00%</c:formatCode>
                <c:ptCount val="13"/>
                <c:pt idx="0">
                  <c:v>0.14849999999999999</c:v>
                </c:pt>
                <c:pt idx="1">
                  <c:v>0.14449999999999999</c:v>
                </c:pt>
                <c:pt idx="2">
                  <c:v>0.12809999999999999</c:v>
                </c:pt>
                <c:pt idx="3">
                  <c:v>0.161</c:v>
                </c:pt>
                <c:pt idx="4">
                  <c:v>0.12437951134655878</c:v>
                </c:pt>
                <c:pt idx="5">
                  <c:v>0.11149575782339316</c:v>
                </c:pt>
                <c:pt idx="6">
                  <c:v>0.12188206068069649</c:v>
                </c:pt>
                <c:pt idx="7">
                  <c:v>0.12421450745944236</c:v>
                </c:pt>
                <c:pt idx="8">
                  <c:v>0.12846799990346702</c:v>
                </c:pt>
                <c:pt idx="9">
                  <c:v>0.11612158014473699</c:v>
                </c:pt>
                <c:pt idx="10">
                  <c:v>0.2576</c:v>
                </c:pt>
                <c:pt idx="11">
                  <c:v>0.1341</c:v>
                </c:pt>
                <c:pt idx="12">
                  <c:v>0.20023492587787542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8-4602-AB82-3782FC569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33856"/>
        <c:axId val="142201344"/>
      </c:lineChart>
      <c:catAx>
        <c:axId val="13343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20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20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334338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image" Target="../media/image1.jpeg"/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image" Target="../media/image1.jpeg"/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1.jpeg"/><Relationship Id="rId1" Type="http://schemas.openxmlformats.org/officeDocument/2006/relationships/chart" Target="../charts/chart19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1.jpeg"/><Relationship Id="rId1" Type="http://schemas.openxmlformats.org/officeDocument/2006/relationships/chart" Target="../charts/chart21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4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Relationship Id="rId4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image" Target="../media/image1.jpeg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1.jpeg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1085850</xdr:colOff>
      <xdr:row>50</xdr:row>
      <xdr:rowOff>28575</xdr:rowOff>
    </xdr:to>
    <xdr:pic>
      <xdr:nvPicPr>
        <xdr:cNvPr id="10100" name="Picture 1" descr="C:\Documents and Settings\user\Mis documentos\Mis imágenes\DIPTA_Vertical.JPG">
          <a:extLst>
            <a:ext uri="{FF2B5EF4-FFF2-40B4-BE49-F238E27FC236}">
              <a16:creationId xmlns:a16="http://schemas.microsoft.com/office/drawing/2014/main" id="{A766B488-9841-4709-902B-9B117F54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866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0.36134</cdr:x>
      <cdr:y>0.62734</cdr:y>
    </cdr:from>
    <cdr:to>
      <cdr:x>0.66823</cdr:x>
      <cdr:y>0.74335</cdr:y>
    </cdr:to>
    <cdr:sp macro="" textlink="A3CAP_GrauModif!$L$3">
      <cdr:nvSpPr>
        <cdr:cNvPr id="2" name="1 CuadroTexto"/>
        <cdr:cNvSpPr txBox="1"/>
      </cdr:nvSpPr>
      <cdr:spPr>
        <a:xfrm xmlns:a="http://schemas.openxmlformats.org/drawingml/2006/main">
          <a:off x="1127526" y="1541179"/>
          <a:ext cx="1097561" cy="3151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60C62BA-CD11-41F8-89A6-C4AC9C1A1C48}" type="TxLink">
            <a:rPr lang="ca-ES" sz="1600">
              <a:latin typeface="Arial Black" pitchFamily="34" charset="0"/>
            </a:rPr>
            <a:pPr/>
            <a:t>0,60%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0.07644</cdr:x>
      <cdr:y>0.58607</cdr:y>
    </cdr:from>
    <cdr:to>
      <cdr:x>0.29246</cdr:x>
      <cdr:y>0.69613</cdr:y>
    </cdr:to>
    <cdr:sp macro="" textlink="A3CAP_GrauModif!$K$5">
      <cdr:nvSpPr>
        <cdr:cNvPr id="3" name="1 CuadroTexto"/>
        <cdr:cNvSpPr txBox="1"/>
      </cdr:nvSpPr>
      <cdr:spPr>
        <a:xfrm xmlns:a="http://schemas.openxmlformats.org/drawingml/2006/main">
          <a:off x="212725" y="1308100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E0F1C23-AD5B-405E-930F-27EABACD87DA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0.6945</cdr:x>
      <cdr:y>0.57846</cdr:y>
    </cdr:from>
    <cdr:to>
      <cdr:x>0.94852</cdr:x>
      <cdr:y>0.68899</cdr:y>
    </cdr:to>
    <cdr:sp macro="" textlink="A3CAP_GrauModif!$L$5">
      <cdr:nvSpPr>
        <cdr:cNvPr id="4" name="1 CuadroTexto"/>
        <cdr:cNvSpPr txBox="1"/>
      </cdr:nvSpPr>
      <cdr:spPr>
        <a:xfrm xmlns:a="http://schemas.openxmlformats.org/drawingml/2006/main">
          <a:off x="2136775" y="12890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DCDA3AA-3043-43F4-A5BF-153B9E71F441}" type="TxLink">
            <a:rPr lang="ca-ES" sz="1100"/>
            <a:pPr/>
            <a:t>100,00%</a:t>
          </a:fld>
          <a:endParaRPr lang="ca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8</xdr:row>
      <xdr:rowOff>38100</xdr:rowOff>
    </xdr:from>
    <xdr:to>
      <xdr:col>7</xdr:col>
      <xdr:colOff>714375</xdr:colOff>
      <xdr:row>36</xdr:row>
      <xdr:rowOff>95250</xdr:rowOff>
    </xdr:to>
    <xdr:graphicFrame macro="">
      <xdr:nvGraphicFramePr>
        <xdr:cNvPr id="22999361" name="Gráfico 1">
          <a:extLst>
            <a:ext uri="{FF2B5EF4-FFF2-40B4-BE49-F238E27FC236}">
              <a16:creationId xmlns:a16="http://schemas.microsoft.com/office/drawing/2014/main" id="{53AAC963-C77B-4BC5-9417-C09C7CA4B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</xdr:colOff>
      <xdr:row>0</xdr:row>
      <xdr:rowOff>0</xdr:rowOff>
    </xdr:from>
    <xdr:to>
      <xdr:col>0</xdr:col>
      <xdr:colOff>1095375</xdr:colOff>
      <xdr:row>60</xdr:row>
      <xdr:rowOff>9525</xdr:rowOff>
    </xdr:to>
    <xdr:pic>
      <xdr:nvPicPr>
        <xdr:cNvPr id="22999362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BEC915C5-876A-4135-9F06-8F028EE56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85850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50</xdr:row>
      <xdr:rowOff>0</xdr:rowOff>
    </xdr:from>
    <xdr:to>
      <xdr:col>7</xdr:col>
      <xdr:colOff>676275</xdr:colOff>
      <xdr:row>68</xdr:row>
      <xdr:rowOff>123825</xdr:rowOff>
    </xdr:to>
    <xdr:graphicFrame macro="">
      <xdr:nvGraphicFramePr>
        <xdr:cNvPr id="22999363" name="2 Gráfico">
          <a:extLst>
            <a:ext uri="{FF2B5EF4-FFF2-40B4-BE49-F238E27FC236}">
              <a16:creationId xmlns:a16="http://schemas.microsoft.com/office/drawing/2014/main" id="{559929C9-0E6F-4B3D-9832-5F5177614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1088570</xdr:colOff>
      <xdr:row>59</xdr:row>
      <xdr:rowOff>152400</xdr:rowOff>
    </xdr:to>
    <xdr:pic>
      <xdr:nvPicPr>
        <xdr:cNvPr id="23002433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55836CBE-3CB9-47C6-BD97-F86A4C7E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1002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9</xdr:row>
      <xdr:rowOff>38100</xdr:rowOff>
    </xdr:from>
    <xdr:to>
      <xdr:col>6</xdr:col>
      <xdr:colOff>866775</xdr:colOff>
      <xdr:row>33</xdr:row>
      <xdr:rowOff>95250</xdr:rowOff>
    </xdr:to>
    <xdr:graphicFrame macro="">
      <xdr:nvGraphicFramePr>
        <xdr:cNvPr id="23002434" name="4 Gráfico">
          <a:extLst>
            <a:ext uri="{FF2B5EF4-FFF2-40B4-BE49-F238E27FC236}">
              <a16:creationId xmlns:a16="http://schemas.microsoft.com/office/drawing/2014/main" id="{E686459B-E66B-4EAA-A0F3-8EA6F4DE0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45</xdr:row>
      <xdr:rowOff>9525</xdr:rowOff>
    </xdr:from>
    <xdr:to>
      <xdr:col>6</xdr:col>
      <xdr:colOff>876300</xdr:colOff>
      <xdr:row>63</xdr:row>
      <xdr:rowOff>95250</xdr:rowOff>
    </xdr:to>
    <xdr:graphicFrame macro="">
      <xdr:nvGraphicFramePr>
        <xdr:cNvPr id="23002435" name="5 Gráfico">
          <a:extLst>
            <a:ext uri="{FF2B5EF4-FFF2-40B4-BE49-F238E27FC236}">
              <a16:creationId xmlns:a16="http://schemas.microsoft.com/office/drawing/2014/main" id="{96401BA0-25BA-4B0C-8008-3411E0494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28575</xdr:rowOff>
    </xdr:from>
    <xdr:to>
      <xdr:col>5</xdr:col>
      <xdr:colOff>704850</xdr:colOff>
      <xdr:row>36</xdr:row>
      <xdr:rowOff>0</xdr:rowOff>
    </xdr:to>
    <xdr:graphicFrame macro="">
      <xdr:nvGraphicFramePr>
        <xdr:cNvPr id="23005398" name="Gráfico 1">
          <a:extLst>
            <a:ext uri="{FF2B5EF4-FFF2-40B4-BE49-F238E27FC236}">
              <a16:creationId xmlns:a16="http://schemas.microsoft.com/office/drawing/2014/main" id="{85A36195-119A-4665-858C-3DC343B0F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1075781</xdr:colOff>
      <xdr:row>60</xdr:row>
      <xdr:rowOff>150495</xdr:rowOff>
    </xdr:to>
    <xdr:pic>
      <xdr:nvPicPr>
        <xdr:cNvPr id="23005399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1DB88581-656A-4F9E-9050-A8F58864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47625</xdr:rowOff>
    </xdr:from>
    <xdr:to>
      <xdr:col>6</xdr:col>
      <xdr:colOff>838200</xdr:colOff>
      <xdr:row>36</xdr:row>
      <xdr:rowOff>0</xdr:rowOff>
    </xdr:to>
    <xdr:graphicFrame macro="">
      <xdr:nvGraphicFramePr>
        <xdr:cNvPr id="23007553" name="Gráfico 1">
          <a:extLst>
            <a:ext uri="{FF2B5EF4-FFF2-40B4-BE49-F238E27FC236}">
              <a16:creationId xmlns:a16="http://schemas.microsoft.com/office/drawing/2014/main" id="{10653046-232F-4A37-9420-E480F22C9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9525</xdr:rowOff>
    </xdr:from>
    <xdr:to>
      <xdr:col>0</xdr:col>
      <xdr:colOff>1307647</xdr:colOff>
      <xdr:row>66</xdr:row>
      <xdr:rowOff>63953</xdr:rowOff>
    </xdr:to>
    <xdr:pic>
      <xdr:nvPicPr>
        <xdr:cNvPr id="23007554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5C1171BA-C39B-4E73-8455-B6B17D62C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304925" cy="11220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51</xdr:row>
      <xdr:rowOff>0</xdr:rowOff>
    </xdr:from>
    <xdr:to>
      <xdr:col>6</xdr:col>
      <xdr:colOff>666750</xdr:colOff>
      <xdr:row>70</xdr:row>
      <xdr:rowOff>95250</xdr:rowOff>
    </xdr:to>
    <xdr:graphicFrame macro="">
      <xdr:nvGraphicFramePr>
        <xdr:cNvPr id="23007555" name="1 Gráfico">
          <a:extLst>
            <a:ext uri="{FF2B5EF4-FFF2-40B4-BE49-F238E27FC236}">
              <a16:creationId xmlns:a16="http://schemas.microsoft.com/office/drawing/2014/main" id="{FCA626BA-FC03-4673-9E43-2BD3250A5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10</xdr:row>
      <xdr:rowOff>47625</xdr:rowOff>
    </xdr:from>
    <xdr:to>
      <xdr:col>7</xdr:col>
      <xdr:colOff>866775</xdr:colOff>
      <xdr:row>35</xdr:row>
      <xdr:rowOff>38100</xdr:rowOff>
    </xdr:to>
    <xdr:graphicFrame macro="">
      <xdr:nvGraphicFramePr>
        <xdr:cNvPr id="23010625" name="Gráfico 1">
          <a:extLst>
            <a:ext uri="{FF2B5EF4-FFF2-40B4-BE49-F238E27FC236}">
              <a16:creationId xmlns:a16="http://schemas.microsoft.com/office/drawing/2014/main" id="{163EAC64-7A74-45F3-BA7B-134AB55BA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1091292</xdr:colOff>
      <xdr:row>60</xdr:row>
      <xdr:rowOff>24492</xdr:rowOff>
    </xdr:to>
    <xdr:pic>
      <xdr:nvPicPr>
        <xdr:cNvPr id="23010626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A642E79F-24AF-417F-8E28-DC24A801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1021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49</xdr:row>
      <xdr:rowOff>66675</xdr:rowOff>
    </xdr:from>
    <xdr:to>
      <xdr:col>7</xdr:col>
      <xdr:colOff>819150</xdr:colOff>
      <xdr:row>66</xdr:row>
      <xdr:rowOff>66675</xdr:rowOff>
    </xdr:to>
    <xdr:graphicFrame macro="">
      <xdr:nvGraphicFramePr>
        <xdr:cNvPr id="23010627" name="2 Gráfico">
          <a:extLst>
            <a:ext uri="{FF2B5EF4-FFF2-40B4-BE49-F238E27FC236}">
              <a16:creationId xmlns:a16="http://schemas.microsoft.com/office/drawing/2014/main" id="{2B9DA728-B70A-43CE-8D2D-C67AE2843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8</xdr:row>
      <xdr:rowOff>57150</xdr:rowOff>
    </xdr:from>
    <xdr:to>
      <xdr:col>7</xdr:col>
      <xdr:colOff>876300</xdr:colOff>
      <xdr:row>38</xdr:row>
      <xdr:rowOff>66675</xdr:rowOff>
    </xdr:to>
    <xdr:graphicFrame macro="">
      <xdr:nvGraphicFramePr>
        <xdr:cNvPr id="23013697" name="Gráfico 4">
          <a:extLst>
            <a:ext uri="{FF2B5EF4-FFF2-40B4-BE49-F238E27FC236}">
              <a16:creationId xmlns:a16="http://schemas.microsoft.com/office/drawing/2014/main" id="{178FA7E8-2339-4774-8213-196DE2F08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62</xdr:row>
      <xdr:rowOff>47625</xdr:rowOff>
    </xdr:to>
    <xdr:pic>
      <xdr:nvPicPr>
        <xdr:cNvPr id="23013699" name="Picture 6" descr="C:\Documents and Settings\user\Mis documentos\Mis imágenes\DIPTA_Vertical.JPG">
          <a:extLst>
            <a:ext uri="{FF2B5EF4-FFF2-40B4-BE49-F238E27FC236}">
              <a16:creationId xmlns:a16="http://schemas.microsoft.com/office/drawing/2014/main" id="{8E1B07C4-1DC6-4C00-A111-359697DF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39</xdr:row>
      <xdr:rowOff>66675</xdr:rowOff>
    </xdr:from>
    <xdr:to>
      <xdr:col>7</xdr:col>
      <xdr:colOff>762000</xdr:colOff>
      <xdr:row>67</xdr:row>
      <xdr:rowOff>95250</xdr:rowOff>
    </xdr:to>
    <xdr:graphicFrame macro="">
      <xdr:nvGraphicFramePr>
        <xdr:cNvPr id="23013698" name="Gráfico 5">
          <a:extLst>
            <a:ext uri="{FF2B5EF4-FFF2-40B4-BE49-F238E27FC236}">
              <a16:creationId xmlns:a16="http://schemas.microsoft.com/office/drawing/2014/main" id="{CABE82A5-29AB-4A96-9F90-494A724E8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8</xdr:row>
      <xdr:rowOff>28575</xdr:rowOff>
    </xdr:from>
    <xdr:to>
      <xdr:col>7</xdr:col>
      <xdr:colOff>714375</xdr:colOff>
      <xdr:row>27</xdr:row>
      <xdr:rowOff>123825</xdr:rowOff>
    </xdr:to>
    <xdr:graphicFrame macro="">
      <xdr:nvGraphicFramePr>
        <xdr:cNvPr id="23016877" name="Gráfico 4">
          <a:extLst>
            <a:ext uri="{FF2B5EF4-FFF2-40B4-BE49-F238E27FC236}">
              <a16:creationId xmlns:a16="http://schemas.microsoft.com/office/drawing/2014/main" id="{DE6FC0C8-F574-43E8-AE56-5B021AC17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142875</xdr:colOff>
      <xdr:row>28</xdr:row>
      <xdr:rowOff>152400</xdr:rowOff>
    </xdr:from>
    <xdr:to>
      <xdr:col>7</xdr:col>
      <xdr:colOff>666750</xdr:colOff>
      <xdr:row>48</xdr:row>
      <xdr:rowOff>95250</xdr:rowOff>
    </xdr:to>
    <xdr:graphicFrame macro="">
      <xdr:nvGraphicFramePr>
        <xdr:cNvPr id="23016878" name="Gráfico 5">
          <a:extLst>
            <a:ext uri="{FF2B5EF4-FFF2-40B4-BE49-F238E27FC236}">
              <a16:creationId xmlns:a16="http://schemas.microsoft.com/office/drawing/2014/main" id="{5A34E572-F871-4C4F-A3BA-A8C94E76C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114300</xdr:colOff>
      <xdr:row>50</xdr:row>
      <xdr:rowOff>0</xdr:rowOff>
    </xdr:from>
    <xdr:to>
      <xdr:col>8</xdr:col>
      <xdr:colOff>209550</xdr:colOff>
      <xdr:row>69</xdr:row>
      <xdr:rowOff>123825</xdr:rowOff>
    </xdr:to>
    <xdr:graphicFrame macro="">
      <xdr:nvGraphicFramePr>
        <xdr:cNvPr id="23016879" name="Gráfico 6">
          <a:extLst>
            <a:ext uri="{FF2B5EF4-FFF2-40B4-BE49-F238E27FC236}">
              <a16:creationId xmlns:a16="http://schemas.microsoft.com/office/drawing/2014/main" id="{7A890A2F-7046-4163-9F98-B5EA6EB37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9525</xdr:colOff>
      <xdr:row>0</xdr:row>
      <xdr:rowOff>66675</xdr:rowOff>
    </xdr:from>
    <xdr:to>
      <xdr:col>1</xdr:col>
      <xdr:colOff>0</xdr:colOff>
      <xdr:row>62</xdr:row>
      <xdr:rowOff>114300</xdr:rowOff>
    </xdr:to>
    <xdr:pic>
      <xdr:nvPicPr>
        <xdr:cNvPr id="6" name="Picture 6" descr="C:\Documents and Settings\user\Mis documentos\Mis imágenes\DIPTA_Vertical.JPG">
          <a:extLst>
            <a:ext uri="{FF2B5EF4-FFF2-40B4-BE49-F238E27FC236}">
              <a16:creationId xmlns:a16="http://schemas.microsoft.com/office/drawing/2014/main" id="{13EC6F90-FC76-4637-9758-638E132AD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085850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52</xdr:row>
      <xdr:rowOff>76200</xdr:rowOff>
    </xdr:to>
    <xdr:pic>
      <xdr:nvPicPr>
        <xdr:cNvPr id="23020865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C471AE93-B75F-4F19-99E2-9B0248CDC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5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24</xdr:row>
      <xdr:rowOff>0</xdr:rowOff>
    </xdr:from>
    <xdr:to>
      <xdr:col>6</xdr:col>
      <xdr:colOff>447675</xdr:colOff>
      <xdr:row>40</xdr:row>
      <xdr:rowOff>152400</xdr:rowOff>
    </xdr:to>
    <xdr:graphicFrame macro="">
      <xdr:nvGraphicFramePr>
        <xdr:cNvPr id="23020866" name="4 Gráfico">
          <a:extLst>
            <a:ext uri="{FF2B5EF4-FFF2-40B4-BE49-F238E27FC236}">
              <a16:creationId xmlns:a16="http://schemas.microsoft.com/office/drawing/2014/main" id="{396DC8E7-605F-4DAB-819F-E56952AE6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42</xdr:row>
      <xdr:rowOff>0</xdr:rowOff>
    </xdr:from>
    <xdr:to>
      <xdr:col>6</xdr:col>
      <xdr:colOff>457200</xdr:colOff>
      <xdr:row>58</xdr:row>
      <xdr:rowOff>152400</xdr:rowOff>
    </xdr:to>
    <xdr:graphicFrame macro="">
      <xdr:nvGraphicFramePr>
        <xdr:cNvPr id="23020867" name="5 Gráfico">
          <a:extLst>
            <a:ext uri="{FF2B5EF4-FFF2-40B4-BE49-F238E27FC236}">
              <a16:creationId xmlns:a16="http://schemas.microsoft.com/office/drawing/2014/main" id="{A2E1AB04-69E8-4791-8868-4EA76BFC0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54</xdr:row>
      <xdr:rowOff>95250</xdr:rowOff>
    </xdr:to>
    <xdr:pic>
      <xdr:nvPicPr>
        <xdr:cNvPr id="23023937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7BC14069-84BF-47B9-AA24-B30EDFEE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5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8</xdr:row>
      <xdr:rowOff>9525</xdr:rowOff>
    </xdr:from>
    <xdr:to>
      <xdr:col>6</xdr:col>
      <xdr:colOff>314325</xdr:colOff>
      <xdr:row>25</xdr:row>
      <xdr:rowOff>0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BEFB550-127D-4742-B01E-9B7447450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26</xdr:row>
      <xdr:rowOff>152400</xdr:rowOff>
    </xdr:from>
    <xdr:to>
      <xdr:col>6</xdr:col>
      <xdr:colOff>295275</xdr:colOff>
      <xdr:row>48</xdr:row>
      <xdr:rowOff>152400</xdr:rowOff>
    </xdr:to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CE6B223-DDC8-4FBB-942C-7F19E8B91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1669442</xdr:colOff>
      <xdr:row>45</xdr:row>
      <xdr:rowOff>125920</xdr:rowOff>
    </xdr:from>
    <xdr:to>
      <xdr:col>2</xdr:col>
      <xdr:colOff>1842567</xdr:colOff>
      <xdr:row>46</xdr:row>
      <xdr:rowOff>117232</xdr:rowOff>
    </xdr:to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F767F46-7835-6F0F-8C1A-E8B22DC4EF83}"/>
            </a:ext>
          </a:extLst>
        </xdr:cNvPr>
        <xdr:cNvSpPr txBox="1"/>
      </xdr:nvSpPr>
      <xdr:spPr>
        <a:xfrm>
          <a:off x="2860467" y="7713904"/>
          <a:ext cx="173125" cy="1577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ca-ES" sz="1100"/>
            <a:t>*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315686</xdr:colOff>
      <xdr:row>48</xdr:row>
      <xdr:rowOff>10886</xdr:rowOff>
    </xdr:to>
    <xdr:pic>
      <xdr:nvPicPr>
        <xdr:cNvPr id="22984216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3B1CE2FD-717E-494A-926E-FC2D87D6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6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65</xdr:row>
      <xdr:rowOff>0</xdr:rowOff>
    </xdr:from>
    <xdr:to>
      <xdr:col>7</xdr:col>
      <xdr:colOff>485775</xdr:colOff>
      <xdr:row>83</xdr:row>
      <xdr:rowOff>114300</xdr:rowOff>
    </xdr:to>
    <xdr:graphicFrame macro="">
      <xdr:nvGraphicFramePr>
        <xdr:cNvPr id="22984218" name="4 Gráfico">
          <a:extLst>
            <a:ext uri="{FF2B5EF4-FFF2-40B4-BE49-F238E27FC236}">
              <a16:creationId xmlns:a16="http://schemas.microsoft.com/office/drawing/2014/main" id="{9F2473FE-C403-419F-858F-60C935424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419100</xdr:colOff>
      <xdr:row>37</xdr:row>
      <xdr:rowOff>133350</xdr:rowOff>
    </xdr:from>
    <xdr:to>
      <xdr:col>3</xdr:col>
      <xdr:colOff>914400</xdr:colOff>
      <xdr:row>52</xdr:row>
      <xdr:rowOff>0</xdr:rowOff>
    </xdr:to>
    <xdr:graphicFrame macro="">
      <xdr:nvGraphicFramePr>
        <xdr:cNvPr id="22984219" name="5 Gráfico">
          <a:extLst>
            <a:ext uri="{FF2B5EF4-FFF2-40B4-BE49-F238E27FC236}">
              <a16:creationId xmlns:a16="http://schemas.microsoft.com/office/drawing/2014/main" id="{34521152-129D-4CCF-A76A-2AE1290B5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37</xdr:row>
      <xdr:rowOff>133350</xdr:rowOff>
    </xdr:from>
    <xdr:to>
      <xdr:col>8</xdr:col>
      <xdr:colOff>0</xdr:colOff>
      <xdr:row>51</xdr:row>
      <xdr:rowOff>152400</xdr:rowOff>
    </xdr:to>
    <xdr:graphicFrame macro="">
      <xdr:nvGraphicFramePr>
        <xdr:cNvPr id="22984220" name="8 Gráfico">
          <a:extLst>
            <a:ext uri="{FF2B5EF4-FFF2-40B4-BE49-F238E27FC236}">
              <a16:creationId xmlns:a16="http://schemas.microsoft.com/office/drawing/2014/main" id="{781CE24B-A78D-4BFA-8764-BB0A3AE23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9525</xdr:colOff>
      <xdr:row>20</xdr:row>
      <xdr:rowOff>133350</xdr:rowOff>
    </xdr:from>
    <xdr:to>
      <xdr:col>7</xdr:col>
      <xdr:colOff>581025</xdr:colOff>
      <xdr:row>37</xdr:row>
      <xdr:rowOff>114300</xdr:rowOff>
    </xdr:to>
    <xdr:graphicFrame macro="">
      <xdr:nvGraphicFramePr>
        <xdr:cNvPr id="8" name="3 Gráfico">
          <a:extLst>
            <a:ext uri="{FF2B5EF4-FFF2-40B4-BE49-F238E27FC236}">
              <a16:creationId xmlns:a16="http://schemas.microsoft.com/office/drawing/2014/main" id="{B8465E48-F0A3-4E8B-A985-8F2B2ED79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51</xdr:row>
      <xdr:rowOff>133350</xdr:rowOff>
    </xdr:to>
    <xdr:pic>
      <xdr:nvPicPr>
        <xdr:cNvPr id="23031105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C04813B7-0FC5-4F09-8588-FEE7E2C1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4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16</xdr:row>
      <xdr:rowOff>28575</xdr:rowOff>
    </xdr:from>
    <xdr:to>
      <xdr:col>7</xdr:col>
      <xdr:colOff>581025</xdr:colOff>
      <xdr:row>33</xdr:row>
      <xdr:rowOff>9525</xdr:rowOff>
    </xdr:to>
    <xdr:graphicFrame macro="">
      <xdr:nvGraphicFramePr>
        <xdr:cNvPr id="23031106" name="3 Gráfico">
          <a:extLst>
            <a:ext uri="{FF2B5EF4-FFF2-40B4-BE49-F238E27FC236}">
              <a16:creationId xmlns:a16="http://schemas.microsoft.com/office/drawing/2014/main" id="{453A55C2-A05E-4AD8-9008-6586C9FD7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419100</xdr:colOff>
      <xdr:row>35</xdr:row>
      <xdr:rowOff>0</xdr:rowOff>
    </xdr:from>
    <xdr:to>
      <xdr:col>7</xdr:col>
      <xdr:colOff>485775</xdr:colOff>
      <xdr:row>53</xdr:row>
      <xdr:rowOff>114300</xdr:rowOff>
    </xdr:to>
    <xdr:graphicFrame macro="">
      <xdr:nvGraphicFramePr>
        <xdr:cNvPr id="23031107" name="4 Gráfico">
          <a:extLst>
            <a:ext uri="{FF2B5EF4-FFF2-40B4-BE49-F238E27FC236}">
              <a16:creationId xmlns:a16="http://schemas.microsoft.com/office/drawing/2014/main" id="{A741F2C4-2E5B-411E-9B0D-917E466B9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0.34527</cdr:x>
      <cdr:y>0.61434</cdr:y>
    </cdr:from>
    <cdr:to>
      <cdr:x>0.63112</cdr:x>
      <cdr:y>0.74635</cdr:y>
    </cdr:to>
    <cdr:sp macro="" textlink="A1_PREGESTIONAT!$M$5">
      <cdr:nvSpPr>
        <cdr:cNvPr id="2" name="1 CuadroTexto"/>
        <cdr:cNvSpPr txBox="1"/>
      </cdr:nvSpPr>
      <cdr:spPr>
        <a:xfrm xmlns:a="http://schemas.openxmlformats.org/drawingml/2006/main">
          <a:off x="942487" y="1393508"/>
          <a:ext cx="1010138" cy="359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032B25-58B9-4B7E-9225-6CECDED5DD41}" type="TxLink">
            <a:rPr lang="ca-ES" sz="1600">
              <a:latin typeface="Arial Black" pitchFamily="34" charset="0"/>
            </a:rPr>
            <a:pPr/>
            <a:t>13,25%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0.12958</cdr:x>
      <cdr:y>0.58181</cdr:y>
    </cdr:from>
    <cdr:to>
      <cdr:x>0.33951</cdr:x>
      <cdr:y>0.68281</cdr:y>
    </cdr:to>
    <cdr:sp macro="" textlink="A1_PREGESTIONAT!$M$1">
      <cdr:nvSpPr>
        <cdr:cNvPr id="3" name="2 CuadroTexto"/>
        <cdr:cNvSpPr txBox="1"/>
      </cdr:nvSpPr>
      <cdr:spPr>
        <a:xfrm xmlns:a="http://schemas.openxmlformats.org/drawingml/2006/main">
          <a:off x="323849" y="1304925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1E6B7B4-9473-487C-9C95-92CB5216A7FF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0.69948</cdr:x>
      <cdr:y>0.5901</cdr:y>
    </cdr:from>
    <cdr:to>
      <cdr:x>0.96849</cdr:x>
      <cdr:y>0.69111</cdr:y>
    </cdr:to>
    <cdr:sp macro="" textlink="A1_PREGESTIONAT!$M$2">
      <cdr:nvSpPr>
        <cdr:cNvPr id="4" name="1 CuadroTexto"/>
        <cdr:cNvSpPr txBox="1"/>
      </cdr:nvSpPr>
      <cdr:spPr>
        <a:xfrm xmlns:a="http://schemas.openxmlformats.org/drawingml/2006/main">
          <a:off x="2193925" y="13271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AFEB345-909B-45C6-93E9-47945D6CB1E4}" type="TxLink">
            <a:rPr lang="ca-ES" sz="1100"/>
            <a:pPr/>
            <a:t>25,00%</a:t>
          </a:fld>
          <a:endParaRPr lang="ca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0.35805</cdr:x>
      <cdr:y>0.62364</cdr:y>
    </cdr:from>
    <cdr:to>
      <cdr:x>0.64678</cdr:x>
      <cdr:y>0.75159</cdr:y>
    </cdr:to>
    <cdr:sp macro="" textlink="A1_PREGESTIONAT!$M$11">
      <cdr:nvSpPr>
        <cdr:cNvPr id="2" name="1 CuadroTexto"/>
        <cdr:cNvSpPr txBox="1"/>
      </cdr:nvSpPr>
      <cdr:spPr>
        <a:xfrm xmlns:a="http://schemas.openxmlformats.org/drawingml/2006/main">
          <a:off x="971062" y="1412558"/>
          <a:ext cx="1048238" cy="359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561F76-C150-4956-9976-0B522ED44F39}" type="TxLink">
            <a:rPr lang="ca-ES" sz="1600">
              <a:latin typeface="Arial Black" pitchFamily="34" charset="0"/>
            </a:rPr>
            <a:pPr/>
            <a:t>20,15%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0.08589</cdr:x>
      <cdr:y>0.58606</cdr:y>
    </cdr:from>
    <cdr:to>
      <cdr:x>0.31376</cdr:x>
      <cdr:y>0.68492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12725" y="1308100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1E6B7B4-9473-487C-9C95-92CB5216A7FF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0.67953</cdr:x>
      <cdr:y>0.57964</cdr:y>
    </cdr:from>
    <cdr:to>
      <cdr:x>0.94441</cdr:x>
      <cdr:y>0.67682</cdr:y>
    </cdr:to>
    <cdr:sp macro="" textlink="A1_PREGESTIONAT!$M$13">
      <cdr:nvSpPr>
        <cdr:cNvPr id="4" name="1 CuadroTexto"/>
        <cdr:cNvSpPr txBox="1"/>
      </cdr:nvSpPr>
      <cdr:spPr>
        <a:xfrm xmlns:a="http://schemas.openxmlformats.org/drawingml/2006/main">
          <a:off x="2136775" y="12890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F4A2F67-99B5-46EB-A9ED-6AB111CC8C9B}" type="TxLink">
            <a:rPr lang="ca-ES" sz="1100"/>
            <a:pPr/>
            <a:t>25,00%</a:t>
          </a:fld>
          <a:endParaRPr lang="ca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318408</xdr:colOff>
      <xdr:row>45</xdr:row>
      <xdr:rowOff>140153</xdr:rowOff>
    </xdr:to>
    <xdr:pic>
      <xdr:nvPicPr>
        <xdr:cNvPr id="22989228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2A185E01-4038-49C6-8E75-76046F7A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80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19</xdr:row>
      <xdr:rowOff>133350</xdr:rowOff>
    </xdr:from>
    <xdr:to>
      <xdr:col>7</xdr:col>
      <xdr:colOff>523875</xdr:colOff>
      <xdr:row>38</xdr:row>
      <xdr:rowOff>95250</xdr:rowOff>
    </xdr:to>
    <xdr:graphicFrame macro="">
      <xdr:nvGraphicFramePr>
        <xdr:cNvPr id="22989229" name="4 Gráfico">
          <a:extLst>
            <a:ext uri="{FF2B5EF4-FFF2-40B4-BE49-F238E27FC236}">
              <a16:creationId xmlns:a16="http://schemas.microsoft.com/office/drawing/2014/main" id="{DE6B9E75-7F5E-4FE4-97BC-C5A7D5885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400050</xdr:colOff>
      <xdr:row>40</xdr:row>
      <xdr:rowOff>0</xdr:rowOff>
    </xdr:from>
    <xdr:to>
      <xdr:col>3</xdr:col>
      <xdr:colOff>895350</xdr:colOff>
      <xdr:row>54</xdr:row>
      <xdr:rowOff>28575</xdr:rowOff>
    </xdr:to>
    <xdr:graphicFrame macro="">
      <xdr:nvGraphicFramePr>
        <xdr:cNvPr id="22989230" name="5 Gráfico">
          <a:extLst>
            <a:ext uri="{FF2B5EF4-FFF2-40B4-BE49-F238E27FC236}">
              <a16:creationId xmlns:a16="http://schemas.microsoft.com/office/drawing/2014/main" id="{5D94B4F0-41CC-4AC7-A6B0-8122D5984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904875</xdr:colOff>
      <xdr:row>39</xdr:row>
      <xdr:rowOff>85725</xdr:rowOff>
    </xdr:from>
    <xdr:to>
      <xdr:col>7</xdr:col>
      <xdr:colOff>571500</xdr:colOff>
      <xdr:row>54</xdr:row>
      <xdr:rowOff>152400</xdr:rowOff>
    </xdr:to>
    <xdr:graphicFrame macro="">
      <xdr:nvGraphicFramePr>
        <xdr:cNvPr id="22989231" name="8 Gráfico">
          <a:extLst>
            <a:ext uri="{FF2B5EF4-FFF2-40B4-BE49-F238E27FC236}">
              <a16:creationId xmlns:a16="http://schemas.microsoft.com/office/drawing/2014/main" id="{EC490CD5-BC1E-4C38-9B3C-0E61C73C8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0.34658</cdr:x>
      <cdr:y>0.61731</cdr:y>
    </cdr:from>
    <cdr:to>
      <cdr:x>0.65516</cdr:x>
      <cdr:y>0.74635</cdr:y>
    </cdr:to>
    <cdr:sp macro="" textlink="A1B_FINANÇAMENT!$L$8">
      <cdr:nvSpPr>
        <cdr:cNvPr id="2" name="1 CuadroTexto"/>
        <cdr:cNvSpPr txBox="1"/>
      </cdr:nvSpPr>
      <cdr:spPr>
        <a:xfrm xmlns:a="http://schemas.openxmlformats.org/drawingml/2006/main">
          <a:off x="961537" y="1403032"/>
          <a:ext cx="1086338" cy="3495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9CCBCCF-B8AF-408D-99E5-960728CFE72B}" type="TxLink">
            <a:rPr lang="ca-ES" sz="1600">
              <a:latin typeface="Arial Black" pitchFamily="34" charset="0"/>
            </a:rPr>
            <a:pPr/>
            <a:t>20,15%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0.12764</cdr:x>
      <cdr:y>0.58181</cdr:y>
    </cdr:from>
    <cdr:to>
      <cdr:x>0.33611</cdr:x>
      <cdr:y>0.68281</cdr:y>
    </cdr:to>
    <cdr:sp macro="" textlink="A1B_FINANÇAMENT!$L$4">
      <cdr:nvSpPr>
        <cdr:cNvPr id="3" name="2 CuadroTexto"/>
        <cdr:cNvSpPr txBox="1"/>
      </cdr:nvSpPr>
      <cdr:spPr>
        <a:xfrm xmlns:a="http://schemas.openxmlformats.org/drawingml/2006/main">
          <a:off x="323849" y="1304925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3BA64A-03AE-4A42-A78E-33145FF494A8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0.69655</cdr:x>
      <cdr:y>0.5901</cdr:y>
    </cdr:from>
    <cdr:to>
      <cdr:x>0.96848</cdr:x>
      <cdr:y>0.69111</cdr:y>
    </cdr:to>
    <cdr:sp macro="" textlink="A1B_FINANÇAMENT!$L$5">
      <cdr:nvSpPr>
        <cdr:cNvPr id="4" name="1 CuadroTexto"/>
        <cdr:cNvSpPr txBox="1"/>
      </cdr:nvSpPr>
      <cdr:spPr>
        <a:xfrm xmlns:a="http://schemas.openxmlformats.org/drawingml/2006/main">
          <a:off x="2193925" y="13271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fld id="{70DC2F04-0D06-4983-8D1B-7BE07584EEE3}" type="TxLink">
            <a:rPr lang="en-US"/>
            <a:pPr/>
            <a:t>25,00%</a:t>
          </a:fld>
          <a:endParaRPr 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0.36882</cdr:x>
      <cdr:y>0.60569</cdr:y>
    </cdr:from>
    <cdr:to>
      <cdr:x>0.65271</cdr:x>
      <cdr:y>0.73845</cdr:y>
    </cdr:to>
    <cdr:sp macro="" textlink="A1B_FINANÇAMENT!$L$14">
      <cdr:nvSpPr>
        <cdr:cNvPr id="2" name="1 CuadroTexto"/>
        <cdr:cNvSpPr txBox="1"/>
      </cdr:nvSpPr>
      <cdr:spPr>
        <a:xfrm xmlns:a="http://schemas.openxmlformats.org/drawingml/2006/main">
          <a:off x="1037737" y="1484019"/>
          <a:ext cx="1010138" cy="401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B868F3-EBF4-4CD4-A966-D4AEDE5D5DBE}" type="TxLink">
            <a:rPr lang="ca-ES" sz="1600">
              <a:latin typeface="Arial Black" pitchFamily="34" charset="0"/>
            </a:rPr>
            <a:pPr/>
            <a:t>99,38%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0.08709</cdr:x>
      <cdr:y>0.58683</cdr:y>
    </cdr:from>
    <cdr:to>
      <cdr:x>0.3055</cdr:x>
      <cdr:y>0.68682</cdr:y>
    </cdr:to>
    <cdr:sp macro="" textlink="A1B_FINANÇAMENT!$L$4">
      <cdr:nvSpPr>
        <cdr:cNvPr id="3" name="1 CuadroTexto"/>
        <cdr:cNvSpPr txBox="1"/>
      </cdr:nvSpPr>
      <cdr:spPr>
        <a:xfrm xmlns:a="http://schemas.openxmlformats.org/drawingml/2006/main">
          <a:off x="212725" y="1308100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E3C37FC-B97C-427B-B6DB-F6135EED4191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0.67802</cdr:x>
      <cdr:y>0.57994</cdr:y>
    </cdr:from>
    <cdr:to>
      <cdr:x>0.94197</cdr:x>
      <cdr:y>0.67967</cdr:y>
    </cdr:to>
    <cdr:sp macro="" textlink="A1B_FINANÇAMENT!$L$16">
      <cdr:nvSpPr>
        <cdr:cNvPr id="4" name="1 CuadroTexto"/>
        <cdr:cNvSpPr txBox="1"/>
      </cdr:nvSpPr>
      <cdr:spPr>
        <a:xfrm xmlns:a="http://schemas.openxmlformats.org/drawingml/2006/main">
          <a:off x="2136775" y="12890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95EC994-FC24-4FCD-AA74-6D1084EA442F}" type="TxLink">
            <a:rPr lang="ca-ES" sz="1100"/>
            <a:pPr/>
            <a:t>100,00%</a:t>
          </a:fld>
          <a:endParaRPr lang="ca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34</xdr:row>
      <xdr:rowOff>38100</xdr:rowOff>
    </xdr:from>
    <xdr:to>
      <xdr:col>6</xdr:col>
      <xdr:colOff>847725</xdr:colOff>
      <xdr:row>53</xdr:row>
      <xdr:rowOff>133350</xdr:rowOff>
    </xdr:to>
    <xdr:graphicFrame macro="">
      <xdr:nvGraphicFramePr>
        <xdr:cNvPr id="22993218" name="Gráfico 4">
          <a:extLst>
            <a:ext uri="{FF2B5EF4-FFF2-40B4-BE49-F238E27FC236}">
              <a16:creationId xmlns:a16="http://schemas.microsoft.com/office/drawing/2014/main" id="{80768C87-CC0E-4A5C-AC93-CDCC9E896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1076325</xdr:colOff>
      <xdr:row>62</xdr:row>
      <xdr:rowOff>47625</xdr:rowOff>
    </xdr:to>
    <xdr:pic>
      <xdr:nvPicPr>
        <xdr:cNvPr id="22993219" name="Picture 5" descr="C:\Documents and Settings\user\Mis documentos\Mis imágenes\DIPTA_Vertical.JPG">
          <a:extLst>
            <a:ext uri="{FF2B5EF4-FFF2-40B4-BE49-F238E27FC236}">
              <a16:creationId xmlns:a16="http://schemas.microsoft.com/office/drawing/2014/main" id="{5B277BBB-291B-419B-863B-190FC8A0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1066800</xdr:colOff>
      <xdr:row>11</xdr:row>
      <xdr:rowOff>38100</xdr:rowOff>
    </xdr:from>
    <xdr:to>
      <xdr:col>7</xdr:col>
      <xdr:colOff>57150</xdr:colOff>
      <xdr:row>33</xdr:row>
      <xdr:rowOff>9525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3A40D36-F58E-4D0C-9AF5-7BB6BB4D2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8</xdr:row>
      <xdr:rowOff>28575</xdr:rowOff>
    </xdr:from>
    <xdr:to>
      <xdr:col>7</xdr:col>
      <xdr:colOff>790575</xdr:colOff>
      <xdr:row>32</xdr:row>
      <xdr:rowOff>66675</xdr:rowOff>
    </xdr:to>
    <xdr:graphicFrame macro="">
      <xdr:nvGraphicFramePr>
        <xdr:cNvPr id="22996289" name="Gráfico 1">
          <a:extLst>
            <a:ext uri="{FF2B5EF4-FFF2-40B4-BE49-F238E27FC236}">
              <a16:creationId xmlns:a16="http://schemas.microsoft.com/office/drawing/2014/main" id="{FBB26BF0-6CF1-4D4E-999E-5AD59C3C9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317047</xdr:colOff>
      <xdr:row>53</xdr:row>
      <xdr:rowOff>63953</xdr:rowOff>
    </xdr:to>
    <xdr:pic>
      <xdr:nvPicPr>
        <xdr:cNvPr id="22996290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3B7C0E6C-C3E6-4FB5-8202-CF8EBC19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6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1400175</xdr:colOff>
      <xdr:row>46</xdr:row>
      <xdr:rowOff>38100</xdr:rowOff>
    </xdr:from>
    <xdr:to>
      <xdr:col>5</xdr:col>
      <xdr:colOff>762000</xdr:colOff>
      <xdr:row>61</xdr:row>
      <xdr:rowOff>95250</xdr:rowOff>
    </xdr:to>
    <xdr:graphicFrame macro="">
      <xdr:nvGraphicFramePr>
        <xdr:cNvPr id="22996291" name="8 Gráfico">
          <a:extLst>
            <a:ext uri="{FF2B5EF4-FFF2-40B4-BE49-F238E27FC236}">
              <a16:creationId xmlns:a16="http://schemas.microsoft.com/office/drawing/2014/main" id="{199E4956-D732-49B9-ABCC-1AC6CCE28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SDEPTS\DEPTS\INT\COMPTABILITAT\Pressupost\PRE2018\TrimPle\T3\TAULES%20DICTAMEN%202018T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SDEPTS\DEPTS\Users\Manel\AppData\Local\Temp\TAULES%20DICTAMEN%202020T2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DEF"/>
      <sheetName val="DESPAREA"/>
      <sheetName val="DESPCAPITOL"/>
      <sheetName val="DESPPROG"/>
      <sheetName val="INGRCAPITOL"/>
      <sheetName val="FINANÇAMENT"/>
      <sheetName val="ANUAL_TRIM"/>
      <sheetName val="H_CORP"/>
      <sheetName val="PREVISIONSFIANY"/>
      <sheetName val="ESTABILITAT"/>
      <sheetName val="REGLADESPESA"/>
      <sheetName val="ENDEUTAMENT"/>
      <sheetName val="TCTS_DESPRGC"/>
      <sheetName val="TCTS_INGRCAP"/>
      <sheetName val="TRESORERIA"/>
      <sheetName val="Portada"/>
      <sheetName val="A1_PREGESTIONAT"/>
      <sheetName val="A1B_FINANÇAMENT"/>
      <sheetName val="A2_EVOL"/>
      <sheetName val="A3CAP_GrauModif"/>
      <sheetName val="A4CAP_SitCred"/>
      <sheetName val="A5PROG_SITCRED"/>
      <sheetName val="A6AREA_GrauModif"/>
      <sheetName val="A7AREA_SitCred"/>
      <sheetName val="A8_SITINGR"/>
      <sheetName val="A9_EXEC"/>
      <sheetName val="A10_trimestres"/>
      <sheetName val="A11_PREVISIONS"/>
      <sheetName val="A12_LOEPSF"/>
      <sheetName val="A14_TANCATS"/>
      <sheetName val="Dades globals"/>
      <sheetName val="A1_PREGESTIONAT_old"/>
    </sheetNames>
    <sheetDataSet>
      <sheetData sheetId="0"/>
      <sheetData sheetId="1"/>
      <sheetData sheetId="2">
        <row r="51">
          <cell r="K51">
            <v>0.66243114998501229</v>
          </cell>
          <cell r="M51">
            <v>0.33406071529152648</v>
          </cell>
        </row>
      </sheetData>
      <sheetData sheetId="3"/>
      <sheetData sheetId="4">
        <row r="51">
          <cell r="G51">
            <v>0.35289330165778887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DEF"/>
      <sheetName val="DESPAREA"/>
      <sheetName val="DESPCAPITOL"/>
      <sheetName val="DESPPROG"/>
      <sheetName val="INGRCAPITOL"/>
      <sheetName val="FINANÇAMENT"/>
      <sheetName val="ANUAL_TRIM"/>
      <sheetName val="H_CORP"/>
      <sheetName val="PREVISIONSFIANY"/>
      <sheetName val="ESTABILITAT"/>
      <sheetName val="REGLADESPESA"/>
      <sheetName val="ENDEUTAMENT"/>
      <sheetName val="TCTS_DESPRGC"/>
      <sheetName val="TCTS_INGRCAP"/>
      <sheetName val="Portada"/>
      <sheetName val="A1_PREGESTIONAT"/>
      <sheetName val="A1B_FINANÇAMENT"/>
      <sheetName val="A2_EVOL"/>
      <sheetName val="A3CAP_GrauModif"/>
      <sheetName val="A4CAP_SitCred"/>
      <sheetName val="A5PROG_SITCRED"/>
      <sheetName val="A6AREA_GrauModif"/>
      <sheetName val="A7AREA_SitCred"/>
      <sheetName val="A8_SITINGR"/>
      <sheetName val="A9_EXEC"/>
      <sheetName val="A10_trimestres"/>
      <sheetName val="A11_PREVISIONS"/>
      <sheetName val="A12_LOEPSF"/>
      <sheetName val="Dades globals"/>
      <sheetName val="Full11"/>
      <sheetName val="A1_PREGESTIONAT_old"/>
    </sheetNames>
    <sheetDataSet>
      <sheetData sheetId="0"/>
      <sheetData sheetId="1"/>
      <sheetData sheetId="2">
        <row r="11">
          <cell r="B11" t="str">
            <v>Corporació</v>
          </cell>
        </row>
        <row r="21">
          <cell r="B21" t="str">
            <v>Turisme</v>
          </cell>
        </row>
        <row r="31">
          <cell r="B31" t="str">
            <v>BASE</v>
          </cell>
        </row>
      </sheetData>
      <sheetData sheetId="3"/>
      <sheetData sheetId="4">
        <row r="11">
          <cell r="G11">
            <v>0.24177607251410935</v>
          </cell>
        </row>
      </sheetData>
      <sheetData sheetId="5"/>
      <sheetData sheetId="6"/>
      <sheetData sheetId="7"/>
      <sheetData sheetId="8">
        <row r="8">
          <cell r="G8">
            <v>159294352.03999999</v>
          </cell>
        </row>
      </sheetData>
      <sheetData sheetId="9">
        <row r="7">
          <cell r="E7">
            <v>147868979.31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89.633303472219" createdVersion="6" refreshedVersion="8" recordCount="12" xr:uid="{00000000-000A-0000-FFFF-FFFF01000000}">
  <cacheSource type="worksheet">
    <worksheetSource ref="B38:F50" sheet="A7AREA_SitCred"/>
  </cacheSource>
  <cacheFields count="5">
    <cacheField name="Àrea de coordinació" numFmtId="0">
      <sharedItems count="23">
        <s v="Òrgans de govern i Coordinació general"/>
        <s v="Concertació i Assistència Municipal"/>
        <s v="Promoció Social i Cultural"/>
        <s v="Infraestructures del Territori"/>
        <s v="Serveis Generals i Instal·lacions Corporatives"/>
        <s v="Gabinet de Presidència i Planificació i PERC"/>
        <s v="Secretaria, Intervenció i Tresoreria"/>
        <s v="Persones i Talent"/>
        <s v="Innovació i Tecnologia"/>
        <s v="O.A. Patronat de Turisme"/>
        <s v="O.A. BASE"/>
        <s v="Total Pressupost"/>
        <s v="Serveis interns" u="1"/>
        <s v="Presidència i planificació" u="1"/>
        <s v="Òrgans de govern" u="1"/>
        <s v="Recursos Humans i PAO" u="1"/>
        <s v="Projectes Europeus i Regió del Coneixement" u="1"/>
        <s v="Presidència" u="1"/>
        <s v="Servei d'Assistència al Territori (SAT)" u="1"/>
        <s v="Servei d'Assistència al Ciutadà (SAC)" u="1"/>
        <s v="Servei d'Assistència al Municipi (SAM)" u="1"/>
        <s v="Tecnologia de la Informació i Comunicació" u="1"/>
        <s v="Coneixement i Qualitat" u="1"/>
      </sharedItems>
    </cacheField>
    <cacheField name="Saldos no compromesos" numFmtId="4">
      <sharedItems containsSemiMixedTypes="0" containsString="0" containsNumber="1" minValue="3559963.7199999993" maxValue="112822863.81000002"/>
    </cacheField>
    <cacheField name="Saldos compromesos" numFmtId="4">
      <sharedItems containsSemiMixedTypes="0" containsString="0" containsNumber="1" minValue="41602.83" maxValue="71678358.019999996"/>
    </cacheField>
    <cacheField name="% Exec. Compr." numFmtId="0">
      <sharedItems containsString="0" containsBlank="1" containsNumber="1" minValue="9.0822987492367391E-2" maxValue="0.76292578457828886"/>
    </cacheField>
    <cacheField name="Obligacions reconegudes netes" numFmtId="4">
      <sharedItems containsSemiMixedTypes="0" containsString="0" containsNumber="1" minValue="159929.53000000003" maxValue="29655827.4300000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3559963.7199999993"/>
    <n v="41602.83"/>
    <n v="0.20825473133501832"/>
    <n v="894783.29999999993"/>
  </r>
  <r>
    <x v="1"/>
    <n v="17138350.439999994"/>
    <n v="44305249.219999991"/>
    <n v="0.76292578457828886"/>
    <n v="10847477.669999996"/>
  </r>
  <r>
    <x v="2"/>
    <n v="4424487.07"/>
    <n v="534941.06000000006"/>
    <n v="0.21862225399004306"/>
    <n v="702989.42999999993"/>
  </r>
  <r>
    <x v="3"/>
    <n v="10759164.310000002"/>
    <n v="10504995.940000001"/>
    <n v="0.53932961950189462"/>
    <n v="2091290.3400000003"/>
  </r>
  <r>
    <x v="4"/>
    <n v="9415512.2100000046"/>
    <n v="3930278.11"/>
    <n v="0.37592724419915774"/>
    <n v="1741412.4500000002"/>
  </r>
  <r>
    <x v="5"/>
    <n v="3809704.6199999992"/>
    <n v="252538.96000000002"/>
    <n v="0.22592457520369125"/>
    <n v="859375.80999999982"/>
  </r>
  <r>
    <x v="6"/>
    <n v="14545506.220000001"/>
    <n v="135344.26999999999"/>
    <n v="9.0822987492367391E-2"/>
    <n v="1317691.0699999998"/>
  </r>
  <r>
    <x v="7"/>
    <n v="24812300.060000006"/>
    <n v="1578049.7599999995"/>
    <n v="0.25846016820236178"/>
    <n v="7070158.9700000081"/>
  </r>
  <r>
    <x v="8"/>
    <n v="6767854.3399999971"/>
    <n v="1606627.5099999998"/>
    <n v="0.28991080696428967"/>
    <n v="1156510.0399999996"/>
  </r>
  <r>
    <x v="9"/>
    <n v="5273043.5"/>
    <n v="3997026.97"/>
    <n v="0.44082253446447506"/>
    <n v="159929.53000000003"/>
  </r>
  <r>
    <x v="10"/>
    <n v="12316977.320000004"/>
    <n v="4791703.3899999987"/>
    <n v="0.38176752416093923"/>
    <n v="2814208.8200000003"/>
  </r>
  <r>
    <x v="11"/>
    <n v="112822863.81000002"/>
    <n v="71678358.019999996"/>
    <m/>
    <n v="29655827.43000000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600-000000000000}" name="Tabla dinámica2" cacheId="0" dataOnRows="1" applyNumberFormats="0" applyBorderFormats="0" applyFontFormats="0" applyPatternFormats="0" applyAlignmentFormats="0" applyWidthHeightFormats="1" dataCaption="Datos" updatedVersion="8" minRefreshableVersion="3" showMemberPropertyTips="0" useAutoFormatting="1" itemPrintTitles="1" createdVersion="6" indent="0" compact="0" compactData="0" gridDropZones="1" chartFormat="1">
  <location ref="K1:L14" firstHeaderRow="2" firstDataRow="2" firstDataCol="1"/>
  <pivotFields count="5">
    <pivotField axis="axisRow" compact="0" outline="0" subtotalTop="0" showAll="0" includeNewItemsInFilter="1" sortType="ascending">
      <items count="24">
        <item m="1" x="22"/>
        <item x="10"/>
        <item x="9"/>
        <item m="1" x="14"/>
        <item m="1" x="17"/>
        <item m="1" x="13"/>
        <item m="1" x="16"/>
        <item m="1" x="15"/>
        <item x="6"/>
        <item m="1" x="19"/>
        <item m="1" x="20"/>
        <item m="1" x="18"/>
        <item m="1" x="12"/>
        <item m="1" x="21"/>
        <item h="1" x="11"/>
        <item x="0"/>
        <item x="1"/>
        <item x="2"/>
        <item x="3"/>
        <item x="4"/>
        <item x="5"/>
        <item x="7"/>
        <item x="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numFmtId="4" outline="0" subtotalTop="0" showAll="0" includeNewItemsInFilter="1" defaultSubtotal="0"/>
    <pivotField compact="0" numFmtId="4" outline="0" subtotalTop="0" showAll="0" includeNewItemsInFilter="1" defaultSubtotal="0"/>
    <pivotField compact="0" outline="0" subtotalTop="0" showAll="0" includeNewItemsInFilter="1" defaultSubtotal="0"/>
    <pivotField dataField="1" compact="0" numFmtId="4" outline="0" subtotalTop="0" showAll="0" defaultSubtotal="0"/>
  </pivotFields>
  <rowFields count="1">
    <field x="0"/>
  </rowFields>
  <rowItems count="12">
    <i>
      <x v="2"/>
    </i>
    <i>
      <x v="17"/>
    </i>
    <i>
      <x v="20"/>
    </i>
    <i>
      <x v="15"/>
    </i>
    <i>
      <x v="22"/>
    </i>
    <i>
      <x v="8"/>
    </i>
    <i>
      <x v="19"/>
    </i>
    <i>
      <x v="18"/>
    </i>
    <i>
      <x v="1"/>
    </i>
    <i>
      <x v="21"/>
    </i>
    <i>
      <x v="16"/>
    </i>
    <i t="grand">
      <x/>
    </i>
  </rowItems>
  <colItems count="1">
    <i/>
  </colItems>
  <dataFields count="1">
    <dataField name="Suma de Obligacions reconegudes netes" fld="4" baseField="0" baseItem="0" numFmtId="4"/>
  </dataFields>
  <chartFormats count="2">
    <chartFormat chart="0" format="1" series="1">
      <pivotArea type="data" outline="0" fieldPosition="0"/>
    </chartFormat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9.bin"/><Relationship Id="rId1" Type="http://schemas.openxmlformats.org/officeDocument/2006/relationships/pivotTable" Target="../pivotTables/pivotTable1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S38"/>
  <sheetViews>
    <sheetView zoomScale="85" zoomScaleNormal="85" workbookViewId="0">
      <selection activeCell="C11" sqref="C11:D11"/>
    </sheetView>
  </sheetViews>
  <sheetFormatPr baseColWidth="10" defaultColWidth="9.140625" defaultRowHeight="12.75" x14ac:dyDescent="0.2"/>
  <cols>
    <col min="1" max="5" width="14.140625" customWidth="1"/>
    <col min="6" max="9" width="14.140625" bestFit="1" customWidth="1"/>
    <col min="10" max="14" width="14.28515625" bestFit="1" customWidth="1"/>
    <col min="15" max="15" width="13.5703125" customWidth="1"/>
  </cols>
  <sheetData>
    <row r="1" spans="1:19" x14ac:dyDescent="0.2">
      <c r="A1" t="s">
        <v>240</v>
      </c>
      <c r="B1">
        <v>2025</v>
      </c>
      <c r="C1">
        <v>2024</v>
      </c>
      <c r="D1">
        <v>2023</v>
      </c>
      <c r="E1">
        <v>2022</v>
      </c>
      <c r="F1">
        <v>2021</v>
      </c>
      <c r="G1">
        <v>2020</v>
      </c>
      <c r="H1">
        <v>2019</v>
      </c>
      <c r="I1">
        <v>2018</v>
      </c>
      <c r="J1">
        <v>2017</v>
      </c>
      <c r="K1">
        <v>2016</v>
      </c>
      <c r="L1">
        <v>2015</v>
      </c>
      <c r="M1">
        <v>2014</v>
      </c>
      <c r="N1">
        <v>2013</v>
      </c>
    </row>
    <row r="2" spans="1:19" x14ac:dyDescent="0.2">
      <c r="A2" t="s">
        <v>20</v>
      </c>
      <c r="B2" s="117">
        <v>201330000</v>
      </c>
      <c r="C2" s="1">
        <v>361088239.92000002</v>
      </c>
      <c r="D2" s="1">
        <v>325910724.11000001</v>
      </c>
      <c r="E2" s="1">
        <v>311448047.02999997</v>
      </c>
      <c r="F2" s="1">
        <v>284984426.58999997</v>
      </c>
      <c r="G2" s="1">
        <v>276553417.47000003</v>
      </c>
      <c r="H2" s="1">
        <v>285958423.12</v>
      </c>
      <c r="I2" s="1">
        <v>267779167.31</v>
      </c>
      <c r="J2" s="1">
        <v>265101171.10000002</v>
      </c>
      <c r="K2" s="1">
        <v>236089247</v>
      </c>
      <c r="L2" s="1">
        <v>239297904.22999999</v>
      </c>
      <c r="M2" s="1">
        <v>214796284.22000003</v>
      </c>
      <c r="N2" s="1">
        <v>193039014.01000002</v>
      </c>
      <c r="O2" s="1"/>
      <c r="P2" s="1"/>
      <c r="Q2" s="1"/>
      <c r="R2" s="1"/>
      <c r="S2" s="1"/>
    </row>
    <row r="3" spans="1:19" x14ac:dyDescent="0.2">
      <c r="A3" t="s">
        <v>32</v>
      </c>
      <c r="B3" s="117">
        <v>19922889.530000001</v>
      </c>
      <c r="C3" s="1">
        <v>23816550.300000001</v>
      </c>
      <c r="D3" s="1">
        <v>23660402.920000002</v>
      </c>
      <c r="E3" s="1">
        <v>21312887.949999999</v>
      </c>
      <c r="F3" s="1">
        <v>20789659.030000001</v>
      </c>
      <c r="G3" s="1">
        <v>19490781.539999999</v>
      </c>
      <c r="H3" s="1">
        <v>20687368.449999999</v>
      </c>
      <c r="I3" s="1">
        <v>19770480.77</v>
      </c>
      <c r="J3" s="1">
        <v>18119475.199999999</v>
      </c>
      <c r="K3" s="1">
        <v>21781885.210000001</v>
      </c>
      <c r="L3" s="1">
        <v>21071154.869999997</v>
      </c>
      <c r="M3" s="1">
        <v>19403862.23</v>
      </c>
      <c r="N3" s="1">
        <v>18393041.609999999</v>
      </c>
      <c r="O3" s="1"/>
      <c r="P3" s="1"/>
      <c r="Q3" s="1"/>
      <c r="R3" s="1"/>
      <c r="S3" s="1"/>
    </row>
    <row r="4" spans="1:19" x14ac:dyDescent="0.2">
      <c r="A4" t="s">
        <v>30</v>
      </c>
      <c r="B4" s="117">
        <v>9430000</v>
      </c>
      <c r="C4" s="1">
        <v>13691376.65</v>
      </c>
      <c r="D4" s="1">
        <v>13451148.859999999</v>
      </c>
      <c r="E4" s="1">
        <v>15307157.689999999</v>
      </c>
      <c r="F4" s="1">
        <v>12807572.35</v>
      </c>
      <c r="G4" s="1">
        <v>11552992.67</v>
      </c>
      <c r="H4" s="1">
        <v>11560352.379999999</v>
      </c>
      <c r="I4" s="1">
        <v>10309778.85</v>
      </c>
      <c r="J4" s="1">
        <v>8620598.629999999</v>
      </c>
      <c r="K4" s="1">
        <v>10002390.26</v>
      </c>
      <c r="L4" s="1">
        <v>8982960.2599999998</v>
      </c>
      <c r="M4" s="1">
        <v>7956856.0999999996</v>
      </c>
      <c r="N4" s="1">
        <v>6606830.4000000004</v>
      </c>
      <c r="O4" s="1"/>
      <c r="P4" s="1"/>
      <c r="Q4" s="1"/>
      <c r="R4" s="1"/>
      <c r="S4" s="1"/>
    </row>
    <row r="5" spans="1:19" x14ac:dyDescent="0.2">
      <c r="A5" t="s">
        <v>144</v>
      </c>
      <c r="C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">
      <c r="A6" t="s">
        <v>145</v>
      </c>
      <c r="C6" s="1"/>
      <c r="D6" s="1"/>
      <c r="F6" s="12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">
      <c r="A7" t="s">
        <v>146</v>
      </c>
      <c r="C7" s="1"/>
      <c r="D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">
      <c r="A8" t="s">
        <v>147</v>
      </c>
      <c r="C8" s="1"/>
      <c r="D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C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">
      <c r="A10" t="s">
        <v>142</v>
      </c>
      <c r="B10" s="1">
        <f>SUM(B2:B4)</f>
        <v>230682889.53</v>
      </c>
      <c r="C10" s="1">
        <f>SUM(C2:C4)</f>
        <v>398596166.87</v>
      </c>
      <c r="D10" s="1">
        <v>363022275.89000005</v>
      </c>
      <c r="E10" s="1">
        <v>305181648.08999997</v>
      </c>
      <c r="F10" s="1">
        <v>318581657.97000003</v>
      </c>
      <c r="G10" s="1">
        <v>307597191.68000007</v>
      </c>
      <c r="H10" s="1">
        <v>318206143.94999999</v>
      </c>
      <c r="I10" s="1">
        <v>297859426.93000001</v>
      </c>
      <c r="J10" s="1">
        <v>291841244.93000001</v>
      </c>
      <c r="K10" s="1">
        <v>267873522.47</v>
      </c>
      <c r="L10" s="1">
        <v>269352019.36000001</v>
      </c>
      <c r="M10" s="1">
        <v>242157002.55000001</v>
      </c>
      <c r="N10" s="1">
        <v>218038886.02000001</v>
      </c>
      <c r="O10" s="1"/>
      <c r="P10" s="1"/>
      <c r="Q10" s="1"/>
      <c r="R10" s="1"/>
      <c r="S10" s="1"/>
    </row>
    <row r="11" spans="1:19" x14ac:dyDescent="0.2">
      <c r="A11" t="s">
        <v>139</v>
      </c>
      <c r="B11" s="117">
        <v>6930000</v>
      </c>
      <c r="C11" s="162">
        <f>8065648.38+50000</f>
        <v>8115648.3799999999</v>
      </c>
      <c r="D11" s="162">
        <v>8115648.3799999999</v>
      </c>
      <c r="E11" s="1">
        <v>7025550</v>
      </c>
      <c r="F11" s="1">
        <v>5435000</v>
      </c>
      <c r="G11" s="1">
        <v>7296395.1200000001</v>
      </c>
      <c r="H11" s="58">
        <v>6466400</v>
      </c>
      <c r="I11" s="1">
        <v>6147430.6399999997</v>
      </c>
      <c r="J11" s="1">
        <v>5088003.7699999996</v>
      </c>
      <c r="K11" s="1">
        <v>5182900</v>
      </c>
      <c r="L11" s="1">
        <v>5184200</v>
      </c>
      <c r="M11" s="1">
        <v>4857000</v>
      </c>
      <c r="N11" s="1">
        <v>4269546</v>
      </c>
      <c r="O11" s="1"/>
      <c r="P11" s="1"/>
      <c r="Q11" s="1"/>
      <c r="R11" s="1"/>
      <c r="S11" s="1"/>
    </row>
    <row r="12" spans="1:19" x14ac:dyDescent="0.2">
      <c r="A12" t="s">
        <v>143</v>
      </c>
      <c r="B12" s="1">
        <f>B10-B11</f>
        <v>223752889.53</v>
      </c>
      <c r="C12" s="1">
        <f>C10-C11</f>
        <v>390480518.49000001</v>
      </c>
      <c r="D12" s="1">
        <v>354906627.51000005</v>
      </c>
      <c r="E12" s="1">
        <v>298156098.08999997</v>
      </c>
      <c r="F12" s="1">
        <v>313146657.97000003</v>
      </c>
      <c r="G12" s="1">
        <v>300300796.56000006</v>
      </c>
      <c r="H12" s="1">
        <v>311739743.94999999</v>
      </c>
      <c r="I12" s="1">
        <v>291711996.29000002</v>
      </c>
      <c r="J12" s="1">
        <v>286753241.16000003</v>
      </c>
      <c r="K12" s="1">
        <v>262690622.47</v>
      </c>
      <c r="L12" s="1">
        <v>264167819.36000001</v>
      </c>
      <c r="M12" s="1">
        <v>237300002.55000001</v>
      </c>
      <c r="N12" s="1">
        <v>213769340.02000001</v>
      </c>
      <c r="O12" s="1"/>
      <c r="P12" s="1"/>
      <c r="Q12" s="1"/>
      <c r="R12" s="1"/>
      <c r="S12" s="1"/>
    </row>
    <row r="13" spans="1:19" x14ac:dyDescent="0.2">
      <c r="C13" s="1"/>
      <c r="D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t="s">
        <v>140</v>
      </c>
      <c r="B14" s="1">
        <f>B2-B11</f>
        <v>194400000</v>
      </c>
      <c r="C14" s="1">
        <f>C2-C11</f>
        <v>352972591.54000002</v>
      </c>
      <c r="D14" s="1">
        <v>317795075.73000002</v>
      </c>
      <c r="E14" s="1">
        <v>265752208.45999998</v>
      </c>
      <c r="F14" s="1">
        <v>279549426.58999997</v>
      </c>
      <c r="G14" s="1">
        <v>269257022.35000002</v>
      </c>
      <c r="H14" s="1">
        <v>279492023.12</v>
      </c>
      <c r="I14" s="1">
        <v>261631736.67000002</v>
      </c>
      <c r="J14" s="1">
        <v>260013167.33000001</v>
      </c>
      <c r="K14" s="1">
        <v>230906347</v>
      </c>
      <c r="L14" s="1">
        <v>234113704.22999999</v>
      </c>
      <c r="M14" s="1">
        <v>209939284.22000003</v>
      </c>
      <c r="N14" s="1">
        <v>188769468.01000002</v>
      </c>
      <c r="O14" s="1"/>
      <c r="P14" s="1"/>
      <c r="Q14" s="1"/>
      <c r="R14" s="1"/>
      <c r="S14" s="1"/>
    </row>
    <row r="15" spans="1:19" x14ac:dyDescent="0.2">
      <c r="A15" t="s">
        <v>141</v>
      </c>
      <c r="B15" s="1">
        <f>B3+B4</f>
        <v>29352889.530000001</v>
      </c>
      <c r="C15" s="1">
        <f>C3+C4</f>
        <v>37507926.950000003</v>
      </c>
      <c r="D15" s="1">
        <v>37111551.780000031</v>
      </c>
      <c r="E15" s="1">
        <v>32403889.629999995</v>
      </c>
      <c r="F15" s="1">
        <v>33597231.380000055</v>
      </c>
      <c r="G15" s="1">
        <v>31043774.210000038</v>
      </c>
      <c r="H15" s="1">
        <v>32247720.829999983</v>
      </c>
      <c r="I15" s="1">
        <v>30080259.620000005</v>
      </c>
      <c r="J15" s="1">
        <v>26740073.830000013</v>
      </c>
      <c r="K15" s="1">
        <v>31784275.469999999</v>
      </c>
      <c r="L15" s="1">
        <v>30054115.130000025</v>
      </c>
      <c r="M15" s="1">
        <v>27360718.329999983</v>
      </c>
      <c r="N15" s="1">
        <v>24999872.00999999</v>
      </c>
      <c r="O15" s="1"/>
      <c r="P15" s="1"/>
      <c r="Q15" s="1"/>
      <c r="R15" s="1"/>
      <c r="S15" s="1"/>
    </row>
    <row r="16" spans="1:19" x14ac:dyDescent="0.2">
      <c r="D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D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D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t="s">
        <v>143</v>
      </c>
      <c r="B19">
        <v>2025</v>
      </c>
      <c r="C19">
        <v>2024</v>
      </c>
      <c r="D19">
        <v>2023</v>
      </c>
      <c r="E19">
        <v>2022</v>
      </c>
      <c r="F19">
        <v>2021</v>
      </c>
      <c r="G19">
        <v>2020</v>
      </c>
      <c r="H19">
        <v>2019</v>
      </c>
      <c r="I19">
        <v>2018</v>
      </c>
      <c r="J19">
        <v>2017</v>
      </c>
      <c r="K19">
        <v>2016</v>
      </c>
      <c r="L19">
        <v>2015</v>
      </c>
      <c r="M19">
        <v>2014</v>
      </c>
      <c r="N19">
        <v>2013</v>
      </c>
      <c r="O19" s="1"/>
      <c r="P19" s="1"/>
      <c r="Q19" s="1"/>
      <c r="R19" s="1"/>
      <c r="S19" s="1"/>
    </row>
    <row r="20" spans="1:19" x14ac:dyDescent="0.2">
      <c r="A20" t="s">
        <v>169</v>
      </c>
      <c r="B20" s="1">
        <f>PREVISIONSFIANY!G15</f>
        <v>197998809.23000002</v>
      </c>
      <c r="C20" s="1">
        <v>240010936.28000003</v>
      </c>
      <c r="D20" s="1">
        <v>197449511.12</v>
      </c>
      <c r="E20" s="1">
        <v>189435021.37</v>
      </c>
      <c r="F20" s="85">
        <v>161273126.72999999</v>
      </c>
      <c r="G20" s="1">
        <v>158638019.75</v>
      </c>
      <c r="H20" s="1">
        <v>152390901.91</v>
      </c>
      <c r="I20" s="1">
        <v>155673607.15000001</v>
      </c>
      <c r="J20" s="1">
        <v>163767467.45999998</v>
      </c>
      <c r="K20" s="1">
        <v>161594616.63</v>
      </c>
      <c r="L20" s="1">
        <v>148736659.74000001</v>
      </c>
      <c r="M20" s="1">
        <v>141921508.88</v>
      </c>
      <c r="N20" s="1">
        <v>136806160.34</v>
      </c>
      <c r="O20" s="1"/>
      <c r="P20" s="1"/>
      <c r="Q20" s="1"/>
      <c r="R20" s="1"/>
      <c r="S20" s="1"/>
    </row>
    <row r="21" spans="1:19" x14ac:dyDescent="0.2">
      <c r="A21" t="s">
        <v>170</v>
      </c>
      <c r="B21" s="1">
        <f>PREVISIONSFIANY!G30</f>
        <v>200210954.40000004</v>
      </c>
      <c r="C21" s="1">
        <v>198704612.16000003</v>
      </c>
      <c r="D21" s="1">
        <v>180834099.25999999</v>
      </c>
      <c r="E21" s="1">
        <v>168736286.91000003</v>
      </c>
      <c r="F21" s="85">
        <v>155181734.50999999</v>
      </c>
      <c r="G21" s="1">
        <v>144233371.49000001</v>
      </c>
      <c r="H21" s="1">
        <v>165748019.88999999</v>
      </c>
      <c r="I21" s="1">
        <v>140756707.94</v>
      </c>
      <c r="J21" s="1">
        <v>146433211.19999999</v>
      </c>
      <c r="K21" s="1">
        <v>150822965.71000004</v>
      </c>
      <c r="L21" s="1">
        <v>144263067.00999999</v>
      </c>
      <c r="M21" s="1">
        <v>126925615.11</v>
      </c>
      <c r="N21" s="1">
        <v>126720971.13</v>
      </c>
      <c r="O21" s="1"/>
      <c r="P21" s="1"/>
      <c r="Q21" s="1"/>
      <c r="R21" s="1"/>
      <c r="S21" s="1"/>
    </row>
    <row r="22" spans="1:19" x14ac:dyDescent="0.2">
      <c r="A22" t="s">
        <v>168</v>
      </c>
      <c r="B22" s="1">
        <f>B20-B21</f>
        <v>-2212145.1700000167</v>
      </c>
      <c r="C22" s="1">
        <f>C20-C21</f>
        <v>41306324.120000005</v>
      </c>
      <c r="D22" s="1">
        <v>16615411.860000014</v>
      </c>
      <c r="E22" s="1">
        <f>E20-E21</f>
        <v>20698734.459999979</v>
      </c>
      <c r="F22" s="1">
        <v>6091392.2199999988</v>
      </c>
      <c r="G22" s="1">
        <v>14404648.25999999</v>
      </c>
      <c r="H22" s="1">
        <v>-13357117.979999989</v>
      </c>
      <c r="I22" s="1">
        <v>14916899.210000008</v>
      </c>
      <c r="J22" s="1">
        <v>17334256.259999961</v>
      </c>
      <c r="K22" s="1">
        <v>10771650.919999957</v>
      </c>
      <c r="L22" s="1">
        <v>4473592.7300000191</v>
      </c>
      <c r="M22" s="1">
        <v>14995893.769999996</v>
      </c>
      <c r="N22" s="1">
        <v>10085189.210000008</v>
      </c>
    </row>
    <row r="24" spans="1:19" x14ac:dyDescent="0.2">
      <c r="B24" s="126" t="s">
        <v>297</v>
      </c>
      <c r="C24" s="1" t="s">
        <v>325</v>
      </c>
      <c r="F24" s="125"/>
    </row>
    <row r="25" spans="1:19" x14ac:dyDescent="0.2">
      <c r="C25" s="117"/>
    </row>
    <row r="26" spans="1:19" x14ac:dyDescent="0.2">
      <c r="C26" s="117"/>
    </row>
    <row r="27" spans="1:19" x14ac:dyDescent="0.2">
      <c r="C27" s="117"/>
    </row>
    <row r="33" spans="3:3" x14ac:dyDescent="0.2">
      <c r="C33" s="1"/>
    </row>
    <row r="34" spans="3:3" x14ac:dyDescent="0.2">
      <c r="C34" s="117"/>
    </row>
    <row r="35" spans="3:3" x14ac:dyDescent="0.2">
      <c r="C35" s="1"/>
    </row>
    <row r="37" spans="3:3" x14ac:dyDescent="0.2">
      <c r="C37" s="1"/>
    </row>
    <row r="38" spans="3:3" x14ac:dyDescent="0.2">
      <c r="C38" s="1"/>
    </row>
  </sheetData>
  <pageMargins left="0.7" right="0.7" top="0.75" bottom="0.75" header="0.3" footer="0.3"/>
  <pageSetup paperSize="9" orientation="portrait" r:id="rId1"/>
  <ignoredErrors>
    <ignoredError sqref="C10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M31"/>
  <sheetViews>
    <sheetView topLeftCell="A4" zoomScale="85" zoomScaleNormal="85" workbookViewId="0">
      <selection activeCell="B21" sqref="B21:D21"/>
    </sheetView>
  </sheetViews>
  <sheetFormatPr baseColWidth="10" defaultColWidth="9.140625" defaultRowHeight="12.75" x14ac:dyDescent="0.2"/>
  <cols>
    <col min="11" max="11" width="12.42578125" bestFit="1" customWidth="1"/>
    <col min="12" max="12" width="10.7109375" bestFit="1" customWidth="1"/>
  </cols>
  <sheetData>
    <row r="1" spans="1:13" x14ac:dyDescent="0.2">
      <c r="C1" s="25" t="s">
        <v>97</v>
      </c>
      <c r="F1" s="25" t="s">
        <v>99</v>
      </c>
      <c r="I1" s="25" t="s">
        <v>100</v>
      </c>
      <c r="L1" s="25" t="s">
        <v>101</v>
      </c>
    </row>
    <row r="2" spans="1:13" x14ac:dyDescent="0.2">
      <c r="B2" t="s">
        <v>8</v>
      </c>
      <c r="C2" t="s">
        <v>10</v>
      </c>
      <c r="D2" t="s">
        <v>98</v>
      </c>
      <c r="E2" t="s">
        <v>8</v>
      </c>
      <c r="F2" t="s">
        <v>10</v>
      </c>
      <c r="G2" t="s">
        <v>98</v>
      </c>
      <c r="H2" t="s">
        <v>8</v>
      </c>
      <c r="I2" t="s">
        <v>10</v>
      </c>
      <c r="J2" t="s">
        <v>98</v>
      </c>
      <c r="K2" t="s">
        <v>8</v>
      </c>
      <c r="L2" t="s">
        <v>10</v>
      </c>
      <c r="M2" t="s">
        <v>98</v>
      </c>
    </row>
    <row r="3" spans="1:13" x14ac:dyDescent="0.2">
      <c r="A3" s="68">
        <v>2007</v>
      </c>
      <c r="B3" s="2">
        <v>0.51619999999999999</v>
      </c>
      <c r="C3" s="2">
        <v>0.1643</v>
      </c>
      <c r="D3" s="2">
        <v>0.1552</v>
      </c>
      <c r="E3" s="2">
        <v>0.65100000000000002</v>
      </c>
      <c r="F3" s="2">
        <v>0.3009</v>
      </c>
      <c r="G3" s="2">
        <v>0.25979999999999998</v>
      </c>
      <c r="H3" s="2">
        <v>0.72289999999999999</v>
      </c>
      <c r="I3" s="2">
        <v>0.41049999999999998</v>
      </c>
      <c r="J3" s="2">
        <v>0.38779999999999998</v>
      </c>
      <c r="K3" s="2"/>
      <c r="L3" s="2"/>
      <c r="M3" s="2"/>
    </row>
    <row r="4" spans="1:13" x14ac:dyDescent="0.2">
      <c r="A4" s="68">
        <v>2008</v>
      </c>
      <c r="B4" s="2">
        <v>0.4103</v>
      </c>
      <c r="C4" s="2">
        <v>0.1215</v>
      </c>
      <c r="D4" s="2">
        <v>0.13389999999999999</v>
      </c>
      <c r="E4" s="2">
        <v>0.53769999999999996</v>
      </c>
      <c r="F4" s="2">
        <v>0.28539999999999999</v>
      </c>
      <c r="G4" s="2">
        <v>0.25850000000000001</v>
      </c>
      <c r="H4" s="2">
        <v>0.70630000000000004</v>
      </c>
      <c r="I4" s="2">
        <v>0.41570000000000001</v>
      </c>
      <c r="J4" s="2">
        <v>0.41349999999999998</v>
      </c>
      <c r="K4" s="2"/>
      <c r="L4" s="2"/>
      <c r="M4" s="2"/>
    </row>
    <row r="5" spans="1:13" x14ac:dyDescent="0.2">
      <c r="A5" s="68">
        <v>2009</v>
      </c>
      <c r="B5" s="2">
        <v>0.4163</v>
      </c>
      <c r="C5" s="2">
        <v>0.1215</v>
      </c>
      <c r="D5" s="2">
        <v>0.129</v>
      </c>
      <c r="E5" s="2">
        <v>0.57189999999999996</v>
      </c>
      <c r="F5" s="2">
        <v>0.27629999999999999</v>
      </c>
      <c r="G5" s="2">
        <v>0.25750000000000001</v>
      </c>
      <c r="H5" s="2">
        <v>0.67700000000000005</v>
      </c>
      <c r="I5" s="2">
        <v>0.36030000000000001</v>
      </c>
      <c r="J5" s="2">
        <v>0.43159999999999998</v>
      </c>
      <c r="K5" s="2"/>
      <c r="L5" s="2"/>
      <c r="M5" s="2"/>
    </row>
    <row r="6" spans="1:13" x14ac:dyDescent="0.2">
      <c r="A6" s="68">
        <v>2010</v>
      </c>
      <c r="B6" s="2">
        <v>0.51580000000000004</v>
      </c>
      <c r="C6" s="2">
        <v>0.12989999999999999</v>
      </c>
      <c r="D6" s="2">
        <v>0.1106</v>
      </c>
      <c r="E6" s="2">
        <v>0.61909999999999998</v>
      </c>
      <c r="F6" s="2">
        <v>0.2838</v>
      </c>
      <c r="G6" s="2">
        <v>0.31569999999999998</v>
      </c>
      <c r="H6" s="2">
        <v>0.71299999999999997</v>
      </c>
      <c r="I6" s="2">
        <v>0.37919999999999998</v>
      </c>
      <c r="J6" s="2">
        <v>0.42509999999999998</v>
      </c>
      <c r="K6" s="2"/>
      <c r="L6" s="2"/>
      <c r="M6" s="2"/>
    </row>
    <row r="7" spans="1:13" x14ac:dyDescent="0.2">
      <c r="A7" s="68">
        <v>2011</v>
      </c>
      <c r="B7" s="2">
        <v>0.47789999999999999</v>
      </c>
      <c r="C7" s="2">
        <v>0.1462</v>
      </c>
      <c r="D7" s="2">
        <v>0.13020000000000001</v>
      </c>
      <c r="E7" s="2">
        <v>0.64159999999999995</v>
      </c>
      <c r="F7" s="2">
        <v>0.31419999999999998</v>
      </c>
      <c r="G7" s="2">
        <v>0.25530000000000003</v>
      </c>
      <c r="H7" s="2">
        <v>0.73860000000000003</v>
      </c>
      <c r="I7" s="2">
        <v>0.44550000000000001</v>
      </c>
      <c r="J7" s="2">
        <v>0.3836</v>
      </c>
      <c r="K7" s="2"/>
      <c r="L7" s="2"/>
      <c r="M7" s="2"/>
    </row>
    <row r="8" spans="1:13" x14ac:dyDescent="0.2">
      <c r="A8" s="68">
        <v>2012</v>
      </c>
      <c r="B8" s="2">
        <v>0.35349999999999998</v>
      </c>
      <c r="C8" s="2">
        <v>0.1135</v>
      </c>
      <c r="D8" s="2">
        <v>0.2072</v>
      </c>
      <c r="E8" s="2">
        <v>0.51929999999999998</v>
      </c>
      <c r="F8" s="2">
        <v>0.30099999999999999</v>
      </c>
      <c r="G8" s="2">
        <v>0.34449999999999997</v>
      </c>
      <c r="H8" s="2">
        <v>0.62090000000000001</v>
      </c>
      <c r="I8" s="2">
        <v>0.40849999999999997</v>
      </c>
      <c r="J8" s="2">
        <v>0.47710000000000002</v>
      </c>
      <c r="K8" s="2"/>
      <c r="L8" s="2"/>
      <c r="M8" s="2"/>
    </row>
    <row r="9" spans="1:13" x14ac:dyDescent="0.2">
      <c r="A9" s="68">
        <v>2013</v>
      </c>
      <c r="B9" s="2">
        <v>0.27400000000000002</v>
      </c>
      <c r="C9" s="2">
        <v>0.1019</v>
      </c>
      <c r="D9" s="2">
        <v>0.14849999999999999</v>
      </c>
      <c r="E9" s="2">
        <v>0.38340000000000002</v>
      </c>
      <c r="F9" s="2">
        <v>0.22639999999999999</v>
      </c>
      <c r="G9" s="2">
        <v>0.3049</v>
      </c>
      <c r="H9" s="2">
        <v>0.57630000000000003</v>
      </c>
      <c r="I9" s="2">
        <v>0.40260000000000001</v>
      </c>
      <c r="J9" s="2">
        <v>0.46450000000000002</v>
      </c>
      <c r="K9" s="2"/>
      <c r="L9" s="2"/>
      <c r="M9" s="2"/>
    </row>
    <row r="10" spans="1:13" x14ac:dyDescent="0.2">
      <c r="A10">
        <v>2014</v>
      </c>
      <c r="B10" s="2">
        <v>0.32200000000000001</v>
      </c>
      <c r="C10" s="2">
        <v>0.10440000000000001</v>
      </c>
      <c r="D10" s="2">
        <v>0.14449999999999999</v>
      </c>
      <c r="E10" s="2">
        <v>0.43540000000000001</v>
      </c>
      <c r="F10" s="2">
        <v>0.24929999999999999</v>
      </c>
      <c r="G10" s="2">
        <v>0.27910000000000001</v>
      </c>
      <c r="H10" s="2">
        <v>0.60760000000000003</v>
      </c>
      <c r="I10" s="2">
        <v>0.3639</v>
      </c>
      <c r="J10" s="2">
        <v>0.42680000000000001</v>
      </c>
      <c r="K10" s="2"/>
      <c r="L10" s="2"/>
      <c r="M10" s="2"/>
    </row>
    <row r="11" spans="1:13" x14ac:dyDescent="0.2">
      <c r="A11">
        <v>2015</v>
      </c>
      <c r="B11" s="2">
        <v>0.34129999999999999</v>
      </c>
      <c r="C11" s="2">
        <v>0.1113</v>
      </c>
      <c r="D11" s="2">
        <v>0.12809999999999999</v>
      </c>
      <c r="E11" s="2">
        <v>0.50850000000000006</v>
      </c>
      <c r="F11" s="2">
        <v>0.2429</v>
      </c>
      <c r="G11" s="2">
        <v>0.21690000000000001</v>
      </c>
      <c r="H11" s="2">
        <v>0.62009999999999998</v>
      </c>
      <c r="I11" s="2">
        <v>0.38819999999999999</v>
      </c>
      <c r="J11" s="2">
        <v>0.38909999999999995</v>
      </c>
    </row>
    <row r="12" spans="1:13" x14ac:dyDescent="0.2">
      <c r="A12">
        <v>2016</v>
      </c>
      <c r="B12" s="2">
        <v>0.34339999999999998</v>
      </c>
      <c r="C12" s="2">
        <v>0.1208</v>
      </c>
      <c r="D12" s="2">
        <v>0.161</v>
      </c>
      <c r="E12" s="2">
        <v>0.45400000000000001</v>
      </c>
      <c r="F12" s="2">
        <v>0.24249999999999999</v>
      </c>
      <c r="G12" s="2">
        <v>0.24310000000000001</v>
      </c>
      <c r="H12" s="2">
        <v>0.62512735466510172</v>
      </c>
      <c r="I12" s="2">
        <v>0.41064534666561747</v>
      </c>
      <c r="J12" s="2">
        <v>0.35876317138333674</v>
      </c>
    </row>
    <row r="13" spans="1:13" x14ac:dyDescent="0.2">
      <c r="A13">
        <v>2017</v>
      </c>
      <c r="B13" s="2">
        <v>0.39517330038863474</v>
      </c>
      <c r="C13" s="2">
        <v>0.19696500182028451</v>
      </c>
      <c r="D13" s="2">
        <v>0.12437951134655878</v>
      </c>
      <c r="E13" s="2">
        <v>0.48328585572219462</v>
      </c>
      <c r="F13" s="2">
        <v>0.33242481837150534</v>
      </c>
      <c r="G13" s="2">
        <v>0.23821803557665586</v>
      </c>
      <c r="H13" s="2">
        <v>0.62231479141684631</v>
      </c>
      <c r="I13" s="2">
        <v>0.42168601164612574</v>
      </c>
      <c r="J13" s="2">
        <v>0.37791398576923479</v>
      </c>
    </row>
    <row r="14" spans="1:13" x14ac:dyDescent="0.2">
      <c r="A14">
        <v>2018</v>
      </c>
      <c r="B14" s="2">
        <v>0.40692284565516967</v>
      </c>
      <c r="C14" s="2">
        <v>0.12198576837105285</v>
      </c>
      <c r="D14" s="2">
        <v>0.11149575782339316</v>
      </c>
      <c r="E14" s="2">
        <v>0.55874316060234619</v>
      </c>
      <c r="F14" s="2">
        <v>0.25602113208082916</v>
      </c>
      <c r="G14" s="2">
        <v>0.22392942557242876</v>
      </c>
      <c r="H14" s="2">
        <f>[1]DESPCAPITOL!K51</f>
        <v>0.66243114998501229</v>
      </c>
      <c r="I14" s="2">
        <f>[1]DESPCAPITOL!M51</f>
        <v>0.33406071529152648</v>
      </c>
      <c r="J14" s="2">
        <f>+[1]INGRCAPITOL!G51</f>
        <v>0.35289330165778887</v>
      </c>
    </row>
    <row r="15" spans="1:13" x14ac:dyDescent="0.2">
      <c r="A15">
        <v>2019</v>
      </c>
      <c r="B15" s="2">
        <v>0.40564183188782699</v>
      </c>
      <c r="C15" s="2">
        <v>0.12989774023568892</v>
      </c>
      <c r="D15" s="2">
        <v>0.12188206068069649</v>
      </c>
      <c r="E15" s="59">
        <v>0.50660000000000005</v>
      </c>
      <c r="F15" s="59">
        <v>0.2515</v>
      </c>
      <c r="G15" s="59">
        <v>0.21809999999999999</v>
      </c>
      <c r="H15" s="59">
        <v>0.59370000000000001</v>
      </c>
      <c r="I15" s="59">
        <v>0.33650000000000002</v>
      </c>
      <c r="J15" s="59">
        <v>0.32429999999999998</v>
      </c>
    </row>
    <row r="16" spans="1:13" x14ac:dyDescent="0.2">
      <c r="A16">
        <v>2020</v>
      </c>
      <c r="B16" s="2">
        <v>0.36647859815265965</v>
      </c>
      <c r="C16" s="2">
        <v>9.0587541799626164E-2</v>
      </c>
      <c r="D16" s="2">
        <v>0.12421450745944236</v>
      </c>
      <c r="E16" s="2">
        <v>0.46768003367225186</v>
      </c>
      <c r="F16" s="2">
        <v>0.21408752344022461</v>
      </c>
      <c r="G16" s="2">
        <v>0.23452613146051912</v>
      </c>
      <c r="H16" s="2">
        <v>0.51007608230314849</v>
      </c>
      <c r="I16" s="2">
        <v>0.31069433298655058</v>
      </c>
      <c r="J16" s="2">
        <v>0.34214824949058281</v>
      </c>
    </row>
    <row r="17" spans="1:10" x14ac:dyDescent="0.2">
      <c r="A17">
        <v>2021</v>
      </c>
      <c r="B17" s="2">
        <v>0.51319429270797123</v>
      </c>
      <c r="C17" s="2">
        <v>0.10448601817810367</v>
      </c>
      <c r="D17" s="2">
        <v>0.12846799990346702</v>
      </c>
      <c r="E17" s="2">
        <v>0.55906199213598473</v>
      </c>
      <c r="F17" s="2">
        <v>0.25709970892511619</v>
      </c>
      <c r="G17" s="2">
        <v>0.2366076166132626</v>
      </c>
      <c r="H17" s="2">
        <v>0.60986182951106427</v>
      </c>
      <c r="I17" s="2">
        <v>0.35744800081869493</v>
      </c>
      <c r="J17" s="2">
        <v>0.352904583539775</v>
      </c>
    </row>
    <row r="18" spans="1:10" x14ac:dyDescent="0.2">
      <c r="A18">
        <v>2022</v>
      </c>
      <c r="B18" s="2">
        <v>0.51034684541004682</v>
      </c>
      <c r="C18" s="2">
        <v>9.7866151914800165E-2</v>
      </c>
      <c r="D18" s="2">
        <v>0.11612158014473699</v>
      </c>
      <c r="E18" s="2">
        <v>0.53970535608210568</v>
      </c>
      <c r="F18" s="2">
        <v>0.23358447715933997</v>
      </c>
      <c r="G18" s="2">
        <v>0.25863549573768158</v>
      </c>
      <c r="H18" s="2">
        <v>0.63021685151070417</v>
      </c>
      <c r="I18" s="2">
        <v>0.32794664566754184</v>
      </c>
      <c r="J18" s="2">
        <v>0.39711958972096872</v>
      </c>
    </row>
    <row r="19" spans="1:10" x14ac:dyDescent="0.2">
      <c r="A19">
        <v>2023</v>
      </c>
      <c r="B19" s="2">
        <v>0.53759999999999997</v>
      </c>
      <c r="C19" s="2">
        <v>0.23269999999999999</v>
      </c>
      <c r="D19" s="2">
        <v>0.2576</v>
      </c>
      <c r="E19" s="59">
        <v>0.55192125746053577</v>
      </c>
      <c r="F19" s="59">
        <v>0.24607470253722666</v>
      </c>
      <c r="G19" s="59">
        <v>0.25716844099800618</v>
      </c>
      <c r="H19" s="2">
        <v>0.62278069295595495</v>
      </c>
      <c r="I19" s="2">
        <v>0.33860652217735415</v>
      </c>
      <c r="J19" s="2">
        <v>0.38841993280018594</v>
      </c>
    </row>
    <row r="20" spans="1:10" x14ac:dyDescent="0.2">
      <c r="A20">
        <v>2024</v>
      </c>
      <c r="B20" s="2">
        <v>0.41670000000000001</v>
      </c>
      <c r="C20" s="2">
        <v>9.2100000000000001E-2</v>
      </c>
      <c r="D20" s="2">
        <v>0.1341</v>
      </c>
      <c r="E20" s="2">
        <v>0.41420000000000001</v>
      </c>
      <c r="F20" s="2">
        <v>0.1661</v>
      </c>
      <c r="G20" s="2">
        <v>0.1623</v>
      </c>
      <c r="H20" s="2">
        <v>0.62560000000000004</v>
      </c>
      <c r="I20" s="2">
        <v>0.32579999999999998</v>
      </c>
      <c r="J20" s="2">
        <v>0.44520000000000004</v>
      </c>
    </row>
    <row r="21" spans="1:10" x14ac:dyDescent="0.2">
      <c r="A21">
        <v>2025</v>
      </c>
      <c r="B21" s="2">
        <f>DESPCAPITOL!K51</f>
        <v>0.45288436570743568</v>
      </c>
      <c r="C21" s="2">
        <f>DESPCAPITOL!M51</f>
        <v>0.13253829924741081</v>
      </c>
      <c r="D21" s="2">
        <f>INGRCAPITOL!G51</f>
        <v>0.20023492587787542</v>
      </c>
    </row>
    <row r="25" spans="1:10" x14ac:dyDescent="0.2">
      <c r="A25" s="68"/>
      <c r="B25" t="s">
        <v>105</v>
      </c>
    </row>
    <row r="28" spans="1:10" x14ac:dyDescent="0.2">
      <c r="A28" t="s">
        <v>102</v>
      </c>
      <c r="B28" t="s">
        <v>103</v>
      </c>
      <c r="C28" t="s">
        <v>104</v>
      </c>
    </row>
    <row r="29" spans="1:10" x14ac:dyDescent="0.2">
      <c r="A29" t="str">
        <f>[2]DESPCAPITOL!B11</f>
        <v>Corporació</v>
      </c>
      <c r="B29" s="2">
        <f>+INGRCAPITOL!G11</f>
        <v>0.21958359573834008</v>
      </c>
      <c r="C29" s="2">
        <f>+DESPCAPITOL!M11</f>
        <v>0.13252713991953508</v>
      </c>
    </row>
    <row r="30" spans="1:10" x14ac:dyDescent="0.2">
      <c r="A30" t="str">
        <f>[2]DESPCAPITOL!B21</f>
        <v>Turisme</v>
      </c>
      <c r="B30" s="2">
        <f>+INGRCAPITOL!G21</f>
        <v>4.0939386002120888E-2</v>
      </c>
      <c r="C30" s="2">
        <f>+DESPCAPITOL!M21</f>
        <v>1.6959653234358437E-2</v>
      </c>
    </row>
    <row r="31" spans="1:10" x14ac:dyDescent="0.2">
      <c r="A31" t="str">
        <f>[2]DESPCAPITOL!B31</f>
        <v>BASE</v>
      </c>
      <c r="B31" s="2">
        <f>+INGRCAPITOL!G31</f>
        <v>1.0456289971708737E-2</v>
      </c>
      <c r="C31" s="2">
        <f>+DESPCAPITOL!M31</f>
        <v>0.14125505317701775</v>
      </c>
    </row>
  </sheetData>
  <phoneticPr fontId="0" type="noConversion"/>
  <pageMargins left="0.75" right="0.75" top="1" bottom="1" header="0" footer="0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I34"/>
  <sheetViews>
    <sheetView topLeftCell="A15" zoomScale="85" zoomScaleNormal="85" workbookViewId="0">
      <selection activeCell="C27" sqref="C27:F28"/>
    </sheetView>
  </sheetViews>
  <sheetFormatPr baseColWidth="10" defaultColWidth="9.140625" defaultRowHeight="12.75" x14ac:dyDescent="0.2"/>
  <cols>
    <col min="1" max="2" width="9.140625" customWidth="1"/>
    <col min="3" max="3" width="14.42578125" bestFit="1" customWidth="1"/>
    <col min="4" max="4" width="13.5703125" customWidth="1"/>
    <col min="5" max="5" width="14.140625" customWidth="1"/>
    <col min="6" max="6" width="12.140625" bestFit="1" customWidth="1"/>
    <col min="7" max="7" width="14.42578125" bestFit="1" customWidth="1"/>
    <col min="8" max="8" width="13.85546875" bestFit="1" customWidth="1"/>
  </cols>
  <sheetData>
    <row r="1" spans="1:9" ht="13.5" thickBot="1" x14ac:dyDescent="0.25">
      <c r="A1" s="86"/>
      <c r="B1" s="87"/>
      <c r="C1" s="88"/>
      <c r="D1" s="88" t="s">
        <v>39</v>
      </c>
      <c r="E1" s="88"/>
      <c r="F1" s="88"/>
      <c r="G1" s="89"/>
    </row>
    <row r="2" spans="1:9" ht="13.5" thickBot="1" x14ac:dyDescent="0.25">
      <c r="A2" s="90"/>
      <c r="B2" s="91"/>
      <c r="C2" s="27" t="s">
        <v>15</v>
      </c>
      <c r="D2" s="27" t="s">
        <v>32</v>
      </c>
      <c r="E2" s="27" t="s">
        <v>31</v>
      </c>
      <c r="F2" s="27" t="s">
        <v>153</v>
      </c>
      <c r="G2" s="27" t="s">
        <v>154</v>
      </c>
    </row>
    <row r="3" spans="1:9" ht="13.5" thickBot="1" x14ac:dyDescent="0.25">
      <c r="A3" s="92"/>
      <c r="B3" s="93" t="s">
        <v>155</v>
      </c>
      <c r="C3" s="121">
        <v>19762331.240000002</v>
      </c>
      <c r="D3" s="121">
        <v>0</v>
      </c>
      <c r="E3" s="121">
        <v>0</v>
      </c>
      <c r="F3" s="121">
        <v>0</v>
      </c>
      <c r="G3" s="28">
        <f>C3+D3+E3-F3</f>
        <v>19762331.240000002</v>
      </c>
    </row>
    <row r="4" spans="1:9" ht="13.5" thickBot="1" x14ac:dyDescent="0.25">
      <c r="A4" s="92"/>
      <c r="B4" s="93" t="s">
        <v>156</v>
      </c>
      <c r="C4" s="121">
        <v>14404862.059999999</v>
      </c>
      <c r="D4" s="121">
        <v>0</v>
      </c>
      <c r="E4" s="121">
        <v>0</v>
      </c>
      <c r="F4" s="121">
        <v>0</v>
      </c>
      <c r="G4" s="28">
        <f t="shared" ref="G4:G13" si="0">C4+D4+E4-F4</f>
        <v>14404862.059999999</v>
      </c>
    </row>
    <row r="5" spans="1:9" ht="13.5" thickBot="1" x14ac:dyDescent="0.25">
      <c r="A5" s="92"/>
      <c r="B5" s="93" t="s">
        <v>157</v>
      </c>
      <c r="C5" s="121">
        <v>2177669.3099999996</v>
      </c>
      <c r="D5" s="121">
        <v>17839300</v>
      </c>
      <c r="E5" s="121">
        <v>19550</v>
      </c>
      <c r="F5" s="121">
        <v>0</v>
      </c>
      <c r="G5" s="28">
        <f t="shared" si="0"/>
        <v>20036519.309999999</v>
      </c>
      <c r="I5" t="s">
        <v>210</v>
      </c>
    </row>
    <row r="6" spans="1:9" ht="13.5" thickBot="1" x14ac:dyDescent="0.25">
      <c r="A6" s="92"/>
      <c r="B6" s="93" t="s">
        <v>158</v>
      </c>
      <c r="C6" s="121">
        <v>131563146.06999999</v>
      </c>
      <c r="D6" s="121">
        <v>80000</v>
      </c>
      <c r="E6" s="121">
        <v>9349160</v>
      </c>
      <c r="F6" s="121">
        <v>6930000</v>
      </c>
      <c r="G6" s="28">
        <f t="shared" si="0"/>
        <v>134062306.06999999</v>
      </c>
    </row>
    <row r="7" spans="1:9" ht="13.5" thickBot="1" x14ac:dyDescent="0.25">
      <c r="A7" s="92"/>
      <c r="B7" s="93" t="s">
        <v>159</v>
      </c>
      <c r="C7" s="121">
        <v>7057599.96</v>
      </c>
      <c r="D7" s="121">
        <v>650700</v>
      </c>
      <c r="E7" s="121">
        <v>61290</v>
      </c>
      <c r="F7" s="121">
        <v>0</v>
      </c>
      <c r="G7" s="28">
        <f t="shared" si="0"/>
        <v>7769589.96</v>
      </c>
    </row>
    <row r="8" spans="1:9" ht="13.5" thickBot="1" x14ac:dyDescent="0.25">
      <c r="A8" s="94" t="s">
        <v>160</v>
      </c>
      <c r="B8" s="95"/>
      <c r="C8" s="29">
        <f>SUM(C3:C7)</f>
        <v>174965608.64000002</v>
      </c>
      <c r="D8" s="29">
        <f>SUM(D3:D7)</f>
        <v>18570000</v>
      </c>
      <c r="E8" s="29">
        <f>SUM(E3:E7)</f>
        <v>9430000</v>
      </c>
      <c r="F8" s="29">
        <f>SUM(F3:F7)</f>
        <v>6930000</v>
      </c>
      <c r="G8" s="29">
        <f>SUM(G3:G7)</f>
        <v>196035608.64000002</v>
      </c>
    </row>
    <row r="9" spans="1:9" ht="13.5" thickBot="1" x14ac:dyDescent="0.25">
      <c r="A9" s="92"/>
      <c r="B9" s="93" t="s">
        <v>161</v>
      </c>
      <c r="C9" s="121">
        <v>1100</v>
      </c>
      <c r="D9" s="121">
        <v>0</v>
      </c>
      <c r="E9" s="121">
        <v>0</v>
      </c>
      <c r="F9" s="121">
        <v>0</v>
      </c>
      <c r="G9" s="28">
        <f t="shared" si="0"/>
        <v>1100</v>
      </c>
      <c r="I9" s="124" t="s">
        <v>299</v>
      </c>
    </row>
    <row r="10" spans="1:9" ht="13.5" thickBot="1" x14ac:dyDescent="0.25">
      <c r="A10" s="92"/>
      <c r="B10" s="93" t="s">
        <v>162</v>
      </c>
      <c r="C10" s="121">
        <v>1362100.5899999999</v>
      </c>
      <c r="D10" s="121">
        <v>0</v>
      </c>
      <c r="E10" s="121">
        <v>0</v>
      </c>
      <c r="F10" s="121">
        <v>0</v>
      </c>
      <c r="G10" s="28">
        <f t="shared" si="0"/>
        <v>1362100.5899999999</v>
      </c>
      <c r="I10" s="124" t="s">
        <v>300</v>
      </c>
    </row>
    <row r="11" spans="1:9" ht="13.5" thickBot="1" x14ac:dyDescent="0.25">
      <c r="A11" s="94" t="s">
        <v>163</v>
      </c>
      <c r="B11" s="95"/>
      <c r="C11" s="29">
        <f>SUM(C8:C10)</f>
        <v>176328809.23000002</v>
      </c>
      <c r="D11" s="29">
        <f>SUM(D8:D10)</f>
        <v>18570000</v>
      </c>
      <c r="E11" s="29">
        <f>SUM(E8:E10)</f>
        <v>9430000</v>
      </c>
      <c r="F11" s="29">
        <f>SUM(F8:F10)</f>
        <v>6930000</v>
      </c>
      <c r="G11" s="29">
        <f>SUM(G8:G10)</f>
        <v>197398809.23000002</v>
      </c>
      <c r="I11" s="124" t="s">
        <v>301</v>
      </c>
    </row>
    <row r="12" spans="1:9" ht="13.5" thickBot="1" x14ac:dyDescent="0.25">
      <c r="A12" s="92"/>
      <c r="B12" s="93" t="s">
        <v>164</v>
      </c>
      <c r="C12" s="121">
        <v>600000</v>
      </c>
      <c r="D12" s="121">
        <v>0</v>
      </c>
      <c r="E12" s="121">
        <v>0</v>
      </c>
      <c r="F12" s="121">
        <v>0</v>
      </c>
      <c r="G12" s="121">
        <f t="shared" si="0"/>
        <v>600000</v>
      </c>
    </row>
    <row r="13" spans="1:9" ht="13.5" thickBot="1" x14ac:dyDescent="0.25">
      <c r="A13" s="92"/>
      <c r="B13" s="93" t="s">
        <v>165</v>
      </c>
      <c r="C13" s="121">
        <v>0</v>
      </c>
      <c r="D13" s="121">
        <v>0</v>
      </c>
      <c r="E13" s="121">
        <v>0</v>
      </c>
      <c r="F13" s="121">
        <v>0</v>
      </c>
      <c r="G13" s="121">
        <f t="shared" si="0"/>
        <v>0</v>
      </c>
    </row>
    <row r="14" spans="1:9" ht="13.5" thickBot="1" x14ac:dyDescent="0.25">
      <c r="A14" s="94" t="s">
        <v>166</v>
      </c>
      <c r="B14" s="95"/>
      <c r="C14" s="29">
        <f>SUM(C12:C13)</f>
        <v>600000</v>
      </c>
      <c r="D14" s="29">
        <f>SUM(D12:D13)</f>
        <v>0</v>
      </c>
      <c r="E14" s="29">
        <f>SUM(E12:E13)</f>
        <v>0</v>
      </c>
      <c r="F14" s="29">
        <f>SUM(F12:F13)</f>
        <v>0</v>
      </c>
      <c r="G14" s="29">
        <f>SUM(G12:G13)</f>
        <v>600000</v>
      </c>
    </row>
    <row r="15" spans="1:9" ht="13.5" thickBot="1" x14ac:dyDescent="0.25">
      <c r="A15" s="96"/>
      <c r="B15" s="30" t="s">
        <v>119</v>
      </c>
      <c r="C15" s="31">
        <f>C11+C14</f>
        <v>176928809.23000002</v>
      </c>
      <c r="D15" s="31">
        <f>D11+D14</f>
        <v>18570000</v>
      </c>
      <c r="E15" s="31">
        <f>E11+E14</f>
        <v>9430000</v>
      </c>
      <c r="F15" s="31">
        <f>F11+F14</f>
        <v>6930000</v>
      </c>
      <c r="G15" s="31">
        <f>G11+G14</f>
        <v>197998809.23000002</v>
      </c>
      <c r="H15" s="1"/>
    </row>
    <row r="16" spans="1:9" ht="13.5" thickBot="1" x14ac:dyDescent="0.25">
      <c r="A16" s="86"/>
      <c r="B16" s="87"/>
      <c r="C16" s="88"/>
      <c r="D16" s="88" t="s">
        <v>167</v>
      </c>
      <c r="E16" s="88"/>
      <c r="F16" s="88"/>
      <c r="G16" s="89"/>
    </row>
    <row r="17" spans="1:9" ht="13.5" thickBot="1" x14ac:dyDescent="0.25">
      <c r="A17" s="90"/>
      <c r="B17" s="91"/>
      <c r="C17" s="27" t="s">
        <v>15</v>
      </c>
      <c r="D17" s="27" t="s">
        <v>32</v>
      </c>
      <c r="E17" s="27" t="s">
        <v>31</v>
      </c>
      <c r="F17" s="27" t="s">
        <v>153</v>
      </c>
      <c r="G17" s="27" t="s">
        <v>154</v>
      </c>
    </row>
    <row r="18" spans="1:9" ht="13.5" thickBot="1" x14ac:dyDescent="0.25">
      <c r="A18" s="92"/>
      <c r="B18" s="93" t="s">
        <v>155</v>
      </c>
      <c r="C18" s="121">
        <v>60664642.579999998</v>
      </c>
      <c r="D18" s="121">
        <v>10351668.33</v>
      </c>
      <c r="E18" s="121">
        <v>1438796</v>
      </c>
      <c r="F18" s="121">
        <v>0</v>
      </c>
      <c r="G18" s="28">
        <f>SUM(C18:E18)-F18</f>
        <v>72455106.909999996</v>
      </c>
    </row>
    <row r="19" spans="1:9" ht="13.5" thickBot="1" x14ac:dyDescent="0.25">
      <c r="A19" s="92"/>
      <c r="B19" s="93" t="s">
        <v>156</v>
      </c>
      <c r="C19" s="121">
        <v>20195443.719999999</v>
      </c>
      <c r="D19" s="121">
        <v>5391552.5800000001</v>
      </c>
      <c r="E19" s="121">
        <v>4969122.26</v>
      </c>
      <c r="F19" s="121">
        <v>0</v>
      </c>
      <c r="G19" s="28">
        <f t="shared" ref="G19:G28" si="1">SUM(C19:E19)-F19</f>
        <v>30556118.559999995</v>
      </c>
    </row>
    <row r="20" spans="1:9" ht="13.5" thickBot="1" x14ac:dyDescent="0.25">
      <c r="A20" s="92"/>
      <c r="B20" s="93" t="s">
        <v>157</v>
      </c>
      <c r="C20" s="121">
        <v>66451.39</v>
      </c>
      <c r="D20" s="121">
        <v>610876.91</v>
      </c>
      <c r="E20" s="121">
        <v>571.34</v>
      </c>
      <c r="F20" s="121">
        <v>0</v>
      </c>
      <c r="G20" s="28">
        <f t="shared" si="1"/>
        <v>677899.64</v>
      </c>
    </row>
    <row r="21" spans="1:9" ht="13.5" thickBot="1" x14ac:dyDescent="0.25">
      <c r="A21" s="92"/>
      <c r="B21" s="93" t="s">
        <v>158</v>
      </c>
      <c r="C21" s="121">
        <v>41799597.439999998</v>
      </c>
      <c r="D21" s="121">
        <v>0</v>
      </c>
      <c r="E21" s="121">
        <v>1980595.31</v>
      </c>
      <c r="F21" s="121">
        <v>6930000</v>
      </c>
      <c r="G21" s="28">
        <f t="shared" si="1"/>
        <v>36850192.75</v>
      </c>
    </row>
    <row r="22" spans="1:9" ht="13.5" thickBot="1" x14ac:dyDescent="0.25">
      <c r="A22" s="92"/>
      <c r="B22" s="93" t="s">
        <v>159</v>
      </c>
      <c r="C22" s="121">
        <v>0</v>
      </c>
      <c r="D22" s="121">
        <v>0</v>
      </c>
      <c r="E22" s="121">
        <v>0</v>
      </c>
      <c r="F22" s="121">
        <v>0</v>
      </c>
      <c r="G22" s="28">
        <f t="shared" si="1"/>
        <v>0</v>
      </c>
    </row>
    <row r="23" spans="1:9" ht="13.5" thickBot="1" x14ac:dyDescent="0.25">
      <c r="A23" s="94" t="s">
        <v>160</v>
      </c>
      <c r="B23" s="95"/>
      <c r="C23" s="29">
        <f>SUM(C18:C22)</f>
        <v>122726135.13</v>
      </c>
      <c r="D23" s="29">
        <f>SUM(D18:D22)</f>
        <v>16354097.82</v>
      </c>
      <c r="E23" s="29">
        <f>SUM(E18:E22)</f>
        <v>8389084.9100000001</v>
      </c>
      <c r="F23" s="29">
        <f>SUM(F18:F22)</f>
        <v>6930000</v>
      </c>
      <c r="G23" s="29">
        <f>SUM(G18:G22)</f>
        <v>140539317.86000001</v>
      </c>
    </row>
    <row r="24" spans="1:9" ht="13.5" thickBot="1" x14ac:dyDescent="0.25">
      <c r="A24" s="92"/>
      <c r="B24" s="93" t="s">
        <v>161</v>
      </c>
      <c r="C24" s="121">
        <v>21165856.23</v>
      </c>
      <c r="D24" s="121">
        <v>743450</v>
      </c>
      <c r="E24" s="121">
        <v>2656.01</v>
      </c>
      <c r="F24" s="121">
        <v>0</v>
      </c>
      <c r="G24" s="28">
        <f t="shared" si="1"/>
        <v>21911962.240000002</v>
      </c>
    </row>
    <row r="25" spans="1:9" ht="13.5" thickBot="1" x14ac:dyDescent="0.25">
      <c r="A25" s="92"/>
      <c r="B25" s="93" t="s">
        <v>162</v>
      </c>
      <c r="C25" s="121">
        <v>37206544.299999997</v>
      </c>
      <c r="D25" s="121">
        <v>0</v>
      </c>
      <c r="E25" s="121">
        <v>0</v>
      </c>
      <c r="F25" s="121">
        <v>0</v>
      </c>
      <c r="G25" s="28">
        <f t="shared" si="1"/>
        <v>37206544.299999997</v>
      </c>
    </row>
    <row r="26" spans="1:9" ht="13.5" thickBot="1" x14ac:dyDescent="0.25">
      <c r="A26" s="94" t="s">
        <v>163</v>
      </c>
      <c r="B26" s="95"/>
      <c r="C26" s="29">
        <f>SUM(C23:C25)</f>
        <v>181098535.65999997</v>
      </c>
      <c r="D26" s="29">
        <f>SUM(D23:D25)</f>
        <v>17097547.82</v>
      </c>
      <c r="E26" s="29">
        <f>SUM(E23:E25)</f>
        <v>8391740.9199999999</v>
      </c>
      <c r="F26" s="29">
        <f>SUM(F23:F25)</f>
        <v>6930000</v>
      </c>
      <c r="G26" s="29">
        <f>SUM(G23:G25)</f>
        <v>199657824.40000004</v>
      </c>
    </row>
    <row r="27" spans="1:9" ht="13.5" thickBot="1" x14ac:dyDescent="0.25">
      <c r="A27" s="92"/>
      <c r="B27" s="93" t="s">
        <v>164</v>
      </c>
      <c r="C27" s="121">
        <v>553130</v>
      </c>
      <c r="D27" s="121">
        <v>0</v>
      </c>
      <c r="E27" s="121">
        <v>0</v>
      </c>
      <c r="F27" s="121">
        <v>0</v>
      </c>
      <c r="G27" s="28">
        <f t="shared" si="1"/>
        <v>553130</v>
      </c>
    </row>
    <row r="28" spans="1:9" ht="13.5" thickBot="1" x14ac:dyDescent="0.25">
      <c r="A28" s="92"/>
      <c r="B28" s="93" t="s">
        <v>165</v>
      </c>
      <c r="C28" s="121">
        <v>0</v>
      </c>
      <c r="D28" s="121">
        <v>0</v>
      </c>
      <c r="E28" s="121">
        <v>0</v>
      </c>
      <c r="F28" s="121">
        <v>0</v>
      </c>
      <c r="G28" s="28">
        <f t="shared" si="1"/>
        <v>0</v>
      </c>
    </row>
    <row r="29" spans="1:9" ht="13.5" thickBot="1" x14ac:dyDescent="0.25">
      <c r="A29" s="94" t="s">
        <v>166</v>
      </c>
      <c r="B29" s="95"/>
      <c r="C29" s="29">
        <f>SUM(C27:C28)</f>
        <v>553130</v>
      </c>
      <c r="D29" s="29">
        <f>SUM(D27:D28)</f>
        <v>0</v>
      </c>
      <c r="E29" s="29">
        <f>SUM(E27:E28)</f>
        <v>0</v>
      </c>
      <c r="F29" s="29">
        <f>SUM(F27:F28)</f>
        <v>0</v>
      </c>
      <c r="G29" s="29">
        <f>SUM(G27:G28)</f>
        <v>553130</v>
      </c>
    </row>
    <row r="30" spans="1:9" ht="13.5" thickBot="1" x14ac:dyDescent="0.25">
      <c r="A30" s="96"/>
      <c r="B30" s="30" t="s">
        <v>119</v>
      </c>
      <c r="C30" s="31">
        <f>C26+C29</f>
        <v>181651665.65999997</v>
      </c>
      <c r="D30" s="31">
        <f>D26+D29</f>
        <v>17097547.82</v>
      </c>
      <c r="E30" s="31">
        <f>E26+E29</f>
        <v>8391740.9199999999</v>
      </c>
      <c r="F30" s="31">
        <f>F26+F29</f>
        <v>6930000</v>
      </c>
      <c r="G30" s="31">
        <f>G26+G29</f>
        <v>200210954.40000004</v>
      </c>
    </row>
    <row r="31" spans="1:9" x14ac:dyDescent="0.2">
      <c r="I31" s="124" t="s">
        <v>299</v>
      </c>
    </row>
    <row r="32" spans="1:9" x14ac:dyDescent="0.2">
      <c r="I32" s="124" t="s">
        <v>300</v>
      </c>
    </row>
    <row r="33" spans="6:9" x14ac:dyDescent="0.2">
      <c r="I33" s="124" t="s">
        <v>301</v>
      </c>
    </row>
    <row r="34" spans="6:9" x14ac:dyDescent="0.2">
      <c r="F34" t="s">
        <v>168</v>
      </c>
      <c r="G34" s="117">
        <f>G15-G30</f>
        <v>-2212145.1700000167</v>
      </c>
    </row>
  </sheetData>
  <pageMargins left="0.7" right="0.7" top="0.75" bottom="0.75" header="0.3" footer="0.3"/>
  <pageSetup paperSize="9" orientation="portrait"/>
  <ignoredErrors>
    <ignoredError sqref="G23:G26 G8" formula="1"/>
    <ignoredError sqref="C14:F14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G18"/>
  <sheetViews>
    <sheetView topLeftCell="A2" workbookViewId="0">
      <selection activeCell="B18" sqref="B18:E18"/>
    </sheetView>
  </sheetViews>
  <sheetFormatPr baseColWidth="10" defaultColWidth="9.140625" defaultRowHeight="12.75" x14ac:dyDescent="0.2"/>
  <cols>
    <col min="1" max="1" width="9.140625" customWidth="1"/>
    <col min="2" max="2" width="22.28515625" style="1" bestFit="1" customWidth="1"/>
    <col min="3" max="3" width="30.7109375" style="1" bestFit="1" customWidth="1"/>
    <col min="4" max="4" width="16" style="2" customWidth="1"/>
    <col min="5" max="5" width="16.5703125" style="1" customWidth="1"/>
    <col min="6" max="6" width="23.5703125" customWidth="1"/>
    <col min="7" max="7" width="12.28515625" bestFit="1" customWidth="1"/>
  </cols>
  <sheetData>
    <row r="1" spans="1:7" x14ac:dyDescent="0.2">
      <c r="B1" s="1" t="s">
        <v>173</v>
      </c>
      <c r="C1" s="1" t="s">
        <v>179</v>
      </c>
      <c r="D1" s="2" t="s">
        <v>174</v>
      </c>
      <c r="E1" s="1" t="s">
        <v>175</v>
      </c>
    </row>
    <row r="2" spans="1:7" x14ac:dyDescent="0.2">
      <c r="A2">
        <v>2014</v>
      </c>
      <c r="B2" s="1">
        <v>32586646.260000002</v>
      </c>
      <c r="C2" s="35">
        <f t="shared" ref="C2:C13" si="0">ROUND(B2/1000,0)</f>
        <v>32587</v>
      </c>
      <c r="D2" s="2">
        <v>0.22961034251788745</v>
      </c>
      <c r="E2" s="1">
        <v>141921508.86000001</v>
      </c>
    </row>
    <row r="3" spans="1:7" x14ac:dyDescent="0.2">
      <c r="A3">
        <v>2015</v>
      </c>
      <c r="B3" s="1">
        <v>13060283.65</v>
      </c>
      <c r="C3" s="35">
        <f t="shared" si="0"/>
        <v>13060</v>
      </c>
      <c r="D3" s="2">
        <v>9.1960139820418063E-2</v>
      </c>
      <c r="E3" s="1">
        <v>142021137.37</v>
      </c>
    </row>
    <row r="4" spans="1:7" x14ac:dyDescent="0.2">
      <c r="A4">
        <v>2016</v>
      </c>
      <c r="B4" s="1">
        <v>31706355.109999999</v>
      </c>
      <c r="C4" s="35">
        <f t="shared" si="0"/>
        <v>31706</v>
      </c>
      <c r="D4" s="2">
        <f>B4/E4</f>
        <v>0.21224865590963879</v>
      </c>
      <c r="E4" s="1">
        <f>165459221.52-15647521.58-428633.3</f>
        <v>149383066.63999999</v>
      </c>
    </row>
    <row r="5" spans="1:7" x14ac:dyDescent="0.2">
      <c r="A5">
        <v>2017</v>
      </c>
      <c r="B5" s="1">
        <v>25632589.810000017</v>
      </c>
      <c r="C5" s="35">
        <f t="shared" si="0"/>
        <v>25633</v>
      </c>
      <c r="D5" s="2">
        <f>B5/E5</f>
        <v>0.17334663382143567</v>
      </c>
      <c r="E5" s="1">
        <v>147868979.31</v>
      </c>
    </row>
    <row r="6" spans="1:7" x14ac:dyDescent="0.2">
      <c r="A6">
        <v>2018</v>
      </c>
      <c r="B6" s="1">
        <v>21573837.920000032</v>
      </c>
      <c r="C6" s="35">
        <f t="shared" si="0"/>
        <v>21574</v>
      </c>
      <c r="D6" s="2">
        <f>B6/E6</f>
        <v>0.14772373353551443</v>
      </c>
      <c r="E6" s="1">
        <v>146041786.27000001</v>
      </c>
    </row>
    <row r="7" spans="1:7" x14ac:dyDescent="0.2">
      <c r="A7">
        <v>2019</v>
      </c>
      <c r="B7" s="1">
        <v>16123478.402187582</v>
      </c>
      <c r="C7" s="35">
        <f t="shared" si="0"/>
        <v>16123</v>
      </c>
      <c r="D7" s="2">
        <f t="shared" ref="D7:D13" si="1">+B7/E7</f>
        <v>0.10582131169574772</v>
      </c>
      <c r="E7" s="1">
        <v>152365134.62</v>
      </c>
    </row>
    <row r="8" spans="1:7" x14ac:dyDescent="0.2">
      <c r="A8">
        <v>2020</v>
      </c>
      <c r="B8" s="1">
        <v>19977830.949999973</v>
      </c>
      <c r="C8" s="35">
        <f t="shared" si="0"/>
        <v>19978</v>
      </c>
      <c r="D8" s="2">
        <f t="shared" si="1"/>
        <v>0.12680014544068002</v>
      </c>
      <c r="E8" s="1">
        <v>157553691.12999997</v>
      </c>
    </row>
    <row r="9" spans="1:7" x14ac:dyDescent="0.2">
      <c r="A9">
        <v>2021</v>
      </c>
      <c r="B9" s="1">
        <v>6996221.0299999639</v>
      </c>
      <c r="C9" s="35">
        <f t="shared" si="0"/>
        <v>6996</v>
      </c>
      <c r="D9" s="2">
        <f t="shared" si="1"/>
        <v>4.3374623797511933E-2</v>
      </c>
      <c r="E9" s="1">
        <v>161297561.05000001</v>
      </c>
    </row>
    <row r="10" spans="1:7" x14ac:dyDescent="0.2">
      <c r="A10">
        <v>2022</v>
      </c>
      <c r="B10" s="1">
        <v>27047078.489999998</v>
      </c>
      <c r="C10" s="35">
        <f t="shared" si="0"/>
        <v>27047</v>
      </c>
      <c r="D10" s="2">
        <f t="shared" si="1"/>
        <v>0.14908698220760777</v>
      </c>
      <c r="E10" s="1">
        <v>181418109.68000001</v>
      </c>
    </row>
    <row r="11" spans="1:7" x14ac:dyDescent="0.2">
      <c r="A11">
        <v>2023</v>
      </c>
      <c r="B11" s="1">
        <v>25416184.388279166</v>
      </c>
      <c r="C11" s="35">
        <f t="shared" si="0"/>
        <v>25416</v>
      </c>
      <c r="D11" s="2">
        <f t="shared" si="1"/>
        <v>0.13238685679373136</v>
      </c>
      <c r="E11" s="1">
        <v>191984196.94999999</v>
      </c>
      <c r="F11" s="1"/>
      <c r="G11" s="1"/>
    </row>
    <row r="12" spans="1:7" x14ac:dyDescent="0.2">
      <c r="A12">
        <v>2024</v>
      </c>
      <c r="B12" s="1">
        <v>40095656.670000002</v>
      </c>
      <c r="C12" s="35">
        <f t="shared" si="0"/>
        <v>40096</v>
      </c>
      <c r="D12" s="2">
        <f t="shared" si="1"/>
        <v>0.16653695047652173</v>
      </c>
      <c r="E12" s="1">
        <v>240761323.87</v>
      </c>
      <c r="F12" s="108" t="s">
        <v>302</v>
      </c>
      <c r="G12" s="1"/>
    </row>
    <row r="13" spans="1:7" x14ac:dyDescent="0.2">
      <c r="A13">
        <v>2025</v>
      </c>
      <c r="B13" s="127">
        <v>6076830.4199999999</v>
      </c>
      <c r="C13" s="35">
        <f t="shared" si="0"/>
        <v>6077</v>
      </c>
      <c r="D13" s="2">
        <f t="shared" si="1"/>
        <v>3.0998605111377992E-2</v>
      </c>
      <c r="E13" s="1">
        <f>+PREVISIONSFIANY!G8</f>
        <v>196035608.64000002</v>
      </c>
    </row>
    <row r="14" spans="1:7" x14ac:dyDescent="0.2">
      <c r="B14" s="140" t="s">
        <v>299</v>
      </c>
    </row>
    <row r="15" spans="1:7" x14ac:dyDescent="0.2">
      <c r="B15" s="140" t="s">
        <v>300</v>
      </c>
    </row>
    <row r="16" spans="1:7" x14ac:dyDescent="0.2">
      <c r="B16" s="140" t="s">
        <v>301</v>
      </c>
    </row>
    <row r="18" spans="4:4" x14ac:dyDescent="0.2">
      <c r="D18" s="1"/>
    </row>
  </sheetData>
  <pageMargins left="0.7" right="0.7" top="0.75" bottom="0.75" header="0.3" footer="0.3"/>
  <pageSetup paperSize="9" orientation="portrait"/>
  <ignoredErrors>
    <ignoredError sqref="D12" evalErro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M24"/>
  <sheetViews>
    <sheetView topLeftCell="A11" zoomScale="85" zoomScaleNormal="85" workbookViewId="0">
      <selection activeCell="A24" sqref="A24"/>
    </sheetView>
  </sheetViews>
  <sheetFormatPr baseColWidth="10" defaultColWidth="9.140625" defaultRowHeight="12.75" x14ac:dyDescent="0.2"/>
  <cols>
    <col min="1" max="1" width="9.140625" style="51" customWidth="1"/>
    <col min="2" max="2" width="14.28515625" style="51" bestFit="1" customWidth="1"/>
    <col min="3" max="3" width="15.7109375" style="51" bestFit="1" customWidth="1"/>
    <col min="4" max="4" width="21" style="51" bestFit="1" customWidth="1"/>
    <col min="5" max="5" width="14.28515625" style="51" bestFit="1" customWidth="1"/>
    <col min="6" max="6" width="14" style="51" customWidth="1"/>
    <col min="7" max="7" width="14.28515625" style="51" bestFit="1" customWidth="1"/>
    <col min="8" max="8" width="14" style="51" customWidth="1"/>
    <col min="9" max="9" width="14.140625" style="51" customWidth="1"/>
    <col min="10" max="10" width="13.7109375" style="51" bestFit="1" customWidth="1"/>
    <col min="11" max="11" width="21" style="51" bestFit="1" customWidth="1"/>
    <col min="12" max="12" width="13.5703125" style="51" customWidth="1"/>
    <col min="13" max="13" width="12.5703125" style="51" customWidth="1"/>
    <col min="14" max="16384" width="9.140625" style="51"/>
  </cols>
  <sheetData>
    <row r="2" spans="1:13" x14ac:dyDescent="0.2">
      <c r="F2" s="52" t="s">
        <v>241</v>
      </c>
    </row>
    <row r="4" spans="1:13" s="53" customFormat="1" ht="76.5" x14ac:dyDescent="0.2">
      <c r="A4" s="69" t="s">
        <v>176</v>
      </c>
      <c r="B4" s="69" t="s">
        <v>242</v>
      </c>
      <c r="C4" s="69" t="s">
        <v>243</v>
      </c>
      <c r="D4" s="69" t="s">
        <v>244</v>
      </c>
      <c r="E4" s="69" t="s">
        <v>245</v>
      </c>
      <c r="F4" s="69" t="s">
        <v>246</v>
      </c>
      <c r="G4" s="69" t="s">
        <v>247</v>
      </c>
      <c r="H4" s="69" t="s">
        <v>248</v>
      </c>
      <c r="I4" s="69" t="s">
        <v>249</v>
      </c>
      <c r="J4" s="69" t="s">
        <v>250</v>
      </c>
    </row>
    <row r="5" spans="1:13" s="53" customFormat="1" x14ac:dyDescent="0.2">
      <c r="A5" s="70" t="s">
        <v>262</v>
      </c>
      <c r="B5" s="71" t="s">
        <v>251</v>
      </c>
      <c r="C5" s="72" t="s">
        <v>251</v>
      </c>
      <c r="D5" s="73"/>
      <c r="E5" s="73"/>
      <c r="F5" s="73"/>
      <c r="G5" s="73"/>
      <c r="H5" s="74" t="s">
        <v>251</v>
      </c>
      <c r="I5" s="73"/>
      <c r="J5" s="73"/>
    </row>
    <row r="6" spans="1:13" s="53" customFormat="1" x14ac:dyDescent="0.2">
      <c r="A6" s="70" t="s">
        <v>252</v>
      </c>
      <c r="B6" s="75">
        <v>140298395.38999999</v>
      </c>
      <c r="C6" s="72" t="s">
        <v>251</v>
      </c>
      <c r="D6" s="76">
        <v>0</v>
      </c>
      <c r="E6" s="75">
        <v>140298395.38999999</v>
      </c>
      <c r="F6" s="75">
        <v>0</v>
      </c>
      <c r="G6" s="75">
        <v>140298395.38999999</v>
      </c>
      <c r="H6" s="74" t="s">
        <v>251</v>
      </c>
      <c r="I6" s="75">
        <f>94849802.69+3984112.17+13032588.07</f>
        <v>111866502.93000001</v>
      </c>
      <c r="J6" s="75">
        <f>+G6-I6</f>
        <v>28431892.459999979</v>
      </c>
      <c r="K6" s="54"/>
      <c r="M6" s="55"/>
    </row>
    <row r="7" spans="1:13" s="53" customFormat="1" x14ac:dyDescent="0.2">
      <c r="A7" s="70" t="s">
        <v>253</v>
      </c>
      <c r="B7" s="75">
        <v>111928551.13347708</v>
      </c>
      <c r="C7" s="72" t="s">
        <v>251</v>
      </c>
      <c r="D7" s="76">
        <v>1.7000000000000001E-2</v>
      </c>
      <c r="E7" s="75">
        <v>113831336.50274616</v>
      </c>
      <c r="F7" s="75">
        <v>20123125.080000006</v>
      </c>
      <c r="G7" s="75">
        <v>133954461.58274616</v>
      </c>
      <c r="H7" s="74" t="s">
        <v>251</v>
      </c>
      <c r="I7" s="75">
        <v>113090634.84999999</v>
      </c>
      <c r="J7" s="75">
        <v>20863826.73274618</v>
      </c>
      <c r="K7" s="54"/>
      <c r="L7" s="54"/>
      <c r="M7" s="55"/>
    </row>
    <row r="8" spans="1:13" s="53" customFormat="1" x14ac:dyDescent="0.2">
      <c r="A8" s="70" t="s">
        <v>254</v>
      </c>
      <c r="B8" s="75">
        <v>113090634.85000001</v>
      </c>
      <c r="C8" s="72" t="s">
        <v>251</v>
      </c>
      <c r="D8" s="76">
        <v>1.4999999999999999E-2</v>
      </c>
      <c r="E8" s="75">
        <v>114786994.37275</v>
      </c>
      <c r="F8" s="75">
        <v>0</v>
      </c>
      <c r="G8" s="75">
        <v>114786994.37275</v>
      </c>
      <c r="H8" s="75">
        <v>5565323.4100000001</v>
      </c>
      <c r="I8" s="75">
        <v>110518541.95000002</v>
      </c>
      <c r="J8" s="75">
        <v>9833775.8300000001</v>
      </c>
      <c r="K8" s="54"/>
      <c r="L8" s="54"/>
      <c r="M8" s="55"/>
    </row>
    <row r="9" spans="1:13" s="53" customFormat="1" x14ac:dyDescent="0.2">
      <c r="A9" s="70" t="s">
        <v>263</v>
      </c>
      <c r="B9" s="77">
        <v>110518541.94000003</v>
      </c>
      <c r="C9" s="77">
        <v>-5565323.4099999992</v>
      </c>
      <c r="D9" s="76">
        <v>1.2999999999999999E-2</v>
      </c>
      <c r="E9" s="75">
        <v>106317610.37</v>
      </c>
      <c r="F9" s="75">
        <v>0</v>
      </c>
      <c r="G9" s="75">
        <v>106317610.37</v>
      </c>
      <c r="H9" s="75">
        <v>1823726.72</v>
      </c>
      <c r="I9" s="75">
        <v>122866657.93000001</v>
      </c>
      <c r="J9" s="75">
        <v>-14725320.84</v>
      </c>
      <c r="K9" s="54"/>
      <c r="L9" s="54"/>
      <c r="M9" s="55"/>
    </row>
    <row r="10" spans="1:13" s="53" customFormat="1" x14ac:dyDescent="0.2">
      <c r="A10" s="78">
        <v>2016</v>
      </c>
      <c r="B10" s="75">
        <v>122865939.52000001</v>
      </c>
      <c r="C10" s="75">
        <v>-1823726.72</v>
      </c>
      <c r="D10" s="79">
        <v>1.7999999999999999E-2</v>
      </c>
      <c r="E10" s="75">
        <v>123220972.63</v>
      </c>
      <c r="F10" s="75">
        <v>0</v>
      </c>
      <c r="G10" s="75">
        <v>123220972.63</v>
      </c>
      <c r="H10" s="75">
        <v>2628818.6</v>
      </c>
      <c r="I10" s="75">
        <v>115535528.16</v>
      </c>
      <c r="J10" s="75">
        <v>10314263.07</v>
      </c>
      <c r="K10" s="54"/>
      <c r="L10" s="54"/>
      <c r="M10" s="55"/>
    </row>
    <row r="11" spans="1:13" s="53" customFormat="1" x14ac:dyDescent="0.2">
      <c r="A11" s="78">
        <v>2017</v>
      </c>
      <c r="B11" s="75">
        <v>115535528.16000001</v>
      </c>
      <c r="C11" s="75">
        <v>-2628818.6</v>
      </c>
      <c r="D11" s="79">
        <v>2.1000000000000001E-2</v>
      </c>
      <c r="E11" s="75">
        <v>115277750.45999999</v>
      </c>
      <c r="F11" s="75">
        <v>0</v>
      </c>
      <c r="G11" s="75">
        <v>115277750.45999999</v>
      </c>
      <c r="H11" s="75">
        <v>13344205.140000001</v>
      </c>
      <c r="I11" s="75">
        <v>117304963.56999999</v>
      </c>
      <c r="J11" s="75">
        <v>11316992.029999994</v>
      </c>
      <c r="K11" s="54"/>
      <c r="L11" s="54"/>
      <c r="M11" s="55"/>
    </row>
    <row r="12" spans="1:13" x14ac:dyDescent="0.2">
      <c r="A12" s="70" t="s">
        <v>264</v>
      </c>
      <c r="B12" s="75">
        <v>117456368.89</v>
      </c>
      <c r="C12" s="75">
        <v>-13344205.140000001</v>
      </c>
      <c r="D12" s="79">
        <v>2.4E-2</v>
      </c>
      <c r="E12" s="75">
        <v>106610855.69</v>
      </c>
      <c r="F12" s="75">
        <v>0</v>
      </c>
      <c r="G12" s="75">
        <v>106610855.69</v>
      </c>
      <c r="H12" s="75">
        <v>11363221.869999999</v>
      </c>
      <c r="I12" s="75">
        <v>128305783.01000001</v>
      </c>
      <c r="J12" s="75">
        <v>-10331705.449999999</v>
      </c>
      <c r="K12" s="54"/>
      <c r="L12" s="54"/>
      <c r="M12" s="55"/>
    </row>
    <row r="13" spans="1:13" x14ac:dyDescent="0.2">
      <c r="A13" s="70">
        <v>2019</v>
      </c>
      <c r="B13" s="75">
        <v>128305783.01000001</v>
      </c>
      <c r="C13" s="75">
        <v>-11363221.869999999</v>
      </c>
      <c r="D13" s="79">
        <v>2.7E-2</v>
      </c>
      <c r="E13" s="75">
        <v>120100010.29000001</v>
      </c>
      <c r="F13" s="75">
        <v>0</v>
      </c>
      <c r="G13" s="75">
        <v>120100010.29000001</v>
      </c>
      <c r="H13" s="75">
        <v>13386485.77</v>
      </c>
      <c r="I13" s="75">
        <v>136759960.28</v>
      </c>
      <c r="J13" s="75">
        <v>-3273464.24</v>
      </c>
      <c r="K13" s="54"/>
      <c r="L13" s="54"/>
      <c r="M13" s="55"/>
    </row>
    <row r="14" spans="1:13" x14ac:dyDescent="0.2">
      <c r="A14" s="80">
        <v>2020</v>
      </c>
      <c r="B14" s="97">
        <v>136759960.28</v>
      </c>
      <c r="C14" s="97">
        <v>-13386485.77</v>
      </c>
      <c r="D14" s="81">
        <v>0</v>
      </c>
      <c r="E14" s="97">
        <v>123280783.59</v>
      </c>
      <c r="F14" s="97">
        <v>0</v>
      </c>
      <c r="G14" s="97">
        <v>123280783.59</v>
      </c>
      <c r="H14" s="97">
        <v>6212207.8799999999</v>
      </c>
      <c r="I14" s="97">
        <v>133260980.50794545</v>
      </c>
      <c r="J14" s="103">
        <v>-3675299.9879454547</v>
      </c>
      <c r="K14" s="54"/>
    </row>
    <row r="15" spans="1:13" x14ac:dyDescent="0.2">
      <c r="A15" s="82">
        <v>2021</v>
      </c>
      <c r="B15" s="83">
        <v>133260980.50794545</v>
      </c>
      <c r="C15" s="83">
        <v>-6212207.8799999999</v>
      </c>
      <c r="D15" s="81">
        <v>0</v>
      </c>
      <c r="E15" s="83">
        <v>127048772.63</v>
      </c>
      <c r="F15" s="83">
        <v>0</v>
      </c>
      <c r="G15" s="83">
        <v>127048772.63</v>
      </c>
      <c r="H15" s="83">
        <v>0</v>
      </c>
      <c r="I15" s="83">
        <v>147564684.38274941</v>
      </c>
      <c r="J15" s="104">
        <v>-20515911.752749432</v>
      </c>
      <c r="K15" s="54"/>
    </row>
    <row r="16" spans="1:13" ht="15" x14ac:dyDescent="0.2">
      <c r="A16" s="141" t="s">
        <v>276</v>
      </c>
      <c r="B16" s="142">
        <v>147498014.91</v>
      </c>
      <c r="C16" s="142">
        <v>0</v>
      </c>
      <c r="D16" s="143">
        <v>0</v>
      </c>
      <c r="E16" s="142">
        <v>147498014.91999999</v>
      </c>
      <c r="F16" s="142">
        <v>0</v>
      </c>
      <c r="G16" s="142">
        <v>147498014.91999999</v>
      </c>
      <c r="H16" s="142">
        <v>0</v>
      </c>
      <c r="I16" s="142">
        <v>155673859.52000001</v>
      </c>
      <c r="J16" s="83">
        <f>G16-I16</f>
        <v>-8175844.6000000238</v>
      </c>
      <c r="K16" s="54"/>
    </row>
    <row r="17" spans="1:11" x14ac:dyDescent="0.2">
      <c r="A17" s="144">
        <v>2023</v>
      </c>
      <c r="B17" s="83">
        <v>155673859.52000001</v>
      </c>
      <c r="C17" s="83">
        <v>0</v>
      </c>
      <c r="D17" s="84">
        <v>0</v>
      </c>
      <c r="E17" s="83">
        <v>155673859.52000001</v>
      </c>
      <c r="F17" s="83">
        <v>0</v>
      </c>
      <c r="G17" s="83">
        <v>155673859.52000001</v>
      </c>
      <c r="H17" s="83">
        <v>0</v>
      </c>
      <c r="I17" s="83">
        <v>171587201.87</v>
      </c>
      <c r="J17" s="83">
        <f>G17-I17</f>
        <v>-15913342.349999994</v>
      </c>
      <c r="K17" s="54"/>
    </row>
    <row r="18" spans="1:11" x14ac:dyDescent="0.2">
      <c r="A18" s="144">
        <v>2024</v>
      </c>
      <c r="B18" s="83">
        <v>171587201.87</v>
      </c>
      <c r="C18" s="83">
        <v>0</v>
      </c>
      <c r="D18" s="84">
        <v>2.5999999999999999E-2</v>
      </c>
      <c r="E18" s="83">
        <v>176048469.11000001</v>
      </c>
      <c r="F18" s="83">
        <v>0</v>
      </c>
      <c r="G18" s="83">
        <v>176048469.11000001</v>
      </c>
      <c r="H18" s="83">
        <v>0</v>
      </c>
      <c r="I18" s="83">
        <v>194517377.31</v>
      </c>
      <c r="J18" s="83">
        <f>G18-I18</f>
        <v>-18468908.199999988</v>
      </c>
      <c r="K18" s="54"/>
    </row>
    <row r="19" spans="1:11" x14ac:dyDescent="0.2">
      <c r="A19" s="144">
        <v>2025</v>
      </c>
      <c r="B19" s="83"/>
      <c r="C19" s="83"/>
      <c r="D19" s="84"/>
      <c r="E19" s="83"/>
      <c r="F19" s="83"/>
      <c r="G19" s="83"/>
      <c r="H19" s="83"/>
      <c r="I19" s="83"/>
      <c r="J19" s="83"/>
      <c r="K19" s="54"/>
    </row>
    <row r="20" spans="1:11" x14ac:dyDescent="0.2">
      <c r="K20" s="54"/>
    </row>
    <row r="21" spans="1:11" x14ac:dyDescent="0.2">
      <c r="A21" s="56" t="s">
        <v>255</v>
      </c>
    </row>
    <row r="22" spans="1:11" x14ac:dyDescent="0.2">
      <c r="A22" s="56" t="s">
        <v>256</v>
      </c>
      <c r="C22" s="55"/>
      <c r="D22" s="55"/>
    </row>
    <row r="23" spans="1:11" x14ac:dyDescent="0.2">
      <c r="A23" s="56" t="s">
        <v>257</v>
      </c>
    </row>
    <row r="24" spans="1:11" ht="14.25" x14ac:dyDescent="0.2">
      <c r="A24" s="56" t="s">
        <v>277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N41"/>
  <sheetViews>
    <sheetView topLeftCell="A2" zoomScale="70" zoomScaleNormal="70" workbookViewId="0">
      <selection activeCell="K33" sqref="K33"/>
    </sheetView>
  </sheetViews>
  <sheetFormatPr baseColWidth="10" defaultColWidth="9.140625" defaultRowHeight="12.75" x14ac:dyDescent="0.2"/>
  <cols>
    <col min="1" max="1" width="9.140625" customWidth="1"/>
    <col min="2" max="2" width="21.7109375" bestFit="1" customWidth="1"/>
    <col min="3" max="3" width="17" bestFit="1" customWidth="1"/>
    <col min="4" max="4" width="15.42578125" customWidth="1"/>
    <col min="5" max="5" width="15.5703125" customWidth="1"/>
    <col min="6" max="6" width="14.140625" customWidth="1"/>
    <col min="7" max="7" width="19.28515625" customWidth="1"/>
    <col min="8" max="8" width="15" customWidth="1"/>
    <col min="9" max="9" width="15.140625" customWidth="1"/>
    <col min="10" max="10" width="18.42578125" customWidth="1"/>
    <col min="11" max="11" width="12.42578125" customWidth="1"/>
    <col min="12" max="12" width="16.85546875" bestFit="1" customWidth="1"/>
    <col min="13" max="13" width="13.85546875" customWidth="1"/>
    <col min="14" max="14" width="12.7109375" bestFit="1" customWidth="1"/>
  </cols>
  <sheetData>
    <row r="1" spans="1:14" x14ac:dyDescent="0.2">
      <c r="A1" t="s">
        <v>176</v>
      </c>
      <c r="B1" s="1" t="s">
        <v>180</v>
      </c>
      <c r="C1" s="1" t="s">
        <v>181</v>
      </c>
      <c r="D1" s="130" t="s">
        <v>177</v>
      </c>
      <c r="E1" s="130" t="s">
        <v>182</v>
      </c>
      <c r="F1" s="1" t="s">
        <v>119</v>
      </c>
      <c r="G1" s="1" t="s">
        <v>183</v>
      </c>
      <c r="H1" s="132" t="s">
        <v>184</v>
      </c>
      <c r="I1" s="132" t="s">
        <v>185</v>
      </c>
      <c r="J1" s="2" t="s">
        <v>186</v>
      </c>
      <c r="L1" s="1"/>
    </row>
    <row r="2" spans="1:14" x14ac:dyDescent="0.2">
      <c r="A2">
        <v>2009</v>
      </c>
      <c r="B2" s="1">
        <v>77650174.694537133</v>
      </c>
      <c r="C2" s="1">
        <v>15968156</v>
      </c>
      <c r="D2" s="130">
        <v>93618330.694537133</v>
      </c>
      <c r="E2" s="130">
        <v>0</v>
      </c>
      <c r="F2" s="1">
        <v>93618330.694537133</v>
      </c>
      <c r="G2" s="1">
        <v>139303032.52000004</v>
      </c>
      <c r="H2" s="132">
        <v>0.67204804519310191</v>
      </c>
      <c r="I2" s="132">
        <v>1.1000000000000001</v>
      </c>
      <c r="J2" s="2">
        <v>0.75</v>
      </c>
      <c r="L2" s="1"/>
    </row>
    <row r="3" spans="1:14" x14ac:dyDescent="0.2">
      <c r="A3">
        <v>2010</v>
      </c>
      <c r="B3" s="1">
        <v>81837746.378586069</v>
      </c>
      <c r="C3" s="1">
        <v>30791619.77</v>
      </c>
      <c r="D3" s="130">
        <v>112629366.14858606</v>
      </c>
      <c r="E3" s="130">
        <v>41725603.129999995</v>
      </c>
      <c r="F3" s="1">
        <v>154354969.27858606</v>
      </c>
      <c r="G3" s="1">
        <v>122212531.5</v>
      </c>
      <c r="H3" s="132">
        <v>1.2630044348486968</v>
      </c>
      <c r="I3" s="132">
        <v>1.1000000000000001</v>
      </c>
      <c r="J3" s="2">
        <v>0.75</v>
      </c>
      <c r="L3" s="1"/>
    </row>
    <row r="4" spans="1:14" x14ac:dyDescent="0.2">
      <c r="A4">
        <v>2011</v>
      </c>
      <c r="B4" s="1">
        <v>75539779.808586061</v>
      </c>
      <c r="C4" s="1">
        <v>27791620</v>
      </c>
      <c r="D4" s="130">
        <v>103331399.80858606</v>
      </c>
      <c r="E4" s="130">
        <v>39721252.079999998</v>
      </c>
      <c r="F4" s="1">
        <v>143052651.88858604</v>
      </c>
      <c r="G4" s="1">
        <v>129026898.84999998</v>
      </c>
      <c r="H4" s="132">
        <v>1.1087041009556595</v>
      </c>
      <c r="I4" s="132">
        <v>1.1000000000000001</v>
      </c>
      <c r="J4" s="2">
        <v>0.75</v>
      </c>
      <c r="L4" s="1"/>
    </row>
    <row r="5" spans="1:14" x14ac:dyDescent="0.2">
      <c r="A5">
        <v>2012</v>
      </c>
      <c r="B5" s="1">
        <v>74859126.358586073</v>
      </c>
      <c r="C5" s="1">
        <v>8000000</v>
      </c>
      <c r="D5" s="130">
        <v>82859126.358586073</v>
      </c>
      <c r="E5" s="130">
        <v>31376131.449999999</v>
      </c>
      <c r="F5" s="1">
        <v>114235257.80858608</v>
      </c>
      <c r="G5" s="1">
        <v>139936337.53</v>
      </c>
      <c r="H5" s="132">
        <v>0.81633734185801421</v>
      </c>
      <c r="I5" s="132">
        <v>1.1000000000000001</v>
      </c>
      <c r="J5" s="2">
        <v>0.75</v>
      </c>
      <c r="L5" s="1"/>
    </row>
    <row r="6" spans="1:14" x14ac:dyDescent="0.2">
      <c r="A6">
        <v>2013</v>
      </c>
      <c r="B6" s="1">
        <v>73128198.028586075</v>
      </c>
      <c r="C6" s="1">
        <v>0</v>
      </c>
      <c r="D6" s="130">
        <v>73128198.028586075</v>
      </c>
      <c r="E6" s="130">
        <v>27889894.619999997</v>
      </c>
      <c r="F6" s="1">
        <v>101018092.64858606</v>
      </c>
      <c r="G6" s="1">
        <v>136806160.34</v>
      </c>
      <c r="H6" s="132">
        <v>0.7384030982050005</v>
      </c>
      <c r="I6" s="132">
        <v>1.1000000000000001</v>
      </c>
      <c r="J6" s="2">
        <v>0.75</v>
      </c>
      <c r="L6" s="1"/>
    </row>
    <row r="7" spans="1:14" x14ac:dyDescent="0.2">
      <c r="A7" s="110">
        <v>2014</v>
      </c>
      <c r="B7" s="111">
        <v>62721647.148586072</v>
      </c>
      <c r="C7" s="111">
        <v>0</v>
      </c>
      <c r="D7" s="131">
        <v>62721647.148586072</v>
      </c>
      <c r="E7" s="131">
        <v>24403657.779999997</v>
      </c>
      <c r="F7" s="111">
        <v>87125304.928586066</v>
      </c>
      <c r="G7" s="111">
        <v>141921508.88</v>
      </c>
      <c r="H7" s="133">
        <v>0.61389782011304439</v>
      </c>
      <c r="I7" s="133">
        <v>1.1000000000000001</v>
      </c>
      <c r="J7" s="112">
        <v>0.75</v>
      </c>
      <c r="L7" s="1"/>
    </row>
    <row r="8" spans="1:14" x14ac:dyDescent="0.2">
      <c r="A8" s="113">
        <v>2015</v>
      </c>
      <c r="B8" s="1">
        <v>52256177.159999996</v>
      </c>
      <c r="C8" s="1">
        <v>0</v>
      </c>
      <c r="D8" s="130">
        <v>52256177.159999996</v>
      </c>
      <c r="E8" s="130">
        <v>24902433.210000001</v>
      </c>
      <c r="F8" s="1">
        <v>78102740.748586059</v>
      </c>
      <c r="G8" s="1">
        <v>142021137.37</v>
      </c>
      <c r="H8" s="132">
        <v>0.54993744026362223</v>
      </c>
      <c r="I8" s="132">
        <v>1.1000000000000001</v>
      </c>
      <c r="J8" s="114">
        <v>0.75</v>
      </c>
      <c r="L8" s="1"/>
    </row>
    <row r="9" spans="1:14" x14ac:dyDescent="0.2">
      <c r="A9" s="113">
        <v>2016</v>
      </c>
      <c r="B9" s="1">
        <v>41051625.280000001</v>
      </c>
      <c r="C9" s="1">
        <v>0</v>
      </c>
      <c r="D9" s="130">
        <v>41051625.280000001</v>
      </c>
      <c r="E9" s="130">
        <v>20667557.690000001</v>
      </c>
      <c r="F9" s="1">
        <v>61719182.969999999</v>
      </c>
      <c r="G9" s="1">
        <v>149383066.63999999</v>
      </c>
      <c r="H9" s="132">
        <v>0.41316050311604452</v>
      </c>
      <c r="I9" s="132">
        <v>1.1000000000000001</v>
      </c>
      <c r="J9" s="114">
        <v>0.75</v>
      </c>
      <c r="L9" s="1"/>
    </row>
    <row r="10" spans="1:14" x14ac:dyDescent="0.2">
      <c r="A10" s="113">
        <v>2017</v>
      </c>
      <c r="B10" s="1">
        <v>33975051.270000003</v>
      </c>
      <c r="C10" s="1">
        <v>0</v>
      </c>
      <c r="D10" s="130">
        <v>33975051.270000003</v>
      </c>
      <c r="E10" s="130">
        <v>19289720.57</v>
      </c>
      <c r="F10" s="1">
        <v>53264771.840000004</v>
      </c>
      <c r="G10" s="1">
        <v>147868979.31</v>
      </c>
      <c r="H10" s="132">
        <v>0.36021599721962672</v>
      </c>
      <c r="I10" s="132">
        <v>1.1000000000000001</v>
      </c>
      <c r="J10" s="114">
        <v>0.75</v>
      </c>
    </row>
    <row r="11" spans="1:14" x14ac:dyDescent="0.2">
      <c r="A11" s="113">
        <v>2018</v>
      </c>
      <c r="B11" s="1">
        <v>28162786.509999998</v>
      </c>
      <c r="C11" s="1">
        <v>0</v>
      </c>
      <c r="D11" s="130">
        <v>28162786.509999998</v>
      </c>
      <c r="E11" s="130">
        <v>17911883.449999999</v>
      </c>
      <c r="F11" s="1">
        <v>46074669.959999993</v>
      </c>
      <c r="G11" s="1">
        <v>146041786.27000001</v>
      </c>
      <c r="H11" s="132">
        <v>0.31548963578696432</v>
      </c>
      <c r="I11" s="132">
        <v>1.1000000000000001</v>
      </c>
      <c r="J11" s="114">
        <v>0.75</v>
      </c>
      <c r="L11" s="1"/>
    </row>
    <row r="12" spans="1:14" x14ac:dyDescent="0.2">
      <c r="A12" s="113">
        <v>2019</v>
      </c>
      <c r="B12" s="1">
        <v>4531399.2300000004</v>
      </c>
      <c r="C12" s="1">
        <v>0</v>
      </c>
      <c r="D12" s="130">
        <v>4531399.2300000004</v>
      </c>
      <c r="E12" s="130">
        <v>16929001.460000001</v>
      </c>
      <c r="F12" s="1">
        <v>21460400.690000001</v>
      </c>
      <c r="G12" s="1">
        <v>152365134.62</v>
      </c>
      <c r="H12" s="132">
        <v>0.14084850017375977</v>
      </c>
      <c r="I12" s="132">
        <v>1.1000000000000001</v>
      </c>
      <c r="J12" s="114">
        <v>0.75</v>
      </c>
      <c r="K12" s="1"/>
      <c r="L12" s="1"/>
    </row>
    <row r="13" spans="1:14" x14ac:dyDescent="0.2">
      <c r="A13" s="113">
        <v>2020</v>
      </c>
      <c r="B13" s="1">
        <v>3380160.43</v>
      </c>
      <c r="C13" s="1">
        <v>0</v>
      </c>
      <c r="D13" s="130">
        <v>3380160.43</v>
      </c>
      <c r="E13" s="130">
        <v>15156209.210000001</v>
      </c>
      <c r="F13" s="1">
        <v>18536369.640000001</v>
      </c>
      <c r="G13" s="1">
        <v>157553691.12999997</v>
      </c>
      <c r="H13" s="132">
        <v>0.11765112900278139</v>
      </c>
      <c r="I13" s="132">
        <v>1.1000000000000001</v>
      </c>
      <c r="J13" s="114">
        <v>0.75</v>
      </c>
      <c r="K13" s="2"/>
      <c r="L13" s="1"/>
    </row>
    <row r="14" spans="1:14" x14ac:dyDescent="0.2">
      <c r="A14" s="113">
        <v>2021</v>
      </c>
      <c r="B14" s="1">
        <v>0</v>
      </c>
      <c r="C14" s="1">
        <v>0</v>
      </c>
      <c r="D14" s="130">
        <v>0</v>
      </c>
      <c r="E14" s="130">
        <v>13383416.960000001</v>
      </c>
      <c r="F14" s="1">
        <v>13383416.960000001</v>
      </c>
      <c r="G14" s="1">
        <v>161297561.05000001</v>
      </c>
      <c r="H14" s="132">
        <v>8.2973461426681633E-2</v>
      </c>
      <c r="I14" s="132">
        <v>1.1000000000000001</v>
      </c>
      <c r="J14" s="114">
        <v>0.75</v>
      </c>
      <c r="K14" s="2"/>
      <c r="L14" s="1"/>
    </row>
    <row r="15" spans="1:14" x14ac:dyDescent="0.2">
      <c r="A15" s="113">
        <v>2022</v>
      </c>
      <c r="B15" s="1">
        <v>0</v>
      </c>
      <c r="C15" s="1">
        <v>0</v>
      </c>
      <c r="D15" s="130">
        <v>0</v>
      </c>
      <c r="E15" s="130">
        <v>12940218.897500001</v>
      </c>
      <c r="F15" s="1">
        <v>12940218.897500001</v>
      </c>
      <c r="G15" s="1">
        <v>181418109.68000001</v>
      </c>
      <c r="H15" s="132">
        <f>F15/G15</f>
        <v>7.1328154175594766E-2</v>
      </c>
      <c r="I15" s="132">
        <v>1.1000000000000001</v>
      </c>
      <c r="J15" s="114">
        <v>0.75</v>
      </c>
      <c r="M15" s="1"/>
      <c r="N15" s="1"/>
    </row>
    <row r="16" spans="1:14" x14ac:dyDescent="0.2">
      <c r="A16" s="113">
        <v>2023</v>
      </c>
      <c r="B16" s="1">
        <v>0</v>
      </c>
      <c r="C16" s="1">
        <v>0</v>
      </c>
      <c r="D16" s="130">
        <v>0</v>
      </c>
      <c r="E16" s="130">
        <v>16536495.199999999</v>
      </c>
      <c r="F16" s="1">
        <f>E16</f>
        <v>16536495.199999999</v>
      </c>
      <c r="G16" s="161">
        <v>191984196.94999999</v>
      </c>
      <c r="H16" s="132">
        <f>F16/G16</f>
        <v>8.6134668700396905E-2</v>
      </c>
      <c r="I16" s="132">
        <v>1.1000000000000001</v>
      </c>
      <c r="J16" s="114">
        <v>0.75</v>
      </c>
      <c r="K16" s="124" t="s">
        <v>290</v>
      </c>
      <c r="L16" s="1"/>
      <c r="M16" s="1"/>
    </row>
    <row r="17" spans="1:14" x14ac:dyDescent="0.2">
      <c r="A17" s="113">
        <v>2024</v>
      </c>
      <c r="B17" s="1">
        <v>0</v>
      </c>
      <c r="C17">
        <v>0</v>
      </c>
      <c r="D17" s="130">
        <f>B17+C17</f>
        <v>0</v>
      </c>
      <c r="E17" s="130">
        <v>11125197.130000001</v>
      </c>
      <c r="F17" s="1">
        <f>B17+E17</f>
        <v>11125197.130000001</v>
      </c>
      <c r="G17" s="117">
        <v>240761323.87</v>
      </c>
      <c r="H17" s="132">
        <f>F17/G17</f>
        <v>4.6208406529642997E-2</v>
      </c>
      <c r="I17" s="132">
        <v>1.1000000000000001</v>
      </c>
      <c r="J17" s="114">
        <v>0.75</v>
      </c>
      <c r="K17" s="124" t="s">
        <v>291</v>
      </c>
      <c r="L17" s="1"/>
      <c r="M17" s="1"/>
    </row>
    <row r="18" spans="1:14" x14ac:dyDescent="0.2">
      <c r="A18" s="128">
        <v>2025</v>
      </c>
      <c r="B18" s="146">
        <v>20700000</v>
      </c>
      <c r="C18" s="123">
        <v>0</v>
      </c>
      <c r="D18" s="145">
        <f>B18+C18</f>
        <v>20700000</v>
      </c>
      <c r="E18" s="145">
        <f>D38</f>
        <v>9689687.8899999987</v>
      </c>
      <c r="F18" s="146">
        <f>B18+E18</f>
        <v>30389687.890000001</v>
      </c>
      <c r="G18" s="146">
        <v>240761323.87</v>
      </c>
      <c r="H18" s="134">
        <f>F18/G18</f>
        <v>0.1262232961736372</v>
      </c>
      <c r="I18" s="134">
        <v>1.1000000000000001</v>
      </c>
      <c r="J18" s="135">
        <v>0.75</v>
      </c>
      <c r="L18" s="1"/>
    </row>
    <row r="19" spans="1:14" x14ac:dyDescent="0.2">
      <c r="B19" s="108"/>
      <c r="C19" s="1"/>
      <c r="D19" s="1"/>
      <c r="E19" s="1"/>
      <c r="F19" s="1"/>
      <c r="G19" s="1" t="s">
        <v>334</v>
      </c>
      <c r="H19" s="2"/>
      <c r="I19" s="2"/>
      <c r="J19" s="2"/>
      <c r="M19" s="1"/>
      <c r="N19" s="1"/>
    </row>
    <row r="20" spans="1:14" x14ac:dyDescent="0.2">
      <c r="B20" s="147">
        <v>20700000</v>
      </c>
    </row>
    <row r="21" spans="1:14" x14ac:dyDescent="0.2">
      <c r="B21" s="148" t="s">
        <v>306</v>
      </c>
    </row>
    <row r="22" spans="1:14" x14ac:dyDescent="0.2">
      <c r="B22" s="148" t="s">
        <v>307</v>
      </c>
      <c r="J22" s="1">
        <v>170953359.05000001</v>
      </c>
    </row>
    <row r="23" spans="1:14" x14ac:dyDescent="0.2">
      <c r="E23" s="1"/>
      <c r="J23" s="1">
        <v>5850095.8899999997</v>
      </c>
    </row>
    <row r="24" spans="1:14" x14ac:dyDescent="0.2">
      <c r="J24" s="146">
        <v>18180742.010000002</v>
      </c>
      <c r="L24" s="26"/>
    </row>
    <row r="25" spans="1:14" x14ac:dyDescent="0.2">
      <c r="J25" s="1">
        <f>SUM(J22:J24)</f>
        <v>194984196.94999999</v>
      </c>
      <c r="L25" s="1"/>
      <c r="M25" s="1"/>
      <c r="N25" s="1"/>
    </row>
    <row r="26" spans="1:14" x14ac:dyDescent="0.2">
      <c r="J26" s="1">
        <f>J25-G16</f>
        <v>3000000</v>
      </c>
      <c r="L26" s="1"/>
      <c r="M26" s="1"/>
      <c r="N26" s="1"/>
    </row>
    <row r="27" spans="1:14" x14ac:dyDescent="0.2">
      <c r="D27" s="122" t="s">
        <v>308</v>
      </c>
      <c r="F27" s="122" t="s">
        <v>304</v>
      </c>
      <c r="G27" s="25" t="s">
        <v>285</v>
      </c>
      <c r="H27" s="25" t="s">
        <v>286</v>
      </c>
      <c r="I27" s="25"/>
      <c r="J27" s="25"/>
      <c r="K27" s="25"/>
      <c r="L27" s="1"/>
      <c r="M27" s="1"/>
      <c r="N27" s="1"/>
    </row>
    <row r="28" spans="1:14" ht="12.75" customHeight="1" x14ac:dyDescent="0.2">
      <c r="C28" t="s">
        <v>278</v>
      </c>
      <c r="D28" s="1">
        <f>2751071.29+11604021.63</f>
        <v>14355092.920000002</v>
      </c>
      <c r="E28" s="1"/>
      <c r="F28">
        <v>2008</v>
      </c>
      <c r="G28" s="4">
        <v>1850867.82</v>
      </c>
      <c r="H28" s="4">
        <v>-61344.24</v>
      </c>
      <c r="I28" s="166" t="s">
        <v>312</v>
      </c>
      <c r="J28" s="166"/>
      <c r="K28" s="166"/>
      <c r="L28" s="166"/>
      <c r="M28" s="1"/>
    </row>
    <row r="29" spans="1:14" x14ac:dyDescent="0.2">
      <c r="C29" t="s">
        <v>279</v>
      </c>
      <c r="D29" s="1">
        <f>2475964.45+10443619.23+14271369.52</f>
        <v>27190953.199999999</v>
      </c>
      <c r="E29" s="1"/>
      <c r="F29">
        <v>2009</v>
      </c>
      <c r="G29" s="4">
        <v>7793992.9000000004</v>
      </c>
      <c r="H29" s="4">
        <v>-278356.95</v>
      </c>
      <c r="I29" s="166"/>
      <c r="J29" s="166"/>
      <c r="K29" s="166"/>
      <c r="L29" s="166"/>
      <c r="M29" s="1"/>
      <c r="N29" s="1"/>
    </row>
    <row r="30" spans="1:14" x14ac:dyDescent="0.2">
      <c r="C30" t="s">
        <v>289</v>
      </c>
      <c r="D30" s="1">
        <f>2200857.61+9283216.83</f>
        <v>11484074.439999999</v>
      </c>
      <c r="E30" s="1"/>
      <c r="F30">
        <v>2020</v>
      </c>
      <c r="G30" s="1">
        <v>0</v>
      </c>
      <c r="H30" s="1">
        <v>0</v>
      </c>
      <c r="I30" s="1"/>
      <c r="J30" s="1"/>
      <c r="K30" s="1"/>
      <c r="M30" s="1"/>
    </row>
    <row r="31" spans="1:14" x14ac:dyDescent="0.2">
      <c r="C31" t="s">
        <v>303</v>
      </c>
      <c r="D31" s="149">
        <f>1451187.4+399680.42+6331576.02+1462416.88</f>
        <v>9644860.7199999988</v>
      </c>
      <c r="F31" s="26" t="s">
        <v>287</v>
      </c>
      <c r="H31" s="1">
        <v>72208.570000000007</v>
      </c>
      <c r="M31" s="1"/>
    </row>
    <row r="32" spans="1:14" x14ac:dyDescent="0.2">
      <c r="C32" s="148" t="s">
        <v>309</v>
      </c>
      <c r="D32" s="1"/>
      <c r="F32" s="26" t="s">
        <v>288</v>
      </c>
      <c r="H32" s="1">
        <v>317077.88</v>
      </c>
      <c r="M32" s="1"/>
    </row>
    <row r="33" spans="2:11" x14ac:dyDescent="0.2">
      <c r="F33" s="25" t="s">
        <v>119</v>
      </c>
      <c r="G33" s="1">
        <f>SUM(G28:G32)</f>
        <v>9644860.7200000007</v>
      </c>
      <c r="H33" s="1">
        <f>SUM(H28:H32)</f>
        <v>49585.260000000009</v>
      </c>
      <c r="I33" s="116">
        <f>SUM(G33:H33)</f>
        <v>9694445.9800000004</v>
      </c>
    </row>
    <row r="35" spans="2:11" x14ac:dyDescent="0.2">
      <c r="C35" s="26" t="s">
        <v>305</v>
      </c>
      <c r="D35" s="149">
        <f>D31-D36</f>
        <v>344459.27999999933</v>
      </c>
    </row>
    <row r="36" spans="2:11" x14ac:dyDescent="0.2">
      <c r="C36" s="151" t="s">
        <v>310</v>
      </c>
      <c r="D36" s="149">
        <v>9300401.4399999995</v>
      </c>
      <c r="E36" s="98" t="s">
        <v>311</v>
      </c>
      <c r="F36" s="1"/>
      <c r="G36" s="1"/>
    </row>
    <row r="37" spans="2:11" x14ac:dyDescent="0.2">
      <c r="C37" s="151" t="s">
        <v>316</v>
      </c>
      <c r="D37" s="153">
        <f>H31+H32</f>
        <v>389286.45</v>
      </c>
      <c r="E37" s="98" t="s">
        <v>311</v>
      </c>
      <c r="F37" s="1"/>
      <c r="G37" s="1"/>
    </row>
    <row r="38" spans="2:11" x14ac:dyDescent="0.2">
      <c r="D38" s="152">
        <f>SUM(D36:D37)</f>
        <v>9689687.8899999987</v>
      </c>
      <c r="G38" s="1"/>
    </row>
    <row r="39" spans="2:11" x14ac:dyDescent="0.2">
      <c r="D39" s="1"/>
      <c r="G39" s="1"/>
    </row>
    <row r="40" spans="2:11" x14ac:dyDescent="0.2">
      <c r="B40" s="148"/>
      <c r="C40" s="150"/>
      <c r="D40" s="149"/>
      <c r="E40" s="148"/>
      <c r="G40" s="1"/>
      <c r="K40" s="1"/>
    </row>
    <row r="41" spans="2:11" x14ac:dyDescent="0.2">
      <c r="B41" s="148"/>
      <c r="C41" s="150"/>
      <c r="D41" s="149"/>
      <c r="E41" s="148"/>
    </row>
  </sheetData>
  <mergeCells count="1">
    <mergeCell ref="I28:L29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3:H53"/>
  <sheetViews>
    <sheetView tabSelected="1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6.42578125" customWidth="1"/>
    <col min="2" max="4" width="11.42578125" customWidth="1"/>
    <col min="5" max="5" width="15.42578125" customWidth="1"/>
    <col min="6" max="7" width="11.42578125" customWidth="1"/>
    <col min="8" max="8" width="5.42578125" customWidth="1"/>
  </cols>
  <sheetData>
    <row r="13" spans="2:8" x14ac:dyDescent="0.2">
      <c r="B13" s="19"/>
      <c r="C13" s="19"/>
      <c r="D13" s="19"/>
      <c r="E13" s="19"/>
      <c r="F13" s="19"/>
      <c r="G13" s="19"/>
      <c r="H13" s="19"/>
    </row>
    <row r="14" spans="2:8" ht="26.25" x14ac:dyDescent="0.4">
      <c r="G14" s="20" t="s">
        <v>76</v>
      </c>
    </row>
    <row r="16" spans="2:8" ht="26.25" x14ac:dyDescent="0.4">
      <c r="G16" s="20" t="s">
        <v>77</v>
      </c>
    </row>
    <row r="18" spans="5:7" ht="18" x14ac:dyDescent="0.25">
      <c r="E18" s="21"/>
      <c r="G18" s="57" t="str">
        <f>+'Dades globals'!A1</f>
        <v>A 31 de març de 2025</v>
      </c>
    </row>
    <row r="31" spans="5:7" ht="18" x14ac:dyDescent="0.25">
      <c r="G31" s="21" t="str">
        <f>'Dades globals'!A8</f>
        <v>Servei de comptabilitat i gestió pressupostària</v>
      </c>
    </row>
    <row r="32" spans="5:7" ht="18" x14ac:dyDescent="0.25">
      <c r="G32" s="21" t="s">
        <v>78</v>
      </c>
    </row>
    <row r="48" spans="3:3" x14ac:dyDescent="0.2">
      <c r="C48" s="1"/>
    </row>
    <row r="53" spans="2:8" x14ac:dyDescent="0.2">
      <c r="B53" s="22"/>
      <c r="C53" s="22"/>
      <c r="D53" s="22"/>
      <c r="E53" s="22"/>
      <c r="F53" s="22"/>
      <c r="G53" s="22"/>
      <c r="H53" s="22"/>
    </row>
  </sheetData>
  <sheetProtection selectLockedCells="1" selectUnlockedCells="1"/>
  <phoneticPr fontId="0" type="noConversion"/>
  <pageMargins left="0.39370078740157483" right="0.19685039370078741" top="0.59055118110236227" bottom="0.59055118110236227" header="0" footer="0.51181102362204722"/>
  <pageSetup paperSize="9" firstPageNumber="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8"/>
  <sheetViews>
    <sheetView workbookViewId="0">
      <selection activeCell="F6" sqref="F6"/>
    </sheetView>
  </sheetViews>
  <sheetFormatPr baseColWidth="10" defaultColWidth="11.42578125" defaultRowHeight="12.75" x14ac:dyDescent="0.2"/>
  <sheetData>
    <row r="1" spans="1:2" ht="15.75" x14ac:dyDescent="0.25">
      <c r="A1" s="23" t="s">
        <v>292</v>
      </c>
    </row>
    <row r="2" spans="1:2" ht="15.75" x14ac:dyDescent="0.25">
      <c r="A2" s="23" t="s">
        <v>293</v>
      </c>
    </row>
    <row r="3" spans="1:2" ht="15.75" x14ac:dyDescent="0.25">
      <c r="A3" s="23" t="s">
        <v>294</v>
      </c>
    </row>
    <row r="4" spans="1:2" ht="15.75" x14ac:dyDescent="0.25">
      <c r="A4" s="24" t="s">
        <v>295</v>
      </c>
    </row>
    <row r="5" spans="1:2" ht="15.75" x14ac:dyDescent="0.25">
      <c r="A5" s="23" t="s">
        <v>296</v>
      </c>
    </row>
    <row r="6" spans="1:2" ht="15.75" x14ac:dyDescent="0.25">
      <c r="A6" s="24" t="s">
        <v>313</v>
      </c>
    </row>
    <row r="7" spans="1:2" ht="15.75" x14ac:dyDescent="0.25">
      <c r="A7" s="23" t="s">
        <v>191</v>
      </c>
      <c r="B7" s="50">
        <v>0.25</v>
      </c>
    </row>
    <row r="8" spans="1:2" ht="15.75" x14ac:dyDescent="0.25">
      <c r="A8" s="24" t="s">
        <v>258</v>
      </c>
    </row>
  </sheetData>
  <sheetProtection selectLockedCells="1" selectUnlockedCells="1"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1:O48"/>
  <sheetViews>
    <sheetView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5.28515625" customWidth="1"/>
    <col min="5" max="5" width="15.42578125" style="1" customWidth="1"/>
    <col min="6" max="6" width="8.85546875" style="1" customWidth="1"/>
    <col min="7" max="7" width="13.42578125" style="1" customWidth="1"/>
    <col min="8" max="8" width="8.85546875" style="1" customWidth="1"/>
    <col min="9" max="9" width="11.42578125" style="6" customWidth="1"/>
    <col min="10" max="13" width="11.42578125" customWidth="1"/>
    <col min="14" max="14" width="11.42578125" style="2" customWidth="1"/>
  </cols>
  <sheetData>
    <row r="1" spans="3:15" x14ac:dyDescent="0.2">
      <c r="L1" t="s">
        <v>197</v>
      </c>
      <c r="M1" s="2">
        <v>0</v>
      </c>
    </row>
    <row r="2" spans="3:15" x14ac:dyDescent="0.2">
      <c r="L2" t="s">
        <v>191</v>
      </c>
      <c r="M2" s="2">
        <f>+'Dades globals'!B7</f>
        <v>0.25</v>
      </c>
    </row>
    <row r="4" spans="3:15" x14ac:dyDescent="0.2">
      <c r="M4" t="s">
        <v>192</v>
      </c>
      <c r="N4" s="2" t="s">
        <v>195</v>
      </c>
    </row>
    <row r="5" spans="3:15" ht="15.75" x14ac:dyDescent="0.25">
      <c r="D5" s="7" t="s">
        <v>46</v>
      </c>
      <c r="L5" t="s">
        <v>193</v>
      </c>
      <c r="M5" s="2">
        <f>H18</f>
        <v>0.13253829924741081</v>
      </c>
      <c r="N5" s="2">
        <f>MIN(M5*O7,N7)</f>
        <v>0.26507659849482162</v>
      </c>
    </row>
    <row r="6" spans="3:15" s="1" customFormat="1" ht="15.75" x14ac:dyDescent="0.25">
      <c r="C6"/>
      <c r="D6" s="7" t="str">
        <f>'Dades globals'!A5</f>
        <v>PRESSUPOST A 31/03/2025</v>
      </c>
      <c r="I6" s="6"/>
      <c r="L6" s="36" t="s">
        <v>194</v>
      </c>
      <c r="M6" s="2">
        <f>IF(M5&gt;$M$2,0,$M$2-M5)</f>
        <v>0.11746170075258919</v>
      </c>
      <c r="N6" s="2">
        <f>M6*O7</f>
        <v>0.23492340150517838</v>
      </c>
    </row>
    <row r="7" spans="3:15" s="1" customFormat="1" ht="15.75" x14ac:dyDescent="0.25">
      <c r="C7"/>
      <c r="D7" s="7" t="s">
        <v>260</v>
      </c>
      <c r="I7" s="6"/>
      <c r="M7" s="2">
        <f>M2</f>
        <v>0.25</v>
      </c>
      <c r="N7" s="2">
        <v>0.5</v>
      </c>
      <c r="O7" s="1">
        <f>N7/M7</f>
        <v>2</v>
      </c>
    </row>
    <row r="8" spans="3:15" s="1" customFormat="1" ht="16.5" thickBot="1" x14ac:dyDescent="0.3">
      <c r="C8"/>
      <c r="D8" s="7"/>
      <c r="I8" s="6"/>
      <c r="N8" s="2"/>
    </row>
    <row r="9" spans="3:15" s="1" customFormat="1" ht="39" thickBot="1" x14ac:dyDescent="0.25">
      <c r="C9" s="9"/>
      <c r="D9" s="10" t="s">
        <v>187</v>
      </c>
      <c r="E9" s="10" t="s">
        <v>188</v>
      </c>
      <c r="F9" s="11" t="s">
        <v>189</v>
      </c>
      <c r="I9" s="6"/>
      <c r="N9" s="2"/>
    </row>
    <row r="10" spans="3:15" s="1" customFormat="1" ht="30" customHeight="1" thickBot="1" x14ac:dyDescent="0.25">
      <c r="C10" s="38" t="s">
        <v>190</v>
      </c>
      <c r="D10" s="39">
        <f>D18</f>
        <v>223752889.53000003</v>
      </c>
      <c r="E10" s="39">
        <f>CREDDEF!C12</f>
        <v>390480518.49000001</v>
      </c>
      <c r="F10" s="40">
        <f>(D10-E10)/E10</f>
        <v>-0.42698065861196038</v>
      </c>
      <c r="I10" s="6"/>
      <c r="M10" s="1" t="s">
        <v>196</v>
      </c>
      <c r="N10" s="2" t="s">
        <v>195</v>
      </c>
    </row>
    <row r="11" spans="3:15" s="1" customFormat="1" ht="16.5" thickTop="1" x14ac:dyDescent="0.25">
      <c r="C11"/>
      <c r="D11" s="7"/>
      <c r="I11" s="6"/>
      <c r="L11" t="s">
        <v>193</v>
      </c>
      <c r="M11" s="2">
        <f>F20</f>
        <v>0.2014529822392086</v>
      </c>
      <c r="N11" s="2">
        <f>MIN(M11*O13,N13)</f>
        <v>0.4029059644784172</v>
      </c>
    </row>
    <row r="12" spans="3:15" s="1" customFormat="1" ht="16.5" thickBot="1" x14ac:dyDescent="0.3">
      <c r="C12"/>
      <c r="D12" s="7"/>
      <c r="I12" s="6"/>
      <c r="L12" s="36" t="s">
        <v>194</v>
      </c>
      <c r="M12" s="2">
        <f>IF(M11&gt;$M$2,0,$M$2-M11)</f>
        <v>4.85470177607914E-2</v>
      </c>
      <c r="N12" s="2">
        <f>M12*O13</f>
        <v>9.70940355215828E-2</v>
      </c>
    </row>
    <row r="13" spans="3:15" s="8" customFormat="1" ht="39" thickBot="1" x14ac:dyDescent="0.25">
      <c r="C13" s="9" t="s">
        <v>19</v>
      </c>
      <c r="D13" s="10" t="s">
        <v>138</v>
      </c>
      <c r="E13" s="10" t="s">
        <v>268</v>
      </c>
      <c r="F13" s="11" t="s">
        <v>103</v>
      </c>
      <c r="G13" s="10" t="s">
        <v>272</v>
      </c>
      <c r="H13" s="11" t="s">
        <v>104</v>
      </c>
      <c r="M13" s="37">
        <f>M2</f>
        <v>0.25</v>
      </c>
      <c r="N13" s="37">
        <f>N7</f>
        <v>0.5</v>
      </c>
      <c r="O13" s="1">
        <f>N13/M13</f>
        <v>2</v>
      </c>
    </row>
    <row r="14" spans="3:15" s="6" customFormat="1" x14ac:dyDescent="0.2">
      <c r="C14" s="12" t="s">
        <v>15</v>
      </c>
      <c r="D14" s="13">
        <f>DESPCAPITOL!E11</f>
        <v>201330000.00000003</v>
      </c>
      <c r="E14" s="13">
        <f>INGRCAPITOL!F11</f>
        <v>44208765.330000006</v>
      </c>
      <c r="F14" s="14">
        <f>E14/$D14</f>
        <v>0.21958359573834002</v>
      </c>
      <c r="G14" s="13">
        <f>DESPCAPITOL!L11</f>
        <v>26681689.079999998</v>
      </c>
      <c r="H14" s="14">
        <f>G14/$D14</f>
        <v>0.13252713991953508</v>
      </c>
    </row>
    <row r="15" spans="3:15" s="6" customFormat="1" x14ac:dyDescent="0.2">
      <c r="C15" s="12" t="s">
        <v>32</v>
      </c>
      <c r="D15" s="13">
        <f>DESPCAPITOL!E31</f>
        <v>19922889.530000001</v>
      </c>
      <c r="E15" s="13">
        <f>INGRCAPITOL!F31</f>
        <v>208319.51</v>
      </c>
      <c r="F15" s="14">
        <f>E15/$D15</f>
        <v>1.0456289971708737E-2</v>
      </c>
      <c r="G15" s="13">
        <f>DESPCAPITOL!L31</f>
        <v>2814208.8200000003</v>
      </c>
      <c r="H15" s="14">
        <f>G15/$D15</f>
        <v>0.14125505317701775</v>
      </c>
    </row>
    <row r="16" spans="3:15" s="6" customFormat="1" x14ac:dyDescent="0.2">
      <c r="C16" s="12" t="s">
        <v>135</v>
      </c>
      <c r="D16" s="13">
        <f>DESPCAPITOL!E21</f>
        <v>9429999.9999999981</v>
      </c>
      <c r="E16" s="13">
        <f>INGRCAPITOL!F21</f>
        <v>386058.41</v>
      </c>
      <c r="F16" s="14">
        <f>E16/$D16</f>
        <v>4.0939386002120895E-2</v>
      </c>
      <c r="G16" s="13">
        <f>DESPCAPITOL!L21</f>
        <v>159929.53000000003</v>
      </c>
      <c r="H16" s="14">
        <f>G16/$D16</f>
        <v>1.6959653234358437E-2</v>
      </c>
    </row>
    <row r="17" spans="3:11" s="6" customFormat="1" ht="13.5" thickBot="1" x14ac:dyDescent="0.25">
      <c r="C17" s="12" t="s">
        <v>136</v>
      </c>
      <c r="D17" s="13">
        <f>-DESPCAPITOL!E41</f>
        <v>-6930000</v>
      </c>
      <c r="E17" s="13">
        <f>-INGRCAPITOL!F41</f>
        <v>0</v>
      </c>
      <c r="F17" s="14">
        <f>E17/$D17</f>
        <v>0</v>
      </c>
      <c r="G17" s="13">
        <f>-DESPCAPITOL!L41</f>
        <v>0</v>
      </c>
      <c r="H17" s="14">
        <f>G17/$D17</f>
        <v>0</v>
      </c>
    </row>
    <row r="18" spans="3:11" s="6" customFormat="1" ht="13.5" thickBot="1" x14ac:dyDescent="0.25">
      <c r="C18" s="15" t="s">
        <v>137</v>
      </c>
      <c r="D18" s="16">
        <f>SUM(D14:D17)</f>
        <v>223752889.53000003</v>
      </c>
      <c r="E18" s="16">
        <f>SUM(E14:E17)</f>
        <v>44803143.25</v>
      </c>
      <c r="F18" s="18">
        <f>E18/D18</f>
        <v>0.20023492587787539</v>
      </c>
      <c r="G18" s="16">
        <f>SUM(G14:G17)</f>
        <v>29655827.43</v>
      </c>
      <c r="H18" s="18">
        <f>G18/D18</f>
        <v>0.13253829924741081</v>
      </c>
    </row>
    <row r="19" spans="3:11" ht="13.5" thickBot="1" x14ac:dyDescent="0.25">
      <c r="C19" s="60" t="s">
        <v>200</v>
      </c>
      <c r="D19" s="61">
        <f>INGRCAPITOL!E58</f>
        <v>1352889.53</v>
      </c>
      <c r="E19" s="61">
        <v>0</v>
      </c>
      <c r="F19" s="14">
        <f>E19/$D19</f>
        <v>0</v>
      </c>
    </row>
    <row r="20" spans="3:11" ht="13.5" thickBot="1" x14ac:dyDescent="0.25">
      <c r="C20" s="15" t="s">
        <v>261</v>
      </c>
      <c r="D20" s="16">
        <f>D18-D19</f>
        <v>222400000.00000003</v>
      </c>
      <c r="E20" s="16">
        <f>E18-E19</f>
        <v>44803143.25</v>
      </c>
      <c r="F20" s="18">
        <f>E20/D20</f>
        <v>0.2014529822392086</v>
      </c>
    </row>
    <row r="23" spans="3:11" x14ac:dyDescent="0.2">
      <c r="K23" s="109"/>
    </row>
    <row r="42" spans="3:8" s="6" customFormat="1" x14ac:dyDescent="0.2">
      <c r="C42"/>
      <c r="D42"/>
      <c r="E42" s="1"/>
      <c r="F42" s="1"/>
      <c r="G42" s="1"/>
      <c r="H42" s="1"/>
    </row>
    <row r="48" spans="3:8" x14ac:dyDescent="0.2">
      <c r="C48" s="1"/>
    </row>
  </sheetData>
  <sheetProtection selectLockedCells="1" selectUnlockedCells="1"/>
  <pageMargins left="0.39370078740157483" right="0.23622047244094491" top="0.59055118110236227" bottom="0.74803149606299213" header="0.31496062992125984" footer="0.59055118110236227"/>
  <pageSetup paperSize="9" scale="85" firstPageNumber="0" orientation="portrait" r:id="rId1"/>
  <headerFooter alignWithMargins="0">
    <oddFooter>&amp;CServei de comptabilitat i gestió pressupostària | Intervenció&amp;R1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4:N48"/>
  <sheetViews>
    <sheetView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5.85546875" customWidth="1"/>
    <col min="5" max="5" width="15.42578125" style="1" customWidth="1"/>
    <col min="6" max="6" width="8.85546875" style="1" customWidth="1"/>
    <col min="7" max="7" width="13.42578125" style="1" customWidth="1"/>
    <col min="8" max="8" width="8.85546875" style="1" customWidth="1"/>
    <col min="9" max="9" width="11.42578125" style="6" customWidth="1"/>
  </cols>
  <sheetData>
    <row r="4" spans="3:14" x14ac:dyDescent="0.2">
      <c r="K4" t="s">
        <v>197</v>
      </c>
      <c r="L4" s="2">
        <v>0</v>
      </c>
    </row>
    <row r="5" spans="3:14" ht="15.75" x14ac:dyDescent="0.25">
      <c r="D5" s="7" t="s">
        <v>46</v>
      </c>
      <c r="K5" t="s">
        <v>191</v>
      </c>
      <c r="L5" s="2">
        <f>+'Dades globals'!B7</f>
        <v>0.25</v>
      </c>
    </row>
    <row r="6" spans="3:14" s="1" customFormat="1" ht="15.75" x14ac:dyDescent="0.25">
      <c r="C6"/>
      <c r="D6" s="7" t="str">
        <f>'Dades globals'!A5</f>
        <v>PRESSUPOST A 31/03/2025</v>
      </c>
      <c r="I6" s="6"/>
    </row>
    <row r="7" spans="3:14" s="1" customFormat="1" ht="15.75" x14ac:dyDescent="0.25">
      <c r="C7"/>
      <c r="D7" s="7" t="s">
        <v>198</v>
      </c>
      <c r="I7" s="6"/>
      <c r="L7" s="1" t="s">
        <v>196</v>
      </c>
      <c r="M7" s="1" t="s">
        <v>195</v>
      </c>
    </row>
    <row r="8" spans="3:14" s="1" customFormat="1" ht="16.5" thickBot="1" x14ac:dyDescent="0.3">
      <c r="C8"/>
      <c r="D8" s="7"/>
      <c r="I8" s="6"/>
      <c r="K8" s="1" t="s">
        <v>193</v>
      </c>
      <c r="L8" s="2">
        <f>F19</f>
        <v>0.20145298223920863</v>
      </c>
      <c r="M8" s="2">
        <f>L8*N$10</f>
        <v>0.40290596447841726</v>
      </c>
    </row>
    <row r="9" spans="3:14" s="1" customFormat="1" ht="39" customHeight="1" thickBot="1" x14ac:dyDescent="0.25">
      <c r="C9" s="9"/>
      <c r="D9" s="10" t="s">
        <v>205</v>
      </c>
      <c r="E9" s="10" t="s">
        <v>188</v>
      </c>
      <c r="F9" s="11" t="s">
        <v>189</v>
      </c>
      <c r="I9" s="6"/>
      <c r="K9" s="1" t="s">
        <v>194</v>
      </c>
      <c r="L9" s="2">
        <f>L10-L8</f>
        <v>4.8547017760791372E-2</v>
      </c>
      <c r="M9" s="2">
        <f>L9*N$10</f>
        <v>9.7094035521582744E-2</v>
      </c>
    </row>
    <row r="10" spans="3:14" s="1" customFormat="1" ht="30" customHeight="1" thickBot="1" x14ac:dyDescent="0.25">
      <c r="C10" s="38" t="s">
        <v>204</v>
      </c>
      <c r="D10" s="39">
        <f>FINANÇAMENT!B9-FINANÇAMENT!B8</f>
        <v>222400000</v>
      </c>
      <c r="E10" s="39">
        <f>FINANÇAMENT!C9-FINANÇAMENT!C8</f>
        <v>201133193</v>
      </c>
      <c r="F10" s="40">
        <f>(D10-E10)/E10</f>
        <v>0.10573494450515684</v>
      </c>
      <c r="I10" s="6"/>
      <c r="K10" s="8"/>
      <c r="L10" s="37">
        <f>L5</f>
        <v>0.25</v>
      </c>
      <c r="M10" s="37">
        <v>0.5</v>
      </c>
      <c r="N10" s="44">
        <f>M10/L10</f>
        <v>2</v>
      </c>
    </row>
    <row r="11" spans="3:14" s="1" customFormat="1" ht="16.5" thickTop="1" x14ac:dyDescent="0.25">
      <c r="C11"/>
      <c r="D11" s="7"/>
      <c r="I11" s="6"/>
      <c r="K11" s="6"/>
      <c r="L11" s="6"/>
      <c r="M11" s="6"/>
      <c r="N11" s="6"/>
    </row>
    <row r="12" spans="3:14" s="1" customFormat="1" ht="16.5" thickBot="1" x14ac:dyDescent="0.3">
      <c r="C12"/>
      <c r="D12" s="7"/>
      <c r="I12" s="6"/>
      <c r="K12" s="6"/>
      <c r="L12" s="6"/>
      <c r="M12" s="6"/>
      <c r="N12" s="6"/>
    </row>
    <row r="13" spans="3:14" s="8" customFormat="1" ht="42.75" customHeight="1" thickBot="1" x14ac:dyDescent="0.25">
      <c r="C13" s="9" t="s">
        <v>19</v>
      </c>
      <c r="D13" s="10" t="s">
        <v>36</v>
      </c>
      <c r="E13" s="10" t="s">
        <v>268</v>
      </c>
      <c r="F13" s="11" t="s">
        <v>208</v>
      </c>
      <c r="G13" s="10" t="s">
        <v>199</v>
      </c>
      <c r="H13" s="11" t="s">
        <v>209</v>
      </c>
      <c r="K13" s="6"/>
      <c r="L13" s="6" t="s">
        <v>201</v>
      </c>
      <c r="M13" s="6" t="s">
        <v>195</v>
      </c>
      <c r="N13" s="6"/>
    </row>
    <row r="14" spans="3:14" s="6" customFormat="1" x14ac:dyDescent="0.2">
      <c r="C14" s="12" t="s">
        <v>15</v>
      </c>
      <c r="D14" s="13">
        <f>INGRCAPITOL!E11</f>
        <v>201330000</v>
      </c>
      <c r="E14" s="13">
        <f>INGRCAPITOL!F11</f>
        <v>44208765.330000006</v>
      </c>
      <c r="F14" s="14">
        <f>E14/$D14</f>
        <v>0.21958359573834008</v>
      </c>
      <c r="G14" s="13">
        <f>INGRCAPITOL!H11</f>
        <v>43952632.490000002</v>
      </c>
      <c r="H14" s="14">
        <f>G14/$E14</f>
        <v>0.99420628832114899</v>
      </c>
      <c r="K14" s="6" t="s">
        <v>193</v>
      </c>
      <c r="L14" s="6">
        <f>H19</f>
        <v>0.99381837612475998</v>
      </c>
      <c r="M14" s="6">
        <f>L14*N$16</f>
        <v>0.49690918806237999</v>
      </c>
    </row>
    <row r="15" spans="3:14" s="6" customFormat="1" x14ac:dyDescent="0.2">
      <c r="C15" s="12" t="s">
        <v>32</v>
      </c>
      <c r="D15" s="13">
        <f>INGRCAPITOL!E31</f>
        <v>19922889.530000001</v>
      </c>
      <c r="E15" s="13">
        <f>INGRCAPITOL!F31</f>
        <v>208319.51</v>
      </c>
      <c r="F15" s="14">
        <f>E15/$D15</f>
        <v>1.0456289971708737E-2</v>
      </c>
      <c r="G15" s="13">
        <f>INGRCAPITOL!H31</f>
        <v>208319.51</v>
      </c>
      <c r="H15" s="14">
        <f>G15/$E15</f>
        <v>1</v>
      </c>
      <c r="K15" s="6" t="s">
        <v>194</v>
      </c>
      <c r="L15" s="6">
        <f>L16-L14</f>
        <v>6.1816238752400166E-3</v>
      </c>
      <c r="M15" s="6">
        <f>L15*N$16</f>
        <v>3.0908119376200083E-3</v>
      </c>
    </row>
    <row r="16" spans="3:14" s="6" customFormat="1" x14ac:dyDescent="0.2">
      <c r="C16" s="12" t="s">
        <v>135</v>
      </c>
      <c r="D16" s="13">
        <f>INGRCAPITOL!E21</f>
        <v>9430000</v>
      </c>
      <c r="E16" s="13">
        <f>INGRCAPITOL!F21</f>
        <v>386058.41</v>
      </c>
      <c r="F16" s="14">
        <f>E16/$D16</f>
        <v>4.0939386002120888E-2</v>
      </c>
      <c r="G16" s="13">
        <f>INGRCAPITOL!H21</f>
        <v>365235.06999999995</v>
      </c>
      <c r="H16" s="14">
        <f>G16/$E16</f>
        <v>0.94606168532891166</v>
      </c>
      <c r="L16" s="6">
        <v>1</v>
      </c>
      <c r="M16" s="6">
        <v>0.5</v>
      </c>
      <c r="N16" s="43">
        <f>M16/L16</f>
        <v>0.5</v>
      </c>
    </row>
    <row r="17" spans="3:14" s="6" customFormat="1" x14ac:dyDescent="0.2">
      <c r="C17" s="12" t="s">
        <v>136</v>
      </c>
      <c r="D17" s="13">
        <f>-INGRCAPITOL!E35</f>
        <v>-6930000</v>
      </c>
      <c r="E17" s="13">
        <f>-INGRCAPITOL!F41</f>
        <v>0</v>
      </c>
      <c r="F17" s="14">
        <f>E17/$D17</f>
        <v>0</v>
      </c>
      <c r="G17" s="13">
        <f>-INGRCAPITOL!H41</f>
        <v>0</v>
      </c>
      <c r="H17" s="14">
        <f>IF(G17&lt;&gt;0,G17/$E17,0)</f>
        <v>0</v>
      </c>
      <c r="K17"/>
      <c r="L17"/>
      <c r="M17"/>
      <c r="N17"/>
    </row>
    <row r="18" spans="3:14" s="6" customFormat="1" ht="13.5" thickBot="1" x14ac:dyDescent="0.25">
      <c r="C18" s="12" t="s">
        <v>200</v>
      </c>
      <c r="D18" s="13">
        <f>-INGRCAPITOL!E58</f>
        <v>-1352889.53</v>
      </c>
      <c r="E18" s="41"/>
      <c r="F18" s="42"/>
      <c r="G18" s="41"/>
      <c r="H18" s="42"/>
      <c r="K18"/>
      <c r="L18"/>
      <c r="M18"/>
      <c r="N18"/>
    </row>
    <row r="19" spans="3:14" s="6" customFormat="1" ht="13.5" thickBot="1" x14ac:dyDescent="0.25">
      <c r="C19" s="15" t="s">
        <v>137</v>
      </c>
      <c r="D19" s="16">
        <f>SUM(D14:D18)</f>
        <v>222400000</v>
      </c>
      <c r="E19" s="16">
        <f>SUM(E14:E17)</f>
        <v>44803143.25</v>
      </c>
      <c r="F19" s="18">
        <f>E19/D19</f>
        <v>0.20145298223920863</v>
      </c>
      <c r="G19" s="16">
        <f>SUM(G14:G17)</f>
        <v>44526187.07</v>
      </c>
      <c r="H19" s="18">
        <f>G19/E19</f>
        <v>0.99381837612475998</v>
      </c>
      <c r="K19"/>
      <c r="L19"/>
      <c r="M19"/>
      <c r="N19"/>
    </row>
    <row r="40" spans="3:14" x14ac:dyDescent="0.2">
      <c r="K40" s="6"/>
      <c r="L40" s="6"/>
      <c r="M40" s="6"/>
      <c r="N40" s="6"/>
    </row>
    <row r="43" spans="3:14" s="6" customFormat="1" x14ac:dyDescent="0.2">
      <c r="C43"/>
      <c r="D43"/>
      <c r="E43" s="1"/>
      <c r="F43" s="1"/>
      <c r="G43" s="1"/>
      <c r="H43" s="1"/>
      <c r="K43"/>
      <c r="L43"/>
      <c r="M43"/>
      <c r="N43"/>
    </row>
    <row r="48" spans="3:14" x14ac:dyDescent="0.2">
      <c r="C48" s="1"/>
    </row>
  </sheetData>
  <sheetProtection selectLockedCells="1" selectUnlockedCells="1"/>
  <pageMargins left="0.39370078740157483" right="0.23622047244094491" top="0.59055118110236227" bottom="0.74803149606299213" header="0.31496062992125984" footer="0.59055118110236227"/>
  <pageSetup paperSize="9" scale="84" firstPageNumber="0" orientation="portrait" r:id="rId1"/>
  <headerFooter alignWithMargins="0">
    <oddFooter>&amp;CServei de comptabilitat i gestió pressupostària | Intervenció&amp;R2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C5:H7"/>
  <sheetViews>
    <sheetView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6.42578125" customWidth="1"/>
    <col min="2" max="2" width="29.42578125" customWidth="1"/>
    <col min="3" max="4" width="13.42578125" style="1" customWidth="1"/>
    <col min="5" max="5" width="15.42578125" style="1" customWidth="1"/>
    <col min="6" max="8" width="13.42578125" style="1" customWidth="1"/>
    <col min="9" max="9" width="11.7109375" customWidth="1"/>
  </cols>
  <sheetData>
    <row r="5" spans="4:4" ht="15.75" x14ac:dyDescent="0.25">
      <c r="D5" s="7" t="s">
        <v>46</v>
      </c>
    </row>
    <row r="6" spans="4:4" ht="15.75" x14ac:dyDescent="0.25">
      <c r="D6" s="7" t="str">
        <f>'Dades globals'!A4</f>
        <v>RESUM EXECUCIÓ A 31/03/2025</v>
      </c>
    </row>
    <row r="7" spans="4:4" ht="15.75" x14ac:dyDescent="0.25">
      <c r="D7" s="7" t="s">
        <v>265</v>
      </c>
    </row>
  </sheetData>
  <pageMargins left="0.39370078740157483" right="0.23622047244094491" top="0.59055118110236227" bottom="0.74803149606299213" header="0.31496062992125984" footer="0.59055118110236227"/>
  <pageSetup paperSize="9" scale="86" firstPageNumber="0" orientation="portrait" r:id="rId1"/>
  <headerFooter alignWithMargins="0">
    <oddFooter>&amp;CServei de comptabilitat i gestió pressupostària | Intervenció&amp;R3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N18"/>
  <sheetViews>
    <sheetView zoomScale="85" zoomScaleNormal="85" workbookViewId="0">
      <selection activeCell="A2" sqref="A2:A10"/>
    </sheetView>
  </sheetViews>
  <sheetFormatPr baseColWidth="10" defaultColWidth="9.140625" defaultRowHeight="12.75" x14ac:dyDescent="0.2"/>
  <cols>
    <col min="1" max="1" width="38.7109375" bestFit="1" customWidth="1"/>
    <col min="2" max="2" width="16.42578125" style="1" customWidth="1"/>
    <col min="3" max="3" width="14.42578125" style="1" customWidth="1"/>
    <col min="4" max="4" width="18.140625" style="1" customWidth="1"/>
    <col min="5" max="5" width="19.7109375" style="1" customWidth="1"/>
    <col min="6" max="6" width="16.7109375" style="1" customWidth="1"/>
    <col min="7" max="7" width="19.42578125" style="1" customWidth="1"/>
    <col min="8" max="8" width="19.28515625" style="1" customWidth="1"/>
    <col min="9" max="9" width="14.5703125" style="1" customWidth="1"/>
    <col min="10" max="10" width="15.42578125" style="2" bestFit="1" customWidth="1"/>
    <col min="11" max="11" width="13.5703125" style="1" customWidth="1"/>
    <col min="12" max="12" width="10.7109375" style="2" customWidth="1"/>
    <col min="13" max="13" width="13.42578125" style="1" customWidth="1"/>
    <col min="14" max="14" width="9.28515625" style="2" customWidth="1"/>
  </cols>
  <sheetData>
    <row r="1" spans="1:14" s="3" customForma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4" t="s">
        <v>12</v>
      </c>
      <c r="N1" s="5" t="s">
        <v>13</v>
      </c>
    </row>
    <row r="2" spans="1:14" x14ac:dyDescent="0.2">
      <c r="A2" t="s">
        <v>319</v>
      </c>
      <c r="B2" s="157">
        <v>4482651.919999999</v>
      </c>
      <c r="C2" s="136">
        <v>13697.93</v>
      </c>
      <c r="D2" s="136">
        <v>4496349.8499999996</v>
      </c>
      <c r="E2" s="136">
        <v>3559963.7199999993</v>
      </c>
      <c r="F2" s="136">
        <v>0</v>
      </c>
      <c r="G2" s="136">
        <v>0</v>
      </c>
      <c r="H2" s="136">
        <v>41602.83</v>
      </c>
      <c r="I2" s="1">
        <f t="shared" ref="I2:I10" si="0">H2+K2</f>
        <v>936386.12999999989</v>
      </c>
      <c r="J2" s="2">
        <f t="shared" ref="J2:J14" si="1">I2/D2</f>
        <v>0.20825473133501832</v>
      </c>
      <c r="K2" s="136">
        <v>894783.29999999993</v>
      </c>
      <c r="L2" s="2">
        <f t="shared" ref="L2:L14" si="2">K2/D2</f>
        <v>0.19900215282402903</v>
      </c>
      <c r="M2" s="136">
        <v>8435.0399999999991</v>
      </c>
      <c r="N2" s="2">
        <f t="shared" ref="N2:N14" si="3">M2/K2</f>
        <v>9.4269081687152635E-3</v>
      </c>
    </row>
    <row r="3" spans="1:14" x14ac:dyDescent="0.2">
      <c r="A3" t="s">
        <v>317</v>
      </c>
      <c r="B3" s="157">
        <v>78792451.829999998</v>
      </c>
      <c r="C3" s="136">
        <v>19511.330000000002</v>
      </c>
      <c r="D3" s="136">
        <v>78811963.159999996</v>
      </c>
      <c r="E3" s="136">
        <v>14059274.889999993</v>
      </c>
      <c r="F3" s="136">
        <v>1320737.81</v>
      </c>
      <c r="G3" s="136">
        <v>1758337.74</v>
      </c>
      <c r="H3" s="136">
        <v>44305249.219999991</v>
      </c>
      <c r="I3" s="1">
        <f>H3+K3</f>
        <v>55152726.889999986</v>
      </c>
      <c r="J3" s="2">
        <f t="shared" si="1"/>
        <v>0.69980146006554556</v>
      </c>
      <c r="K3" s="136">
        <v>10847477.669999996</v>
      </c>
      <c r="L3" s="2">
        <f t="shared" si="2"/>
        <v>0.13763745039541783</v>
      </c>
      <c r="M3" s="136">
        <v>8705712.5600000024</v>
      </c>
      <c r="N3" s="2">
        <f t="shared" si="3"/>
        <v>0.80255639373904375</v>
      </c>
    </row>
    <row r="4" spans="1:14" x14ac:dyDescent="0.2">
      <c r="A4" t="s">
        <v>318</v>
      </c>
      <c r="B4" s="157">
        <v>10186417.560000001</v>
      </c>
      <c r="C4" s="136">
        <v>0</v>
      </c>
      <c r="D4" s="136">
        <v>10186417.560000001</v>
      </c>
      <c r="E4" s="136">
        <v>3402487.07</v>
      </c>
      <c r="F4" s="136">
        <v>0</v>
      </c>
      <c r="G4" s="136">
        <v>1022000</v>
      </c>
      <c r="H4" s="136">
        <v>534941.06000000006</v>
      </c>
      <c r="I4" s="1">
        <f t="shared" si="0"/>
        <v>1237930.49</v>
      </c>
      <c r="J4" s="2">
        <f t="shared" si="1"/>
        <v>0.12152756184481406</v>
      </c>
      <c r="K4" s="136">
        <v>702989.42999999993</v>
      </c>
      <c r="L4" s="2">
        <f t="shared" si="2"/>
        <v>6.9012430116795628E-2</v>
      </c>
      <c r="M4" s="136">
        <v>127855.56000000001</v>
      </c>
      <c r="N4" s="2">
        <f t="shared" si="3"/>
        <v>0.18187408593042434</v>
      </c>
    </row>
    <row r="5" spans="1:14" x14ac:dyDescent="0.2">
      <c r="A5" t="s">
        <v>320</v>
      </c>
      <c r="B5" s="157">
        <v>23336567.410000004</v>
      </c>
      <c r="C5" s="136">
        <v>18883.18</v>
      </c>
      <c r="D5" s="136">
        <v>23355450.590000004</v>
      </c>
      <c r="E5" s="136">
        <v>7275205.3500000024</v>
      </c>
      <c r="F5" s="136">
        <v>1745356.56</v>
      </c>
      <c r="G5" s="136">
        <v>1738602.4</v>
      </c>
      <c r="H5" s="136">
        <v>10504995.940000001</v>
      </c>
      <c r="I5" s="1">
        <f t="shared" si="0"/>
        <v>12596286.280000001</v>
      </c>
      <c r="J5" s="2">
        <f t="shared" si="1"/>
        <v>0.53932961950189462</v>
      </c>
      <c r="K5" s="136">
        <v>2091290.3400000003</v>
      </c>
      <c r="L5" s="2">
        <f t="shared" si="2"/>
        <v>8.9541853707391914E-2</v>
      </c>
      <c r="M5" s="136">
        <v>894603.69</v>
      </c>
      <c r="N5" s="2">
        <f t="shared" si="3"/>
        <v>0.42777593951875653</v>
      </c>
    </row>
    <row r="6" spans="1:14" x14ac:dyDescent="0.2">
      <c r="A6" t="s">
        <v>321</v>
      </c>
      <c r="B6" s="157">
        <v>15441886.360000001</v>
      </c>
      <c r="C6" s="136">
        <v>45316.41</v>
      </c>
      <c r="D6" s="136">
        <v>15487202.770000001</v>
      </c>
      <c r="E6" s="136">
        <v>9053467.4900000039</v>
      </c>
      <c r="F6" s="136">
        <v>0</v>
      </c>
      <c r="G6" s="136">
        <v>362044.72</v>
      </c>
      <c r="H6" s="136">
        <v>3930278.11</v>
      </c>
      <c r="I6" s="1">
        <f>H6+K6</f>
        <v>5671690.5600000005</v>
      </c>
      <c r="J6" s="2">
        <f t="shared" si="1"/>
        <v>0.36621787964102442</v>
      </c>
      <c r="K6" s="136">
        <v>1741412.4500000002</v>
      </c>
      <c r="L6" s="2">
        <f t="shared" si="2"/>
        <v>0.11244202557825747</v>
      </c>
      <c r="M6" s="136">
        <v>947144.21999999986</v>
      </c>
      <c r="N6" s="2">
        <f t="shared" si="3"/>
        <v>0.54389425089960719</v>
      </c>
    </row>
    <row r="7" spans="1:14" x14ac:dyDescent="0.2">
      <c r="A7" t="s">
        <v>324</v>
      </c>
      <c r="B7" s="157">
        <v>5921619.3899999987</v>
      </c>
      <c r="C7" s="136">
        <v>0</v>
      </c>
      <c r="D7" s="136">
        <v>5921619.3899999987</v>
      </c>
      <c r="E7" s="136">
        <v>3647504.1099999994</v>
      </c>
      <c r="F7" s="136">
        <v>0</v>
      </c>
      <c r="G7" s="136">
        <v>162200.51</v>
      </c>
      <c r="H7" s="136">
        <v>252538.96000000002</v>
      </c>
      <c r="I7" s="1">
        <f t="shared" si="0"/>
        <v>1111914.7699999998</v>
      </c>
      <c r="J7" s="2">
        <f t="shared" si="1"/>
        <v>0.18777207665148504</v>
      </c>
      <c r="K7" s="136">
        <v>859375.80999999982</v>
      </c>
      <c r="L7" s="2">
        <f t="shared" si="2"/>
        <v>0.14512513442712163</v>
      </c>
      <c r="M7" s="136">
        <v>145249.93</v>
      </c>
      <c r="N7" s="2">
        <f t="shared" si="3"/>
        <v>0.1690179410565443</v>
      </c>
    </row>
    <row r="8" spans="1:14" x14ac:dyDescent="0.2">
      <c r="A8" t="s">
        <v>14</v>
      </c>
      <c r="B8" s="158">
        <f>19539102.43-CREDDEF!B11</f>
        <v>12609102.43</v>
      </c>
      <c r="C8" s="136">
        <v>-140595.93</v>
      </c>
      <c r="D8" s="139">
        <f>19398506.5-CREDDEF!B11</f>
        <v>12468506.5</v>
      </c>
      <c r="E8" s="136">
        <v>14489867.220000001</v>
      </c>
      <c r="F8" s="136">
        <v>0</v>
      </c>
      <c r="G8" s="136">
        <v>55639</v>
      </c>
      <c r="H8" s="136">
        <v>135344.26999999999</v>
      </c>
      <c r="I8" s="1">
        <f t="shared" si="0"/>
        <v>1453035.3399999999</v>
      </c>
      <c r="J8" s="2">
        <f t="shared" si="1"/>
        <v>0.11653643842588524</v>
      </c>
      <c r="K8" s="136">
        <v>1317691.0699999998</v>
      </c>
      <c r="L8" s="2">
        <f t="shared" si="2"/>
        <v>0.10568154814692521</v>
      </c>
      <c r="M8" s="136">
        <v>120004.37</v>
      </c>
      <c r="N8" s="2">
        <f t="shared" si="3"/>
        <v>9.1071703172428728E-2</v>
      </c>
    </row>
    <row r="9" spans="1:14" x14ac:dyDescent="0.2">
      <c r="A9" t="s">
        <v>322</v>
      </c>
      <c r="B9" s="157">
        <v>34102397.929999992</v>
      </c>
      <c r="C9" s="136">
        <v>33110.86</v>
      </c>
      <c r="D9" s="136">
        <v>34135508.789999992</v>
      </c>
      <c r="E9" s="136">
        <v>24402424.960000005</v>
      </c>
      <c r="F9" s="136">
        <v>36383.96</v>
      </c>
      <c r="G9" s="136">
        <v>373491.14</v>
      </c>
      <c r="H9" s="136">
        <v>1578049.7599999995</v>
      </c>
      <c r="I9" s="1">
        <f t="shared" si="0"/>
        <v>8648208.7300000079</v>
      </c>
      <c r="J9" s="2">
        <f t="shared" si="1"/>
        <v>0.25334934314890023</v>
      </c>
      <c r="K9" s="136">
        <v>7070158.9700000081</v>
      </c>
      <c r="L9" s="2">
        <f t="shared" si="2"/>
        <v>0.20712036294801656</v>
      </c>
      <c r="M9" s="136">
        <v>344547.61000000004</v>
      </c>
      <c r="N9" s="2">
        <f t="shared" si="3"/>
        <v>4.8732653885433026E-2</v>
      </c>
    </row>
    <row r="10" spans="1:14" x14ac:dyDescent="0.2">
      <c r="A10" t="s">
        <v>323</v>
      </c>
      <c r="B10" s="157">
        <v>9526905.1699999999</v>
      </c>
      <c r="C10" s="136">
        <v>10076.219999999999</v>
      </c>
      <c r="D10" s="136">
        <v>9536981.3899999987</v>
      </c>
      <c r="E10" s="136">
        <v>6371300.2399999974</v>
      </c>
      <c r="F10" s="136">
        <v>90787.260000000009</v>
      </c>
      <c r="G10" s="136">
        <v>305766.83999999997</v>
      </c>
      <c r="H10" s="136">
        <v>1606627.5099999998</v>
      </c>
      <c r="I10" s="1">
        <f t="shared" si="0"/>
        <v>2763137.5499999993</v>
      </c>
      <c r="J10" s="2">
        <f t="shared" si="1"/>
        <v>0.28972873459701692</v>
      </c>
      <c r="K10" s="136">
        <v>1156510.0399999996</v>
      </c>
      <c r="L10" s="2">
        <f t="shared" si="2"/>
        <v>0.1212658379739168</v>
      </c>
      <c r="M10" s="136">
        <v>463902.23</v>
      </c>
      <c r="N10" s="2">
        <f t="shared" si="3"/>
        <v>0.40112252721991082</v>
      </c>
    </row>
    <row r="11" spans="1:14" s="3" customFormat="1" x14ac:dyDescent="0.2">
      <c r="A11" s="3" t="s">
        <v>15</v>
      </c>
      <c r="B11" s="4">
        <f t="shared" ref="B11:I11" si="4">SUM(B2:B10)</f>
        <v>194399999.99999997</v>
      </c>
      <c r="C11" s="4">
        <f t="shared" si="4"/>
        <v>0</v>
      </c>
      <c r="D11" s="4">
        <f t="shared" si="4"/>
        <v>194399999.99999997</v>
      </c>
      <c r="E11" s="4">
        <f t="shared" si="4"/>
        <v>86261495.049999997</v>
      </c>
      <c r="F11" s="4">
        <f t="shared" si="4"/>
        <v>3193265.59</v>
      </c>
      <c r="G11" s="4">
        <f t="shared" si="4"/>
        <v>5778082.3499999996</v>
      </c>
      <c r="H11" s="4">
        <f t="shared" si="4"/>
        <v>62889627.659999996</v>
      </c>
      <c r="I11" s="4">
        <f t="shared" si="4"/>
        <v>89571316.739999995</v>
      </c>
      <c r="J11" s="5">
        <f t="shared" si="1"/>
        <v>0.46075780216049389</v>
      </c>
      <c r="K11" s="4">
        <f>SUM(K2:K10)</f>
        <v>26681689.080000006</v>
      </c>
      <c r="L11" s="5">
        <f t="shared" si="2"/>
        <v>0.1372514870370371</v>
      </c>
      <c r="M11" s="4">
        <f>SUM(M2:M10)</f>
        <v>11757455.210000001</v>
      </c>
      <c r="N11" s="5">
        <f t="shared" si="3"/>
        <v>0.44065633081726918</v>
      </c>
    </row>
    <row r="12" spans="1:14" x14ac:dyDescent="0.2">
      <c r="A12" t="s">
        <v>16</v>
      </c>
      <c r="B12" s="136">
        <v>9429999.9999999981</v>
      </c>
      <c r="C12" s="136">
        <v>0</v>
      </c>
      <c r="D12" s="136">
        <v>9429999.9999999981</v>
      </c>
      <c r="E12" s="136">
        <v>5131824.54</v>
      </c>
      <c r="F12" s="136">
        <v>99515.61</v>
      </c>
      <c r="G12" s="136">
        <v>41703.35</v>
      </c>
      <c r="H12" s="136">
        <v>3997026.97</v>
      </c>
      <c r="I12" s="1">
        <v>11821425.970000001</v>
      </c>
      <c r="J12" s="2">
        <f t="shared" si="1"/>
        <v>1.2535976638388127</v>
      </c>
      <c r="K12" s="136">
        <v>159929.53000000003</v>
      </c>
      <c r="L12" s="2">
        <f t="shared" si="2"/>
        <v>1.6959653234358437E-2</v>
      </c>
      <c r="M12" s="136">
        <v>68465.48</v>
      </c>
      <c r="N12" s="2">
        <f t="shared" si="3"/>
        <v>0.4280978003249305</v>
      </c>
    </row>
    <row r="13" spans="1:14" x14ac:dyDescent="0.2">
      <c r="A13" t="s">
        <v>17</v>
      </c>
      <c r="B13" s="136">
        <v>18570000</v>
      </c>
      <c r="C13" s="136">
        <v>1352889.53</v>
      </c>
      <c r="D13" s="136">
        <v>19922889.530000001</v>
      </c>
      <c r="E13" s="136">
        <v>11068139.220000003</v>
      </c>
      <c r="F13" s="136">
        <v>1168019.6400000001</v>
      </c>
      <c r="G13" s="136">
        <v>80818.459999999992</v>
      </c>
      <c r="H13" s="136">
        <v>4791703.3899999987</v>
      </c>
      <c r="I13" s="1">
        <f>H13+K13</f>
        <v>7605912.209999999</v>
      </c>
      <c r="J13" s="2">
        <f t="shared" si="1"/>
        <v>0.38176752416093923</v>
      </c>
      <c r="K13" s="136">
        <v>2814208.8200000003</v>
      </c>
      <c r="L13" s="2">
        <f t="shared" si="2"/>
        <v>0.14125505317701775</v>
      </c>
      <c r="M13" s="136">
        <v>2469099.5600000005</v>
      </c>
      <c r="N13" s="2">
        <f t="shared" si="3"/>
        <v>0.87736899353474429</v>
      </c>
    </row>
    <row r="14" spans="1:14" s="3" customFormat="1" x14ac:dyDescent="0.2">
      <c r="A14" s="3" t="s">
        <v>18</v>
      </c>
      <c r="B14" s="4">
        <f>SUM(B11:B13)</f>
        <v>222399999.99999997</v>
      </c>
      <c r="C14" s="4">
        <f t="shared" ref="C14:I14" si="5">SUM(C11:C13)</f>
        <v>1352889.53</v>
      </c>
      <c r="D14" s="4">
        <f t="shared" si="5"/>
        <v>223752889.52999997</v>
      </c>
      <c r="E14" s="4">
        <f t="shared" si="5"/>
        <v>102461458.81</v>
      </c>
      <c r="F14" s="4">
        <f t="shared" si="5"/>
        <v>4460800.84</v>
      </c>
      <c r="G14" s="4">
        <f t="shared" si="5"/>
        <v>5900604.1599999992</v>
      </c>
      <c r="H14" s="4">
        <f t="shared" si="5"/>
        <v>71678358.019999996</v>
      </c>
      <c r="I14" s="4">
        <f t="shared" si="5"/>
        <v>108998654.91999999</v>
      </c>
      <c r="J14" s="5">
        <f t="shared" si="1"/>
        <v>0.48713853550206709</v>
      </c>
      <c r="K14" s="4">
        <f>SUM(K11:K13)</f>
        <v>29655827.430000007</v>
      </c>
      <c r="L14" s="5">
        <f t="shared" si="2"/>
        <v>0.1325382992474109</v>
      </c>
      <c r="M14" s="4">
        <f>SUM(M11:M13)</f>
        <v>14295020.250000002</v>
      </c>
      <c r="N14" s="5">
        <f t="shared" si="3"/>
        <v>0.48203073354611836</v>
      </c>
    </row>
    <row r="18" spans="1:1" x14ac:dyDescent="0.2">
      <c r="A18" s="98" t="s">
        <v>298</v>
      </c>
    </row>
  </sheetData>
  <sheetProtection selectLockedCells="1" selectUnlockedCells="1"/>
  <phoneticPr fontId="0" type="noConversion"/>
  <pageMargins left="0.19652777777777777" right="0.19652777777777777" top="0.59027777777777779" bottom="0.98402777777777772" header="0.51180555555555551" footer="0.51180555555555551"/>
  <pageSetup paperSize="9" scale="63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2:N62"/>
  <sheetViews>
    <sheetView topLeftCell="B4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1.42578125" customWidth="1"/>
    <col min="2" max="2" width="5.42578125" customWidth="1"/>
    <col min="3" max="3" width="30.7109375" customWidth="1"/>
    <col min="4" max="4" width="13.85546875" customWidth="1"/>
    <col min="5" max="5" width="15.42578125" style="1" customWidth="1"/>
    <col min="6" max="6" width="14.140625" style="1" bestFit="1" customWidth="1"/>
    <col min="7" max="7" width="10.140625" style="1" customWidth="1"/>
    <col min="8" max="8" width="10" style="1" customWidth="1"/>
    <col min="9" max="9" width="11.42578125" style="6" customWidth="1"/>
    <col min="10" max="11" width="11.42578125" customWidth="1"/>
    <col min="12" max="13" width="11.42578125" style="2" customWidth="1"/>
  </cols>
  <sheetData>
    <row r="2" spans="4:14" x14ac:dyDescent="0.2">
      <c r="L2" s="2" t="s">
        <v>193</v>
      </c>
      <c r="M2" s="2" t="s">
        <v>195</v>
      </c>
    </row>
    <row r="3" spans="4:14" x14ac:dyDescent="0.2">
      <c r="K3" t="s">
        <v>206</v>
      </c>
      <c r="L3" s="2">
        <f>E45/F45</f>
        <v>6.0463555703874341E-3</v>
      </c>
      <c r="M3" s="2">
        <f>L3*$N$5</f>
        <v>3.0231777851937171E-3</v>
      </c>
    </row>
    <row r="4" spans="4:14" x14ac:dyDescent="0.2">
      <c r="K4" t="s">
        <v>194</v>
      </c>
      <c r="L4" s="2">
        <f>L5-L3</f>
        <v>0.99395364442961254</v>
      </c>
      <c r="M4" s="2">
        <f>L4*$N$5</f>
        <v>0.49697682221480627</v>
      </c>
    </row>
    <row r="5" spans="4:14" ht="15.75" x14ac:dyDescent="0.25">
      <c r="D5" s="7" t="s">
        <v>46</v>
      </c>
      <c r="K5" s="2">
        <v>0</v>
      </c>
      <c r="L5" s="2">
        <v>1</v>
      </c>
      <c r="M5" s="2">
        <v>0.5</v>
      </c>
      <c r="N5">
        <v>0.5</v>
      </c>
    </row>
    <row r="6" spans="4:14" ht="15.75" x14ac:dyDescent="0.25">
      <c r="D6" s="7" t="str">
        <f>'Dades globals'!A2</f>
        <v>SITUACIÓ DE DESPESES A 31/03/2025</v>
      </c>
    </row>
    <row r="7" spans="4:14" ht="15.75" x14ac:dyDescent="0.25">
      <c r="D7" s="7" t="s">
        <v>47</v>
      </c>
    </row>
    <row r="34" spans="3:13" ht="13.5" thickBot="1" x14ac:dyDescent="0.25"/>
    <row r="35" spans="3:13" s="8" customFormat="1" ht="26.25" thickBot="1" x14ac:dyDescent="0.25">
      <c r="C35" s="9" t="s">
        <v>48</v>
      </c>
      <c r="D35" s="10" t="s">
        <v>1</v>
      </c>
      <c r="E35" s="10" t="s">
        <v>2</v>
      </c>
      <c r="F35" s="10" t="s">
        <v>49</v>
      </c>
      <c r="G35" s="11" t="s">
        <v>226</v>
      </c>
      <c r="H35" s="11" t="s">
        <v>227</v>
      </c>
      <c r="L35" s="10" t="s">
        <v>225</v>
      </c>
      <c r="M35" s="37"/>
    </row>
    <row r="36" spans="3:13" x14ac:dyDescent="0.2">
      <c r="C36" s="12" t="s">
        <v>50</v>
      </c>
      <c r="D36" s="13">
        <f>DESPCAPITOL!C42</f>
        <v>76528283.150000036</v>
      </c>
      <c r="E36" s="13">
        <f>DESPCAPITOL!D42</f>
        <v>232967.12</v>
      </c>
      <c r="F36" s="13">
        <f t="shared" ref="F36:F45" si="0">D36+E36</f>
        <v>76761250.270000041</v>
      </c>
      <c r="G36" s="14">
        <f t="shared" ref="G36:G44" si="1">F36/$F$45</f>
        <v>0.34306260996780624</v>
      </c>
      <c r="H36" s="48">
        <f>G36-L36</f>
        <v>-1.0393826131291362E-3</v>
      </c>
      <c r="L36" s="14">
        <f>D36/$D$45</f>
        <v>0.34410199258093538</v>
      </c>
    </row>
    <row r="37" spans="3:13" x14ac:dyDescent="0.2">
      <c r="C37" s="12" t="s">
        <v>51</v>
      </c>
      <c r="D37" s="13">
        <f>DESPCAPITOL!C43</f>
        <v>38222376.210000001</v>
      </c>
      <c r="E37" s="13">
        <f>DESPCAPITOL!D43</f>
        <v>1095295.8</v>
      </c>
      <c r="F37" s="13">
        <f t="shared" si="0"/>
        <v>39317672.009999998</v>
      </c>
      <c r="G37" s="14">
        <f t="shared" si="1"/>
        <v>0.17571916989580783</v>
      </c>
      <c r="H37" s="14">
        <f>G37-L37</f>
        <v>3.8559675127143311E-3</v>
      </c>
      <c r="L37" s="14">
        <f t="shared" ref="L37:L44" si="2">D37/$D$45</f>
        <v>0.17186320238309349</v>
      </c>
    </row>
    <row r="38" spans="3:13" x14ac:dyDescent="0.2">
      <c r="C38" s="12" t="s">
        <v>52</v>
      </c>
      <c r="D38" s="13">
        <f>DESPCAPITOL!C44</f>
        <v>843701</v>
      </c>
      <c r="E38" s="13">
        <f>DESPCAPITOL!D44</f>
        <v>0</v>
      </c>
      <c r="F38" s="13">
        <f t="shared" si="0"/>
        <v>843701</v>
      </c>
      <c r="G38" s="14">
        <f t="shared" si="1"/>
        <v>3.7706820312900561E-3</v>
      </c>
      <c r="H38" s="14">
        <f t="shared" ref="H38:H44" si="3">G38-L38</f>
        <v>-2.2937573026490191E-5</v>
      </c>
      <c r="L38" s="14">
        <f t="shared" si="2"/>
        <v>3.7936196043165463E-3</v>
      </c>
    </row>
    <row r="39" spans="3:13" x14ac:dyDescent="0.2">
      <c r="C39" s="12" t="s">
        <v>53</v>
      </c>
      <c r="D39" s="13">
        <f>DESPCAPITOL!C45</f>
        <v>29030287.109999999</v>
      </c>
      <c r="E39" s="13">
        <f>DESPCAPITOL!D45</f>
        <v>0</v>
      </c>
      <c r="F39" s="13">
        <f t="shared" si="0"/>
        <v>29030287.109999999</v>
      </c>
      <c r="G39" s="14">
        <f t="shared" si="1"/>
        <v>0.12974262442366233</v>
      </c>
      <c r="H39" s="14">
        <f t="shared" si="3"/>
        <v>-7.8924207813621527E-4</v>
      </c>
      <c r="L39" s="14">
        <f t="shared" si="2"/>
        <v>0.13053186650179854</v>
      </c>
    </row>
    <row r="40" spans="3:13" x14ac:dyDescent="0.2">
      <c r="C40" s="12" t="s">
        <v>54</v>
      </c>
      <c r="D40" s="13">
        <f>DESPCAPITOL!C46</f>
        <v>5406601.6200000001</v>
      </c>
      <c r="E40" s="13">
        <f>DESPCAPITOL!D46</f>
        <v>-232967.12</v>
      </c>
      <c r="F40" s="13">
        <f t="shared" si="0"/>
        <v>5173634.5</v>
      </c>
      <c r="G40" s="14">
        <f t="shared" si="1"/>
        <v>2.3122090225817335E-2</v>
      </c>
      <c r="H40" s="14">
        <f t="shared" si="3"/>
        <v>-1.1881688569164751E-3</v>
      </c>
      <c r="L40" s="14">
        <f t="shared" si="2"/>
        <v>2.431025908273381E-2</v>
      </c>
    </row>
    <row r="41" spans="3:13" x14ac:dyDescent="0.2">
      <c r="C41" s="12" t="s">
        <v>55</v>
      </c>
      <c r="D41" s="13">
        <f>DESPCAPITOL!C47</f>
        <v>22103422.539999999</v>
      </c>
      <c r="E41" s="13">
        <f>DESPCAPITOL!D47</f>
        <v>257593.72999999998</v>
      </c>
      <c r="F41" s="13">
        <f t="shared" si="0"/>
        <v>22361016.27</v>
      </c>
      <c r="G41" s="14">
        <f t="shared" si="1"/>
        <v>9.9936212296386495E-2</v>
      </c>
      <c r="H41" s="14">
        <f t="shared" si="3"/>
        <v>5.5031958055917762E-4</v>
      </c>
      <c r="L41" s="14">
        <f t="shared" si="2"/>
        <v>9.9385892715827318E-2</v>
      </c>
    </row>
    <row r="42" spans="3:13" x14ac:dyDescent="0.2">
      <c r="C42" s="12" t="s">
        <v>56</v>
      </c>
      <c r="D42" s="13">
        <f>DESPCAPITOL!C48</f>
        <v>49665328.370000005</v>
      </c>
      <c r="E42" s="13">
        <f>DESPCAPITOL!D48</f>
        <v>0</v>
      </c>
      <c r="F42" s="13">
        <f t="shared" si="0"/>
        <v>49665328.370000005</v>
      </c>
      <c r="G42" s="14">
        <f t="shared" si="1"/>
        <v>0.22196508154296279</v>
      </c>
      <c r="H42" s="14">
        <f t="shared" si="3"/>
        <v>-1.3502438617134516E-3</v>
      </c>
      <c r="L42" s="14">
        <f t="shared" si="2"/>
        <v>0.22331532540467625</v>
      </c>
    </row>
    <row r="43" spans="3:13" x14ac:dyDescent="0.2">
      <c r="C43" s="12" t="s">
        <v>57</v>
      </c>
      <c r="D43" s="13">
        <f>DESPCAPITOL!C49</f>
        <v>600000</v>
      </c>
      <c r="E43" s="13">
        <f>DESPCAPITOL!D49</f>
        <v>0</v>
      </c>
      <c r="F43" s="13">
        <f t="shared" si="0"/>
        <v>600000</v>
      </c>
      <c r="G43" s="14">
        <f t="shared" si="1"/>
        <v>2.68152961626694E-3</v>
      </c>
      <c r="H43" s="14">
        <f t="shared" si="3"/>
        <v>-1.6312110351764716E-5</v>
      </c>
      <c r="L43" s="14">
        <f t="shared" si="2"/>
        <v>2.6978417266187047E-3</v>
      </c>
    </row>
    <row r="44" spans="3:13" ht="13.5" thickBot="1" x14ac:dyDescent="0.25">
      <c r="C44" s="12" t="s">
        <v>58</v>
      </c>
      <c r="D44" s="13">
        <f>DESPCAPITOL!C50</f>
        <v>0</v>
      </c>
      <c r="E44" s="13">
        <f>DESPCAPITOL!D50</f>
        <v>0</v>
      </c>
      <c r="F44" s="13">
        <f t="shared" si="0"/>
        <v>0</v>
      </c>
      <c r="G44" s="14">
        <f t="shared" si="1"/>
        <v>0</v>
      </c>
      <c r="H44" s="47">
        <f t="shared" si="3"/>
        <v>0</v>
      </c>
      <c r="L44" s="14">
        <f t="shared" si="2"/>
        <v>0</v>
      </c>
    </row>
    <row r="45" spans="3:13" ht="13.5" thickBot="1" x14ac:dyDescent="0.25">
      <c r="C45" s="15" t="s">
        <v>59</v>
      </c>
      <c r="D45" s="16">
        <f>SUM(D36:D44)</f>
        <v>222400000.00000003</v>
      </c>
      <c r="E45" s="16">
        <f>SUM(E36:E44)</f>
        <v>1352889.5299999998</v>
      </c>
      <c r="F45" s="16">
        <f t="shared" si="0"/>
        <v>223752889.53000003</v>
      </c>
      <c r="G45" s="45"/>
      <c r="H45" s="46"/>
    </row>
    <row r="46" spans="3:13" x14ac:dyDescent="0.2">
      <c r="C46" s="3"/>
      <c r="D46" s="4"/>
      <c r="E46" s="4"/>
      <c r="F46" s="4"/>
      <c r="G46" s="4"/>
      <c r="H46" s="6"/>
    </row>
    <row r="47" spans="3:13" x14ac:dyDescent="0.2">
      <c r="C47" s="3"/>
      <c r="D47" s="4"/>
      <c r="E47" s="4"/>
      <c r="F47" s="4"/>
      <c r="G47" s="4"/>
      <c r="H47" s="6"/>
    </row>
    <row r="48" spans="3:13" x14ac:dyDescent="0.2">
      <c r="C48" s="4"/>
      <c r="D48" s="4"/>
      <c r="E48" s="4"/>
      <c r="F48" s="4"/>
      <c r="G48" s="4"/>
      <c r="H48" s="6"/>
    </row>
    <row r="49" spans="3:8" x14ac:dyDescent="0.2">
      <c r="C49" s="3"/>
      <c r="D49" s="4"/>
      <c r="E49" s="4"/>
      <c r="F49" s="4"/>
      <c r="G49" s="4"/>
      <c r="H49" s="6"/>
    </row>
    <row r="50" spans="3:8" x14ac:dyDescent="0.2">
      <c r="C50" s="3"/>
      <c r="D50" s="4"/>
      <c r="E50" s="4"/>
      <c r="F50" s="4"/>
      <c r="G50" s="4"/>
      <c r="H50" s="6"/>
    </row>
    <row r="51" spans="3:8" x14ac:dyDescent="0.2">
      <c r="C51" s="3"/>
      <c r="D51" s="4"/>
      <c r="E51" s="4"/>
      <c r="F51" s="4"/>
      <c r="G51" s="4"/>
      <c r="H51" s="6"/>
    </row>
    <row r="52" spans="3:8" x14ac:dyDescent="0.2">
      <c r="C52" s="3"/>
      <c r="D52" s="4"/>
      <c r="E52" s="4"/>
      <c r="F52" s="4"/>
      <c r="G52" s="4"/>
      <c r="H52" s="6"/>
    </row>
    <row r="53" spans="3:8" x14ac:dyDescent="0.2">
      <c r="C53" s="3"/>
      <c r="D53" s="4"/>
      <c r="E53" s="4"/>
      <c r="F53" s="4"/>
      <c r="G53" s="4"/>
      <c r="H53" s="6"/>
    </row>
    <row r="54" spans="3:8" x14ac:dyDescent="0.2">
      <c r="C54" s="3"/>
      <c r="D54" s="4"/>
      <c r="E54" s="4"/>
      <c r="F54" s="4"/>
      <c r="G54" s="4"/>
      <c r="H54" s="6"/>
    </row>
    <row r="55" spans="3:8" x14ac:dyDescent="0.2">
      <c r="C55" s="3"/>
      <c r="D55" s="4"/>
      <c r="E55" s="4"/>
      <c r="F55" s="4"/>
      <c r="G55" s="4"/>
      <c r="H55" s="6"/>
    </row>
    <row r="56" spans="3:8" x14ac:dyDescent="0.2">
      <c r="C56" s="3"/>
      <c r="D56" s="4"/>
      <c r="E56" s="4"/>
      <c r="F56" s="4"/>
      <c r="G56" s="4"/>
      <c r="H56" s="6"/>
    </row>
    <row r="57" spans="3:8" x14ac:dyDescent="0.2">
      <c r="C57" s="3"/>
      <c r="D57" s="4"/>
      <c r="E57" s="4"/>
      <c r="F57" s="4"/>
      <c r="G57" s="4"/>
      <c r="H57" s="6"/>
    </row>
    <row r="58" spans="3:8" x14ac:dyDescent="0.2">
      <c r="C58" s="3"/>
      <c r="D58" s="4"/>
      <c r="E58" s="4"/>
      <c r="F58" s="4"/>
      <c r="G58" s="4"/>
      <c r="H58" s="6"/>
    </row>
    <row r="59" spans="3:8" x14ac:dyDescent="0.2">
      <c r="C59" s="3"/>
      <c r="D59" s="4"/>
      <c r="E59" s="4"/>
      <c r="F59" s="4"/>
      <c r="G59" s="4"/>
      <c r="H59" s="6"/>
    </row>
    <row r="60" spans="3:8" x14ac:dyDescent="0.2">
      <c r="C60" s="3"/>
      <c r="D60" s="4"/>
      <c r="E60" s="4"/>
      <c r="F60" s="4"/>
      <c r="G60" s="4"/>
      <c r="H60" s="6"/>
    </row>
    <row r="61" spans="3:8" x14ac:dyDescent="0.2">
      <c r="C61" s="3"/>
      <c r="D61" s="4"/>
      <c r="E61" s="4"/>
      <c r="F61" s="4"/>
      <c r="G61" s="4"/>
      <c r="H61" s="6"/>
    </row>
    <row r="62" spans="3:8" x14ac:dyDescent="0.2">
      <c r="C62" s="3"/>
      <c r="D62" s="4"/>
      <c r="E62" s="4"/>
      <c r="F62" s="4"/>
      <c r="G62" s="4"/>
      <c r="H62" s="6"/>
    </row>
  </sheetData>
  <sheetProtection selectLockedCells="1" selectUnlockedCells="1"/>
  <phoneticPr fontId="0" type="noConversion"/>
  <conditionalFormatting sqref="H36:H44">
    <cfRule type="iconSet" priority="1">
      <iconSet iconSet="3Arrows">
        <cfvo type="percent" val="0"/>
        <cfvo type="num" val="-0.03"/>
        <cfvo type="num" val="0.03"/>
      </iconSet>
    </cfRule>
  </conditionalFormatting>
  <conditionalFormatting sqref="I36:I44">
    <cfRule type="iconSet" priority="3">
      <iconSet iconSet="3Arrows">
        <cfvo type="percent" val="0"/>
        <cfvo type="percent" val="33"/>
        <cfvo type="percent" val="67"/>
      </iconSet>
    </cfRule>
  </conditionalFormatting>
  <pageMargins left="0.39370078740157483" right="0.23622047244094491" top="0.59055118110236227" bottom="0.74803149606299213" header="0.31496062992125984" footer="0.59055118110236227"/>
  <pageSetup paperSize="9" scale="84" firstPageNumber="0" orientation="portrait" r:id="rId1"/>
  <headerFooter alignWithMargins="0">
    <oddFooter>&amp;CServei de comptabilitat i gestió pressupostària | Intervenció&amp;R4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5:M49"/>
  <sheetViews>
    <sheetView topLeftCell="A14" zoomScaleNormal="100" workbookViewId="0">
      <selection activeCell="B39" sqref="B39:H49"/>
    </sheetView>
  </sheetViews>
  <sheetFormatPr baseColWidth="10" defaultColWidth="11.42578125" defaultRowHeight="12.75" x14ac:dyDescent="0.2"/>
  <cols>
    <col min="1" max="1" width="16.7109375" customWidth="1"/>
    <col min="2" max="2" width="34.140625" customWidth="1"/>
    <col min="3" max="3" width="14.140625" style="1" bestFit="1" customWidth="1"/>
    <col min="4" max="4" width="13.42578125" style="1" customWidth="1"/>
    <col min="5" max="6" width="15.42578125" style="1" customWidth="1"/>
    <col min="7" max="7" width="13.42578125" style="1" customWidth="1"/>
    <col min="8" max="8" width="11.7109375" customWidth="1"/>
    <col min="9" max="10" width="11.42578125" customWidth="1"/>
    <col min="11" max="11" width="15.28515625" customWidth="1"/>
    <col min="12" max="12" width="15.42578125" customWidth="1"/>
    <col min="13" max="13" width="17.28515625" customWidth="1"/>
  </cols>
  <sheetData>
    <row r="5" spans="4:4" ht="15.75" x14ac:dyDescent="0.25">
      <c r="D5" s="7" t="s">
        <v>46</v>
      </c>
    </row>
    <row r="6" spans="4:4" ht="15.75" x14ac:dyDescent="0.25">
      <c r="D6" s="7" t="str">
        <f>'Dades globals'!A2</f>
        <v>SITUACIÓ DE DESPESES A 31/03/2025</v>
      </c>
    </row>
    <row r="7" spans="4:4" ht="15.75" x14ac:dyDescent="0.25">
      <c r="D7" s="7" t="s">
        <v>60</v>
      </c>
    </row>
    <row r="38" spans="2:13" ht="13.5" thickBot="1" x14ac:dyDescent="0.25"/>
    <row r="39" spans="2:13" s="8" customFormat="1" ht="39" thickBot="1" x14ac:dyDescent="0.25">
      <c r="B39" s="9" t="s">
        <v>48</v>
      </c>
      <c r="C39" s="10" t="s">
        <v>61</v>
      </c>
      <c r="D39" s="10" t="s">
        <v>62</v>
      </c>
      <c r="E39" s="10" t="s">
        <v>63</v>
      </c>
      <c r="F39" s="10" t="s">
        <v>64</v>
      </c>
      <c r="G39" s="10" t="s">
        <v>272</v>
      </c>
      <c r="H39" s="10" t="s">
        <v>229</v>
      </c>
      <c r="J39" s="9" t="s">
        <v>48</v>
      </c>
      <c r="K39" s="10" t="s">
        <v>228</v>
      </c>
      <c r="L39" s="10" t="s">
        <v>64</v>
      </c>
      <c r="M39" s="10" t="s">
        <v>272</v>
      </c>
    </row>
    <row r="40" spans="2:13" x14ac:dyDescent="0.2">
      <c r="B40" s="12" t="s">
        <v>50</v>
      </c>
      <c r="C40" s="13">
        <f>DESPCAPITOL!F42</f>
        <v>59839942.310000077</v>
      </c>
      <c r="D40" s="13">
        <f>DESPCAPITOL!G42</f>
        <v>0</v>
      </c>
      <c r="E40" s="13">
        <f>DESPCAPITOL!H42</f>
        <v>0</v>
      </c>
      <c r="F40" s="13">
        <f>DESPCAPITOL!I42</f>
        <v>488291.83</v>
      </c>
      <c r="G40" s="13">
        <f>DESPCAPITOL!L42</f>
        <v>16433016.129999999</v>
      </c>
      <c r="H40" s="14">
        <f>IFERROR(G40/(G40+K40+L40),0)</f>
        <v>0.2140795788525916</v>
      </c>
      <c r="J40" s="12" t="s">
        <v>50</v>
      </c>
      <c r="K40" s="13">
        <f>C40+D40+E40</f>
        <v>59839942.310000077</v>
      </c>
      <c r="L40" s="13">
        <f>F40</f>
        <v>488291.83</v>
      </c>
      <c r="M40" s="13">
        <f>G40</f>
        <v>16433016.129999999</v>
      </c>
    </row>
    <row r="41" spans="2:13" x14ac:dyDescent="0.2">
      <c r="B41" s="12" t="s">
        <v>51</v>
      </c>
      <c r="C41" s="13">
        <f>DESPCAPITOL!F43</f>
        <v>14733080.85999999</v>
      </c>
      <c r="D41" s="13">
        <f>DESPCAPITOL!G43</f>
        <v>1376195.2800000003</v>
      </c>
      <c r="E41" s="13">
        <f>DESPCAPITOL!H43</f>
        <v>1086762.1200000001</v>
      </c>
      <c r="F41" s="13">
        <f>DESPCAPITOL!I43</f>
        <v>18880954.120000001</v>
      </c>
      <c r="G41" s="13">
        <f>DESPCAPITOL!L43</f>
        <v>3234690.13</v>
      </c>
      <c r="H41" s="14">
        <f>IFERROR(G41/(G41+K41+L41),0)</f>
        <v>8.2283176996486199E-2</v>
      </c>
      <c r="J41" s="12" t="s">
        <v>51</v>
      </c>
      <c r="K41" s="13">
        <f>C41+D41+E41</f>
        <v>17196038.25999999</v>
      </c>
      <c r="L41" s="13">
        <f t="shared" ref="L41:L48" si="0">F41</f>
        <v>18880954.120000001</v>
      </c>
      <c r="M41" s="13">
        <f t="shared" ref="M41:M48" si="1">G41</f>
        <v>3234690.13</v>
      </c>
    </row>
    <row r="42" spans="2:13" x14ac:dyDescent="0.2">
      <c r="B42" s="12" t="s">
        <v>52</v>
      </c>
      <c r="C42" s="13">
        <f>DESPCAPITOL!F44</f>
        <v>843701</v>
      </c>
      <c r="D42" s="13">
        <f>DESPCAPITOL!G44</f>
        <v>0</v>
      </c>
      <c r="E42" s="13">
        <f>DESPCAPITOL!H44</f>
        <v>0</v>
      </c>
      <c r="F42" s="13">
        <f>DESPCAPITOL!I44</f>
        <v>0</v>
      </c>
      <c r="G42" s="13">
        <f>DESPCAPITOL!L44</f>
        <v>0</v>
      </c>
      <c r="H42" s="14">
        <f t="shared" ref="H42:H47" si="2">IFERROR(G42/(G42+K42+L42),0)</f>
        <v>0</v>
      </c>
      <c r="J42" s="12" t="s">
        <v>52</v>
      </c>
      <c r="K42" s="13">
        <f t="shared" ref="K42:K48" si="3">C42+D42+E42</f>
        <v>843701</v>
      </c>
      <c r="L42" s="13">
        <f t="shared" si="0"/>
        <v>0</v>
      </c>
      <c r="M42" s="13">
        <f t="shared" si="1"/>
        <v>0</v>
      </c>
    </row>
    <row r="43" spans="2:13" x14ac:dyDescent="0.2">
      <c r="B43" s="12" t="s">
        <v>53</v>
      </c>
      <c r="C43" s="13">
        <f>DESPCAPITOL!F45</f>
        <v>13043741.24</v>
      </c>
      <c r="D43" s="13">
        <f>DESPCAPITOL!G45</f>
        <v>629580.5</v>
      </c>
      <c r="E43" s="13">
        <f>DESPCAPITOL!H45</f>
        <v>1434800</v>
      </c>
      <c r="F43" s="13">
        <f>DESPCAPITOL!I45</f>
        <v>8034639.2100000009</v>
      </c>
      <c r="G43" s="13">
        <f>DESPCAPITOL!L45</f>
        <v>8473626.1600000001</v>
      </c>
      <c r="H43" s="14">
        <f t="shared" si="2"/>
        <v>0.26801374016956742</v>
      </c>
      <c r="J43" s="12" t="s">
        <v>53</v>
      </c>
      <c r="K43" s="13">
        <f t="shared" si="3"/>
        <v>15108121.74</v>
      </c>
      <c r="L43" s="13">
        <f t="shared" si="0"/>
        <v>8034639.2100000009</v>
      </c>
      <c r="M43" s="13">
        <f t="shared" si="1"/>
        <v>8473626.1600000001</v>
      </c>
    </row>
    <row r="44" spans="2:13" x14ac:dyDescent="0.2">
      <c r="B44" s="12" t="s">
        <v>54</v>
      </c>
      <c r="C44" s="13">
        <f>DESPCAPITOL!F46</f>
        <v>1849907.13</v>
      </c>
      <c r="D44" s="13">
        <f>DESPCAPITOL!G46</f>
        <v>0</v>
      </c>
      <c r="E44" s="13">
        <f>DESPCAPITOL!H46</f>
        <v>0</v>
      </c>
      <c r="F44" s="13">
        <f>DESPCAPITOL!I46</f>
        <v>0</v>
      </c>
      <c r="G44" s="13">
        <f>DESPCAPITOL!L46</f>
        <v>0</v>
      </c>
      <c r="H44" s="14">
        <f t="shared" si="2"/>
        <v>0</v>
      </c>
      <c r="J44" s="12" t="s">
        <v>54</v>
      </c>
      <c r="K44" s="13">
        <f t="shared" si="3"/>
        <v>1849907.13</v>
      </c>
      <c r="L44" s="13">
        <f t="shared" si="0"/>
        <v>0</v>
      </c>
      <c r="M44" s="13">
        <f t="shared" si="1"/>
        <v>0</v>
      </c>
    </row>
    <row r="45" spans="2:13" x14ac:dyDescent="0.2">
      <c r="B45" s="12" t="s">
        <v>55</v>
      </c>
      <c r="C45" s="13">
        <f>DESPCAPITOL!F47</f>
        <v>9434246.5699999984</v>
      </c>
      <c r="D45" s="13">
        <f>DESPCAPITOL!G47</f>
        <v>1827444.56</v>
      </c>
      <c r="E45" s="13">
        <f>DESPCAPITOL!H47</f>
        <v>2029042.04</v>
      </c>
      <c r="F45" s="13">
        <f>DESPCAPITOL!I47</f>
        <v>7814321.0899999999</v>
      </c>
      <c r="G45" s="13">
        <f>DESPCAPITOL!L47</f>
        <v>779724.43999999983</v>
      </c>
      <c r="H45" s="14">
        <f t="shared" si="2"/>
        <v>3.5628618899399701E-2</v>
      </c>
      <c r="J45" s="12" t="s">
        <v>55</v>
      </c>
      <c r="K45" s="13">
        <f t="shared" si="3"/>
        <v>13290733.169999998</v>
      </c>
      <c r="L45" s="13">
        <f t="shared" si="0"/>
        <v>7814321.0899999999</v>
      </c>
      <c r="M45" s="13">
        <f t="shared" si="1"/>
        <v>779724.43999999983</v>
      </c>
    </row>
    <row r="46" spans="2:13" x14ac:dyDescent="0.2">
      <c r="B46" s="12" t="s">
        <v>56</v>
      </c>
      <c r="C46" s="13">
        <f>DESPCAPITOL!F48</f>
        <v>2230639.7000000002</v>
      </c>
      <c r="D46" s="13">
        <f>DESPCAPITOL!G48</f>
        <v>627580.5</v>
      </c>
      <c r="E46" s="13">
        <f>DESPCAPITOL!H48</f>
        <v>1350000</v>
      </c>
      <c r="F46" s="13">
        <f>DESPCAPITOL!I48</f>
        <v>36460151.770000003</v>
      </c>
      <c r="G46" s="13">
        <f>DESPCAPITOL!L48</f>
        <v>620970.56999999995</v>
      </c>
      <c r="H46" s="14">
        <f t="shared" si="2"/>
        <v>1.5039487959839039E-2</v>
      </c>
      <c r="J46" s="12" t="s">
        <v>56</v>
      </c>
      <c r="K46" s="13">
        <f t="shared" si="3"/>
        <v>4208220.2</v>
      </c>
      <c r="L46" s="13">
        <f t="shared" si="0"/>
        <v>36460151.770000003</v>
      </c>
      <c r="M46" s="13">
        <f t="shared" si="1"/>
        <v>620970.56999999995</v>
      </c>
    </row>
    <row r="47" spans="2:13" x14ac:dyDescent="0.2">
      <c r="B47" s="12" t="s">
        <v>57</v>
      </c>
      <c r="C47" s="13">
        <f>DESPCAPITOL!F49</f>
        <v>486200</v>
      </c>
      <c r="D47" s="13">
        <f>DESPCAPITOL!G49</f>
        <v>0</v>
      </c>
      <c r="E47" s="13">
        <f>DESPCAPITOL!H49</f>
        <v>0</v>
      </c>
      <c r="F47" s="13">
        <f>DESPCAPITOL!I49</f>
        <v>0</v>
      </c>
      <c r="G47" s="13">
        <f>DESPCAPITOL!L49</f>
        <v>113800</v>
      </c>
      <c r="H47" s="14">
        <f t="shared" si="2"/>
        <v>0.18966666666666668</v>
      </c>
      <c r="J47" s="12" t="s">
        <v>57</v>
      </c>
      <c r="K47" s="13">
        <f t="shared" si="3"/>
        <v>486200</v>
      </c>
      <c r="L47" s="13">
        <f t="shared" si="0"/>
        <v>0</v>
      </c>
      <c r="M47" s="13">
        <f t="shared" si="1"/>
        <v>113800</v>
      </c>
    </row>
    <row r="48" spans="2:13" ht="13.5" thickBot="1" x14ac:dyDescent="0.25">
      <c r="B48" s="12" t="s">
        <v>58</v>
      </c>
      <c r="C48" s="13">
        <f>DESPCAPITOL!F50</f>
        <v>0</v>
      </c>
      <c r="D48" s="13">
        <f>DESPCAPITOL!G50</f>
        <v>0</v>
      </c>
      <c r="E48" s="13">
        <f>DESPCAPITOL!H50</f>
        <v>0</v>
      </c>
      <c r="F48" s="13">
        <f>DESPCAPITOL!I50</f>
        <v>0</v>
      </c>
      <c r="G48" s="13">
        <f>DESPCAPITOL!L50</f>
        <v>0</v>
      </c>
      <c r="H48" s="14">
        <f>IFERROR(G48/(G48+K48+L48),0)</f>
        <v>0</v>
      </c>
      <c r="J48" s="12" t="s">
        <v>58</v>
      </c>
      <c r="K48" s="13">
        <f t="shared" si="3"/>
        <v>0</v>
      </c>
      <c r="L48" s="13">
        <f t="shared" si="0"/>
        <v>0</v>
      </c>
      <c r="M48" s="13">
        <f t="shared" si="1"/>
        <v>0</v>
      </c>
    </row>
    <row r="49" spans="2:13" ht="13.5" thickBot="1" x14ac:dyDescent="0.25">
      <c r="B49" s="15" t="s">
        <v>59</v>
      </c>
      <c r="C49" s="163">
        <f>SUM(C40:C48)</f>
        <v>102461458.81000005</v>
      </c>
      <c r="D49" s="16">
        <f>SUM(D40:D48)</f>
        <v>4460800.84</v>
      </c>
      <c r="E49" s="16">
        <f>SUM(E40:E48)</f>
        <v>5900604.1600000001</v>
      </c>
      <c r="F49" s="16">
        <f>SUM(F40:F48)</f>
        <v>71678358.020000011</v>
      </c>
      <c r="G49" s="16">
        <f>SUM(G40:G48)</f>
        <v>29655827.43</v>
      </c>
      <c r="H49" s="45"/>
      <c r="J49" s="15" t="s">
        <v>59</v>
      </c>
      <c r="K49" s="16"/>
      <c r="L49" s="16">
        <f>SUM(L40:L48)</f>
        <v>71678358.020000011</v>
      </c>
      <c r="M49" s="16">
        <f>SUM(M40:M48)</f>
        <v>29655827.43</v>
      </c>
    </row>
  </sheetData>
  <sheetProtection selectLockedCells="1" selectUnlockedCells="1"/>
  <phoneticPr fontId="0" type="noConversion"/>
  <conditionalFormatting sqref="H40:H4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{E9349EBF-6812-405D-AF71-18A453C63B26}</x14:id>
        </ext>
      </extLst>
    </cfRule>
  </conditionalFormatting>
  <pageMargins left="0.39370078740157483" right="0.23622047244094491" top="0.59055118110236227" bottom="0.74803149606299213" header="0.31496062992125984" footer="0.59055118110236227"/>
  <pageSetup paperSize="9" scale="73" firstPageNumber="0" orientation="portrait" r:id="rId1"/>
  <headerFooter alignWithMargins="0">
    <oddFooter>&amp;CServei de comptabilitat i gestió pressupostària | Intervenció&amp;R5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9349EBF-6812-405D-AF71-18A453C63B26}">
            <x14:dataBar minLength="0" maxLength="100" negativeBarColorSameAsPositive="1" axisPosition="none">
              <x14:cfvo type="min"/>
              <x14:cfvo type="max"/>
            </x14:dataBar>
          </x14:cfRule>
          <xm:sqref>H40:H48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5:M44"/>
  <sheetViews>
    <sheetView zoomScaleNormal="100" workbookViewId="0">
      <selection activeCell="M32" sqref="M31:M35"/>
    </sheetView>
  </sheetViews>
  <sheetFormatPr baseColWidth="10" defaultColWidth="11.42578125" defaultRowHeight="12.75" x14ac:dyDescent="0.2"/>
  <cols>
    <col min="1" max="1" width="16.7109375" customWidth="1"/>
    <col min="2" max="2" width="34.140625" customWidth="1"/>
    <col min="3" max="3" width="15" style="1" customWidth="1"/>
    <col min="4" max="4" width="16.42578125" style="1" customWidth="1"/>
    <col min="5" max="5" width="15.42578125" style="1" customWidth="1"/>
    <col min="6" max="6" width="13.42578125" style="1" customWidth="1"/>
    <col min="7" max="7" width="15.28515625" style="1" customWidth="1"/>
    <col min="8" max="8" width="3.7109375" customWidth="1"/>
    <col min="13" max="13" width="13.28515625" bestFit="1" customWidth="1"/>
  </cols>
  <sheetData>
    <row r="5" spans="3:4" ht="15.75" x14ac:dyDescent="0.25">
      <c r="C5" s="7" t="s">
        <v>46</v>
      </c>
      <c r="D5" s="7"/>
    </row>
    <row r="6" spans="3:4" ht="15.75" x14ac:dyDescent="0.25">
      <c r="C6" s="7" t="str">
        <f>'Dades globals'!A2</f>
        <v>SITUACIÓ DE DESPESES A 31/03/2025</v>
      </c>
      <c r="D6" s="7"/>
    </row>
    <row r="7" spans="3:4" ht="15.75" x14ac:dyDescent="0.25">
      <c r="C7" s="7" t="s">
        <v>121</v>
      </c>
      <c r="D7" s="7"/>
    </row>
    <row r="31" spans="13:13" x14ac:dyDescent="0.2">
      <c r="M31" s="1"/>
    </row>
    <row r="32" spans="13:13" x14ac:dyDescent="0.2">
      <c r="M32" s="1"/>
    </row>
    <row r="33" spans="2:13" x14ac:dyDescent="0.2">
      <c r="M33" s="1"/>
    </row>
    <row r="34" spans="2:13" x14ac:dyDescent="0.2">
      <c r="M34" s="1"/>
    </row>
    <row r="35" spans="2:13" x14ac:dyDescent="0.2">
      <c r="M35" s="1"/>
    </row>
    <row r="36" spans="2:13" ht="13.5" thickBot="1" x14ac:dyDescent="0.25"/>
    <row r="37" spans="2:13" s="8" customFormat="1" ht="26.25" thickBot="1" x14ac:dyDescent="0.25">
      <c r="B37" s="9" t="s">
        <v>48</v>
      </c>
      <c r="C37" s="10" t="s">
        <v>122</v>
      </c>
      <c r="D37" s="10" t="s">
        <v>123</v>
      </c>
      <c r="E37" s="10" t="s">
        <v>8</v>
      </c>
      <c r="F37" s="10" t="s">
        <v>10</v>
      </c>
      <c r="G37" s="10" t="s">
        <v>124</v>
      </c>
    </row>
    <row r="38" spans="2:13" x14ac:dyDescent="0.2">
      <c r="B38" s="12" t="s">
        <v>125</v>
      </c>
      <c r="C38" s="13">
        <f>DESPPROG!C30</f>
        <v>0</v>
      </c>
      <c r="D38" s="13">
        <f>DESPPROG!E30</f>
        <v>0</v>
      </c>
      <c r="E38" s="13">
        <f>DESPPROG!J30</f>
        <v>0</v>
      </c>
      <c r="F38" s="13">
        <f>DESPPROG!L30</f>
        <v>0</v>
      </c>
      <c r="G38" s="13">
        <f t="shared" ref="G38:G43" si="0">D38-F38</f>
        <v>0</v>
      </c>
    </row>
    <row r="39" spans="2:13" x14ac:dyDescent="0.2">
      <c r="B39" s="12" t="s">
        <v>126</v>
      </c>
      <c r="C39" s="13">
        <f>DESPPROG!C31</f>
        <v>17566148.690000001</v>
      </c>
      <c r="D39" s="13">
        <f>DESPPROG!E31</f>
        <v>17585660.02</v>
      </c>
      <c r="E39" s="13">
        <f>DESPPROG!J31</f>
        <v>11048109.559999999</v>
      </c>
      <c r="F39" s="13">
        <f>DESPPROG!L31</f>
        <v>790420.63999999966</v>
      </c>
      <c r="G39" s="13">
        <f>D39-F39</f>
        <v>16795239.379999999</v>
      </c>
    </row>
    <row r="40" spans="2:13" x14ac:dyDescent="0.2">
      <c r="B40" s="12" t="s">
        <v>127</v>
      </c>
      <c r="C40" s="13">
        <f>DESPPROG!C32</f>
        <v>2877013.96</v>
      </c>
      <c r="D40" s="13">
        <f>DESPPROG!E32</f>
        <v>2877013.96</v>
      </c>
      <c r="E40" s="13">
        <f>DESPPROG!J32</f>
        <v>687858.33</v>
      </c>
      <c r="F40" s="13">
        <f>DESPPROG!L32</f>
        <v>555096.29999999993</v>
      </c>
      <c r="G40" s="13">
        <f t="shared" si="0"/>
        <v>2321917.66</v>
      </c>
    </row>
    <row r="41" spans="2:13" x14ac:dyDescent="0.2">
      <c r="B41" s="12" t="s">
        <v>128</v>
      </c>
      <c r="C41" s="13">
        <f>DESPPROG!C33</f>
        <v>41972119.74000001</v>
      </c>
      <c r="D41" s="13">
        <f>DESPPROG!E33</f>
        <v>42005230.600000009</v>
      </c>
      <c r="E41" s="13">
        <f>DESPPROG!J33</f>
        <v>12407345.440000003</v>
      </c>
      <c r="F41" s="13">
        <f>DESPPROG!L33</f>
        <v>5279362.1700000037</v>
      </c>
      <c r="G41" s="13">
        <f t="shared" si="0"/>
        <v>36725868.430000007</v>
      </c>
    </row>
    <row r="42" spans="2:13" x14ac:dyDescent="0.2">
      <c r="B42" s="12" t="s">
        <v>129</v>
      </c>
      <c r="C42" s="13">
        <f>DESPPROG!C34</f>
        <v>37180951.590000026</v>
      </c>
      <c r="D42" s="13">
        <f>DESPPROG!E34</f>
        <v>37199834.770000026</v>
      </c>
      <c r="E42" s="13">
        <f>DESPPROG!J34</f>
        <v>17780417.129999999</v>
      </c>
      <c r="F42" s="13">
        <f>DESPPROG!L34</f>
        <v>2702590.5899999994</v>
      </c>
      <c r="G42" s="13">
        <f t="shared" si="0"/>
        <v>34497244.18000003</v>
      </c>
    </row>
    <row r="43" spans="2:13" ht="13.5" thickBot="1" x14ac:dyDescent="0.25">
      <c r="B43" s="12" t="s">
        <v>130</v>
      </c>
      <c r="C43" s="13">
        <f>DESPPROG!C35</f>
        <v>122803766.02000004</v>
      </c>
      <c r="D43" s="13">
        <f>DESPPROG!E35</f>
        <v>124085150.18000002</v>
      </c>
      <c r="E43" s="13">
        <f>DESPPROG!J35</f>
        <v>59410454.989999987</v>
      </c>
      <c r="F43" s="13">
        <f>DESPPROG!L35</f>
        <v>20328357.729999993</v>
      </c>
      <c r="G43" s="13">
        <f t="shared" si="0"/>
        <v>103756792.45000003</v>
      </c>
    </row>
    <row r="44" spans="2:13" ht="13.5" thickBot="1" x14ac:dyDescent="0.25">
      <c r="B44" s="15" t="s">
        <v>59</v>
      </c>
      <c r="C44" s="16">
        <f>SUM(C38:C43)</f>
        <v>222400000.00000009</v>
      </c>
      <c r="D44" s="16">
        <f>SUM(D38:D43)</f>
        <v>223752889.53000006</v>
      </c>
      <c r="E44" s="16">
        <f>SUM(E38:E43)</f>
        <v>101334185.44999999</v>
      </c>
      <c r="F44" s="16">
        <f>SUM(F38:F43)</f>
        <v>29655827.429999996</v>
      </c>
      <c r="G44" s="163">
        <f>SUM(G38:G43)</f>
        <v>194097062.10000008</v>
      </c>
      <c r="H44" s="1"/>
    </row>
  </sheetData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Footer>&amp;CServei de comptabilitat i gestió pressupostària | Intervenció&amp;R6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5:K52"/>
  <sheetViews>
    <sheetView topLeftCell="A30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6.7109375" customWidth="1"/>
    <col min="2" max="2" width="38.28515625" customWidth="1"/>
    <col min="3" max="3" width="14.42578125" style="1" customWidth="1"/>
    <col min="4" max="4" width="15.5703125" style="1" customWidth="1"/>
    <col min="5" max="5" width="15.42578125" style="1" customWidth="1"/>
    <col min="6" max="6" width="8.42578125" style="6" customWidth="1"/>
    <col min="7" max="7" width="10.28515625" customWidth="1"/>
  </cols>
  <sheetData>
    <row r="5" spans="3:3" ht="15.75" x14ac:dyDescent="0.25">
      <c r="C5" s="7" t="s">
        <v>46</v>
      </c>
    </row>
    <row r="6" spans="3:3" ht="15.75" x14ac:dyDescent="0.25">
      <c r="C6" s="7" t="str">
        <f>'Dades globals'!A2</f>
        <v>SITUACIÓ DE DESPESES A 31/03/2025</v>
      </c>
    </row>
    <row r="7" spans="3:3" ht="15.75" x14ac:dyDescent="0.25">
      <c r="C7" s="7" t="s">
        <v>66</v>
      </c>
    </row>
    <row r="39" spans="2:11" ht="13.5" thickBot="1" x14ac:dyDescent="0.25"/>
    <row r="40" spans="2:11" s="8" customFormat="1" ht="26.25" thickBot="1" x14ac:dyDescent="0.25">
      <c r="B40" s="9" t="s">
        <v>67</v>
      </c>
      <c r="C40" s="10" t="s">
        <v>1</v>
      </c>
      <c r="D40" s="10" t="s">
        <v>2</v>
      </c>
      <c r="E40" s="10" t="s">
        <v>49</v>
      </c>
      <c r="F40" s="11" t="s">
        <v>68</v>
      </c>
      <c r="G40" s="11" t="s">
        <v>227</v>
      </c>
      <c r="K40" s="11" t="s">
        <v>230</v>
      </c>
    </row>
    <row r="41" spans="2:11" x14ac:dyDescent="0.2">
      <c r="B41" s="12" t="s">
        <v>319</v>
      </c>
      <c r="C41" s="13">
        <f>DESPAREA!B2</f>
        <v>4482651.919999999</v>
      </c>
      <c r="D41" s="13">
        <f>DESPAREA!C2</f>
        <v>13697.93</v>
      </c>
      <c r="E41" s="13">
        <f t="shared" ref="E41:E52" si="0">C41+D41</f>
        <v>4496349.8499999987</v>
      </c>
      <c r="F41" s="14">
        <f t="shared" ref="F41:F51" si="1">E41/$E$52</f>
        <v>2.0095158813120687E-2</v>
      </c>
      <c r="G41" s="14">
        <f>F41-K41</f>
        <v>-6.0650179685067807E-5</v>
      </c>
      <c r="K41" s="14">
        <f t="shared" ref="K41:K51" si="2">C41/$C$52</f>
        <v>2.0155808992805755E-2</v>
      </c>
    </row>
    <row r="42" spans="2:11" x14ac:dyDescent="0.2">
      <c r="B42" s="12" t="s">
        <v>317</v>
      </c>
      <c r="C42" s="13">
        <f>DESPAREA!B3</f>
        <v>78792451.829999998</v>
      </c>
      <c r="D42" s="13">
        <f>DESPAREA!C3</f>
        <v>19511.330000000002</v>
      </c>
      <c r="E42" s="13">
        <f t="shared" si="0"/>
        <v>78811963.159999996</v>
      </c>
      <c r="F42" s="14">
        <f t="shared" si="1"/>
        <v>0.35222768888279843</v>
      </c>
      <c r="G42" s="14">
        <f t="shared" ref="G42:G51" si="3">F42-K42</f>
        <v>-2.0549182664821863E-3</v>
      </c>
      <c r="K42" s="14">
        <f t="shared" si="2"/>
        <v>0.35428260714928062</v>
      </c>
    </row>
    <row r="43" spans="2:11" x14ac:dyDescent="0.2">
      <c r="B43" s="12" t="s">
        <v>318</v>
      </c>
      <c r="C43" s="13">
        <f>DESPAREA!B4</f>
        <v>10186417.560000001</v>
      </c>
      <c r="D43" s="13">
        <f>DESPAREA!C4</f>
        <v>0</v>
      </c>
      <c r="E43" s="13">
        <f t="shared" si="0"/>
        <v>10186417.560000001</v>
      </c>
      <c r="F43" s="14">
        <f t="shared" si="1"/>
        <v>4.5525300618002716E-2</v>
      </c>
      <c r="G43" s="14">
        <f t="shared" si="3"/>
        <v>-2.7693661221311894E-4</v>
      </c>
      <c r="K43" s="14">
        <f t="shared" si="2"/>
        <v>4.5802237230215835E-2</v>
      </c>
    </row>
    <row r="44" spans="2:11" x14ac:dyDescent="0.2">
      <c r="B44" s="12" t="s">
        <v>320</v>
      </c>
      <c r="C44" s="13">
        <f>DESPAREA!B5</f>
        <v>23336567.410000004</v>
      </c>
      <c r="D44" s="13">
        <f>DESPAREA!C5</f>
        <v>18883.18</v>
      </c>
      <c r="E44" s="13">
        <f t="shared" si="0"/>
        <v>23355450.590000004</v>
      </c>
      <c r="F44" s="14">
        <f t="shared" si="1"/>
        <v>0.10438055409724034</v>
      </c>
      <c r="G44" s="14">
        <f t="shared" si="3"/>
        <v>-5.5005476067336578E-4</v>
      </c>
      <c r="K44" s="14">
        <f t="shared" si="2"/>
        <v>0.10493060885791371</v>
      </c>
    </row>
    <row r="45" spans="2:11" x14ac:dyDescent="0.2">
      <c r="B45" s="12" t="s">
        <v>321</v>
      </c>
      <c r="C45" s="13">
        <f>DESPAREA!B6</f>
        <v>15441886.360000001</v>
      </c>
      <c r="D45" s="13">
        <f>DESPAREA!C6</f>
        <v>45316.41</v>
      </c>
      <c r="E45" s="13">
        <f t="shared" si="0"/>
        <v>15487202.770000001</v>
      </c>
      <c r="F45" s="14">
        <f t="shared" si="1"/>
        <v>6.921565483481068E-2</v>
      </c>
      <c r="G45" s="14">
        <f t="shared" si="3"/>
        <v>-2.1728743137638951E-4</v>
      </c>
      <c r="K45" s="14">
        <f t="shared" si="2"/>
        <v>6.943294226618707E-2</v>
      </c>
    </row>
    <row r="46" spans="2:11" ht="14.25" customHeight="1" x14ac:dyDescent="0.2">
      <c r="B46" s="12" t="s">
        <v>324</v>
      </c>
      <c r="C46" s="155">
        <f>DESPAREA!B7</f>
        <v>5921619.3899999987</v>
      </c>
      <c r="D46" s="155">
        <f>DESPAREA!C7</f>
        <v>0</v>
      </c>
      <c r="E46" s="155">
        <f t="shared" si="0"/>
        <v>5921619.3899999987</v>
      </c>
      <c r="F46" s="156">
        <f t="shared" si="1"/>
        <v>2.646499628424262E-2</v>
      </c>
      <c r="G46" s="156">
        <f t="shared" si="3"/>
        <v>-1.6099018158471576E-4</v>
      </c>
      <c r="K46" s="156">
        <f t="shared" si="2"/>
        <v>2.6625986465827336E-2</v>
      </c>
    </row>
    <row r="47" spans="2:11" x14ac:dyDescent="0.2">
      <c r="B47" s="12" t="s">
        <v>14</v>
      </c>
      <c r="C47" s="13">
        <f>DESPAREA!B8</f>
        <v>12609102.43</v>
      </c>
      <c r="D47" s="13">
        <f>DESPAREA!C8</f>
        <v>-140595.93</v>
      </c>
      <c r="E47" s="13">
        <f t="shared" si="0"/>
        <v>12468506.5</v>
      </c>
      <c r="F47" s="14">
        <f t="shared" si="1"/>
        <v>5.5724449083944763E-2</v>
      </c>
      <c r="G47" s="14">
        <f t="shared" si="3"/>
        <v>-9.7115536749409204E-4</v>
      </c>
      <c r="K47" s="14">
        <f t="shared" si="2"/>
        <v>5.6695604451438855E-2</v>
      </c>
    </row>
    <row r="48" spans="2:11" x14ac:dyDescent="0.2">
      <c r="B48" s="12" t="s">
        <v>322</v>
      </c>
      <c r="C48" s="13">
        <f>DESPAREA!B9</f>
        <v>34102397.929999992</v>
      </c>
      <c r="D48" s="13">
        <f>DESPAREA!C9</f>
        <v>33110.86</v>
      </c>
      <c r="E48" s="13">
        <f t="shared" si="0"/>
        <v>34135508.789999992</v>
      </c>
      <c r="F48" s="14">
        <f t="shared" si="1"/>
        <v>0.15255896297787577</v>
      </c>
      <c r="G48" s="14">
        <f t="shared" si="3"/>
        <v>-7.791572109731304E-4</v>
      </c>
      <c r="K48" s="14">
        <f t="shared" si="2"/>
        <v>0.1533381201888489</v>
      </c>
    </row>
    <row r="49" spans="2:11" x14ac:dyDescent="0.2">
      <c r="B49" s="12" t="s">
        <v>323</v>
      </c>
      <c r="C49" s="13">
        <f>DESPAREA!B10</f>
        <v>9526905.1699999999</v>
      </c>
      <c r="D49" s="13">
        <f>DESPAREA!C10</f>
        <v>10076.219999999999</v>
      </c>
      <c r="E49" s="13">
        <f t="shared" si="0"/>
        <v>9536981.3900000006</v>
      </c>
      <c r="F49" s="14">
        <f t="shared" si="1"/>
        <v>4.2622830078452759E-2</v>
      </c>
      <c r="G49" s="14">
        <f t="shared" si="3"/>
        <v>-2.1397374348969267E-4</v>
      </c>
      <c r="K49" s="14">
        <f t="shared" si="2"/>
        <v>4.2836803821942451E-2</v>
      </c>
    </row>
    <row r="50" spans="2:11" x14ac:dyDescent="0.2">
      <c r="B50" s="12" t="s">
        <v>16</v>
      </c>
      <c r="C50" s="13">
        <f>DESPAREA!B12</f>
        <v>9429999.9999999981</v>
      </c>
      <c r="D50" s="13">
        <f>DESPAREA!C12</f>
        <v>0</v>
      </c>
      <c r="E50" s="13">
        <f t="shared" si="0"/>
        <v>9429999.9999999981</v>
      </c>
      <c r="F50" s="14">
        <f t="shared" si="1"/>
        <v>4.2144707135662075E-2</v>
      </c>
      <c r="G50" s="14">
        <f t="shared" si="3"/>
        <v>-2.5637200102857083E-4</v>
      </c>
      <c r="K50" s="14">
        <f t="shared" si="2"/>
        <v>4.2401079136690646E-2</v>
      </c>
    </row>
    <row r="51" spans="2:11" ht="13.5" thickBot="1" x14ac:dyDescent="0.25">
      <c r="B51" s="12" t="s">
        <v>17</v>
      </c>
      <c r="C51" s="13">
        <f>DESPAREA!B13</f>
        <v>18570000</v>
      </c>
      <c r="D51" s="13">
        <f>DESPAREA!C13</f>
        <v>1352889.53</v>
      </c>
      <c r="E51" s="13">
        <f t="shared" si="0"/>
        <v>19922889.530000001</v>
      </c>
      <c r="F51" s="14">
        <f t="shared" si="1"/>
        <v>8.9039697193849257E-2</v>
      </c>
      <c r="G51" s="47">
        <f t="shared" si="3"/>
        <v>5.5414957550003197E-3</v>
      </c>
      <c r="K51" s="14">
        <f t="shared" si="2"/>
        <v>8.3498201438848937E-2</v>
      </c>
    </row>
    <row r="52" spans="2:11" ht="13.5" thickBot="1" x14ac:dyDescent="0.25">
      <c r="B52" s="15" t="s">
        <v>59</v>
      </c>
      <c r="C52" s="16">
        <f>SUM(C41:C51)</f>
        <v>222399999.99999997</v>
      </c>
      <c r="D52" s="16">
        <f>SUM(D41:D51)</f>
        <v>1352889.53</v>
      </c>
      <c r="E52" s="16">
        <f t="shared" si="0"/>
        <v>223752889.52999997</v>
      </c>
      <c r="F52" s="17"/>
    </row>
  </sheetData>
  <sheetProtection selectLockedCells="1" selectUnlockedCells="1"/>
  <phoneticPr fontId="0" type="noConversion"/>
  <conditionalFormatting sqref="G41:G51">
    <cfRule type="iconSet" priority="7">
      <iconSet iconSet="3Arrows">
        <cfvo type="percent" val="0"/>
        <cfvo type="num" val="-0.03"/>
        <cfvo type="num" val="0.03"/>
      </iconSet>
    </cfRule>
  </conditionalFormatting>
  <pageMargins left="0.23622047244094491" right="0.23622047244094491" top="0.74803149606299213" bottom="0.74803149606299213" header="0.31496062992125984" footer="0.31496062992125984"/>
  <pageSetup paperSize="9" scale="85" firstPageNumber="0" orientation="portrait" r:id="rId1"/>
  <headerFooter alignWithMargins="0">
    <oddFooter>&amp;CServei de comptabilitat i gestió pressupostària | Intervenció&amp;R7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N50"/>
  <sheetViews>
    <sheetView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9.85546875" customWidth="1"/>
    <col min="2" max="2" width="42.42578125" customWidth="1"/>
    <col min="3" max="3" width="15" style="1" customWidth="1"/>
    <col min="4" max="4" width="13.42578125" style="1" customWidth="1"/>
    <col min="5" max="5" width="15.42578125" style="1" customWidth="1"/>
    <col min="6" max="6" width="13.42578125" style="1" customWidth="1"/>
    <col min="7" max="7" width="11.42578125" style="1" customWidth="1"/>
    <col min="8" max="8" width="13.42578125" style="1" customWidth="1"/>
    <col min="9" max="9" width="11.7109375" customWidth="1"/>
    <col min="10" max="10" width="11.42578125" customWidth="1"/>
    <col min="11" max="11" width="39.140625" bestFit="1" customWidth="1"/>
    <col min="12" max="12" width="12.7109375" bestFit="1" customWidth="1"/>
    <col min="13" max="13" width="3.42578125" customWidth="1"/>
  </cols>
  <sheetData>
    <row r="1" spans="3:14" x14ac:dyDescent="0.2">
      <c r="K1" s="62" t="s">
        <v>274</v>
      </c>
      <c r="L1" s="63"/>
    </row>
    <row r="2" spans="3:14" x14ac:dyDescent="0.2">
      <c r="K2" s="62" t="s">
        <v>67</v>
      </c>
      <c r="L2" s="63" t="s">
        <v>119</v>
      </c>
    </row>
    <row r="3" spans="3:14" x14ac:dyDescent="0.2">
      <c r="K3" s="64" t="s">
        <v>16</v>
      </c>
      <c r="L3" s="105">
        <v>159929.53000000003</v>
      </c>
    </row>
    <row r="4" spans="3:14" x14ac:dyDescent="0.2">
      <c r="K4" s="65" t="s">
        <v>318</v>
      </c>
      <c r="L4" s="106">
        <v>702989.42999999993</v>
      </c>
    </row>
    <row r="5" spans="3:14" ht="15.75" x14ac:dyDescent="0.25">
      <c r="C5" s="7" t="s">
        <v>46</v>
      </c>
      <c r="K5" s="65" t="s">
        <v>324</v>
      </c>
      <c r="L5" s="106">
        <v>859375.80999999982</v>
      </c>
    </row>
    <row r="6" spans="3:14" ht="15.75" x14ac:dyDescent="0.25">
      <c r="C6" s="7" t="str">
        <f>'Dades globals'!A2</f>
        <v>SITUACIÓ DE DESPESES A 31/03/2025</v>
      </c>
      <c r="K6" s="65" t="s">
        <v>319</v>
      </c>
      <c r="L6" s="106">
        <v>894783.29999999993</v>
      </c>
    </row>
    <row r="7" spans="3:14" ht="15.75" x14ac:dyDescent="0.25">
      <c r="C7" s="7" t="s">
        <v>69</v>
      </c>
      <c r="K7" s="65" t="s">
        <v>323</v>
      </c>
      <c r="L7" s="106">
        <v>1156510.0399999996</v>
      </c>
    </row>
    <row r="8" spans="3:14" x14ac:dyDescent="0.2">
      <c r="K8" s="65" t="s">
        <v>14</v>
      </c>
      <c r="L8" s="106">
        <v>1317691.0699999998</v>
      </c>
    </row>
    <row r="9" spans="3:14" x14ac:dyDescent="0.2">
      <c r="K9" s="65" t="s">
        <v>321</v>
      </c>
      <c r="L9" s="106">
        <v>1741412.4500000002</v>
      </c>
    </row>
    <row r="10" spans="3:14" x14ac:dyDescent="0.2">
      <c r="K10" s="65" t="s">
        <v>320</v>
      </c>
      <c r="L10" s="106">
        <v>2091290.3400000003</v>
      </c>
    </row>
    <row r="11" spans="3:14" x14ac:dyDescent="0.2">
      <c r="K11" s="65" t="s">
        <v>17</v>
      </c>
      <c r="L11" s="106">
        <v>2814208.8200000003</v>
      </c>
    </row>
    <row r="12" spans="3:14" x14ac:dyDescent="0.2">
      <c r="K12" s="65" t="s">
        <v>322</v>
      </c>
      <c r="L12" s="106">
        <v>7070158.9700000081</v>
      </c>
    </row>
    <row r="13" spans="3:14" x14ac:dyDescent="0.2">
      <c r="K13" s="65" t="s">
        <v>317</v>
      </c>
      <c r="L13" s="106">
        <v>10847477.669999996</v>
      </c>
    </row>
    <row r="14" spans="3:14" x14ac:dyDescent="0.2">
      <c r="K14" s="66" t="s">
        <v>207</v>
      </c>
      <c r="L14" s="107">
        <v>29655827.43</v>
      </c>
      <c r="N14" t="s">
        <v>275</v>
      </c>
    </row>
    <row r="34" spans="2:12" x14ac:dyDescent="0.2">
      <c r="K34" t="s">
        <v>267</v>
      </c>
    </row>
    <row r="37" spans="2:12" ht="13.5" thickBot="1" x14ac:dyDescent="0.25"/>
    <row r="38" spans="2:12" s="8" customFormat="1" ht="39" thickBot="1" x14ac:dyDescent="0.25">
      <c r="B38" s="9" t="s">
        <v>67</v>
      </c>
      <c r="C38" s="10" t="s">
        <v>231</v>
      </c>
      <c r="D38" s="10" t="s">
        <v>232</v>
      </c>
      <c r="E38" s="10" t="s">
        <v>239</v>
      </c>
      <c r="F38" s="10" t="s">
        <v>272</v>
      </c>
      <c r="G38" s="10" t="s">
        <v>238</v>
      </c>
    </row>
    <row r="39" spans="2:12" x14ac:dyDescent="0.2">
      <c r="B39" s="12" t="s">
        <v>319</v>
      </c>
      <c r="C39" s="13">
        <f>DESPAREA!E2+DESPAREA!F2+DESPAREA!G2</f>
        <v>3559963.7199999993</v>
      </c>
      <c r="D39" s="13">
        <f>DESPAREA!H2</f>
        <v>41602.83</v>
      </c>
      <c r="E39" s="14">
        <f>(D39+F39)/(C39+D39+F39)</f>
        <v>0.20825473133501832</v>
      </c>
      <c r="F39" s="13">
        <f>DESPAREA!K2</f>
        <v>894783.29999999993</v>
      </c>
      <c r="G39" s="14">
        <f>F39/(C39+D39+F39)</f>
        <v>0.19900215282402903</v>
      </c>
      <c r="H39"/>
      <c r="J39" t="s">
        <v>235</v>
      </c>
      <c r="K39" s="50">
        <f>+'Dades globals'!B7</f>
        <v>0.25</v>
      </c>
    </row>
    <row r="40" spans="2:12" x14ac:dyDescent="0.2">
      <c r="B40" s="12" t="s">
        <v>317</v>
      </c>
      <c r="C40" s="13">
        <f>DESPAREA!E3+DESPAREA!F3+DESPAREA!G3</f>
        <v>17138350.439999994</v>
      </c>
      <c r="D40" s="13">
        <f>DESPAREA!H3</f>
        <v>44305249.219999991</v>
      </c>
      <c r="E40" s="14">
        <f t="shared" ref="E40:E49" si="0">(D40+F40)/(C40+D40+F40)</f>
        <v>0.76292578457828886</v>
      </c>
      <c r="F40" s="13">
        <f>DESPAREA!K3</f>
        <v>10847477.669999996</v>
      </c>
      <c r="G40" s="14">
        <f t="shared" ref="G40:G49" si="1">F40/(C40+D40+F40)</f>
        <v>0.15005278757269835</v>
      </c>
      <c r="H40"/>
      <c r="J40" t="s">
        <v>233</v>
      </c>
      <c r="K40">
        <f>(3/4)*K39</f>
        <v>0.1875</v>
      </c>
      <c r="L40" t="s">
        <v>237</v>
      </c>
    </row>
    <row r="41" spans="2:12" x14ac:dyDescent="0.2">
      <c r="B41" s="12" t="s">
        <v>318</v>
      </c>
      <c r="C41" s="13">
        <f>DESPAREA!E4+DESPAREA!F4+DESPAREA!G4</f>
        <v>4424487.07</v>
      </c>
      <c r="D41" s="13">
        <f>DESPAREA!H4</f>
        <v>534941.06000000006</v>
      </c>
      <c r="E41" s="14">
        <f t="shared" si="0"/>
        <v>0.21862225399004306</v>
      </c>
      <c r="F41" s="13">
        <f>DESPAREA!K4</f>
        <v>702989.42999999993</v>
      </c>
      <c r="G41" s="14">
        <f t="shared" si="1"/>
        <v>0.12415005120180503</v>
      </c>
      <c r="H41"/>
      <c r="J41" t="s">
        <v>234</v>
      </c>
      <c r="K41">
        <f>(1/2)*K39</f>
        <v>0.125</v>
      </c>
      <c r="L41" t="s">
        <v>236</v>
      </c>
    </row>
    <row r="42" spans="2:12" x14ac:dyDescent="0.2">
      <c r="B42" s="12" t="s">
        <v>320</v>
      </c>
      <c r="C42" s="13">
        <f>DESPAREA!E5+DESPAREA!F5+DESPAREA!G5</f>
        <v>10759164.310000002</v>
      </c>
      <c r="D42" s="13">
        <f>DESPAREA!H5</f>
        <v>10504995.940000001</v>
      </c>
      <c r="E42" s="14">
        <f t="shared" si="0"/>
        <v>0.53932961950189462</v>
      </c>
      <c r="F42" s="13">
        <f>DESPAREA!K5</f>
        <v>2091290.3400000003</v>
      </c>
      <c r="G42" s="14">
        <f t="shared" si="1"/>
        <v>8.9541853707391914E-2</v>
      </c>
      <c r="H42"/>
    </row>
    <row r="43" spans="2:12" x14ac:dyDescent="0.2">
      <c r="B43" s="12" t="s">
        <v>321</v>
      </c>
      <c r="C43" s="13">
        <f>DESPAREA!E6+DESPAREA!F6+DESPAREA!G6</f>
        <v>9415512.2100000046</v>
      </c>
      <c r="D43" s="13">
        <f>DESPAREA!H6</f>
        <v>3930278.11</v>
      </c>
      <c r="E43" s="14">
        <f t="shared" si="0"/>
        <v>0.37592724419915774</v>
      </c>
      <c r="F43" s="13">
        <f>DESPAREA!K6</f>
        <v>1741412.4500000002</v>
      </c>
      <c r="G43" s="14">
        <f t="shared" si="1"/>
        <v>0.11542314878028247</v>
      </c>
      <c r="H43"/>
    </row>
    <row r="44" spans="2:12" x14ac:dyDescent="0.2">
      <c r="B44" s="154" t="s">
        <v>324</v>
      </c>
      <c r="C44" s="13">
        <f>DESPAREA!E7+DESPAREA!F7+DESPAREA!G7</f>
        <v>3809704.6199999992</v>
      </c>
      <c r="D44" s="13">
        <f>DESPAREA!H7</f>
        <v>252538.96000000002</v>
      </c>
      <c r="E44" s="14">
        <f t="shared" si="0"/>
        <v>0.22592457520369125</v>
      </c>
      <c r="F44" s="13">
        <f>DESPAREA!K7</f>
        <v>859375.80999999982</v>
      </c>
      <c r="G44" s="14">
        <f t="shared" si="1"/>
        <v>0.17461240740113387</v>
      </c>
      <c r="H44"/>
    </row>
    <row r="45" spans="2:12" x14ac:dyDescent="0.2">
      <c r="B45" s="12" t="s">
        <v>14</v>
      </c>
      <c r="C45" s="13">
        <f>DESPAREA!E8+DESPAREA!F8+DESPAREA!G8</f>
        <v>14545506.220000001</v>
      </c>
      <c r="D45" s="13">
        <f>DESPAREA!H8</f>
        <v>135344.26999999999</v>
      </c>
      <c r="E45" s="14">
        <f t="shared" si="0"/>
        <v>9.0822987492367391E-2</v>
      </c>
      <c r="F45" s="13">
        <f>DESPAREA!K8</f>
        <v>1317691.0699999998</v>
      </c>
      <c r="G45" s="14">
        <f t="shared" si="1"/>
        <v>8.236319948654118E-2</v>
      </c>
      <c r="H45"/>
    </row>
    <row r="46" spans="2:12" x14ac:dyDescent="0.2">
      <c r="B46" s="12" t="s">
        <v>322</v>
      </c>
      <c r="C46" s="13">
        <f>DESPAREA!E9+DESPAREA!F9+DESPAREA!G9</f>
        <v>24812300.060000006</v>
      </c>
      <c r="D46" s="13">
        <f>DESPAREA!H9</f>
        <v>1578049.7599999995</v>
      </c>
      <c r="E46" s="14">
        <f t="shared" si="0"/>
        <v>0.25846016820236178</v>
      </c>
      <c r="F46" s="13">
        <f>DESPAREA!K9</f>
        <v>7070158.9700000081</v>
      </c>
      <c r="G46" s="14">
        <f t="shared" si="1"/>
        <v>0.21129860918651039</v>
      </c>
      <c r="H46"/>
    </row>
    <row r="47" spans="2:12" x14ac:dyDescent="0.2">
      <c r="B47" s="12" t="s">
        <v>323</v>
      </c>
      <c r="C47" s="13">
        <f>DESPAREA!E10+DESPAREA!F10+DESPAREA!G10</f>
        <v>6767854.3399999971</v>
      </c>
      <c r="D47" s="13">
        <f>DESPAREA!H10</f>
        <v>1606627.5099999998</v>
      </c>
      <c r="E47" s="14">
        <f t="shared" si="0"/>
        <v>0.28991080696428967</v>
      </c>
      <c r="F47" s="13">
        <f>DESPAREA!K10</f>
        <v>1156510.0399999996</v>
      </c>
      <c r="G47" s="14">
        <f t="shared" si="1"/>
        <v>0.12134204428538234</v>
      </c>
      <c r="H47"/>
    </row>
    <row r="48" spans="2:12" x14ac:dyDescent="0.2">
      <c r="B48" s="12" t="s">
        <v>16</v>
      </c>
      <c r="C48" s="13">
        <f>DESPAREA!E12+DESPAREA!F12+DESPAREA!G12</f>
        <v>5273043.5</v>
      </c>
      <c r="D48" s="13">
        <f>DESPAREA!H12</f>
        <v>3997026.97</v>
      </c>
      <c r="E48" s="14">
        <f t="shared" si="0"/>
        <v>0.44082253446447506</v>
      </c>
      <c r="F48" s="13">
        <f>DESPAREA!K12</f>
        <v>159929.53000000003</v>
      </c>
      <c r="G48" s="14">
        <f t="shared" si="1"/>
        <v>1.6959653234358434E-2</v>
      </c>
      <c r="H48"/>
    </row>
    <row r="49" spans="2:8" ht="13.5" thickBot="1" x14ac:dyDescent="0.25">
      <c r="B49" s="12" t="s">
        <v>17</v>
      </c>
      <c r="C49" s="13">
        <f>DESPAREA!E13+DESPAREA!F13+DESPAREA!G13</f>
        <v>12316977.320000004</v>
      </c>
      <c r="D49" s="13">
        <f>DESPAREA!H13</f>
        <v>4791703.3899999987</v>
      </c>
      <c r="E49" s="14">
        <f t="shared" si="0"/>
        <v>0.38176752416093923</v>
      </c>
      <c r="F49" s="13">
        <f>DESPAREA!K13</f>
        <v>2814208.8200000003</v>
      </c>
      <c r="G49" s="14">
        <f t="shared" si="1"/>
        <v>0.14125505317701775</v>
      </c>
      <c r="H49"/>
    </row>
    <row r="50" spans="2:8" ht="13.5" thickBot="1" x14ac:dyDescent="0.25">
      <c r="B50" s="15" t="s">
        <v>59</v>
      </c>
      <c r="C50" s="16">
        <f>SUM(C39:C49)</f>
        <v>112822863.81000002</v>
      </c>
      <c r="D50" s="16">
        <f>SUM(D39:D49)</f>
        <v>71678358.019999996</v>
      </c>
      <c r="E50" s="49"/>
      <c r="F50" s="16">
        <f>SUM(F39:F49)</f>
        <v>29655827.430000007</v>
      </c>
      <c r="G50" s="45"/>
      <c r="H50"/>
    </row>
  </sheetData>
  <sheetProtection selectLockedCells="1" selectUnlockedCells="1"/>
  <phoneticPr fontId="0" type="noConversion"/>
  <conditionalFormatting sqref="E39:E49">
    <cfRule type="iconSet" priority="6">
      <iconSet>
        <cfvo type="percent" val="0"/>
        <cfvo type="num" val="$K$41"/>
        <cfvo type="num" val="$K$40"/>
      </iconSet>
    </cfRule>
  </conditionalFormatting>
  <conditionalFormatting sqref="G39:G49">
    <cfRule type="iconSet" priority="4">
      <iconSet>
        <cfvo type="percent" val="0"/>
        <cfvo type="num" val="$K$41"/>
        <cfvo type="num" val="$K$40"/>
      </iconSet>
    </cfRule>
  </conditionalFormatting>
  <pageMargins left="0.23622047244094491" right="0.23622047244094491" top="0.74803149606299213" bottom="0.74803149606299213" header="0.31496062992125984" footer="0.31496062992125984"/>
  <pageSetup paperSize="9" scale="70" firstPageNumber="0" orientation="portrait" r:id="rId2"/>
  <headerFooter alignWithMargins="0">
    <oddFooter>&amp;CServei de comptabilitat i gestió pressupostària | Intervenció&amp;R8</oddFooter>
  </headerFooter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5:K49"/>
  <sheetViews>
    <sheetView zoomScale="85" zoomScaleNormal="85" workbookViewId="0">
      <selection activeCell="E21" sqref="E21"/>
    </sheetView>
  </sheetViews>
  <sheetFormatPr baseColWidth="10" defaultColWidth="11.42578125" defaultRowHeight="12.75" x14ac:dyDescent="0.2"/>
  <cols>
    <col min="1" max="1" width="16.42578125" customWidth="1"/>
    <col min="2" max="2" width="29.42578125" customWidth="1"/>
    <col min="3" max="3" width="14.5703125" style="1" customWidth="1"/>
    <col min="4" max="4" width="16.5703125" style="1" customWidth="1"/>
    <col min="5" max="5" width="15.42578125" style="1" customWidth="1"/>
    <col min="6" max="8" width="13.42578125" style="1" customWidth="1"/>
    <col min="9" max="9" width="11.7109375" customWidth="1"/>
  </cols>
  <sheetData>
    <row r="5" spans="4:4" ht="15.75" x14ac:dyDescent="0.25">
      <c r="D5" s="7" t="s">
        <v>46</v>
      </c>
    </row>
    <row r="6" spans="4:4" ht="15.75" x14ac:dyDescent="0.25">
      <c r="D6" s="7" t="str">
        <f>'Dades globals'!A3</f>
        <v>SITUACIÓ D'INGRESSOS A 31/03/2025</v>
      </c>
    </row>
    <row r="7" spans="4:4" ht="15.75" x14ac:dyDescent="0.25">
      <c r="D7" s="7" t="s">
        <v>70</v>
      </c>
    </row>
    <row r="37" spans="2:11" ht="13.5" thickBot="1" x14ac:dyDescent="0.25"/>
    <row r="38" spans="2:11" s="8" customFormat="1" ht="38.25" x14ac:dyDescent="0.2">
      <c r="B38" s="9" t="s">
        <v>48</v>
      </c>
      <c r="C38" s="10" t="s">
        <v>36</v>
      </c>
      <c r="D38" s="10" t="s">
        <v>81</v>
      </c>
      <c r="E38" s="10" t="s">
        <v>268</v>
      </c>
      <c r="F38" s="10" t="s">
        <v>38</v>
      </c>
      <c r="G38" s="10" t="s">
        <v>273</v>
      </c>
      <c r="H38" s="10" t="s">
        <v>40</v>
      </c>
      <c r="K38" s="8" t="s">
        <v>133</v>
      </c>
    </row>
    <row r="39" spans="2:11" x14ac:dyDescent="0.2">
      <c r="B39" s="12" t="s">
        <v>71</v>
      </c>
      <c r="C39" s="13">
        <f>INGRCAPITOL!E42</f>
        <v>19762331.240000002</v>
      </c>
      <c r="D39" s="13">
        <f t="shared" ref="D39:D47" si="0">IF(C39-E39&gt;=0,C39-E39,0)</f>
        <v>14963843.520000003</v>
      </c>
      <c r="E39" s="13">
        <f>INGRCAPITOL!F42</f>
        <v>4798487.72</v>
      </c>
      <c r="F39" s="14">
        <f t="shared" ref="F39:F47" si="1">IF(E39/C39&gt;1.5,1,E39/C39)</f>
        <v>0.24280980121857321</v>
      </c>
      <c r="G39" s="13">
        <f>INGRCAPITOL!H42</f>
        <v>4784207.49</v>
      </c>
      <c r="H39" s="14">
        <f>IFERROR(G39/E39,0)</f>
        <v>0.99702401447429367</v>
      </c>
      <c r="K39" s="1">
        <f>E39-G39</f>
        <v>14280.229999999516</v>
      </c>
    </row>
    <row r="40" spans="2:11" x14ac:dyDescent="0.2">
      <c r="B40" s="12" t="s">
        <v>72</v>
      </c>
      <c r="C40" s="13">
        <f>INGRCAPITOL!E43</f>
        <v>14404862.060000001</v>
      </c>
      <c r="D40" s="13">
        <f t="shared" si="0"/>
        <v>10673261</v>
      </c>
      <c r="E40" s="13">
        <f>INGRCAPITOL!F43</f>
        <v>3731601.06</v>
      </c>
      <c r="F40" s="14">
        <f t="shared" si="1"/>
        <v>0.25905149556149237</v>
      </c>
      <c r="G40" s="13">
        <f>INGRCAPITOL!H43</f>
        <v>3731601.06</v>
      </c>
      <c r="H40" s="14">
        <f t="shared" ref="H40:H47" si="2">IFERROR(G40/E40,0)</f>
        <v>1</v>
      </c>
      <c r="K40" s="1">
        <f t="shared" ref="K40:K49" si="3">E40-G40</f>
        <v>0</v>
      </c>
    </row>
    <row r="41" spans="2:11" x14ac:dyDescent="0.2">
      <c r="B41" s="12" t="s">
        <v>73</v>
      </c>
      <c r="C41" s="13">
        <f>INGRCAPITOL!E44</f>
        <v>20036519.309999999</v>
      </c>
      <c r="D41" s="13">
        <f t="shared" si="0"/>
        <v>19785328.279999997</v>
      </c>
      <c r="E41" s="13">
        <f>INGRCAPITOL!F44</f>
        <v>251191.03</v>
      </c>
      <c r="F41" s="14">
        <f t="shared" si="1"/>
        <v>1.2536659991370528E-2</v>
      </c>
      <c r="G41" s="13">
        <f>INGRCAPITOL!H44</f>
        <v>216621.36000000002</v>
      </c>
      <c r="H41" s="14">
        <f t="shared" si="2"/>
        <v>0.86237697261721491</v>
      </c>
      <c r="K41" s="1">
        <f t="shared" si="3"/>
        <v>34569.669999999984</v>
      </c>
    </row>
    <row r="42" spans="2:11" x14ac:dyDescent="0.2">
      <c r="B42" s="12" t="s">
        <v>53</v>
      </c>
      <c r="C42" s="13">
        <f>INGRCAPITOL!E45</f>
        <v>150463496.83999997</v>
      </c>
      <c r="D42" s="13">
        <f t="shared" si="0"/>
        <v>118357385.03999998</v>
      </c>
      <c r="E42" s="13">
        <f>INGRCAPITOL!F45</f>
        <v>32106111.800000001</v>
      </c>
      <c r="F42" s="14">
        <f t="shared" si="1"/>
        <v>0.21338140129855571</v>
      </c>
      <c r="G42" s="13">
        <f>INGRCAPITOL!H45</f>
        <v>31883156.16</v>
      </c>
      <c r="H42" s="14">
        <f t="shared" si="2"/>
        <v>0.99305566362601405</v>
      </c>
      <c r="K42" s="1">
        <f>E42-G42</f>
        <v>222955.6400000006</v>
      </c>
    </row>
    <row r="43" spans="2:11" x14ac:dyDescent="0.2">
      <c r="B43" s="12" t="s">
        <v>74</v>
      </c>
      <c r="C43" s="13">
        <f>INGRCAPITOL!E46</f>
        <v>7769589.96</v>
      </c>
      <c r="D43" s="13">
        <f t="shared" si="0"/>
        <v>6691586.7599999998</v>
      </c>
      <c r="E43" s="13">
        <f>INGRCAPITOL!F46</f>
        <v>1078003.2000000002</v>
      </c>
      <c r="F43" s="14">
        <f t="shared" si="1"/>
        <v>0.1387464725358557</v>
      </c>
      <c r="G43" s="13">
        <f>INGRCAPITOL!H46</f>
        <v>1072852.56</v>
      </c>
      <c r="H43" s="14">
        <f t="shared" si="2"/>
        <v>0.99522205499946559</v>
      </c>
      <c r="K43" s="1">
        <f t="shared" si="3"/>
        <v>5150.6400000001304</v>
      </c>
    </row>
    <row r="44" spans="2:11" x14ac:dyDescent="0.2">
      <c r="B44" s="12" t="s">
        <v>75</v>
      </c>
      <c r="C44" s="13">
        <f>INGRCAPITOL!E47</f>
        <v>1100</v>
      </c>
      <c r="D44" s="13">
        <f t="shared" si="0"/>
        <v>0</v>
      </c>
      <c r="E44" s="13">
        <f>INGRCAPITOL!F47</f>
        <v>2304</v>
      </c>
      <c r="F44" s="14">
        <f t="shared" si="1"/>
        <v>1</v>
      </c>
      <c r="G44" s="13">
        <f>INGRCAPITOL!H47</f>
        <v>2304</v>
      </c>
      <c r="H44" s="14">
        <f t="shared" si="2"/>
        <v>1</v>
      </c>
      <c r="K44" s="1">
        <f t="shared" si="3"/>
        <v>0</v>
      </c>
    </row>
    <row r="45" spans="2:11" x14ac:dyDescent="0.2">
      <c r="B45" s="12" t="s">
        <v>56</v>
      </c>
      <c r="C45" s="13">
        <f>INGRCAPITOL!E48</f>
        <v>1362100.5899999999</v>
      </c>
      <c r="D45" s="13">
        <f t="shared" si="0"/>
        <v>0</v>
      </c>
      <c r="E45" s="13">
        <f>INGRCAPITOL!F48</f>
        <v>2833869.44</v>
      </c>
      <c r="F45" s="14">
        <f t="shared" si="1"/>
        <v>1</v>
      </c>
      <c r="G45" s="13">
        <f>INGRCAPITOL!H48</f>
        <v>2833869.44</v>
      </c>
      <c r="H45" s="14">
        <f t="shared" si="2"/>
        <v>1</v>
      </c>
      <c r="K45" s="1">
        <f t="shared" si="3"/>
        <v>0</v>
      </c>
    </row>
    <row r="46" spans="2:11" x14ac:dyDescent="0.2">
      <c r="B46" s="12" t="s">
        <v>57</v>
      </c>
      <c r="C46" s="13">
        <f>INGRCAPITOL!E49</f>
        <v>1952889.53</v>
      </c>
      <c r="D46" s="13">
        <f t="shared" si="0"/>
        <v>1951314.53</v>
      </c>
      <c r="E46" s="13">
        <f>INGRCAPITOL!F49</f>
        <v>1575</v>
      </c>
      <c r="F46" s="14">
        <f t="shared" si="1"/>
        <v>8.0649723182242669E-4</v>
      </c>
      <c r="G46" s="13">
        <f>INGRCAPITOL!H49</f>
        <v>1575</v>
      </c>
      <c r="H46" s="14">
        <f t="shared" si="2"/>
        <v>1</v>
      </c>
      <c r="K46" s="1">
        <f t="shared" si="3"/>
        <v>0</v>
      </c>
    </row>
    <row r="47" spans="2:11" ht="13.5" thickBot="1" x14ac:dyDescent="0.25">
      <c r="B47" s="12" t="s">
        <v>58</v>
      </c>
      <c r="C47" s="13">
        <f>INGRCAPITOL!E50</f>
        <v>8000000</v>
      </c>
      <c r="D47" s="13">
        <f t="shared" si="0"/>
        <v>8000000</v>
      </c>
      <c r="E47" s="13">
        <f>INGRCAPITOL!F50</f>
        <v>0</v>
      </c>
      <c r="F47" s="14">
        <f t="shared" si="1"/>
        <v>0</v>
      </c>
      <c r="G47" s="13">
        <f>INGRCAPITOL!H50</f>
        <v>0</v>
      </c>
      <c r="H47" s="14">
        <f t="shared" si="2"/>
        <v>0</v>
      </c>
      <c r="K47" s="1">
        <f t="shared" si="3"/>
        <v>0</v>
      </c>
    </row>
    <row r="48" spans="2:11" ht="13.5" thickBot="1" x14ac:dyDescent="0.25">
      <c r="B48" s="15" t="s">
        <v>59</v>
      </c>
      <c r="C48" s="16">
        <f>SUM(C39:C47)</f>
        <v>223752889.53</v>
      </c>
      <c r="D48" s="16">
        <f>SUM(D39:D47)</f>
        <v>180422719.12999997</v>
      </c>
      <c r="E48" s="16">
        <f>SUM(E39:E47)</f>
        <v>44803143.25</v>
      </c>
      <c r="F48" s="18">
        <f>E48/C48</f>
        <v>0.20023492587787542</v>
      </c>
      <c r="G48" s="16">
        <f>SUM(G39:G47)</f>
        <v>44526187.07</v>
      </c>
      <c r="H48" s="18">
        <f>G48/E48</f>
        <v>0.99381837612475998</v>
      </c>
      <c r="I48" s="1"/>
      <c r="K48" s="1">
        <f t="shared" si="3"/>
        <v>276956.1799999997</v>
      </c>
    </row>
    <row r="49" spans="2:11" ht="13.5" thickBot="1" x14ac:dyDescent="0.25">
      <c r="B49" s="15" t="s">
        <v>132</v>
      </c>
      <c r="C49" s="16">
        <f>C48-INGRCAPITOL!E58</f>
        <v>222400000</v>
      </c>
      <c r="D49" s="16">
        <f>C49-E49</f>
        <v>177596856.75</v>
      </c>
      <c r="E49" s="16">
        <f>E48</f>
        <v>44803143.25</v>
      </c>
      <c r="F49" s="18">
        <f>E49/C49</f>
        <v>0.20145298223920863</v>
      </c>
      <c r="G49" s="16">
        <f>G48</f>
        <v>44526187.07</v>
      </c>
      <c r="H49" s="18">
        <f>G49/E49</f>
        <v>0.99381837612475998</v>
      </c>
      <c r="K49" s="1">
        <f t="shared" si="3"/>
        <v>276956.1799999997</v>
      </c>
    </row>
  </sheetData>
  <sheetProtection selectLockedCells="1" selectUnlockedCells="1"/>
  <phoneticPr fontId="0" type="noConversion"/>
  <pageMargins left="0.23622047244094491" right="0.23622047244094491" top="0.74803149606299213" bottom="0.74803149606299213" header="0.31496062992125984" footer="0.31496062992125984"/>
  <pageSetup paperSize="9" scale="76" firstPageNumber="0" orientation="portrait" r:id="rId1"/>
  <headerFooter alignWithMargins="0">
    <oddFooter>&amp;CServei de comptabilitat i gestió pressupostària | Intervenció&amp;R9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C5:H7"/>
  <sheetViews>
    <sheetView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1.42578125" customWidth="1"/>
    <col min="2" max="2" width="29.42578125" customWidth="1"/>
    <col min="3" max="4" width="13.42578125" style="1" customWidth="1"/>
    <col min="5" max="5" width="15.42578125" style="1" customWidth="1"/>
    <col min="6" max="8" width="13.42578125" style="1" customWidth="1"/>
    <col min="9" max="9" width="11.7109375" customWidth="1"/>
  </cols>
  <sheetData>
    <row r="5" spans="4:4" ht="15.75" x14ac:dyDescent="0.25">
      <c r="D5" s="7" t="s">
        <v>46</v>
      </c>
    </row>
    <row r="6" spans="4:4" ht="15.75" x14ac:dyDescent="0.25">
      <c r="D6" s="7" t="str">
        <f>'Dades globals'!A4</f>
        <v>RESUM EXECUCIÓ A 31/03/2025</v>
      </c>
    </row>
    <row r="7" spans="4:4" ht="15.75" x14ac:dyDescent="0.25">
      <c r="D7" s="7" t="s">
        <v>70</v>
      </c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82" firstPageNumber="0" orientation="portrait" r:id="rId1"/>
  <headerFooter alignWithMargins="0">
    <oddFooter>&amp;CServei de comptabilitat i gestió pressupostària | Intervenció&amp;R10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C5:H7"/>
  <sheetViews>
    <sheetView zoomScale="85" zoomScaleNormal="85" workbookViewId="0">
      <selection activeCell="E21" sqref="E21"/>
    </sheetView>
  </sheetViews>
  <sheetFormatPr baseColWidth="10" defaultColWidth="11.42578125" defaultRowHeight="12.75" x14ac:dyDescent="0.2"/>
  <cols>
    <col min="1" max="1" width="16.42578125" customWidth="1"/>
    <col min="2" max="2" width="29.42578125" customWidth="1"/>
    <col min="3" max="4" width="13.42578125" style="1" customWidth="1"/>
    <col min="5" max="5" width="15.42578125" style="1" customWidth="1"/>
    <col min="6" max="8" width="13.42578125" style="1" customWidth="1"/>
    <col min="9" max="9" width="4.28515625" customWidth="1"/>
  </cols>
  <sheetData>
    <row r="5" spans="4:4" ht="15.75" x14ac:dyDescent="0.25">
      <c r="D5" s="7" t="s">
        <v>46</v>
      </c>
    </row>
    <row r="6" spans="4:4" ht="15.75" x14ac:dyDescent="0.25">
      <c r="D6" s="7" t="str">
        <f>'Dades globals'!A4</f>
        <v>RESUM EXECUCIÓ A 31/03/2025</v>
      </c>
    </row>
    <row r="7" spans="4:4" ht="15.75" x14ac:dyDescent="0.25">
      <c r="D7" s="7" t="s">
        <v>134</v>
      </c>
    </row>
  </sheetData>
  <pageMargins left="0.23622047244094491" right="0.23622047244094491" top="0.74803149606299213" bottom="0.74803149606299213" header="0.31496062992125984" footer="0.31496062992125984"/>
  <pageSetup paperSize="9" scale="76" orientation="portrait" r:id="rId1"/>
  <headerFooter>
    <oddFooter>&amp;CServei de comptabilitat i gestió pressupostària | Intervenció&amp;R11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C5:H48"/>
  <sheetViews>
    <sheetView zoomScaleNormal="100" zoomScaleSheetLayoutView="100" workbookViewId="0">
      <selection activeCell="E21" sqref="E21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3.85546875" customWidth="1"/>
    <col min="5" max="5" width="15.42578125" style="1" customWidth="1"/>
    <col min="6" max="6" width="13.42578125" style="1" customWidth="1"/>
    <col min="7" max="7" width="8.85546875" style="1" customWidth="1"/>
    <col min="8" max="8" width="11.42578125" style="6" customWidth="1"/>
  </cols>
  <sheetData>
    <row r="5" spans="3:8" ht="15.75" x14ac:dyDescent="0.25">
      <c r="D5" s="7" t="s">
        <v>46</v>
      </c>
    </row>
    <row r="6" spans="3:8" s="1" customFormat="1" ht="15.75" x14ac:dyDescent="0.25">
      <c r="C6"/>
      <c r="D6" s="7" t="str">
        <f>'Dades globals'!A5</f>
        <v>PRESSUPOST A 31/03/2025</v>
      </c>
      <c r="H6" s="6"/>
    </row>
    <row r="7" spans="3:8" s="1" customFormat="1" ht="15.75" x14ac:dyDescent="0.25">
      <c r="C7"/>
      <c r="D7" s="7" t="s">
        <v>171</v>
      </c>
      <c r="H7" s="6"/>
    </row>
    <row r="8" spans="3:8" s="1" customFormat="1" ht="16.5" thickBot="1" x14ac:dyDescent="0.3">
      <c r="C8"/>
      <c r="D8" s="7"/>
      <c r="H8" s="6"/>
    </row>
    <row r="9" spans="3:8" s="1" customFormat="1" ht="26.25" thickBot="1" x14ac:dyDescent="0.25">
      <c r="C9"/>
      <c r="D9" s="27" t="s">
        <v>98</v>
      </c>
      <c r="E9" s="27" t="s">
        <v>10</v>
      </c>
      <c r="F9" s="32" t="s">
        <v>172</v>
      </c>
      <c r="H9" s="6"/>
    </row>
    <row r="10" spans="3:8" ht="13.5" thickBot="1" x14ac:dyDescent="0.25">
      <c r="C10" s="33" t="s">
        <v>155</v>
      </c>
      <c r="D10" s="28">
        <f>PREVISIONSFIANY!G3</f>
        <v>19762331.240000002</v>
      </c>
      <c r="E10" s="28">
        <f>PREVISIONSFIANY!G18</f>
        <v>72455106.909999996</v>
      </c>
      <c r="F10" s="27"/>
    </row>
    <row r="11" spans="3:8" ht="13.5" thickBot="1" x14ac:dyDescent="0.25">
      <c r="C11" s="33" t="s">
        <v>156</v>
      </c>
      <c r="D11" s="28">
        <f>PREVISIONSFIANY!G4</f>
        <v>14404862.059999999</v>
      </c>
      <c r="E11" s="28">
        <f>PREVISIONSFIANY!G19</f>
        <v>30556118.559999995</v>
      </c>
      <c r="F11" s="27"/>
    </row>
    <row r="12" spans="3:8" ht="13.5" thickBot="1" x14ac:dyDescent="0.25">
      <c r="C12" s="33" t="s">
        <v>157</v>
      </c>
      <c r="D12" s="28">
        <f>PREVISIONSFIANY!G5</f>
        <v>20036519.309999999</v>
      </c>
      <c r="E12" s="28">
        <f>PREVISIONSFIANY!G20</f>
        <v>677899.64</v>
      </c>
      <c r="F12" s="27"/>
    </row>
    <row r="13" spans="3:8" ht="13.5" thickBot="1" x14ac:dyDescent="0.25">
      <c r="C13" s="33" t="s">
        <v>158</v>
      </c>
      <c r="D13" s="28">
        <f>PREVISIONSFIANY!G6</f>
        <v>134062306.06999999</v>
      </c>
      <c r="E13" s="28">
        <f>PREVISIONSFIANY!G21</f>
        <v>36850192.75</v>
      </c>
      <c r="F13" s="27"/>
    </row>
    <row r="14" spans="3:8" ht="13.5" thickBot="1" x14ac:dyDescent="0.25">
      <c r="C14" s="33" t="s">
        <v>159</v>
      </c>
      <c r="D14" s="28">
        <f>PREVISIONSFIANY!G7</f>
        <v>7769589.96</v>
      </c>
      <c r="E14" s="28">
        <f>PREVISIONSFIANY!G22</f>
        <v>0</v>
      </c>
      <c r="F14" s="27"/>
    </row>
    <row r="15" spans="3:8" ht="13.5" thickBot="1" x14ac:dyDescent="0.25">
      <c r="C15" s="34" t="s">
        <v>160</v>
      </c>
      <c r="D15" s="29">
        <f>SUM(D10:D14)</f>
        <v>196035608.64000002</v>
      </c>
      <c r="E15" s="29">
        <f>SUM(E10:E14)</f>
        <v>140539317.86000001</v>
      </c>
      <c r="F15" s="29">
        <f>D15-E15</f>
        <v>55496290.780000001</v>
      </c>
    </row>
    <row r="16" spans="3:8" ht="13.5" thickBot="1" x14ac:dyDescent="0.25">
      <c r="C16" s="33" t="s">
        <v>161</v>
      </c>
      <c r="D16" s="28">
        <f>PREVISIONSFIANY!G9</f>
        <v>1100</v>
      </c>
      <c r="E16" s="28">
        <f>PREVISIONSFIANY!G24</f>
        <v>21911962.240000002</v>
      </c>
      <c r="F16" s="27"/>
    </row>
    <row r="17" spans="3:6" ht="13.5" thickBot="1" x14ac:dyDescent="0.25">
      <c r="C17" s="33" t="s">
        <v>162</v>
      </c>
      <c r="D17" s="28">
        <f>PREVISIONSFIANY!G10</f>
        <v>1362100.5899999999</v>
      </c>
      <c r="E17" s="28">
        <f>PREVISIONSFIANY!G25</f>
        <v>37206544.299999997</v>
      </c>
      <c r="F17" s="27"/>
    </row>
    <row r="18" spans="3:6" ht="13.5" thickBot="1" x14ac:dyDescent="0.25">
      <c r="C18" s="34" t="s">
        <v>163</v>
      </c>
      <c r="D18" s="29">
        <f>SUM(D15:D17)</f>
        <v>197398809.23000002</v>
      </c>
      <c r="E18" s="29">
        <f>SUM(E15:E17)</f>
        <v>199657824.40000004</v>
      </c>
      <c r="F18" s="29">
        <f>D18-E18</f>
        <v>-2259015.1700000167</v>
      </c>
    </row>
    <row r="19" spans="3:6" ht="13.5" thickBot="1" x14ac:dyDescent="0.25">
      <c r="C19" s="33" t="s">
        <v>164</v>
      </c>
      <c r="D19" s="28">
        <f>PREVISIONSFIANY!G12</f>
        <v>600000</v>
      </c>
      <c r="E19" s="28">
        <f>PREVISIONSFIANY!G27</f>
        <v>553130</v>
      </c>
      <c r="F19" s="27"/>
    </row>
    <row r="20" spans="3:6" ht="13.5" thickBot="1" x14ac:dyDescent="0.25">
      <c r="C20" s="33" t="s">
        <v>165</v>
      </c>
      <c r="D20" s="28">
        <f>PREVISIONSFIANY!G13</f>
        <v>0</v>
      </c>
      <c r="E20" s="28">
        <f>PREVISIONSFIANY!G28</f>
        <v>0</v>
      </c>
      <c r="F20" s="27"/>
    </row>
    <row r="21" spans="3:6" ht="13.5" thickBot="1" x14ac:dyDescent="0.25">
      <c r="C21" s="34" t="s">
        <v>166</v>
      </c>
      <c r="D21" s="29">
        <f>SUM(D19:D20)</f>
        <v>600000</v>
      </c>
      <c r="E21" s="29">
        <f>SUM(E19:E20)</f>
        <v>553130</v>
      </c>
      <c r="F21" s="29">
        <f>D21-E21</f>
        <v>46870</v>
      </c>
    </row>
    <row r="22" spans="3:6" ht="13.5" thickBot="1" x14ac:dyDescent="0.25">
      <c r="C22" s="30" t="s">
        <v>119</v>
      </c>
      <c r="D22" s="31">
        <f>SUM(D18,D21)</f>
        <v>197998809.23000002</v>
      </c>
      <c r="E22" s="31">
        <f>SUM(E18,E21)</f>
        <v>200210954.40000004</v>
      </c>
      <c r="F22" s="29">
        <f>D22-E22</f>
        <v>-2212145.1700000167</v>
      </c>
    </row>
    <row r="33" spans="3:7" s="6" customFormat="1" x14ac:dyDescent="0.2">
      <c r="C33"/>
      <c r="D33"/>
      <c r="E33" s="1"/>
      <c r="F33" s="1"/>
      <c r="G33" s="1"/>
    </row>
    <row r="48" spans="3:7" x14ac:dyDescent="0.2">
      <c r="C48" s="1"/>
    </row>
  </sheetData>
  <sheetProtection selectLockedCells="1" selectUnlockedCells="1"/>
  <pageMargins left="0.23622047244094491" right="0.23622047244094491" top="0.74803149606299213" bottom="0.74803149606299213" header="0.31496062992125984" footer="0.31496062992125984"/>
  <pageSetup paperSize="9" scale="87" firstPageNumber="0" orientation="portrait" r:id="rId1"/>
  <headerFooter alignWithMargins="0">
    <oddFooter>&amp;CServei de comptabilitat i gestió pressupostària | Intervenció&amp;R12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C5:I52"/>
  <sheetViews>
    <sheetView zoomScale="70" zoomScaleNormal="70" workbookViewId="0">
      <selection activeCell="E21" sqref="E21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3.85546875" customWidth="1"/>
    <col min="5" max="5" width="15.42578125" style="1" customWidth="1"/>
    <col min="6" max="6" width="13.42578125" style="1" customWidth="1"/>
    <col min="7" max="7" width="8.85546875" style="1" customWidth="1"/>
    <col min="8" max="8" width="11.42578125" style="6" customWidth="1"/>
  </cols>
  <sheetData>
    <row r="5" spans="3:8" ht="15.75" x14ac:dyDescent="0.25">
      <c r="D5" s="7" t="s">
        <v>46</v>
      </c>
    </row>
    <row r="6" spans="3:8" s="1" customFormat="1" ht="15.75" x14ac:dyDescent="0.25">
      <c r="C6"/>
      <c r="D6" s="7" t="str">
        <f>'Dades globals'!A5</f>
        <v>PRESSUPOST A 31/03/2025</v>
      </c>
      <c r="H6" s="6"/>
    </row>
    <row r="7" spans="3:8" s="1" customFormat="1" ht="15.75" x14ac:dyDescent="0.25">
      <c r="C7"/>
      <c r="D7" s="7" t="s">
        <v>178</v>
      </c>
      <c r="H7" s="6"/>
    </row>
    <row r="8" spans="3:8" s="1" customFormat="1" x14ac:dyDescent="0.2">
      <c r="C8"/>
      <c r="D8"/>
      <c r="H8" s="6"/>
    </row>
    <row r="9" spans="3:8" s="1" customFormat="1" x14ac:dyDescent="0.2">
      <c r="C9"/>
      <c r="D9"/>
      <c r="H9" s="6"/>
    </row>
    <row r="26" spans="9:9" x14ac:dyDescent="0.2">
      <c r="I26" s="109"/>
    </row>
    <row r="33" spans="3:7" s="6" customFormat="1" x14ac:dyDescent="0.2">
      <c r="C33"/>
      <c r="D33"/>
      <c r="E33" s="1"/>
      <c r="F33" s="1"/>
      <c r="G33" s="1"/>
    </row>
    <row r="48" spans="3:7" x14ac:dyDescent="0.2">
      <c r="C48" s="1"/>
    </row>
    <row r="51" spans="3:3" x14ac:dyDescent="0.2">
      <c r="C51" t="s">
        <v>315</v>
      </c>
    </row>
    <row r="52" spans="3:3" x14ac:dyDescent="0.2">
      <c r="C52" t="s">
        <v>314</v>
      </c>
    </row>
  </sheetData>
  <sheetProtection selectLockedCells="1" selectUnlockedCells="1"/>
  <pageMargins left="0.23622047244094491" right="0.23622047244094491" top="0.74803149606299213" bottom="0.74803149606299213" header="0.31496062992125984" footer="0.31496062992125984"/>
  <pageSetup paperSize="9" scale="94" firstPageNumber="0" orientation="portrait" r:id="rId1"/>
  <headerFooter alignWithMargins="0">
    <oddFooter>&amp;CServei de comptabilitat i gestió pressupostària | Intervenció&amp;R13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R51"/>
  <sheetViews>
    <sheetView zoomScale="85" zoomScaleNormal="85" workbookViewId="0">
      <pane xSplit="2" ySplit="1" topLeftCell="C2" activePane="bottomRight" state="frozen"/>
      <selection activeCell="K20" sqref="K20"/>
      <selection pane="topRight" activeCell="K20" sqref="K20"/>
      <selection pane="bottomLeft" activeCell="K20" sqref="K20"/>
      <selection pane="bottomRight" activeCell="P23" sqref="P23"/>
    </sheetView>
  </sheetViews>
  <sheetFormatPr baseColWidth="10" defaultColWidth="9.140625" defaultRowHeight="12.75" x14ac:dyDescent="0.2"/>
  <cols>
    <col min="1" max="1" width="6.42578125" bestFit="1" customWidth="1"/>
    <col min="2" max="2" width="43" bestFit="1" customWidth="1"/>
    <col min="3" max="3" width="14.28515625" style="1" bestFit="1" customWidth="1"/>
    <col min="4" max="4" width="14.140625" style="1" bestFit="1" customWidth="1"/>
    <col min="5" max="5" width="16.28515625" style="1" bestFit="1" customWidth="1"/>
    <col min="6" max="6" width="20.42578125" style="1" bestFit="1" customWidth="1"/>
    <col min="7" max="7" width="16.42578125" style="1" bestFit="1" customWidth="1"/>
    <col min="8" max="8" width="19.7109375" style="1" bestFit="1" customWidth="1"/>
    <col min="9" max="9" width="19.140625" style="1" bestFit="1" customWidth="1"/>
    <col min="10" max="10" width="14.140625" style="1" bestFit="1" customWidth="1"/>
    <col min="11" max="11" width="10.7109375" style="2" bestFit="1" customWidth="1"/>
    <col min="12" max="12" width="13" style="1" bestFit="1" customWidth="1"/>
    <col min="13" max="13" width="10.7109375" style="2" customWidth="1"/>
    <col min="14" max="14" width="13" style="1" bestFit="1" customWidth="1"/>
    <col min="15" max="15" width="9" style="2" bestFit="1" customWidth="1"/>
    <col min="17" max="17" width="12.28515625" bestFit="1" customWidth="1"/>
    <col min="18" max="18" width="14.85546875" customWidth="1"/>
  </cols>
  <sheetData>
    <row r="1" spans="1:18" s="3" customFormat="1" x14ac:dyDescent="0.2">
      <c r="A1" s="3" t="s">
        <v>19</v>
      </c>
      <c r="B1" s="3" t="s">
        <v>48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9</v>
      </c>
      <c r="L1" s="4" t="s">
        <v>10</v>
      </c>
      <c r="M1" s="5" t="s">
        <v>11</v>
      </c>
      <c r="N1" s="4" t="s">
        <v>12</v>
      </c>
      <c r="O1" s="5" t="s">
        <v>13</v>
      </c>
    </row>
    <row r="2" spans="1:18" x14ac:dyDescent="0.2">
      <c r="A2" t="s">
        <v>20</v>
      </c>
      <c r="B2" t="s">
        <v>21</v>
      </c>
      <c r="C2" s="117">
        <v>63854836.660000026</v>
      </c>
      <c r="D2" s="117">
        <v>186957.11</v>
      </c>
      <c r="E2" s="117">
        <v>64041793.770000018</v>
      </c>
      <c r="F2" s="117">
        <v>49387443.460000075</v>
      </c>
      <c r="G2" s="117">
        <v>0</v>
      </c>
      <c r="H2" s="117">
        <v>0</v>
      </c>
      <c r="I2" s="117">
        <v>488291.83</v>
      </c>
      <c r="J2" s="1">
        <f t="shared" ref="J2:J9" si="0">I2+L2</f>
        <v>14654350.309999999</v>
      </c>
      <c r="K2" s="2">
        <f t="shared" ref="K2:K8" si="1">J2/E2</f>
        <v>0.22882479467439182</v>
      </c>
      <c r="L2" s="117">
        <v>14166058.479999999</v>
      </c>
      <c r="M2" s="2">
        <f t="shared" ref="M2:M8" si="2">L2/E2</f>
        <v>0.22120021389275954</v>
      </c>
      <c r="N2" s="117">
        <v>78499.17</v>
      </c>
      <c r="O2" s="2">
        <f t="shared" ref="O2:O10" si="3">N2/L2</f>
        <v>5.5413557773199311E-3</v>
      </c>
    </row>
    <row r="3" spans="1:18" x14ac:dyDescent="0.2">
      <c r="A3" t="s">
        <v>20</v>
      </c>
      <c r="B3" t="s">
        <v>22</v>
      </c>
      <c r="C3" s="117">
        <v>25738469.030000001</v>
      </c>
      <c r="D3" s="117">
        <v>0</v>
      </c>
      <c r="E3" s="117">
        <v>25738469.030000001</v>
      </c>
      <c r="F3" s="117">
        <v>11571056.249999991</v>
      </c>
      <c r="G3" s="117">
        <v>108660.03</v>
      </c>
      <c r="H3" s="117">
        <v>964240.31000000017</v>
      </c>
      <c r="I3" s="117">
        <v>10557790.32</v>
      </c>
      <c r="J3" s="1">
        <f>I3+L3</f>
        <v>13088522.940000001</v>
      </c>
      <c r="K3" s="2">
        <f t="shared" si="1"/>
        <v>0.50851987057755477</v>
      </c>
      <c r="L3" s="117">
        <v>2530732.62</v>
      </c>
      <c r="M3" s="2">
        <f t="shared" si="2"/>
        <v>9.8324908798975291E-2</v>
      </c>
      <c r="N3" s="117">
        <v>2161992.939999999</v>
      </c>
      <c r="O3" s="2">
        <f t="shared" si="3"/>
        <v>0.85429528307893665</v>
      </c>
      <c r="Q3" s="1"/>
      <c r="R3" s="1"/>
    </row>
    <row r="4" spans="1:18" x14ac:dyDescent="0.2">
      <c r="A4" t="s">
        <v>20</v>
      </c>
      <c r="B4" t="s">
        <v>23</v>
      </c>
      <c r="C4" s="117">
        <v>120001</v>
      </c>
      <c r="D4" s="117">
        <v>0</v>
      </c>
      <c r="E4" s="117">
        <v>120001</v>
      </c>
      <c r="F4" s="117">
        <v>120001</v>
      </c>
      <c r="G4" s="117">
        <v>0</v>
      </c>
      <c r="H4" s="117">
        <v>0</v>
      </c>
      <c r="I4" s="117">
        <v>0</v>
      </c>
      <c r="J4" s="1">
        <f t="shared" si="0"/>
        <v>0</v>
      </c>
      <c r="K4" s="2">
        <f t="shared" si="1"/>
        <v>0</v>
      </c>
      <c r="L4" s="117">
        <v>0</v>
      </c>
      <c r="M4" s="2">
        <f t="shared" si="2"/>
        <v>0</v>
      </c>
      <c r="N4" s="117">
        <v>0</v>
      </c>
      <c r="O4" s="2" t="e">
        <f t="shared" si="3"/>
        <v>#DIV/0!</v>
      </c>
      <c r="Q4" s="1"/>
      <c r="R4" s="1"/>
    </row>
    <row r="5" spans="1:18" x14ac:dyDescent="0.2">
      <c r="A5" t="s">
        <v>20</v>
      </c>
      <c r="B5" t="s">
        <v>24</v>
      </c>
      <c r="C5" s="117">
        <f>34903287.11</f>
        <v>34903287.109999999</v>
      </c>
      <c r="D5" s="117">
        <v>0</v>
      </c>
      <c r="E5" s="117">
        <f>34903287.11</f>
        <v>34903287.109999999</v>
      </c>
      <c r="F5" s="117">
        <v>11989044.83</v>
      </c>
      <c r="G5" s="117">
        <v>629580.5</v>
      </c>
      <c r="H5" s="117">
        <v>1434800</v>
      </c>
      <c r="I5" s="117">
        <v>8034639.2100000009</v>
      </c>
      <c r="J5" s="1">
        <f t="shared" si="0"/>
        <v>16505961.780000001</v>
      </c>
      <c r="K5" s="2">
        <f t="shared" si="1"/>
        <v>0.47290565292547893</v>
      </c>
      <c r="L5" s="117">
        <v>8471322.5700000003</v>
      </c>
      <c r="M5" s="2">
        <f t="shared" si="2"/>
        <v>0.24270844586362514</v>
      </c>
      <c r="N5" s="117">
        <v>8332562.4600000009</v>
      </c>
      <c r="O5" s="2">
        <f t="shared" si="3"/>
        <v>0.98362001814316469</v>
      </c>
      <c r="Q5" s="1"/>
      <c r="R5" s="1"/>
    </row>
    <row r="6" spans="1:18" x14ac:dyDescent="0.2">
      <c r="A6" t="s">
        <v>20</v>
      </c>
      <c r="B6" t="s">
        <v>25</v>
      </c>
      <c r="C6" s="117">
        <v>4715101.68</v>
      </c>
      <c r="D6" s="117">
        <v>-186957.11</v>
      </c>
      <c r="E6" s="117">
        <v>4528144.57</v>
      </c>
      <c r="F6" s="117">
        <v>1204417.2</v>
      </c>
      <c r="G6" s="117">
        <v>0</v>
      </c>
      <c r="H6" s="117">
        <v>0</v>
      </c>
      <c r="I6" s="117">
        <v>0</v>
      </c>
      <c r="J6" s="1">
        <f t="shared" si="0"/>
        <v>0</v>
      </c>
      <c r="K6" s="2">
        <f t="shared" si="1"/>
        <v>0</v>
      </c>
      <c r="L6" s="117">
        <v>0</v>
      </c>
      <c r="M6" s="2">
        <f t="shared" si="2"/>
        <v>0</v>
      </c>
      <c r="N6" s="117">
        <v>0</v>
      </c>
      <c r="O6" s="2" t="e">
        <f t="shared" si="3"/>
        <v>#DIV/0!</v>
      </c>
      <c r="Q6" s="1"/>
      <c r="R6" s="1"/>
    </row>
    <row r="7" spans="1:18" x14ac:dyDescent="0.2">
      <c r="A7" t="s">
        <v>20</v>
      </c>
      <c r="B7" t="s">
        <v>26</v>
      </c>
      <c r="C7" s="117">
        <v>21732976.149999999</v>
      </c>
      <c r="D7" s="117">
        <v>0</v>
      </c>
      <c r="E7" s="117">
        <v>21732976.149999999</v>
      </c>
      <c r="F7" s="117">
        <v>9272692.6099999975</v>
      </c>
      <c r="G7" s="117">
        <v>1827444.56</v>
      </c>
      <c r="H7" s="117">
        <v>2029042.04</v>
      </c>
      <c r="I7" s="117">
        <v>7348754.5300000003</v>
      </c>
      <c r="J7" s="1">
        <f t="shared" si="0"/>
        <v>8127559.3700000001</v>
      </c>
      <c r="K7" s="2">
        <f t="shared" si="1"/>
        <v>0.37397360186216377</v>
      </c>
      <c r="L7" s="117">
        <v>778804.83999999985</v>
      </c>
      <c r="M7" s="2">
        <f t="shared" si="2"/>
        <v>3.5835167471989331E-2</v>
      </c>
      <c r="N7" s="117">
        <v>772968.76999999979</v>
      </c>
      <c r="O7" s="2">
        <f t="shared" si="3"/>
        <v>0.99250637682220866</v>
      </c>
      <c r="Q7" s="1"/>
      <c r="R7" s="1"/>
    </row>
    <row r="8" spans="1:18" x14ac:dyDescent="0.2">
      <c r="A8" t="s">
        <v>20</v>
      </c>
      <c r="B8" t="s">
        <v>27</v>
      </c>
      <c r="C8" s="117">
        <v>49665328.370000005</v>
      </c>
      <c r="D8" s="117">
        <v>0</v>
      </c>
      <c r="E8" s="117">
        <v>49665328.370000005</v>
      </c>
      <c r="F8" s="117">
        <v>2230639.7000000002</v>
      </c>
      <c r="G8" s="117">
        <v>627580.5</v>
      </c>
      <c r="H8" s="117">
        <v>1350000</v>
      </c>
      <c r="I8" s="117">
        <v>36460151.770000003</v>
      </c>
      <c r="J8" s="1">
        <f t="shared" si="0"/>
        <v>37081122.340000004</v>
      </c>
      <c r="K8" s="2">
        <f t="shared" si="1"/>
        <v>0.74661989675676033</v>
      </c>
      <c r="L8" s="117">
        <v>620970.56999999995</v>
      </c>
      <c r="M8" s="2">
        <f t="shared" si="2"/>
        <v>1.2503100057526105E-2</v>
      </c>
      <c r="N8" s="117">
        <v>313331.87</v>
      </c>
      <c r="O8" s="2">
        <f t="shared" si="3"/>
        <v>0.50458409003183524</v>
      </c>
      <c r="Q8" s="1"/>
      <c r="R8" s="1"/>
    </row>
    <row r="9" spans="1:18" x14ac:dyDescent="0.2">
      <c r="A9" t="s">
        <v>20</v>
      </c>
      <c r="B9" t="s">
        <v>28</v>
      </c>
      <c r="C9" s="117">
        <v>600000</v>
      </c>
      <c r="D9" s="117">
        <v>0</v>
      </c>
      <c r="E9" s="117">
        <v>600000</v>
      </c>
      <c r="F9" s="117">
        <v>486200</v>
      </c>
      <c r="G9" s="117">
        <v>0</v>
      </c>
      <c r="H9" s="117">
        <v>0</v>
      </c>
      <c r="I9" s="117">
        <v>0</v>
      </c>
      <c r="J9" s="1">
        <f t="shared" si="0"/>
        <v>113800</v>
      </c>
      <c r="K9" s="2">
        <v>0</v>
      </c>
      <c r="L9" s="117">
        <v>113800</v>
      </c>
      <c r="M9" s="2">
        <v>0</v>
      </c>
      <c r="N9" s="117">
        <v>98100</v>
      </c>
      <c r="O9" s="2">
        <f t="shared" si="3"/>
        <v>0.86203866432337439</v>
      </c>
      <c r="Q9" s="1"/>
      <c r="R9" s="1"/>
    </row>
    <row r="10" spans="1:18" x14ac:dyDescent="0.2">
      <c r="A10" t="s">
        <v>20</v>
      </c>
      <c r="B10" t="s">
        <v>29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">
        <v>0</v>
      </c>
      <c r="K10" s="2">
        <v>0</v>
      </c>
      <c r="L10" s="117">
        <v>0</v>
      </c>
      <c r="M10" s="2">
        <v>0</v>
      </c>
      <c r="N10" s="117">
        <v>0</v>
      </c>
      <c r="O10" s="2" t="e">
        <f t="shared" si="3"/>
        <v>#DIV/0!</v>
      </c>
      <c r="Q10" s="1"/>
      <c r="R10" s="1"/>
    </row>
    <row r="11" spans="1:18" s="3" customFormat="1" x14ac:dyDescent="0.2">
      <c r="B11" s="3" t="s">
        <v>15</v>
      </c>
      <c r="C11" s="4">
        <f t="shared" ref="C11:J11" si="4">SUM(C2:C10)</f>
        <v>201330000.00000003</v>
      </c>
      <c r="D11" s="4">
        <f t="shared" si="4"/>
        <v>0</v>
      </c>
      <c r="E11" s="4">
        <f t="shared" si="4"/>
        <v>201330000.00000003</v>
      </c>
      <c r="F11" s="4">
        <f t="shared" si="4"/>
        <v>86261495.050000072</v>
      </c>
      <c r="G11" s="4">
        <f t="shared" si="4"/>
        <v>3193265.59</v>
      </c>
      <c r="H11" s="4">
        <f t="shared" si="4"/>
        <v>5778082.3499999996</v>
      </c>
      <c r="I11" s="4">
        <f t="shared" si="4"/>
        <v>62889627.660000004</v>
      </c>
      <c r="J11" s="4">
        <f t="shared" si="4"/>
        <v>89571316.74000001</v>
      </c>
      <c r="K11" s="5">
        <f t="shared" ref="K11:K31" si="5">J11/E11</f>
        <v>0.44489801192072714</v>
      </c>
      <c r="L11" s="4">
        <f>SUM(L2:L10)</f>
        <v>26681689.079999998</v>
      </c>
      <c r="M11" s="5">
        <f t="shared" ref="M11:M31" si="6">L11/E11</f>
        <v>0.13252713991953508</v>
      </c>
      <c r="N11" s="4">
        <f>SUM(N2:N10)</f>
        <v>11757455.209999999</v>
      </c>
      <c r="O11" s="5">
        <f t="shared" ref="O11:O31" si="7">N11/L11</f>
        <v>0.44065633081726924</v>
      </c>
    </row>
    <row r="12" spans="1:18" x14ac:dyDescent="0.2">
      <c r="A12" t="s">
        <v>30</v>
      </c>
      <c r="B12" t="s">
        <v>21</v>
      </c>
      <c r="C12" s="117">
        <v>1532193.88</v>
      </c>
      <c r="D12" s="117">
        <v>0</v>
      </c>
      <c r="E12" s="117">
        <v>1532193.88</v>
      </c>
      <c r="F12" s="117">
        <v>1532193.88</v>
      </c>
      <c r="G12" s="117">
        <v>0</v>
      </c>
      <c r="H12" s="117">
        <v>0</v>
      </c>
      <c r="I12" s="117">
        <v>0</v>
      </c>
      <c r="J12" s="1">
        <f t="shared" ref="J12:J20" si="8">I12+L12</f>
        <v>0</v>
      </c>
      <c r="K12" s="2">
        <f t="shared" si="5"/>
        <v>0</v>
      </c>
      <c r="L12" s="117">
        <v>0</v>
      </c>
      <c r="M12" s="2">
        <f t="shared" si="6"/>
        <v>0</v>
      </c>
      <c r="N12" s="117">
        <v>0</v>
      </c>
      <c r="O12" s="2" t="e">
        <f t="shared" si="7"/>
        <v>#DIV/0!</v>
      </c>
    </row>
    <row r="13" spans="1:18" x14ac:dyDescent="0.2">
      <c r="A13" t="s">
        <v>30</v>
      </c>
      <c r="B13" t="s">
        <v>22</v>
      </c>
      <c r="C13" s="117">
        <v>6538010</v>
      </c>
      <c r="D13" s="117">
        <v>0</v>
      </c>
      <c r="E13" s="117">
        <v>6538010</v>
      </c>
      <c r="F13" s="117">
        <v>2243057.7299999995</v>
      </c>
      <c r="G13" s="117">
        <v>99515.61</v>
      </c>
      <c r="H13" s="117">
        <v>41703.35</v>
      </c>
      <c r="I13" s="117">
        <v>3997026.97</v>
      </c>
      <c r="J13" s="1">
        <f t="shared" si="8"/>
        <v>4153733.31</v>
      </c>
      <c r="K13" s="2">
        <f t="shared" si="5"/>
        <v>0.63532073367890229</v>
      </c>
      <c r="L13" s="117">
        <v>156706.34000000003</v>
      </c>
      <c r="M13" s="2">
        <f t="shared" si="6"/>
        <v>2.3968507236911542E-2</v>
      </c>
      <c r="N13" s="117">
        <v>66161.89</v>
      </c>
      <c r="O13" s="2">
        <f t="shared" si="7"/>
        <v>0.42220301999268178</v>
      </c>
    </row>
    <row r="14" spans="1:18" x14ac:dyDescent="0.2">
      <c r="A14" t="s">
        <v>30</v>
      </c>
      <c r="B14" t="s">
        <v>23</v>
      </c>
      <c r="C14" s="117">
        <v>2000</v>
      </c>
      <c r="D14" s="117">
        <v>0</v>
      </c>
      <c r="E14" s="117">
        <v>2000</v>
      </c>
      <c r="F14" s="117">
        <v>2000</v>
      </c>
      <c r="G14" s="117">
        <v>0</v>
      </c>
      <c r="H14" s="117">
        <v>0</v>
      </c>
      <c r="I14" s="117">
        <v>0</v>
      </c>
      <c r="J14" s="1">
        <f t="shared" si="8"/>
        <v>0</v>
      </c>
      <c r="K14" s="2">
        <f t="shared" si="5"/>
        <v>0</v>
      </c>
      <c r="L14" s="117">
        <v>0</v>
      </c>
      <c r="M14" s="2">
        <f t="shared" si="6"/>
        <v>0</v>
      </c>
      <c r="N14" s="117">
        <v>0</v>
      </c>
      <c r="O14" s="2" t="e">
        <f t="shared" si="7"/>
        <v>#DIV/0!</v>
      </c>
    </row>
    <row r="15" spans="1:18" x14ac:dyDescent="0.2">
      <c r="A15" t="s">
        <v>30</v>
      </c>
      <c r="B15" t="s">
        <v>24</v>
      </c>
      <c r="C15" s="117">
        <v>1057000</v>
      </c>
      <c r="D15" s="117">
        <v>0</v>
      </c>
      <c r="E15" s="117">
        <v>1057000</v>
      </c>
      <c r="F15" s="117">
        <v>1054696.4099999999</v>
      </c>
      <c r="G15" s="117">
        <v>0</v>
      </c>
      <c r="H15" s="117">
        <v>0</v>
      </c>
      <c r="I15" s="117">
        <v>0</v>
      </c>
      <c r="J15" s="1">
        <f t="shared" si="8"/>
        <v>2303.5899999999997</v>
      </c>
      <c r="K15" s="2">
        <f t="shared" si="5"/>
        <v>2.179366130558183E-3</v>
      </c>
      <c r="L15" s="117">
        <v>2303.5899999999997</v>
      </c>
      <c r="M15" s="2">
        <f t="shared" si="6"/>
        <v>2.179366130558183E-3</v>
      </c>
      <c r="N15" s="117">
        <v>2303.5899999999997</v>
      </c>
      <c r="O15" s="2">
        <f t="shared" si="7"/>
        <v>1</v>
      </c>
    </row>
    <row r="16" spans="1:18" x14ac:dyDescent="0.2">
      <c r="A16" t="s">
        <v>30</v>
      </c>
      <c r="B16" t="s">
        <v>25</v>
      </c>
      <c r="C16" s="117">
        <v>293396.12</v>
      </c>
      <c r="D16" s="117">
        <v>0</v>
      </c>
      <c r="E16" s="117">
        <v>293396.12</v>
      </c>
      <c r="F16" s="117">
        <v>293396.12</v>
      </c>
      <c r="G16" s="117">
        <v>0</v>
      </c>
      <c r="H16" s="117">
        <v>0</v>
      </c>
      <c r="I16" s="117">
        <v>0</v>
      </c>
      <c r="J16" s="1">
        <f t="shared" si="8"/>
        <v>0</v>
      </c>
      <c r="K16" s="2">
        <f t="shared" si="5"/>
        <v>0</v>
      </c>
      <c r="L16" s="117">
        <v>0</v>
      </c>
      <c r="M16" s="2">
        <f t="shared" si="6"/>
        <v>0</v>
      </c>
      <c r="N16" s="117">
        <v>0</v>
      </c>
      <c r="O16" s="2">
        <v>0</v>
      </c>
    </row>
    <row r="17" spans="1:15" x14ac:dyDescent="0.2">
      <c r="A17" t="s">
        <v>30</v>
      </c>
      <c r="B17" t="s">
        <v>26</v>
      </c>
      <c r="C17" s="117">
        <v>7400</v>
      </c>
      <c r="D17" s="117">
        <v>0</v>
      </c>
      <c r="E17" s="117">
        <v>7400</v>
      </c>
      <c r="F17" s="117">
        <v>6480.4</v>
      </c>
      <c r="G17" s="117">
        <v>0</v>
      </c>
      <c r="H17" s="117">
        <v>0</v>
      </c>
      <c r="I17" s="117">
        <v>0</v>
      </c>
      <c r="J17" s="1">
        <f t="shared" si="8"/>
        <v>919.6</v>
      </c>
      <c r="K17" s="2">
        <f t="shared" si="5"/>
        <v>0.12427027027027027</v>
      </c>
      <c r="L17" s="117">
        <v>919.6</v>
      </c>
      <c r="M17" s="2">
        <f t="shared" si="6"/>
        <v>0.12427027027027027</v>
      </c>
      <c r="N17" s="117">
        <v>0</v>
      </c>
      <c r="O17" s="2">
        <v>0</v>
      </c>
    </row>
    <row r="18" spans="1:15" x14ac:dyDescent="0.2">
      <c r="A18" t="s">
        <v>30</v>
      </c>
      <c r="B18" t="s">
        <v>27</v>
      </c>
      <c r="C18" s="117">
        <v>0</v>
      </c>
      <c r="D18" s="117">
        <v>0</v>
      </c>
      <c r="E18" s="117">
        <f t="shared" ref="E18:E20" si="9">C18+D18</f>
        <v>0</v>
      </c>
      <c r="F18" s="117">
        <v>0</v>
      </c>
      <c r="G18" s="117">
        <v>0</v>
      </c>
      <c r="H18" s="117">
        <v>0</v>
      </c>
      <c r="I18" s="117">
        <v>0</v>
      </c>
      <c r="J18" s="1">
        <f t="shared" si="8"/>
        <v>0</v>
      </c>
      <c r="K18" s="2" t="e">
        <f t="shared" si="5"/>
        <v>#DIV/0!</v>
      </c>
      <c r="L18" s="117">
        <v>0</v>
      </c>
      <c r="M18" s="2" t="e">
        <f t="shared" si="6"/>
        <v>#DIV/0!</v>
      </c>
      <c r="N18" s="117">
        <v>0</v>
      </c>
      <c r="O18" s="2" t="e">
        <f t="shared" si="7"/>
        <v>#DIV/0!</v>
      </c>
    </row>
    <row r="19" spans="1:15" x14ac:dyDescent="0.2">
      <c r="A19" t="s">
        <v>30</v>
      </c>
      <c r="B19" t="s">
        <v>28</v>
      </c>
      <c r="C19" s="117">
        <v>0</v>
      </c>
      <c r="D19" s="117">
        <v>0</v>
      </c>
      <c r="E19" s="117">
        <f t="shared" si="9"/>
        <v>0</v>
      </c>
      <c r="F19" s="117">
        <v>0</v>
      </c>
      <c r="G19" s="117">
        <v>0</v>
      </c>
      <c r="H19" s="117">
        <v>0</v>
      </c>
      <c r="I19" s="117">
        <v>0</v>
      </c>
      <c r="J19" s="1">
        <f t="shared" si="8"/>
        <v>0</v>
      </c>
      <c r="K19" s="2" t="e">
        <f t="shared" si="5"/>
        <v>#DIV/0!</v>
      </c>
      <c r="L19" s="117">
        <v>0</v>
      </c>
      <c r="M19" s="2" t="e">
        <f t="shared" si="6"/>
        <v>#DIV/0!</v>
      </c>
      <c r="N19" s="117">
        <v>0</v>
      </c>
      <c r="O19" s="2" t="e">
        <f t="shared" si="7"/>
        <v>#DIV/0!</v>
      </c>
    </row>
    <row r="20" spans="1:15" x14ac:dyDescent="0.2">
      <c r="A20" t="s">
        <v>30</v>
      </c>
      <c r="B20" t="s">
        <v>29</v>
      </c>
      <c r="C20" s="117">
        <v>0</v>
      </c>
      <c r="D20" s="117">
        <v>0</v>
      </c>
      <c r="E20" s="117">
        <f t="shared" si="9"/>
        <v>0</v>
      </c>
      <c r="F20" s="117">
        <v>0</v>
      </c>
      <c r="G20" s="117">
        <v>0</v>
      </c>
      <c r="H20" s="117">
        <v>0</v>
      </c>
      <c r="I20" s="117">
        <v>0</v>
      </c>
      <c r="J20" s="1">
        <f t="shared" si="8"/>
        <v>0</v>
      </c>
      <c r="K20" s="2" t="e">
        <f t="shared" si="5"/>
        <v>#DIV/0!</v>
      </c>
      <c r="L20" s="117">
        <v>0</v>
      </c>
      <c r="M20" s="2" t="e">
        <f t="shared" si="6"/>
        <v>#DIV/0!</v>
      </c>
      <c r="N20" s="117">
        <v>0</v>
      </c>
      <c r="O20" s="2" t="e">
        <f t="shared" si="7"/>
        <v>#DIV/0!</v>
      </c>
    </row>
    <row r="21" spans="1:15" x14ac:dyDescent="0.2">
      <c r="A21" s="3"/>
      <c r="B21" s="3" t="s">
        <v>31</v>
      </c>
      <c r="C21" s="4">
        <f t="shared" ref="C21:J21" si="10">SUM(C12:C20)</f>
        <v>9429999.9999999981</v>
      </c>
      <c r="D21" s="4">
        <f t="shared" si="10"/>
        <v>0</v>
      </c>
      <c r="E21" s="4">
        <f t="shared" si="10"/>
        <v>9429999.9999999981</v>
      </c>
      <c r="F21" s="4">
        <f t="shared" si="10"/>
        <v>5131824.54</v>
      </c>
      <c r="G21" s="4">
        <f t="shared" si="10"/>
        <v>99515.61</v>
      </c>
      <c r="H21" s="4">
        <f t="shared" si="10"/>
        <v>41703.35</v>
      </c>
      <c r="I21" s="4">
        <f t="shared" si="10"/>
        <v>3997026.97</v>
      </c>
      <c r="J21" s="4">
        <f t="shared" si="10"/>
        <v>4156956.5</v>
      </c>
      <c r="K21" s="5">
        <f t="shared" si="5"/>
        <v>0.44082253446447517</v>
      </c>
      <c r="L21" s="4">
        <f>SUM(L12:L20)</f>
        <v>159929.53000000003</v>
      </c>
      <c r="M21" s="5">
        <f t="shared" si="6"/>
        <v>1.6959653234358437E-2</v>
      </c>
      <c r="N21" s="4">
        <f>SUM(N12:N20)</f>
        <v>68465.48</v>
      </c>
      <c r="O21" s="5">
        <f t="shared" si="7"/>
        <v>0.4280978003249305</v>
      </c>
    </row>
    <row r="22" spans="1:15" x14ac:dyDescent="0.2">
      <c r="A22" t="s">
        <v>32</v>
      </c>
      <c r="B22" t="s">
        <v>21</v>
      </c>
      <c r="C22" s="117">
        <v>11141252.609999999</v>
      </c>
      <c r="D22" s="117">
        <v>46010.01</v>
      </c>
      <c r="E22" s="117">
        <v>11187262.620000001</v>
      </c>
      <c r="F22" s="117">
        <v>8920304.9700000007</v>
      </c>
      <c r="G22" s="117">
        <v>0</v>
      </c>
      <c r="H22" s="117">
        <v>0</v>
      </c>
      <c r="I22" s="117">
        <v>0</v>
      </c>
      <c r="J22" s="1">
        <f t="shared" ref="J22:J30" si="11">I22+L22</f>
        <v>2266957.6500000004</v>
      </c>
      <c r="K22" s="2">
        <f t="shared" si="5"/>
        <v>0.20263738565922754</v>
      </c>
      <c r="L22" s="117">
        <v>2266957.6500000004</v>
      </c>
      <c r="M22" s="2">
        <f t="shared" si="6"/>
        <v>0.20263738565922754</v>
      </c>
      <c r="N22" s="117">
        <v>2266957.6500000004</v>
      </c>
      <c r="O22" s="2">
        <f t="shared" si="7"/>
        <v>1</v>
      </c>
    </row>
    <row r="23" spans="1:15" x14ac:dyDescent="0.2">
      <c r="A23" t="s">
        <v>32</v>
      </c>
      <c r="B23" t="s">
        <v>22</v>
      </c>
      <c r="C23" s="117">
        <v>5945897.1800000006</v>
      </c>
      <c r="D23" s="117">
        <v>1095295.8</v>
      </c>
      <c r="E23" s="117">
        <v>7041192.9800000004</v>
      </c>
      <c r="F23" s="117">
        <v>918966.88</v>
      </c>
      <c r="G23" s="117">
        <v>1168019.6400000001</v>
      </c>
      <c r="H23" s="117">
        <v>80818.459999999992</v>
      </c>
      <c r="I23" s="117">
        <v>4326136.8299999991</v>
      </c>
      <c r="J23" s="1">
        <f t="shared" si="11"/>
        <v>4873387.9999999991</v>
      </c>
      <c r="K23" s="2">
        <f t="shared" si="5"/>
        <v>0.69212532788726366</v>
      </c>
      <c r="L23" s="117">
        <v>547251.17000000004</v>
      </c>
      <c r="M23" s="2">
        <f t="shared" si="6"/>
        <v>7.7721370732832834E-2</v>
      </c>
      <c r="N23" s="117">
        <v>202141.91</v>
      </c>
      <c r="O23" s="2">
        <f t="shared" si="7"/>
        <v>0.36937684390880332</v>
      </c>
    </row>
    <row r="24" spans="1:15" x14ac:dyDescent="0.2">
      <c r="A24" t="s">
        <v>32</v>
      </c>
      <c r="B24" t="s">
        <v>23</v>
      </c>
      <c r="C24" s="117">
        <v>721700</v>
      </c>
      <c r="D24" s="117">
        <v>0</v>
      </c>
      <c r="E24" s="117">
        <v>721700</v>
      </c>
      <c r="F24" s="117">
        <v>721700</v>
      </c>
      <c r="G24" s="117">
        <v>0</v>
      </c>
      <c r="H24" s="117">
        <v>0</v>
      </c>
      <c r="I24" s="117">
        <v>0</v>
      </c>
      <c r="J24" s="1">
        <f t="shared" si="11"/>
        <v>0</v>
      </c>
      <c r="K24" s="2">
        <f t="shared" si="5"/>
        <v>0</v>
      </c>
      <c r="L24" s="117">
        <v>0</v>
      </c>
      <c r="M24" s="2">
        <f t="shared" si="6"/>
        <v>0</v>
      </c>
      <c r="N24" s="117">
        <v>0</v>
      </c>
      <c r="O24" s="2" t="e">
        <f t="shared" si="7"/>
        <v>#DIV/0!</v>
      </c>
    </row>
    <row r="25" spans="1:15" x14ac:dyDescent="0.2">
      <c r="A25" t="s">
        <v>32</v>
      </c>
      <c r="B25" t="s">
        <v>24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">
        <f t="shared" si="11"/>
        <v>0</v>
      </c>
      <c r="K25" s="2" t="e">
        <f t="shared" si="5"/>
        <v>#DIV/0!</v>
      </c>
      <c r="L25" s="117">
        <v>0</v>
      </c>
      <c r="M25" s="2" t="e">
        <f t="shared" si="6"/>
        <v>#DIV/0!</v>
      </c>
      <c r="N25" s="117">
        <v>0</v>
      </c>
      <c r="O25" s="2" t="e">
        <f t="shared" si="7"/>
        <v>#DIV/0!</v>
      </c>
    </row>
    <row r="26" spans="1:15" x14ac:dyDescent="0.2">
      <c r="A26" t="s">
        <v>32</v>
      </c>
      <c r="B26" t="s">
        <v>25</v>
      </c>
      <c r="C26" s="117">
        <v>398103.82</v>
      </c>
      <c r="D26" s="117">
        <v>-46010.01</v>
      </c>
      <c r="E26" s="117">
        <v>352093.81</v>
      </c>
      <c r="F26" s="117">
        <v>352093.81</v>
      </c>
      <c r="G26" s="117">
        <v>0</v>
      </c>
      <c r="H26" s="117">
        <v>0</v>
      </c>
      <c r="I26" s="117">
        <v>0</v>
      </c>
      <c r="J26" s="1">
        <f t="shared" si="11"/>
        <v>0</v>
      </c>
      <c r="K26" s="2">
        <f t="shared" si="5"/>
        <v>0</v>
      </c>
      <c r="L26" s="117">
        <v>0</v>
      </c>
      <c r="M26" s="2">
        <f t="shared" si="6"/>
        <v>0</v>
      </c>
      <c r="N26" s="117">
        <v>0</v>
      </c>
      <c r="O26" s="2" t="e">
        <f t="shared" si="7"/>
        <v>#DIV/0!</v>
      </c>
    </row>
    <row r="27" spans="1:15" x14ac:dyDescent="0.2">
      <c r="A27" t="s">
        <v>32</v>
      </c>
      <c r="B27" t="s">
        <v>26</v>
      </c>
      <c r="C27" s="117">
        <v>363046.39</v>
      </c>
      <c r="D27" s="117">
        <v>257593.72999999998</v>
      </c>
      <c r="E27" s="117">
        <v>620640.12</v>
      </c>
      <c r="F27" s="117">
        <v>155073.56</v>
      </c>
      <c r="G27" s="117">
        <v>0</v>
      </c>
      <c r="H27" s="117">
        <v>0</v>
      </c>
      <c r="I27" s="117">
        <v>465566.56</v>
      </c>
      <c r="J27" s="1">
        <f t="shared" si="11"/>
        <v>465566.56</v>
      </c>
      <c r="K27" s="2">
        <f t="shared" si="5"/>
        <v>0.75013932389675353</v>
      </c>
      <c r="L27" s="117">
        <v>0</v>
      </c>
      <c r="M27" s="2">
        <f t="shared" si="6"/>
        <v>0</v>
      </c>
      <c r="N27" s="117">
        <v>0</v>
      </c>
      <c r="O27" s="2" t="e">
        <f t="shared" si="7"/>
        <v>#DIV/0!</v>
      </c>
    </row>
    <row r="28" spans="1:15" x14ac:dyDescent="0.2">
      <c r="A28" t="s">
        <v>32</v>
      </c>
      <c r="B28" t="s">
        <v>27</v>
      </c>
      <c r="C28" s="117">
        <v>0</v>
      </c>
      <c r="D28" s="117">
        <v>0</v>
      </c>
      <c r="E28" s="117">
        <f t="shared" ref="E28:I30" si="12">C28+D28</f>
        <v>0</v>
      </c>
      <c r="F28" s="117">
        <f t="shared" si="12"/>
        <v>0</v>
      </c>
      <c r="G28" s="117">
        <f t="shared" si="12"/>
        <v>0</v>
      </c>
      <c r="H28" s="117">
        <f t="shared" si="12"/>
        <v>0</v>
      </c>
      <c r="I28" s="117">
        <f t="shared" si="12"/>
        <v>0</v>
      </c>
      <c r="J28" s="1">
        <f t="shared" si="11"/>
        <v>0</v>
      </c>
      <c r="K28" s="2" t="e">
        <f t="shared" si="5"/>
        <v>#DIV/0!</v>
      </c>
      <c r="L28" s="117">
        <v>0</v>
      </c>
      <c r="M28" s="2" t="e">
        <f t="shared" si="6"/>
        <v>#DIV/0!</v>
      </c>
      <c r="N28" s="117">
        <v>0</v>
      </c>
      <c r="O28" s="2" t="e">
        <f t="shared" si="7"/>
        <v>#DIV/0!</v>
      </c>
    </row>
    <row r="29" spans="1:15" x14ac:dyDescent="0.2">
      <c r="A29" t="s">
        <v>32</v>
      </c>
      <c r="B29" t="s">
        <v>28</v>
      </c>
      <c r="C29" s="117">
        <v>0</v>
      </c>
      <c r="D29" s="117">
        <v>0</v>
      </c>
      <c r="E29" s="117">
        <f t="shared" si="12"/>
        <v>0</v>
      </c>
      <c r="F29" s="117">
        <f t="shared" si="12"/>
        <v>0</v>
      </c>
      <c r="G29" s="117">
        <f t="shared" si="12"/>
        <v>0</v>
      </c>
      <c r="H29" s="117">
        <f t="shared" si="12"/>
        <v>0</v>
      </c>
      <c r="I29" s="117">
        <f t="shared" si="12"/>
        <v>0</v>
      </c>
      <c r="J29" s="1">
        <f t="shared" si="11"/>
        <v>0</v>
      </c>
      <c r="K29" s="2" t="e">
        <f t="shared" si="5"/>
        <v>#DIV/0!</v>
      </c>
      <c r="L29" s="117">
        <v>0</v>
      </c>
      <c r="M29" s="2" t="e">
        <f t="shared" si="6"/>
        <v>#DIV/0!</v>
      </c>
      <c r="N29" s="117">
        <v>0</v>
      </c>
      <c r="O29" s="2" t="e">
        <f t="shared" si="7"/>
        <v>#DIV/0!</v>
      </c>
    </row>
    <row r="30" spans="1:15" x14ac:dyDescent="0.2">
      <c r="A30" t="s">
        <v>32</v>
      </c>
      <c r="B30" t="s">
        <v>29</v>
      </c>
      <c r="C30" s="117">
        <v>0</v>
      </c>
      <c r="D30" s="117">
        <v>0</v>
      </c>
      <c r="E30" s="117">
        <f t="shared" si="12"/>
        <v>0</v>
      </c>
      <c r="F30" s="117">
        <f t="shared" si="12"/>
        <v>0</v>
      </c>
      <c r="G30" s="117">
        <f t="shared" si="12"/>
        <v>0</v>
      </c>
      <c r="H30" s="117">
        <f t="shared" si="12"/>
        <v>0</v>
      </c>
      <c r="I30" s="117">
        <f t="shared" si="12"/>
        <v>0</v>
      </c>
      <c r="J30" s="1">
        <f t="shared" si="11"/>
        <v>0</v>
      </c>
      <c r="K30" s="2" t="e">
        <f t="shared" si="5"/>
        <v>#DIV/0!</v>
      </c>
      <c r="L30" s="117">
        <v>0</v>
      </c>
      <c r="M30" s="2" t="e">
        <f t="shared" si="6"/>
        <v>#DIV/0!</v>
      </c>
      <c r="N30" s="117">
        <v>0</v>
      </c>
      <c r="O30" s="2" t="e">
        <f t="shared" si="7"/>
        <v>#DIV/0!</v>
      </c>
    </row>
    <row r="31" spans="1:15" x14ac:dyDescent="0.2">
      <c r="A31" s="3"/>
      <c r="B31" s="3" t="s">
        <v>32</v>
      </c>
      <c r="C31" s="4">
        <f t="shared" ref="C31:J31" si="13">SUM(C22:C30)</f>
        <v>18570000</v>
      </c>
      <c r="D31" s="4">
        <f t="shared" si="13"/>
        <v>1352889.53</v>
      </c>
      <c r="E31" s="4">
        <f t="shared" si="13"/>
        <v>19922889.530000001</v>
      </c>
      <c r="F31" s="4">
        <f t="shared" si="13"/>
        <v>11068139.220000003</v>
      </c>
      <c r="G31" s="4">
        <f t="shared" si="13"/>
        <v>1168019.6400000001</v>
      </c>
      <c r="H31" s="4">
        <f t="shared" si="13"/>
        <v>80818.459999999992</v>
      </c>
      <c r="I31" s="4">
        <f t="shared" si="13"/>
        <v>4791703.3899999987</v>
      </c>
      <c r="J31" s="4">
        <f t="shared" si="13"/>
        <v>7605912.209999999</v>
      </c>
      <c r="K31" s="5">
        <f t="shared" si="5"/>
        <v>0.38176752416093923</v>
      </c>
      <c r="L31" s="4">
        <f>SUM(L22:L30)</f>
        <v>2814208.8200000003</v>
      </c>
      <c r="M31" s="5">
        <f t="shared" si="6"/>
        <v>0.14125505317701775</v>
      </c>
      <c r="N31" s="4">
        <f>SUM(N22:N30)</f>
        <v>2469099.5600000005</v>
      </c>
      <c r="O31" s="5">
        <f t="shared" si="7"/>
        <v>0.87736899353474429</v>
      </c>
    </row>
    <row r="32" spans="1:15" x14ac:dyDescent="0.2">
      <c r="A32" t="s">
        <v>79</v>
      </c>
      <c r="B32" t="s">
        <v>21</v>
      </c>
    </row>
    <row r="33" spans="1:15" x14ac:dyDescent="0.2">
      <c r="A33" t="s">
        <v>79</v>
      </c>
      <c r="B33" t="s">
        <v>22</v>
      </c>
    </row>
    <row r="34" spans="1:15" x14ac:dyDescent="0.2">
      <c r="A34" t="s">
        <v>79</v>
      </c>
      <c r="B34" t="s">
        <v>23</v>
      </c>
    </row>
    <row r="35" spans="1:15" x14ac:dyDescent="0.2">
      <c r="A35" t="s">
        <v>79</v>
      </c>
      <c r="B35" t="s">
        <v>24</v>
      </c>
      <c r="C35" s="117">
        <v>6930000</v>
      </c>
      <c r="D35" s="1">
        <v>0</v>
      </c>
      <c r="E35" s="117">
        <f t="shared" ref="E35:F35" si="14">C35+D35</f>
        <v>6930000</v>
      </c>
      <c r="F35" s="117">
        <f t="shared" si="14"/>
        <v>6930000</v>
      </c>
      <c r="G35" s="117">
        <v>0</v>
      </c>
      <c r="H35" s="117">
        <v>0</v>
      </c>
      <c r="I35" s="117">
        <v>0</v>
      </c>
      <c r="J35" s="1">
        <f>I35+L35</f>
        <v>0</v>
      </c>
      <c r="L35" s="117">
        <v>0</v>
      </c>
      <c r="N35" s="117">
        <v>0</v>
      </c>
    </row>
    <row r="36" spans="1:15" x14ac:dyDescent="0.2">
      <c r="A36" t="s">
        <v>79</v>
      </c>
      <c r="B36" t="s">
        <v>25</v>
      </c>
    </row>
    <row r="37" spans="1:15" x14ac:dyDescent="0.2">
      <c r="A37" t="s">
        <v>79</v>
      </c>
      <c r="B37" t="s">
        <v>26</v>
      </c>
    </row>
    <row r="38" spans="1:15" x14ac:dyDescent="0.2">
      <c r="A38" t="s">
        <v>79</v>
      </c>
      <c r="B38" t="s">
        <v>27</v>
      </c>
    </row>
    <row r="39" spans="1:15" x14ac:dyDescent="0.2">
      <c r="A39" t="s">
        <v>79</v>
      </c>
      <c r="B39" t="s">
        <v>28</v>
      </c>
    </row>
    <row r="40" spans="1:15" x14ac:dyDescent="0.2">
      <c r="A40" t="s">
        <v>79</v>
      </c>
      <c r="B40" t="s">
        <v>29</v>
      </c>
    </row>
    <row r="41" spans="1:15" x14ac:dyDescent="0.2">
      <c r="A41" s="3"/>
      <c r="B41" s="3" t="s">
        <v>80</v>
      </c>
      <c r="C41" s="4">
        <f t="shared" ref="C41:J41" si="15">SUM(C32:C40)</f>
        <v>6930000</v>
      </c>
      <c r="D41" s="4">
        <f t="shared" si="15"/>
        <v>0</v>
      </c>
      <c r="E41" s="4">
        <f t="shared" si="15"/>
        <v>6930000</v>
      </c>
      <c r="F41" s="4">
        <f t="shared" si="15"/>
        <v>6930000</v>
      </c>
      <c r="G41" s="4">
        <f t="shared" si="15"/>
        <v>0</v>
      </c>
      <c r="H41" s="4">
        <f t="shared" si="15"/>
        <v>0</v>
      </c>
      <c r="I41" s="4">
        <f t="shared" si="15"/>
        <v>0</v>
      </c>
      <c r="J41" s="4">
        <f t="shared" si="15"/>
        <v>0</v>
      </c>
      <c r="K41" s="4"/>
      <c r="L41" s="4">
        <f>SUM(L32:L40)</f>
        <v>0</v>
      </c>
      <c r="M41" s="4"/>
      <c r="N41" s="4">
        <f>SUM(N32:N40)</f>
        <v>0</v>
      </c>
      <c r="O41" s="4"/>
    </row>
    <row r="42" spans="1:15" x14ac:dyDescent="0.2">
      <c r="A42" t="s">
        <v>33</v>
      </c>
      <c r="B42" t="s">
        <v>82</v>
      </c>
      <c r="C42" s="1">
        <f>C2+C12+C22</f>
        <v>76528283.150000036</v>
      </c>
      <c r="D42" s="1">
        <f t="shared" ref="C42:J44" si="16">D2+D12+D22</f>
        <v>232967.12</v>
      </c>
      <c r="E42" s="1">
        <f t="shared" si="16"/>
        <v>76761250.270000026</v>
      </c>
      <c r="F42" s="1">
        <f t="shared" si="16"/>
        <v>59839942.310000077</v>
      </c>
      <c r="G42" s="1">
        <f t="shared" si="16"/>
        <v>0</v>
      </c>
      <c r="H42" s="1">
        <f t="shared" si="16"/>
        <v>0</v>
      </c>
      <c r="I42" s="1">
        <f t="shared" si="16"/>
        <v>488291.83</v>
      </c>
      <c r="J42" s="1">
        <f t="shared" si="16"/>
        <v>16921307.960000001</v>
      </c>
      <c r="K42" s="2">
        <f t="shared" ref="K42:K51" si="17">J42/E42</f>
        <v>0.2204407549444673</v>
      </c>
      <c r="L42" s="1">
        <f>L2+L12+L22</f>
        <v>16433016.129999999</v>
      </c>
      <c r="M42" s="2">
        <f t="shared" ref="M42:M51" si="18">L42/E42</f>
        <v>0.21407957885259174</v>
      </c>
      <c r="N42" s="1">
        <f>N2+N12+N22</f>
        <v>2345456.8200000003</v>
      </c>
      <c r="O42" s="2">
        <f t="shared" ref="O42:O51" si="19">N42/L42</f>
        <v>0.14272832214398856</v>
      </c>
    </row>
    <row r="43" spans="1:15" x14ac:dyDescent="0.2">
      <c r="A43" t="s">
        <v>33</v>
      </c>
      <c r="B43" t="s">
        <v>83</v>
      </c>
      <c r="C43" s="1">
        <f t="shared" si="16"/>
        <v>38222376.210000001</v>
      </c>
      <c r="D43" s="1">
        <f t="shared" si="16"/>
        <v>1095295.8</v>
      </c>
      <c r="E43" s="1">
        <f t="shared" si="16"/>
        <v>39317672.010000005</v>
      </c>
      <c r="F43" s="1">
        <f t="shared" ref="F43" si="20">F3+F13+F23</f>
        <v>14733080.85999999</v>
      </c>
      <c r="G43" s="1">
        <f t="shared" ref="G43:J43" si="21">G3+G13+G23</f>
        <v>1376195.2800000003</v>
      </c>
      <c r="H43" s="1">
        <f t="shared" si="21"/>
        <v>1086762.1200000001</v>
      </c>
      <c r="I43" s="1">
        <f t="shared" si="21"/>
        <v>18880954.120000001</v>
      </c>
      <c r="J43" s="1">
        <f t="shared" si="21"/>
        <v>22115644.25</v>
      </c>
      <c r="K43" s="2">
        <f t="shared" si="17"/>
        <v>0.56248610661320786</v>
      </c>
      <c r="L43" s="1">
        <f t="shared" ref="L43:L50" si="22">L3+L13+L23</f>
        <v>3234690.13</v>
      </c>
      <c r="M43" s="2">
        <f t="shared" si="18"/>
        <v>8.2270642299912697E-2</v>
      </c>
      <c r="N43" s="1">
        <f t="shared" ref="N43:N50" si="23">N3+N13+N23</f>
        <v>2430296.7399999993</v>
      </c>
      <c r="O43" s="2">
        <f t="shared" si="19"/>
        <v>0.75132289101212901</v>
      </c>
    </row>
    <row r="44" spans="1:15" x14ac:dyDescent="0.2">
      <c r="A44" t="s">
        <v>33</v>
      </c>
      <c r="B44" t="s">
        <v>84</v>
      </c>
      <c r="C44" s="1">
        <f t="shared" si="16"/>
        <v>843701</v>
      </c>
      <c r="D44" s="1">
        <f t="shared" si="16"/>
        <v>0</v>
      </c>
      <c r="E44" s="1">
        <f t="shared" si="16"/>
        <v>843701</v>
      </c>
      <c r="F44" s="1">
        <f t="shared" ref="F44" si="24">F4+F14+F24</f>
        <v>843701</v>
      </c>
      <c r="G44" s="1">
        <f t="shared" ref="G44:J44" si="25">G4+G14+G24</f>
        <v>0</v>
      </c>
      <c r="H44" s="1">
        <f t="shared" si="25"/>
        <v>0</v>
      </c>
      <c r="I44" s="1">
        <f t="shared" si="25"/>
        <v>0</v>
      </c>
      <c r="J44" s="1">
        <f t="shared" si="25"/>
        <v>0</v>
      </c>
      <c r="K44" s="2">
        <f t="shared" si="17"/>
        <v>0</v>
      </c>
      <c r="L44" s="1">
        <f t="shared" si="22"/>
        <v>0</v>
      </c>
      <c r="M44" s="2">
        <f t="shared" si="18"/>
        <v>0</v>
      </c>
      <c r="N44" s="1">
        <f t="shared" si="23"/>
        <v>0</v>
      </c>
      <c r="O44" s="2" t="e">
        <f t="shared" si="19"/>
        <v>#DIV/0!</v>
      </c>
    </row>
    <row r="45" spans="1:15" x14ac:dyDescent="0.2">
      <c r="A45" t="s">
        <v>33</v>
      </c>
      <c r="B45" t="s">
        <v>85</v>
      </c>
      <c r="C45" s="1">
        <f>C5+C15+C25-C35</f>
        <v>29030287.109999999</v>
      </c>
      <c r="D45" s="1">
        <f t="shared" ref="D45:E45" si="26">D5+D15+D25-D35</f>
        <v>0</v>
      </c>
      <c r="E45" s="1">
        <f t="shared" si="26"/>
        <v>29030287.109999999</v>
      </c>
      <c r="F45" s="1">
        <f t="shared" ref="F45" si="27">F5+F15+F25</f>
        <v>13043741.24</v>
      </c>
      <c r="G45" s="1">
        <f t="shared" ref="G45:J45" si="28">G5+G15+G25</f>
        <v>629580.5</v>
      </c>
      <c r="H45" s="1">
        <f t="shared" si="28"/>
        <v>1434800</v>
      </c>
      <c r="I45" s="1">
        <f t="shared" si="28"/>
        <v>8034639.2100000009</v>
      </c>
      <c r="J45" s="1">
        <f t="shared" si="28"/>
        <v>16508265.370000001</v>
      </c>
      <c r="K45" s="2">
        <f t="shared" si="17"/>
        <v>0.56865663461914007</v>
      </c>
      <c r="L45" s="1">
        <f t="shared" si="22"/>
        <v>8473626.1600000001</v>
      </c>
      <c r="M45" s="2">
        <f t="shared" si="18"/>
        <v>0.29188916140898619</v>
      </c>
      <c r="N45" s="1">
        <f t="shared" si="23"/>
        <v>8334866.0500000007</v>
      </c>
      <c r="O45" s="2">
        <f t="shared" si="19"/>
        <v>0.98362447110836437</v>
      </c>
    </row>
    <row r="46" spans="1:15" x14ac:dyDescent="0.2">
      <c r="A46" t="s">
        <v>33</v>
      </c>
      <c r="B46" t="s">
        <v>86</v>
      </c>
      <c r="C46" s="1">
        <f t="shared" ref="C46:J50" si="29">C6+C16+C26</f>
        <v>5406601.6200000001</v>
      </c>
      <c r="D46" s="1">
        <f t="shared" si="29"/>
        <v>-232967.12</v>
      </c>
      <c r="E46" s="1">
        <f t="shared" si="29"/>
        <v>5173634.5</v>
      </c>
      <c r="F46" s="1">
        <f t="shared" si="29"/>
        <v>1849907.13</v>
      </c>
      <c r="G46" s="1">
        <f t="shared" si="29"/>
        <v>0</v>
      </c>
      <c r="H46" s="1">
        <f t="shared" si="29"/>
        <v>0</v>
      </c>
      <c r="I46" s="1">
        <f t="shared" si="29"/>
        <v>0</v>
      </c>
      <c r="J46" s="1">
        <f t="shared" si="29"/>
        <v>0</v>
      </c>
      <c r="K46" s="2">
        <f t="shared" si="17"/>
        <v>0</v>
      </c>
      <c r="L46" s="1">
        <f t="shared" si="22"/>
        <v>0</v>
      </c>
      <c r="M46" s="2">
        <f t="shared" si="18"/>
        <v>0</v>
      </c>
      <c r="N46" s="1">
        <f t="shared" si="23"/>
        <v>0</v>
      </c>
      <c r="O46" s="2" t="e">
        <f t="shared" si="19"/>
        <v>#DIV/0!</v>
      </c>
    </row>
    <row r="47" spans="1:15" x14ac:dyDescent="0.2">
      <c r="A47" t="s">
        <v>33</v>
      </c>
      <c r="B47" t="s">
        <v>87</v>
      </c>
      <c r="C47" s="1">
        <f t="shared" si="29"/>
        <v>22103422.539999999</v>
      </c>
      <c r="D47" s="1">
        <f t="shared" si="29"/>
        <v>257593.72999999998</v>
      </c>
      <c r="E47" s="1">
        <f t="shared" si="29"/>
        <v>22361016.27</v>
      </c>
      <c r="F47" s="1">
        <f t="shared" si="29"/>
        <v>9434246.5699999984</v>
      </c>
      <c r="G47" s="1">
        <f t="shared" si="29"/>
        <v>1827444.56</v>
      </c>
      <c r="H47" s="1">
        <f t="shared" si="29"/>
        <v>2029042.04</v>
      </c>
      <c r="I47" s="1">
        <f t="shared" si="29"/>
        <v>7814321.0899999999</v>
      </c>
      <c r="J47" s="1">
        <f t="shared" si="29"/>
        <v>8594045.5299999993</v>
      </c>
      <c r="K47" s="2">
        <f t="shared" si="17"/>
        <v>0.38433161651646164</v>
      </c>
      <c r="L47" s="1">
        <f t="shared" si="22"/>
        <v>779724.43999999983</v>
      </c>
      <c r="M47" s="2">
        <f t="shared" si="18"/>
        <v>3.4869812292301502E-2</v>
      </c>
      <c r="N47" s="1">
        <f t="shared" si="23"/>
        <v>772968.76999999979</v>
      </c>
      <c r="O47" s="2">
        <f t="shared" si="19"/>
        <v>0.9913358237174148</v>
      </c>
    </row>
    <row r="48" spans="1:15" x14ac:dyDescent="0.2">
      <c r="A48" t="s">
        <v>33</v>
      </c>
      <c r="B48" t="s">
        <v>88</v>
      </c>
      <c r="C48" s="1">
        <f t="shared" si="29"/>
        <v>49665328.370000005</v>
      </c>
      <c r="D48" s="1">
        <f t="shared" si="29"/>
        <v>0</v>
      </c>
      <c r="E48" s="1">
        <f t="shared" si="29"/>
        <v>49665328.370000005</v>
      </c>
      <c r="F48" s="1">
        <f t="shared" si="29"/>
        <v>2230639.7000000002</v>
      </c>
      <c r="G48" s="1">
        <f t="shared" si="29"/>
        <v>627580.5</v>
      </c>
      <c r="H48" s="1">
        <f t="shared" si="29"/>
        <v>1350000</v>
      </c>
      <c r="I48" s="1">
        <f t="shared" si="29"/>
        <v>36460151.770000003</v>
      </c>
      <c r="J48" s="1">
        <f t="shared" si="29"/>
        <v>37081122.340000004</v>
      </c>
      <c r="K48" s="2">
        <f>J48/E48</f>
        <v>0.74661989675676033</v>
      </c>
      <c r="L48" s="1">
        <f t="shared" si="22"/>
        <v>620970.56999999995</v>
      </c>
      <c r="M48" s="2">
        <f t="shared" si="18"/>
        <v>1.2503100057526105E-2</v>
      </c>
      <c r="N48" s="1">
        <f t="shared" si="23"/>
        <v>313331.87</v>
      </c>
      <c r="O48" s="2">
        <f t="shared" si="19"/>
        <v>0.50458409003183524</v>
      </c>
    </row>
    <row r="49" spans="1:15" x14ac:dyDescent="0.2">
      <c r="A49" t="s">
        <v>33</v>
      </c>
      <c r="B49" t="s">
        <v>89</v>
      </c>
      <c r="C49" s="1">
        <f t="shared" si="29"/>
        <v>600000</v>
      </c>
      <c r="D49" s="1">
        <f t="shared" si="29"/>
        <v>0</v>
      </c>
      <c r="E49" s="1">
        <f t="shared" si="29"/>
        <v>600000</v>
      </c>
      <c r="F49" s="1">
        <f t="shared" si="29"/>
        <v>486200</v>
      </c>
      <c r="G49" s="1">
        <f t="shared" si="29"/>
        <v>0</v>
      </c>
      <c r="H49" s="1">
        <f t="shared" si="29"/>
        <v>0</v>
      </c>
      <c r="I49" s="1">
        <f t="shared" si="29"/>
        <v>0</v>
      </c>
      <c r="J49" s="1">
        <f t="shared" si="29"/>
        <v>113800</v>
      </c>
      <c r="K49" s="2">
        <f t="shared" si="17"/>
        <v>0.18966666666666668</v>
      </c>
      <c r="L49" s="1">
        <f t="shared" si="22"/>
        <v>113800</v>
      </c>
      <c r="M49" s="2">
        <f t="shared" si="18"/>
        <v>0.18966666666666668</v>
      </c>
      <c r="N49" s="1">
        <f t="shared" si="23"/>
        <v>98100</v>
      </c>
      <c r="O49" s="2">
        <f t="shared" si="19"/>
        <v>0.86203866432337439</v>
      </c>
    </row>
    <row r="50" spans="1:15" x14ac:dyDescent="0.2">
      <c r="A50" t="s">
        <v>33</v>
      </c>
      <c r="B50" t="s">
        <v>90</v>
      </c>
      <c r="C50" s="1">
        <f t="shared" si="29"/>
        <v>0</v>
      </c>
      <c r="D50" s="1">
        <f t="shared" si="29"/>
        <v>0</v>
      </c>
      <c r="E50" s="1">
        <f t="shared" si="29"/>
        <v>0</v>
      </c>
      <c r="F50" s="1">
        <f t="shared" si="29"/>
        <v>0</v>
      </c>
      <c r="G50" s="1">
        <f t="shared" si="29"/>
        <v>0</v>
      </c>
      <c r="H50" s="1">
        <f t="shared" si="29"/>
        <v>0</v>
      </c>
      <c r="I50" s="1">
        <f t="shared" si="29"/>
        <v>0</v>
      </c>
      <c r="J50" s="1">
        <f t="shared" si="29"/>
        <v>0</v>
      </c>
      <c r="K50" s="2" t="e">
        <f t="shared" si="17"/>
        <v>#DIV/0!</v>
      </c>
      <c r="L50" s="1">
        <f t="shared" si="22"/>
        <v>0</v>
      </c>
      <c r="M50" s="2" t="e">
        <f t="shared" si="18"/>
        <v>#DIV/0!</v>
      </c>
      <c r="N50" s="1">
        <f t="shared" si="23"/>
        <v>0</v>
      </c>
      <c r="O50" s="2" t="e">
        <f t="shared" si="19"/>
        <v>#DIV/0!</v>
      </c>
    </row>
    <row r="51" spans="1:15" s="3" customFormat="1" x14ac:dyDescent="0.2">
      <c r="B51" s="3" t="s">
        <v>34</v>
      </c>
      <c r="C51" s="4">
        <f t="shared" ref="C51:J51" si="30">SUM(C42:C50)</f>
        <v>222400000.00000003</v>
      </c>
      <c r="D51" s="4">
        <f t="shared" si="30"/>
        <v>1352889.5299999998</v>
      </c>
      <c r="E51" s="4">
        <f t="shared" si="30"/>
        <v>223752889.53000006</v>
      </c>
      <c r="F51" s="4">
        <f t="shared" si="30"/>
        <v>102461458.81000005</v>
      </c>
      <c r="G51" s="4">
        <f t="shared" si="30"/>
        <v>4460800.84</v>
      </c>
      <c r="H51" s="4">
        <f t="shared" si="30"/>
        <v>5900604.1600000001</v>
      </c>
      <c r="I51" s="4">
        <f t="shared" si="30"/>
        <v>71678358.020000011</v>
      </c>
      <c r="J51" s="4">
        <f t="shared" si="30"/>
        <v>101334185.45</v>
      </c>
      <c r="K51" s="5">
        <f t="shared" si="17"/>
        <v>0.45288436570743568</v>
      </c>
      <c r="L51" s="4">
        <f>SUM(L42:L50)</f>
        <v>29655827.43</v>
      </c>
      <c r="M51" s="5">
        <f t="shared" si="18"/>
        <v>0.13253829924741081</v>
      </c>
      <c r="N51" s="4">
        <f>SUM(N42:N50)</f>
        <v>14295020.249999998</v>
      </c>
      <c r="O51" s="5">
        <f t="shared" si="19"/>
        <v>0.48203073354611836</v>
      </c>
    </row>
  </sheetData>
  <sheetProtection selectLockedCells="1" selectUnlockedCells="1"/>
  <phoneticPr fontId="0" type="noConversion"/>
  <pageMargins left="0.19652777777777777" right="0.19652777777777777" top="0.59027777777777779" bottom="0.59027777777777779" header="0.51180555555555551" footer="0.51180555555555551"/>
  <pageSetup paperSize="9" scale="61" firstPageNumber="0" orientation="landscape" horizontalDpi="300" verticalDpi="300" r:id="rId1"/>
  <headerFooter alignWithMargins="0"/>
  <ignoredErrors>
    <ignoredError sqref="C45 D45:E45 M42:M51" formula="1"/>
    <ignoredError sqref="O44:O50" evalErro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26F2-301A-4818-8750-295DD698FF64}">
  <dimension ref="A1"/>
  <sheetViews>
    <sheetView workbookViewId="0">
      <selection activeCell="D19" sqref="D19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topLeftCell="A7" workbookViewId="0">
      <selection activeCell="K20" sqref="K20"/>
    </sheetView>
  </sheetViews>
  <sheetFormatPr baseColWidth="10" defaultColWidth="11.42578125" defaultRowHeight="12.75" x14ac:dyDescent="0.2"/>
  <sheetData/>
  <sheetProtection selectLockedCells="1" selectUnlockedCells="1"/>
  <phoneticPr fontId="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Roman,Normal"&amp;12Pàgina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C5:I39"/>
  <sheetViews>
    <sheetView workbookViewId="0">
      <selection activeCell="K10" sqref="K10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3.85546875" customWidth="1"/>
    <col min="5" max="5" width="13.42578125" style="1" customWidth="1"/>
    <col min="6" max="6" width="8.85546875" style="1" customWidth="1"/>
    <col min="7" max="7" width="13.42578125" style="1" customWidth="1"/>
    <col min="8" max="8" width="8.85546875" style="1" customWidth="1"/>
    <col min="9" max="9" width="11.42578125" style="6" customWidth="1"/>
  </cols>
  <sheetData>
    <row r="5" spans="3:9" ht="15.75" x14ac:dyDescent="0.25">
      <c r="D5" s="7" t="s">
        <v>46</v>
      </c>
    </row>
    <row r="6" spans="3:9" s="1" customFormat="1" ht="15.75" x14ac:dyDescent="0.25">
      <c r="C6"/>
      <c r="D6" s="7" t="str">
        <f>'Dades globals'!A5</f>
        <v>PRESSUPOST A 31/03/2025</v>
      </c>
      <c r="I6" s="6"/>
    </row>
    <row r="7" spans="3:9" s="1" customFormat="1" ht="15.75" x14ac:dyDescent="0.25">
      <c r="C7"/>
      <c r="D7" s="7"/>
      <c r="I7" s="6"/>
    </row>
    <row r="8" spans="3:9" s="1" customFormat="1" ht="15.75" x14ac:dyDescent="0.25">
      <c r="C8"/>
      <c r="D8" s="7"/>
      <c r="I8" s="6"/>
    </row>
    <row r="9" spans="3:9" s="1" customFormat="1" ht="16.5" thickBot="1" x14ac:dyDescent="0.3">
      <c r="C9"/>
      <c r="D9" s="7"/>
      <c r="I9" s="6"/>
    </row>
    <row r="10" spans="3:9" s="8" customFormat="1" ht="39" thickBot="1" x14ac:dyDescent="0.25">
      <c r="C10" s="9" t="s">
        <v>19</v>
      </c>
      <c r="D10" s="10" t="s">
        <v>138</v>
      </c>
      <c r="E10" s="10" t="s">
        <v>37</v>
      </c>
      <c r="F10" s="11" t="s">
        <v>103</v>
      </c>
      <c r="G10" s="10" t="s">
        <v>65</v>
      </c>
      <c r="H10" s="11" t="s">
        <v>104</v>
      </c>
    </row>
    <row r="11" spans="3:9" s="6" customFormat="1" x14ac:dyDescent="0.2">
      <c r="C11" s="12" t="s">
        <v>15</v>
      </c>
      <c r="D11" s="13">
        <f>DESPCAPITOL!E11</f>
        <v>201330000.00000003</v>
      </c>
      <c r="E11" s="13">
        <f>INGRCAPITOL!F11</f>
        <v>44208765.330000006</v>
      </c>
      <c r="F11" s="14">
        <f>E11/$D11</f>
        <v>0.21958359573834002</v>
      </c>
      <c r="G11" s="13">
        <f>DESPCAPITOL!L11</f>
        <v>26681689.079999998</v>
      </c>
      <c r="H11" s="14">
        <f>G11/$D11</f>
        <v>0.13252713991953508</v>
      </c>
    </row>
    <row r="12" spans="3:9" s="6" customFormat="1" x14ac:dyDescent="0.2">
      <c r="C12" s="12" t="s">
        <v>32</v>
      </c>
      <c r="D12" s="13">
        <f>DESPCAPITOL!E31</f>
        <v>19922889.530000001</v>
      </c>
      <c r="E12" s="13">
        <f>INGRCAPITOL!F31</f>
        <v>208319.51</v>
      </c>
      <c r="F12" s="14">
        <f>E12/$D12</f>
        <v>1.0456289971708737E-2</v>
      </c>
      <c r="G12" s="13">
        <f>DESPCAPITOL!L31</f>
        <v>2814208.8200000003</v>
      </c>
      <c r="H12" s="14">
        <f>G12/$D12</f>
        <v>0.14125505317701775</v>
      </c>
    </row>
    <row r="13" spans="3:9" s="6" customFormat="1" x14ac:dyDescent="0.2">
      <c r="C13" s="12" t="s">
        <v>135</v>
      </c>
      <c r="D13" s="13">
        <f>DESPCAPITOL!E21</f>
        <v>9429999.9999999981</v>
      </c>
      <c r="E13" s="13">
        <f>INGRCAPITOL!F21</f>
        <v>386058.41</v>
      </c>
      <c r="F13" s="14">
        <f>E13/$D13</f>
        <v>4.0939386002120895E-2</v>
      </c>
      <c r="G13" s="13">
        <f>DESPCAPITOL!L21</f>
        <v>159929.53000000003</v>
      </c>
      <c r="H13" s="14">
        <f>G13/$D13</f>
        <v>1.6959653234358437E-2</v>
      </c>
    </row>
    <row r="14" spans="3:9" s="6" customFormat="1" ht="13.5" thickBot="1" x14ac:dyDescent="0.25">
      <c r="C14" s="12" t="s">
        <v>136</v>
      </c>
      <c r="D14" s="13">
        <f>-DESPCAPITOL!E41</f>
        <v>-6930000</v>
      </c>
      <c r="E14" s="13">
        <f>-INGRCAPITOL!F41</f>
        <v>0</v>
      </c>
      <c r="F14" s="14">
        <f>E14/$D14</f>
        <v>0</v>
      </c>
      <c r="G14" s="13">
        <f>-DESPCAPITOL!L41</f>
        <v>0</v>
      </c>
      <c r="H14" s="14">
        <f>G14/$D14</f>
        <v>0</v>
      </c>
    </row>
    <row r="15" spans="3:9" s="6" customFormat="1" ht="13.5" thickBot="1" x14ac:dyDescent="0.25">
      <c r="C15" s="15" t="s">
        <v>137</v>
      </c>
      <c r="D15" s="16">
        <f>SUM(D11:D14)</f>
        <v>223752889.53000003</v>
      </c>
      <c r="E15" s="16">
        <f>SUM(E11:E14)</f>
        <v>44803143.25</v>
      </c>
      <c r="F15" s="18">
        <f>E15/D15</f>
        <v>0.20023492587787539</v>
      </c>
      <c r="G15" s="16">
        <f>SUM(G11:G14)</f>
        <v>29655827.43</v>
      </c>
      <c r="H15" s="18">
        <f>G15/D15</f>
        <v>0.13253829924741081</v>
      </c>
    </row>
    <row r="39" spans="3:8" s="6" customFormat="1" x14ac:dyDescent="0.2">
      <c r="C39"/>
      <c r="D39"/>
      <c r="E39" s="1"/>
      <c r="F39" s="1"/>
      <c r="G39" s="1"/>
      <c r="H39" s="1"/>
    </row>
  </sheetData>
  <sheetProtection selectLockedCells="1" selectUnlockedCells="1"/>
  <pageMargins left="0.25" right="0.25" top="0.75" bottom="0.75" header="0.3" footer="0.3"/>
  <pageSetup paperSize="9" scale="90" firstPageNumber="0" orientation="portrait" horizontalDpi="300" verticalDpi="300"/>
  <headerFooter alignWithMargins="0">
    <oddFooter>&amp;CUnitat de Comptabilitat | Intervenció&amp;R1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O36"/>
  <sheetViews>
    <sheetView topLeftCell="C13" zoomScale="70" zoomScaleNormal="70" workbookViewId="0">
      <selection activeCell="N30" sqref="N30"/>
    </sheetView>
  </sheetViews>
  <sheetFormatPr baseColWidth="10" defaultColWidth="9.140625" defaultRowHeight="12.75" x14ac:dyDescent="0.2"/>
  <cols>
    <col min="1" max="1" width="6.28515625" customWidth="1"/>
    <col min="2" max="2" width="40.28515625" customWidth="1"/>
    <col min="3" max="3" width="16.42578125" style="1" customWidth="1"/>
    <col min="4" max="4" width="14.28515625" style="1" bestFit="1" customWidth="1"/>
    <col min="5" max="5" width="16.140625" style="1" customWidth="1"/>
    <col min="6" max="6" width="19.7109375" style="1" customWidth="1"/>
    <col min="7" max="7" width="16.7109375" style="1" customWidth="1"/>
    <col min="8" max="8" width="19.42578125" style="1" customWidth="1"/>
    <col min="9" max="9" width="19.28515625" style="1" customWidth="1"/>
    <col min="10" max="10" width="15.42578125" style="1" customWidth="1"/>
    <col min="11" max="11" width="10.42578125" style="2" customWidth="1"/>
    <col min="12" max="12" width="13.5703125" style="1" customWidth="1"/>
    <col min="13" max="13" width="10.7109375" style="2" customWidth="1"/>
    <col min="14" max="14" width="13.42578125" style="1" customWidth="1"/>
    <col min="15" max="15" width="9.28515625" style="2" customWidth="1"/>
  </cols>
  <sheetData>
    <row r="1" spans="1:15" s="3" customFormat="1" x14ac:dyDescent="0.2">
      <c r="A1" s="3" t="s">
        <v>19</v>
      </c>
      <c r="B1" s="3" t="s">
        <v>48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9</v>
      </c>
      <c r="L1" s="4" t="s">
        <v>10</v>
      </c>
      <c r="M1" s="5" t="s">
        <v>11</v>
      </c>
      <c r="N1" s="4" t="s">
        <v>12</v>
      </c>
      <c r="O1" s="5" t="s">
        <v>13</v>
      </c>
    </row>
    <row r="2" spans="1:15" x14ac:dyDescent="0.2">
      <c r="A2" t="s">
        <v>20</v>
      </c>
      <c r="B2" t="s">
        <v>106</v>
      </c>
      <c r="C2" s="117">
        <v>0</v>
      </c>
      <c r="D2" s="117">
        <v>0</v>
      </c>
      <c r="E2" s="117">
        <v>0</v>
      </c>
      <c r="F2" s="117">
        <v>0</v>
      </c>
      <c r="G2" s="117">
        <v>0</v>
      </c>
      <c r="H2" s="117">
        <v>0</v>
      </c>
      <c r="I2" s="117">
        <v>0</v>
      </c>
      <c r="J2" s="1">
        <v>0</v>
      </c>
      <c r="K2" s="2">
        <v>0</v>
      </c>
      <c r="L2" s="117">
        <v>0</v>
      </c>
      <c r="M2" s="2">
        <v>0</v>
      </c>
      <c r="N2" s="117">
        <v>0</v>
      </c>
      <c r="O2" s="2">
        <v>0</v>
      </c>
    </row>
    <row r="3" spans="1:15" x14ac:dyDescent="0.2">
      <c r="A3" t="s">
        <v>20</v>
      </c>
      <c r="B3" t="s">
        <v>107</v>
      </c>
      <c r="C3" s="117">
        <v>17566148.690000001</v>
      </c>
      <c r="D3" s="117">
        <v>19511.330000000002</v>
      </c>
      <c r="E3" s="117">
        <v>17585660.02</v>
      </c>
      <c r="F3" s="117">
        <v>3137905.7700000005</v>
      </c>
      <c r="G3" s="117">
        <v>62306.95</v>
      </c>
      <c r="H3" s="117">
        <v>8337.74</v>
      </c>
      <c r="I3" s="117">
        <v>10257688.92</v>
      </c>
      <c r="J3" s="1">
        <f>I3+L3</f>
        <v>11048109.559999999</v>
      </c>
      <c r="K3" s="2">
        <f t="shared" ref="K3:K22" si="0">J3/E3</f>
        <v>0.62824537421029925</v>
      </c>
      <c r="L3" s="117">
        <v>790420.63999999966</v>
      </c>
      <c r="M3" s="2">
        <f>L3/E3</f>
        <v>4.4946885081427822E-2</v>
      </c>
      <c r="N3" s="117">
        <v>79448.849999999991</v>
      </c>
      <c r="O3" s="2">
        <f>N3/L4</f>
        <v>0.14312624674313268</v>
      </c>
    </row>
    <row r="4" spans="1:15" x14ac:dyDescent="0.2">
      <c r="A4" t="s">
        <v>20</v>
      </c>
      <c r="B4" t="s">
        <v>108</v>
      </c>
      <c r="C4" s="117">
        <v>2877013.96</v>
      </c>
      <c r="D4" s="117">
        <v>0</v>
      </c>
      <c r="E4" s="117">
        <v>2877013.96</v>
      </c>
      <c r="F4" s="117">
        <v>1966155.6300000001</v>
      </c>
      <c r="G4" s="117">
        <v>0</v>
      </c>
      <c r="H4" s="117">
        <v>8000</v>
      </c>
      <c r="I4" s="117">
        <v>132762.03</v>
      </c>
      <c r="J4" s="1">
        <f t="shared" ref="J4:J7" si="1">I4+L4</f>
        <v>687858.33</v>
      </c>
      <c r="K4" s="2">
        <f t="shared" si="0"/>
        <v>0.23908758857742907</v>
      </c>
      <c r="L4" s="117">
        <v>555096.29999999993</v>
      </c>
      <c r="M4" s="2">
        <f t="shared" ref="M4:M7" si="2">L4/E4</f>
        <v>0.19294181666049334</v>
      </c>
      <c r="N4" s="117">
        <v>33301.58</v>
      </c>
      <c r="O4" s="2">
        <f t="shared" ref="O4:O7" si="3">N4/L5</f>
        <v>6.3078794232447931E-3</v>
      </c>
    </row>
    <row r="5" spans="1:15" x14ac:dyDescent="0.2">
      <c r="A5" t="s">
        <v>20</v>
      </c>
      <c r="B5" t="s">
        <v>109</v>
      </c>
      <c r="C5" s="117">
        <v>41972119.74000001</v>
      </c>
      <c r="D5" s="117">
        <v>33110.86</v>
      </c>
      <c r="E5" s="117">
        <v>42005230.600000009</v>
      </c>
      <c r="F5" s="117">
        <v>22829728.140000012</v>
      </c>
      <c r="G5" s="117">
        <v>37653.82</v>
      </c>
      <c r="H5" s="117">
        <v>1147503.2</v>
      </c>
      <c r="I5" s="117">
        <v>7127983.2699999996</v>
      </c>
      <c r="J5" s="1">
        <f t="shared" si="1"/>
        <v>12407345.440000003</v>
      </c>
      <c r="K5" s="2">
        <f t="shared" si="0"/>
        <v>0.29537620107720586</v>
      </c>
      <c r="L5" s="117">
        <v>5279362.1700000037</v>
      </c>
      <c r="M5" s="2">
        <f t="shared" si="2"/>
        <v>0.12568344690863339</v>
      </c>
      <c r="N5" s="117">
        <v>337494.91000000003</v>
      </c>
      <c r="O5" s="2">
        <f t="shared" si="3"/>
        <v>0.13273295261775869</v>
      </c>
    </row>
    <row r="6" spans="1:15" x14ac:dyDescent="0.2">
      <c r="A6" t="s">
        <v>20</v>
      </c>
      <c r="B6" t="s">
        <v>110</v>
      </c>
      <c r="C6" s="117">
        <v>34974347.710000023</v>
      </c>
      <c r="D6" s="117">
        <v>18883.18</v>
      </c>
      <c r="E6" s="117">
        <v>34993230.890000023</v>
      </c>
      <c r="F6" s="117">
        <v>16188591.390000001</v>
      </c>
      <c r="G6" s="117">
        <v>1750437.11</v>
      </c>
      <c r="H6" s="117">
        <v>1788241.76</v>
      </c>
      <c r="I6" s="117">
        <v>11080799.57</v>
      </c>
      <c r="J6" s="1">
        <f t="shared" si="1"/>
        <v>13623460.629999999</v>
      </c>
      <c r="K6" s="2">
        <f t="shared" si="0"/>
        <v>0.38931702742238528</v>
      </c>
      <c r="L6" s="117">
        <v>2542661.0599999996</v>
      </c>
      <c r="M6" s="2">
        <f t="shared" si="2"/>
        <v>7.2661511821893898E-2</v>
      </c>
      <c r="N6" s="117">
        <v>1082267.24</v>
      </c>
      <c r="O6" s="2">
        <f t="shared" si="3"/>
        <v>6.1793881367655928E-2</v>
      </c>
    </row>
    <row r="7" spans="1:15" x14ac:dyDescent="0.2">
      <c r="A7" t="s">
        <v>20</v>
      </c>
      <c r="B7" t="s">
        <v>111</v>
      </c>
      <c r="C7" s="117">
        <v>103940369.90000004</v>
      </c>
      <c r="D7" s="117">
        <v>-71505.369999999981</v>
      </c>
      <c r="E7" s="117">
        <v>103868864.53000002</v>
      </c>
      <c r="F7" s="117">
        <v>42139114.120000005</v>
      </c>
      <c r="G7" s="117">
        <v>1342867.71</v>
      </c>
      <c r="H7" s="117">
        <v>2825999.6500000004</v>
      </c>
      <c r="I7" s="117">
        <v>34290393.86999999</v>
      </c>
      <c r="J7" s="1">
        <f t="shared" si="1"/>
        <v>51804542.779999986</v>
      </c>
      <c r="K7" s="2">
        <f t="shared" si="0"/>
        <v>0.49874948584845169</v>
      </c>
      <c r="L7" s="117">
        <v>17514148.909999993</v>
      </c>
      <c r="M7" s="2">
        <f t="shared" si="2"/>
        <v>0.16861789131180357</v>
      </c>
      <c r="N7" s="117">
        <v>10224942.630000001</v>
      </c>
      <c r="O7" s="2">
        <f t="shared" si="3"/>
        <v>0.38321946557965075</v>
      </c>
    </row>
    <row r="8" spans="1:15" s="3" customFormat="1" x14ac:dyDescent="0.2">
      <c r="B8" s="3" t="s">
        <v>15</v>
      </c>
      <c r="C8" s="4">
        <f>SUM(C3:C7)</f>
        <v>201330000.00000006</v>
      </c>
      <c r="D8" s="4">
        <f t="shared" ref="D8:J8" si="4">SUM(D2:D7)</f>
        <v>0</v>
      </c>
      <c r="E8" s="4">
        <f t="shared" si="4"/>
        <v>201330000.00000006</v>
      </c>
      <c r="F8" s="4">
        <f t="shared" si="4"/>
        <v>86261495.050000012</v>
      </c>
      <c r="G8" s="4">
        <f t="shared" si="4"/>
        <v>3193265.59</v>
      </c>
      <c r="H8" s="4">
        <f t="shared" si="4"/>
        <v>5778082.3500000006</v>
      </c>
      <c r="I8" s="4">
        <f t="shared" si="4"/>
        <v>62889627.659999989</v>
      </c>
      <c r="J8" s="4">
        <f t="shared" si="4"/>
        <v>89571316.73999998</v>
      </c>
      <c r="K8" s="5">
        <f t="shared" si="0"/>
        <v>0.44489801192072692</v>
      </c>
      <c r="L8" s="4">
        <f>SUM(L3:L7)</f>
        <v>26681689.079999994</v>
      </c>
      <c r="M8" s="5">
        <f t="shared" ref="M8:M22" si="5">L8/E8</f>
        <v>0.13252713991953502</v>
      </c>
      <c r="N8" s="4">
        <f>SUM(N2:N7)</f>
        <v>11757455.210000001</v>
      </c>
      <c r="O8" s="5">
        <f t="shared" ref="O8:O22" si="6">N8/L8</f>
        <v>0.44065633081726935</v>
      </c>
    </row>
    <row r="9" spans="1:15" x14ac:dyDescent="0.2">
      <c r="A9" t="s">
        <v>30</v>
      </c>
      <c r="B9" t="s">
        <v>106</v>
      </c>
      <c r="J9" s="1">
        <f t="shared" ref="J9:J14" si="7">I9+L9</f>
        <v>0</v>
      </c>
      <c r="K9" s="2" t="e">
        <f t="shared" si="0"/>
        <v>#DIV/0!</v>
      </c>
      <c r="M9" s="2" t="e">
        <f t="shared" si="5"/>
        <v>#DIV/0!</v>
      </c>
      <c r="O9" s="2" t="e">
        <f t="shared" si="6"/>
        <v>#DIV/0!</v>
      </c>
    </row>
    <row r="10" spans="1:15" x14ac:dyDescent="0.2">
      <c r="A10" t="s">
        <v>30</v>
      </c>
      <c r="B10" t="s">
        <v>107</v>
      </c>
      <c r="J10" s="1">
        <f t="shared" si="7"/>
        <v>0</v>
      </c>
      <c r="K10" s="2" t="e">
        <f t="shared" si="0"/>
        <v>#DIV/0!</v>
      </c>
      <c r="M10" s="2" t="e">
        <f t="shared" si="5"/>
        <v>#DIV/0!</v>
      </c>
      <c r="O10" s="2" t="e">
        <f t="shared" si="6"/>
        <v>#DIV/0!</v>
      </c>
    </row>
    <row r="11" spans="1:15" x14ac:dyDescent="0.2">
      <c r="A11" t="s">
        <v>30</v>
      </c>
      <c r="B11" t="s">
        <v>108</v>
      </c>
      <c r="J11" s="1">
        <f t="shared" si="7"/>
        <v>0</v>
      </c>
      <c r="K11" s="2" t="e">
        <f t="shared" si="0"/>
        <v>#DIV/0!</v>
      </c>
      <c r="M11" s="2" t="e">
        <f t="shared" si="5"/>
        <v>#DIV/0!</v>
      </c>
      <c r="O11" s="2" t="e">
        <f t="shared" si="6"/>
        <v>#DIV/0!</v>
      </c>
    </row>
    <row r="12" spans="1:15" x14ac:dyDescent="0.2">
      <c r="A12" t="s">
        <v>30</v>
      </c>
      <c r="B12" t="s">
        <v>109</v>
      </c>
      <c r="J12" s="1">
        <f t="shared" si="7"/>
        <v>0</v>
      </c>
      <c r="K12" s="2" t="e">
        <f t="shared" si="0"/>
        <v>#DIV/0!</v>
      </c>
      <c r="M12" s="2" t="e">
        <f t="shared" si="5"/>
        <v>#DIV/0!</v>
      </c>
      <c r="O12" s="2" t="e">
        <f t="shared" si="6"/>
        <v>#DIV/0!</v>
      </c>
    </row>
    <row r="13" spans="1:15" x14ac:dyDescent="0.2">
      <c r="A13" t="s">
        <v>30</v>
      </c>
      <c r="B13" t="s">
        <v>110</v>
      </c>
      <c r="C13" s="117">
        <v>9136603.8800000008</v>
      </c>
      <c r="D13" s="117">
        <v>0</v>
      </c>
      <c r="E13" s="117">
        <v>9136603.8800000008</v>
      </c>
      <c r="F13" s="117">
        <v>4838428.4200000009</v>
      </c>
      <c r="G13" s="117">
        <v>99515.61</v>
      </c>
      <c r="H13" s="117">
        <v>41703.35</v>
      </c>
      <c r="I13" s="117">
        <v>3997026.97</v>
      </c>
      <c r="J13" s="1">
        <f>I13+L13</f>
        <v>4156956.5</v>
      </c>
      <c r="K13" s="2">
        <f t="shared" si="0"/>
        <v>0.45497829988006439</v>
      </c>
      <c r="L13" s="117">
        <v>159929.53</v>
      </c>
      <c r="M13" s="2">
        <f t="shared" si="5"/>
        <v>1.7504264396324028E-2</v>
      </c>
      <c r="N13" s="117">
        <v>68465.48000000001</v>
      </c>
      <c r="O13" s="2">
        <f t="shared" si="6"/>
        <v>0.42809780032493067</v>
      </c>
    </row>
    <row r="14" spans="1:15" x14ac:dyDescent="0.2">
      <c r="A14" t="s">
        <v>30</v>
      </c>
      <c r="B14" t="s">
        <v>111</v>
      </c>
      <c r="C14" s="117">
        <v>293396.12</v>
      </c>
      <c r="D14" s="117">
        <v>0</v>
      </c>
      <c r="E14" s="117">
        <v>293396.12</v>
      </c>
      <c r="F14" s="117">
        <v>293396.12</v>
      </c>
      <c r="G14" s="117">
        <v>0</v>
      </c>
      <c r="H14" s="117">
        <v>0</v>
      </c>
      <c r="I14" s="117">
        <v>0</v>
      </c>
      <c r="J14" s="1">
        <f t="shared" si="7"/>
        <v>0</v>
      </c>
      <c r="K14" s="2">
        <f t="shared" si="0"/>
        <v>0</v>
      </c>
      <c r="L14" s="117">
        <v>0</v>
      </c>
      <c r="M14" s="2">
        <f t="shared" si="5"/>
        <v>0</v>
      </c>
      <c r="N14" s="117">
        <v>0</v>
      </c>
      <c r="O14" s="2">
        <v>0</v>
      </c>
    </row>
    <row r="15" spans="1:15" x14ac:dyDescent="0.2">
      <c r="A15" s="3"/>
      <c r="B15" s="3" t="s">
        <v>31</v>
      </c>
      <c r="C15" s="4">
        <f t="shared" ref="C15:J15" si="8">SUM(C9:C14)</f>
        <v>9430000</v>
      </c>
      <c r="D15" s="4">
        <f t="shared" si="8"/>
        <v>0</v>
      </c>
      <c r="E15" s="4">
        <f t="shared" si="8"/>
        <v>9430000</v>
      </c>
      <c r="F15" s="4">
        <f t="shared" si="8"/>
        <v>5131824.540000001</v>
      </c>
      <c r="G15" s="4">
        <f t="shared" si="8"/>
        <v>99515.61</v>
      </c>
      <c r="H15" s="4">
        <f t="shared" si="8"/>
        <v>41703.35</v>
      </c>
      <c r="I15" s="4">
        <f t="shared" si="8"/>
        <v>3997026.97</v>
      </c>
      <c r="J15" s="4">
        <f t="shared" si="8"/>
        <v>4156956.5</v>
      </c>
      <c r="K15" s="5">
        <f t="shared" si="0"/>
        <v>0.44082253446447506</v>
      </c>
      <c r="L15" s="4">
        <f>SUM(L9:L14)</f>
        <v>159929.53</v>
      </c>
      <c r="M15" s="5">
        <f t="shared" si="5"/>
        <v>1.695965323435843E-2</v>
      </c>
      <c r="N15" s="4">
        <f>SUM(N9:N14)</f>
        <v>68465.48000000001</v>
      </c>
      <c r="O15" s="5">
        <f t="shared" si="6"/>
        <v>0.42809780032493067</v>
      </c>
    </row>
    <row r="16" spans="1:15" x14ac:dyDescent="0.2">
      <c r="A16" t="s">
        <v>32</v>
      </c>
      <c r="B16" t="s">
        <v>106</v>
      </c>
      <c r="J16" s="1">
        <f t="shared" ref="J16:J21" si="9">I16+L16</f>
        <v>0</v>
      </c>
      <c r="K16" s="2" t="e">
        <f t="shared" si="0"/>
        <v>#DIV/0!</v>
      </c>
      <c r="M16" s="2" t="e">
        <f t="shared" si="5"/>
        <v>#DIV/0!</v>
      </c>
      <c r="O16" s="2" t="e">
        <f t="shared" si="6"/>
        <v>#DIV/0!</v>
      </c>
    </row>
    <row r="17" spans="1:15" x14ac:dyDescent="0.2">
      <c r="A17" t="s">
        <v>32</v>
      </c>
      <c r="B17" t="s">
        <v>107</v>
      </c>
      <c r="J17" s="1">
        <f t="shared" si="9"/>
        <v>0</v>
      </c>
      <c r="K17" s="2" t="e">
        <f t="shared" si="0"/>
        <v>#DIV/0!</v>
      </c>
      <c r="M17" s="2" t="e">
        <f t="shared" si="5"/>
        <v>#DIV/0!</v>
      </c>
      <c r="O17" s="2" t="e">
        <f t="shared" si="6"/>
        <v>#DIV/0!</v>
      </c>
    </row>
    <row r="18" spans="1:15" x14ac:dyDescent="0.2">
      <c r="A18" t="s">
        <v>32</v>
      </c>
      <c r="B18" t="s">
        <v>108</v>
      </c>
      <c r="J18" s="1">
        <f t="shared" si="9"/>
        <v>0</v>
      </c>
      <c r="K18" s="2" t="e">
        <f t="shared" si="0"/>
        <v>#DIV/0!</v>
      </c>
      <c r="M18" s="2" t="e">
        <f t="shared" si="5"/>
        <v>#DIV/0!</v>
      </c>
      <c r="O18" s="2" t="e">
        <f t="shared" si="6"/>
        <v>#DIV/0!</v>
      </c>
    </row>
    <row r="19" spans="1:15" x14ac:dyDescent="0.2">
      <c r="A19" t="s">
        <v>32</v>
      </c>
      <c r="B19" t="s">
        <v>109</v>
      </c>
      <c r="J19" s="1">
        <f t="shared" si="9"/>
        <v>0</v>
      </c>
      <c r="K19" s="2" t="e">
        <f>J19/#REF!</f>
        <v>#REF!</v>
      </c>
      <c r="M19" s="2" t="e">
        <f>L19/#REF!</f>
        <v>#REF!</v>
      </c>
      <c r="O19" s="2" t="e">
        <f t="shared" si="6"/>
        <v>#DIV/0!</v>
      </c>
    </row>
    <row r="20" spans="1:15" x14ac:dyDescent="0.2">
      <c r="A20" t="s">
        <v>32</v>
      </c>
      <c r="B20" t="s">
        <v>110</v>
      </c>
      <c r="C20" s="117"/>
      <c r="D20" s="117"/>
      <c r="E20" s="117"/>
      <c r="F20" s="117"/>
      <c r="G20" s="117"/>
      <c r="H20" s="117"/>
      <c r="I20" s="117"/>
      <c r="J20" s="1">
        <f t="shared" si="9"/>
        <v>0</v>
      </c>
      <c r="K20" s="2" t="e">
        <f t="shared" si="0"/>
        <v>#DIV/0!</v>
      </c>
      <c r="M20" s="2" t="e">
        <f t="shared" si="5"/>
        <v>#DIV/0!</v>
      </c>
      <c r="O20" s="2" t="e">
        <f t="shared" si="6"/>
        <v>#DIV/0!</v>
      </c>
    </row>
    <row r="21" spans="1:15" x14ac:dyDescent="0.2">
      <c r="A21" t="s">
        <v>32</v>
      </c>
      <c r="B21" t="s">
        <v>111</v>
      </c>
      <c r="C21" s="117">
        <v>18570000</v>
      </c>
      <c r="D21" s="117">
        <v>1352889.53</v>
      </c>
      <c r="E21" s="117">
        <v>19922889.530000001</v>
      </c>
      <c r="F21" s="117">
        <v>11068139.220000003</v>
      </c>
      <c r="G21" s="117">
        <v>1168019.6400000001</v>
      </c>
      <c r="H21" s="117">
        <v>80818.459999999992</v>
      </c>
      <c r="I21" s="117">
        <v>4791703.3899999987</v>
      </c>
      <c r="J21" s="1">
        <f t="shared" si="9"/>
        <v>7605912.209999999</v>
      </c>
      <c r="K21" s="2">
        <f t="shared" si="0"/>
        <v>0.38176752416093923</v>
      </c>
      <c r="L21" s="117">
        <v>2814208.8200000003</v>
      </c>
      <c r="M21" s="2">
        <f t="shared" si="5"/>
        <v>0.14125505317701775</v>
      </c>
      <c r="N21" s="117">
        <v>2469099.5600000005</v>
      </c>
      <c r="O21" s="2">
        <f t="shared" si="6"/>
        <v>0.87736899353474429</v>
      </c>
    </row>
    <row r="22" spans="1:15" x14ac:dyDescent="0.2">
      <c r="A22" s="3"/>
      <c r="B22" s="3" t="s">
        <v>32</v>
      </c>
      <c r="C22" s="4">
        <f t="shared" ref="C22:J22" si="10">SUM(C16:C21)</f>
        <v>18570000</v>
      </c>
      <c r="D22" s="4">
        <f>SUM(E19)</f>
        <v>0</v>
      </c>
      <c r="E22" s="4">
        <f t="shared" si="10"/>
        <v>19922889.530000001</v>
      </c>
      <c r="F22" s="4">
        <f t="shared" si="10"/>
        <v>11068139.220000003</v>
      </c>
      <c r="G22" s="4">
        <f t="shared" si="10"/>
        <v>1168019.6400000001</v>
      </c>
      <c r="H22" s="4">
        <f t="shared" si="10"/>
        <v>80818.459999999992</v>
      </c>
      <c r="I22" s="4">
        <f t="shared" si="10"/>
        <v>4791703.3899999987</v>
      </c>
      <c r="J22" s="4">
        <f t="shared" si="10"/>
        <v>7605912.209999999</v>
      </c>
      <c r="K22" s="5">
        <f t="shared" si="0"/>
        <v>0.38176752416093923</v>
      </c>
      <c r="L22" s="4">
        <f>SUM(L16:L21)</f>
        <v>2814208.8200000003</v>
      </c>
      <c r="M22" s="5">
        <f t="shared" si="5"/>
        <v>0.14125505317701775</v>
      </c>
      <c r="N22" s="4">
        <f>SUM(N16:N21)</f>
        <v>2469099.5600000005</v>
      </c>
      <c r="O22" s="5">
        <f t="shared" si="6"/>
        <v>0.87736899353474429</v>
      </c>
    </row>
    <row r="23" spans="1:15" x14ac:dyDescent="0.2">
      <c r="A23" t="s">
        <v>79</v>
      </c>
      <c r="B23" t="s">
        <v>106</v>
      </c>
    </row>
    <row r="24" spans="1:15" x14ac:dyDescent="0.2">
      <c r="A24" t="s">
        <v>79</v>
      </c>
      <c r="B24" t="s">
        <v>107</v>
      </c>
    </row>
    <row r="25" spans="1:15" x14ac:dyDescent="0.2">
      <c r="A25" t="s">
        <v>79</v>
      </c>
      <c r="B25" t="s">
        <v>108</v>
      </c>
    </row>
    <row r="26" spans="1:15" x14ac:dyDescent="0.2">
      <c r="A26" t="s">
        <v>79</v>
      </c>
      <c r="B26" t="s">
        <v>109</v>
      </c>
    </row>
    <row r="27" spans="1:15" x14ac:dyDescent="0.2">
      <c r="A27" t="s">
        <v>79</v>
      </c>
      <c r="B27" t="s">
        <v>110</v>
      </c>
      <c r="C27" s="117">
        <v>6930000</v>
      </c>
      <c r="D27" s="117">
        <v>0</v>
      </c>
      <c r="E27" s="117">
        <f t="shared" ref="E27" si="11">C27+D27</f>
        <v>6930000</v>
      </c>
      <c r="F27" s="117">
        <v>6930000</v>
      </c>
      <c r="G27" s="117">
        <v>0</v>
      </c>
      <c r="H27" s="117">
        <v>0</v>
      </c>
      <c r="I27" s="117">
        <v>0</v>
      </c>
      <c r="J27" s="1">
        <v>0</v>
      </c>
      <c r="K27" s="5">
        <f t="shared" ref="K27" si="12">J27/E27</f>
        <v>0</v>
      </c>
      <c r="L27" s="117">
        <v>0</v>
      </c>
      <c r="M27" s="5">
        <f t="shared" ref="M27" si="13">L27/E27</f>
        <v>0</v>
      </c>
      <c r="N27" s="117">
        <v>0</v>
      </c>
      <c r="O27" s="5" t="e">
        <f t="shared" ref="O27" si="14">N27/L27</f>
        <v>#DIV/0!</v>
      </c>
    </row>
    <row r="28" spans="1:15" x14ac:dyDescent="0.2">
      <c r="A28" t="s">
        <v>79</v>
      </c>
      <c r="B28" t="s">
        <v>111</v>
      </c>
    </row>
    <row r="29" spans="1:15" x14ac:dyDescent="0.2">
      <c r="A29" s="3"/>
      <c r="B29" s="3" t="s">
        <v>80</v>
      </c>
      <c r="C29" s="4">
        <f t="shared" ref="C29:J29" si="15">SUM(C23:C28)</f>
        <v>6930000</v>
      </c>
      <c r="D29" s="4">
        <f t="shared" si="15"/>
        <v>0</v>
      </c>
      <c r="E29" s="4">
        <f t="shared" si="15"/>
        <v>6930000</v>
      </c>
      <c r="F29" s="4">
        <f t="shared" si="15"/>
        <v>6930000</v>
      </c>
      <c r="G29" s="4">
        <f t="shared" si="15"/>
        <v>0</v>
      </c>
      <c r="H29" s="4">
        <f t="shared" si="15"/>
        <v>0</v>
      </c>
      <c r="I29" s="4">
        <f t="shared" si="15"/>
        <v>0</v>
      </c>
      <c r="J29" s="4">
        <f t="shared" si="15"/>
        <v>0</v>
      </c>
      <c r="K29" s="5">
        <f t="shared" ref="K29:K36" si="16">J29/E29</f>
        <v>0</v>
      </c>
      <c r="L29" s="4">
        <f>SUM(L23:L28)</f>
        <v>0</v>
      </c>
      <c r="M29" s="5">
        <f t="shared" ref="M29:M36" si="17">L29/E29</f>
        <v>0</v>
      </c>
      <c r="N29" s="4">
        <f>SUM(N23:N28)</f>
        <v>0</v>
      </c>
      <c r="O29" s="5" t="e">
        <f t="shared" ref="O29:O36" si="18">N29/L29</f>
        <v>#DIV/0!</v>
      </c>
    </row>
    <row r="30" spans="1:15" x14ac:dyDescent="0.2">
      <c r="A30" t="s">
        <v>33</v>
      </c>
      <c r="B30" t="s">
        <v>112</v>
      </c>
      <c r="C30" s="1">
        <f t="shared" ref="C30:C31" si="19">C2+C9+C16-C23</f>
        <v>0</v>
      </c>
      <c r="D30" s="1">
        <f t="shared" ref="D30:J35" si="20">D2+D9+D16-D23</f>
        <v>0</v>
      </c>
      <c r="E30" s="1">
        <f t="shared" si="20"/>
        <v>0</v>
      </c>
      <c r="F30" s="1">
        <f t="shared" si="20"/>
        <v>0</v>
      </c>
      <c r="G30" s="1">
        <f t="shared" si="20"/>
        <v>0</v>
      </c>
      <c r="H30" s="1">
        <f t="shared" si="20"/>
        <v>0</v>
      </c>
      <c r="I30" s="1">
        <f t="shared" si="20"/>
        <v>0</v>
      </c>
      <c r="J30" s="1">
        <f t="shared" si="20"/>
        <v>0</v>
      </c>
      <c r="K30" s="2" t="e">
        <f t="shared" si="16"/>
        <v>#DIV/0!</v>
      </c>
      <c r="L30" s="1">
        <f t="shared" ref="L30:N35" si="21">L2+L9+L16-L23</f>
        <v>0</v>
      </c>
      <c r="M30" s="2" t="e">
        <f t="shared" si="17"/>
        <v>#DIV/0!</v>
      </c>
      <c r="N30" s="1">
        <f t="shared" si="21"/>
        <v>0</v>
      </c>
      <c r="O30" s="2" t="e">
        <f t="shared" si="18"/>
        <v>#DIV/0!</v>
      </c>
    </row>
    <row r="31" spans="1:15" x14ac:dyDescent="0.2">
      <c r="A31" t="s">
        <v>33</v>
      </c>
      <c r="B31" t="s">
        <v>113</v>
      </c>
      <c r="C31" s="1">
        <f t="shared" si="19"/>
        <v>17566148.690000001</v>
      </c>
      <c r="D31" s="1">
        <f t="shared" si="20"/>
        <v>19511.330000000002</v>
      </c>
      <c r="E31" s="1">
        <f t="shared" si="20"/>
        <v>17585660.02</v>
      </c>
      <c r="F31" s="1">
        <f t="shared" si="20"/>
        <v>3137905.7700000005</v>
      </c>
      <c r="G31" s="1">
        <f t="shared" si="20"/>
        <v>62306.95</v>
      </c>
      <c r="H31" s="1">
        <f t="shared" si="20"/>
        <v>8337.74</v>
      </c>
      <c r="I31" s="1">
        <f t="shared" si="20"/>
        <v>10257688.92</v>
      </c>
      <c r="J31" s="1">
        <f t="shared" ref="J31" si="22">J3+J10+J17-J24</f>
        <v>11048109.559999999</v>
      </c>
      <c r="K31" s="2">
        <f t="shared" si="16"/>
        <v>0.62824537421029925</v>
      </c>
      <c r="L31" s="1">
        <f t="shared" si="21"/>
        <v>790420.63999999966</v>
      </c>
      <c r="M31" s="2">
        <f t="shared" si="17"/>
        <v>4.4946885081427822E-2</v>
      </c>
      <c r="N31" s="1">
        <f t="shared" si="21"/>
        <v>79448.849999999991</v>
      </c>
      <c r="O31" s="2">
        <f t="shared" si="18"/>
        <v>0.10051464496170043</v>
      </c>
    </row>
    <row r="32" spans="1:15" x14ac:dyDescent="0.2">
      <c r="A32" t="s">
        <v>33</v>
      </c>
      <c r="B32" t="s">
        <v>114</v>
      </c>
      <c r="C32" s="1">
        <f t="shared" ref="C32:H32" si="23">C4+C11+C18-C25</f>
        <v>2877013.96</v>
      </c>
      <c r="D32" s="1">
        <f t="shared" si="23"/>
        <v>0</v>
      </c>
      <c r="E32" s="1">
        <f t="shared" si="23"/>
        <v>2877013.96</v>
      </c>
      <c r="F32" s="1">
        <f t="shared" si="23"/>
        <v>1966155.6300000001</v>
      </c>
      <c r="G32" s="1">
        <f t="shared" si="23"/>
        <v>0</v>
      </c>
      <c r="H32" s="1">
        <f t="shared" si="23"/>
        <v>8000</v>
      </c>
      <c r="I32" s="1">
        <f t="shared" si="20"/>
        <v>132762.03</v>
      </c>
      <c r="J32" s="1">
        <f t="shared" ref="J32" si="24">J4+J11+J18-J25</f>
        <v>687858.33</v>
      </c>
      <c r="K32" s="2">
        <f t="shared" si="16"/>
        <v>0.23908758857742907</v>
      </c>
      <c r="L32" s="1">
        <f t="shared" si="21"/>
        <v>555096.29999999993</v>
      </c>
      <c r="M32" s="2">
        <f t="shared" si="17"/>
        <v>0.19294181666049334</v>
      </c>
      <c r="N32" s="1">
        <f t="shared" si="21"/>
        <v>33301.58</v>
      </c>
      <c r="O32" s="2">
        <f t="shared" si="18"/>
        <v>5.9992437348258321E-2</v>
      </c>
    </row>
    <row r="33" spans="1:15" x14ac:dyDescent="0.2">
      <c r="A33" t="s">
        <v>33</v>
      </c>
      <c r="B33" t="s">
        <v>115</v>
      </c>
      <c r="C33" s="1">
        <f t="shared" ref="C33:H33" si="25">C5+C12+C19-C26</f>
        <v>41972119.74000001</v>
      </c>
      <c r="D33" s="1">
        <f t="shared" si="25"/>
        <v>33110.86</v>
      </c>
      <c r="E33" s="1">
        <f t="shared" si="25"/>
        <v>42005230.600000009</v>
      </c>
      <c r="F33" s="1">
        <f t="shared" si="25"/>
        <v>22829728.140000012</v>
      </c>
      <c r="G33" s="1">
        <f t="shared" si="25"/>
        <v>37653.82</v>
      </c>
      <c r="H33" s="1">
        <f t="shared" si="25"/>
        <v>1147503.2</v>
      </c>
      <c r="I33" s="1">
        <f t="shared" si="20"/>
        <v>7127983.2699999996</v>
      </c>
      <c r="J33" s="1">
        <f t="shared" ref="J33" si="26">J5+J12+J19-J26</f>
        <v>12407345.440000003</v>
      </c>
      <c r="K33" s="2">
        <f t="shared" si="16"/>
        <v>0.29537620107720586</v>
      </c>
      <c r="L33" s="1">
        <f t="shared" si="21"/>
        <v>5279362.1700000037</v>
      </c>
      <c r="M33" s="2">
        <f t="shared" si="17"/>
        <v>0.12568344690863339</v>
      </c>
      <c r="N33" s="1">
        <f t="shared" si="21"/>
        <v>337494.91000000003</v>
      </c>
      <c r="O33" s="2">
        <f t="shared" si="18"/>
        <v>6.3927213010279191E-2</v>
      </c>
    </row>
    <row r="34" spans="1:15" x14ac:dyDescent="0.2">
      <c r="A34" t="s">
        <v>33</v>
      </c>
      <c r="B34" t="s">
        <v>116</v>
      </c>
      <c r="C34" s="1">
        <f t="shared" ref="C34:H34" si="27">C6+C13+C20-C27</f>
        <v>37180951.590000026</v>
      </c>
      <c r="D34" s="1">
        <f t="shared" si="27"/>
        <v>18883.18</v>
      </c>
      <c r="E34" s="1">
        <f t="shared" si="27"/>
        <v>37199834.770000026</v>
      </c>
      <c r="F34" s="1">
        <f t="shared" si="27"/>
        <v>14097019.810000002</v>
      </c>
      <c r="G34" s="1">
        <f t="shared" si="27"/>
        <v>1849952.7200000002</v>
      </c>
      <c r="H34" s="1">
        <f t="shared" si="27"/>
        <v>1829945.11</v>
      </c>
      <c r="I34" s="1">
        <f t="shared" si="20"/>
        <v>15077826.540000001</v>
      </c>
      <c r="J34" s="1">
        <f t="shared" ref="J34" si="28">J6+J13+J20-J27</f>
        <v>17780417.129999999</v>
      </c>
      <c r="K34" s="2">
        <f t="shared" si="16"/>
        <v>0.47797032540421647</v>
      </c>
      <c r="L34" s="1">
        <f t="shared" si="21"/>
        <v>2702590.5899999994</v>
      </c>
      <c r="M34" s="2">
        <f t="shared" si="17"/>
        <v>7.2650607367200346E-2</v>
      </c>
      <c r="N34" s="1">
        <f t="shared" si="21"/>
        <v>1150732.72</v>
      </c>
      <c r="O34" s="2">
        <f t="shared" si="18"/>
        <v>0.42578876884197253</v>
      </c>
    </row>
    <row r="35" spans="1:15" x14ac:dyDescent="0.2">
      <c r="A35" t="s">
        <v>33</v>
      </c>
      <c r="B35" t="s">
        <v>117</v>
      </c>
      <c r="C35" s="1">
        <f t="shared" ref="C35:H35" si="29">C7+C14+C21-C28</f>
        <v>122803766.02000004</v>
      </c>
      <c r="D35" s="1">
        <f t="shared" si="29"/>
        <v>1281384.1600000001</v>
      </c>
      <c r="E35" s="1">
        <f t="shared" si="29"/>
        <v>124085150.18000002</v>
      </c>
      <c r="F35" s="1">
        <f t="shared" si="29"/>
        <v>53500649.460000008</v>
      </c>
      <c r="G35" s="1">
        <f t="shared" si="29"/>
        <v>2510887.35</v>
      </c>
      <c r="H35" s="1">
        <f t="shared" si="29"/>
        <v>2906818.1100000003</v>
      </c>
      <c r="I35" s="1">
        <f t="shared" si="20"/>
        <v>39082097.25999999</v>
      </c>
      <c r="J35" s="1">
        <f t="shared" ref="J35" si="30">J7+J14+J21-J28</f>
        <v>59410454.989999987</v>
      </c>
      <c r="K35" s="2">
        <f t="shared" si="16"/>
        <v>0.47878779131764093</v>
      </c>
      <c r="L35" s="1">
        <f t="shared" si="21"/>
        <v>20328357.729999993</v>
      </c>
      <c r="M35" s="2">
        <f t="shared" si="17"/>
        <v>0.16382587038425897</v>
      </c>
      <c r="N35" s="1">
        <f t="shared" si="21"/>
        <v>12694042.190000001</v>
      </c>
      <c r="O35" s="2">
        <f t="shared" si="18"/>
        <v>0.62444996091673977</v>
      </c>
    </row>
    <row r="36" spans="1:15" s="3" customFormat="1" x14ac:dyDescent="0.2">
      <c r="B36" s="3" t="s">
        <v>34</v>
      </c>
      <c r="C36" s="4">
        <f t="shared" ref="C36:J36" si="31">SUM(C30:C35)</f>
        <v>222400000.00000009</v>
      </c>
      <c r="D36" s="4">
        <f t="shared" si="31"/>
        <v>1352889.5300000003</v>
      </c>
      <c r="E36" s="4">
        <f t="shared" si="31"/>
        <v>223752889.53000006</v>
      </c>
      <c r="F36" s="4">
        <f t="shared" si="31"/>
        <v>95531458.810000032</v>
      </c>
      <c r="G36" s="4">
        <f t="shared" si="31"/>
        <v>4460800.84</v>
      </c>
      <c r="H36" s="4">
        <f t="shared" si="31"/>
        <v>5900604.1600000001</v>
      </c>
      <c r="I36" s="4">
        <f t="shared" si="31"/>
        <v>71678358.019999981</v>
      </c>
      <c r="J36" s="4">
        <f t="shared" si="31"/>
        <v>101334185.44999999</v>
      </c>
      <c r="K36" s="5">
        <f t="shared" si="16"/>
        <v>0.45288436570743562</v>
      </c>
      <c r="L36" s="4">
        <f>SUM(L30:L35)</f>
        <v>29655827.429999996</v>
      </c>
      <c r="M36" s="5">
        <f t="shared" si="17"/>
        <v>0.13253829924741078</v>
      </c>
      <c r="N36" s="4">
        <f>SUM(N30:N35)</f>
        <v>14295020.250000002</v>
      </c>
      <c r="O36" s="5">
        <f t="shared" si="18"/>
        <v>0.48203073354611853</v>
      </c>
    </row>
  </sheetData>
  <pageMargins left="0.7" right="0.7" top="0.75" bottom="0.75" header="0.3" footer="0.3"/>
  <pageSetup paperSize="9" orientation="portrait" r:id="rId1"/>
  <ignoredErrors>
    <ignoredError sqref="C8" formulaRange="1"/>
    <ignoredError sqref="D2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J62"/>
  <sheetViews>
    <sheetView zoomScale="85" zoomScaleNormal="85" workbookViewId="0">
      <pane ySplit="1" topLeftCell="A5" activePane="bottomLeft" state="frozen"/>
      <selection activeCell="K20" sqref="K20"/>
      <selection pane="bottomLeft" activeCell="C55" sqref="C55"/>
    </sheetView>
  </sheetViews>
  <sheetFormatPr baseColWidth="10" defaultColWidth="9.140625" defaultRowHeight="12.75" x14ac:dyDescent="0.2"/>
  <cols>
    <col min="1" max="1" width="6.28515625" customWidth="1"/>
    <col min="2" max="2" width="42.7109375" customWidth="1"/>
    <col min="3" max="3" width="18" style="1" customWidth="1"/>
    <col min="4" max="4" width="14.28515625" style="1" bestFit="1" customWidth="1"/>
    <col min="5" max="5" width="20.28515625" style="1" customWidth="1"/>
    <col min="6" max="6" width="21" style="1" customWidth="1"/>
    <col min="7" max="7" width="13" style="2" customWidth="1"/>
    <col min="8" max="8" width="13.7109375" style="1" bestFit="1" customWidth="1"/>
    <col min="9" max="9" width="9.28515625" style="2" customWidth="1"/>
  </cols>
  <sheetData>
    <row r="1" spans="1:10" s="3" customFormat="1" x14ac:dyDescent="0.2">
      <c r="A1" s="3" t="s">
        <v>19</v>
      </c>
      <c r="B1" s="3" t="s">
        <v>48</v>
      </c>
      <c r="C1" s="4" t="s">
        <v>35</v>
      </c>
      <c r="D1" s="4" t="s">
        <v>2</v>
      </c>
      <c r="E1" s="4" t="s">
        <v>36</v>
      </c>
      <c r="F1" s="4" t="s">
        <v>268</v>
      </c>
      <c r="G1" s="5" t="s">
        <v>38</v>
      </c>
      <c r="H1" s="4" t="s">
        <v>39</v>
      </c>
      <c r="I1" s="5" t="s">
        <v>40</v>
      </c>
      <c r="J1" s="3" t="s">
        <v>96</v>
      </c>
    </row>
    <row r="2" spans="1:10" x14ac:dyDescent="0.2">
      <c r="A2" t="s">
        <v>20</v>
      </c>
      <c r="B2" t="s">
        <v>41</v>
      </c>
      <c r="C2" s="117">
        <v>19762331.240000002</v>
      </c>
      <c r="D2" s="117">
        <v>0</v>
      </c>
      <c r="E2" s="117">
        <f>C2+D2</f>
        <v>19762331.240000002</v>
      </c>
      <c r="F2" s="117">
        <v>4798487.72</v>
      </c>
      <c r="G2" s="2">
        <f t="shared" ref="G2:G10" si="0">IF(F2/E2&gt;1.5,1,F2/E2)</f>
        <v>0.24280980121857321</v>
      </c>
      <c r="H2" s="117">
        <v>4784207.49</v>
      </c>
      <c r="I2" s="2">
        <f t="shared" ref="I2:I31" si="1">H2/F2</f>
        <v>0.99702401447429367</v>
      </c>
      <c r="J2" s="2">
        <f t="shared" ref="J2:J31" si="2">+H2/E2</f>
        <v>0.2420872027646471</v>
      </c>
    </row>
    <row r="3" spans="1:10" x14ac:dyDescent="0.2">
      <c r="A3" t="s">
        <v>20</v>
      </c>
      <c r="B3" t="s">
        <v>42</v>
      </c>
      <c r="C3" s="117">
        <v>14404862.060000001</v>
      </c>
      <c r="D3" s="117">
        <v>0</v>
      </c>
      <c r="E3" s="117">
        <f t="shared" ref="E3:E30" si="3">C3+D3</f>
        <v>14404862.060000001</v>
      </c>
      <c r="F3" s="117">
        <v>3731601.06</v>
      </c>
      <c r="G3" s="2">
        <f t="shared" si="0"/>
        <v>0.25905149556149237</v>
      </c>
      <c r="H3" s="117">
        <v>3731601.06</v>
      </c>
      <c r="I3" s="2">
        <f t="shared" si="1"/>
        <v>1</v>
      </c>
      <c r="J3" s="2">
        <f t="shared" si="2"/>
        <v>0.25905149556149237</v>
      </c>
    </row>
    <row r="4" spans="1:10" x14ac:dyDescent="0.2">
      <c r="A4" t="s">
        <v>20</v>
      </c>
      <c r="B4" t="s">
        <v>43</v>
      </c>
      <c r="C4" s="117">
        <v>2177669.31</v>
      </c>
      <c r="D4" s="117">
        <v>0</v>
      </c>
      <c r="E4" s="117">
        <f t="shared" si="3"/>
        <v>2177669.31</v>
      </c>
      <c r="F4" s="117">
        <v>234905.97</v>
      </c>
      <c r="G4" s="2">
        <f t="shared" si="0"/>
        <v>0.10787035888382887</v>
      </c>
      <c r="H4" s="117">
        <v>215959.64</v>
      </c>
      <c r="I4" s="2">
        <f t="shared" si="1"/>
        <v>0.9193450468713078</v>
      </c>
      <c r="J4" s="2">
        <f t="shared" si="2"/>
        <v>9.9170080144078451E-2</v>
      </c>
    </row>
    <row r="5" spans="1:10" x14ac:dyDescent="0.2">
      <c r="A5" t="s">
        <v>20</v>
      </c>
      <c r="B5" t="s">
        <v>24</v>
      </c>
      <c r="C5" s="117">
        <v>147964336.83999997</v>
      </c>
      <c r="D5" s="117">
        <v>0</v>
      </c>
      <c r="E5" s="117">
        <f t="shared" si="3"/>
        <v>147964336.83999997</v>
      </c>
      <c r="F5" s="117">
        <v>31775810.120000001</v>
      </c>
      <c r="G5" s="2">
        <f t="shared" si="0"/>
        <v>0.21475316822026183</v>
      </c>
      <c r="H5" s="117">
        <v>31558054.48</v>
      </c>
      <c r="I5" s="2">
        <f t="shared" si="1"/>
        <v>0.99314712546501083</v>
      </c>
      <c r="J5" s="2">
        <f t="shared" si="2"/>
        <v>0.21328149170245694</v>
      </c>
    </row>
    <row r="6" spans="1:10" x14ac:dyDescent="0.2">
      <c r="A6" t="s">
        <v>20</v>
      </c>
      <c r="B6" t="s">
        <v>44</v>
      </c>
      <c r="C6" s="117">
        <v>7057599.96</v>
      </c>
      <c r="D6" s="117">
        <v>0</v>
      </c>
      <c r="E6" s="117">
        <f t="shared" si="3"/>
        <v>7057599.96</v>
      </c>
      <c r="F6" s="117">
        <v>830212.02</v>
      </c>
      <c r="G6" s="2">
        <f t="shared" si="0"/>
        <v>0.11763376001832782</v>
      </c>
      <c r="H6" s="117">
        <v>825061.38</v>
      </c>
      <c r="I6" s="2">
        <f t="shared" si="1"/>
        <v>0.99379599442561672</v>
      </c>
      <c r="J6" s="2">
        <f t="shared" si="2"/>
        <v>0.11690395951543844</v>
      </c>
    </row>
    <row r="7" spans="1:10" x14ac:dyDescent="0.2">
      <c r="A7" t="s">
        <v>20</v>
      </c>
      <c r="B7" t="s">
        <v>45</v>
      </c>
      <c r="C7" s="117">
        <v>1100</v>
      </c>
      <c r="D7" s="117">
        <v>0</v>
      </c>
      <c r="E7" s="117">
        <f t="shared" si="3"/>
        <v>1100</v>
      </c>
      <c r="F7" s="117">
        <v>2304</v>
      </c>
      <c r="G7" s="2">
        <f t="shared" si="0"/>
        <v>1</v>
      </c>
      <c r="H7" s="117">
        <v>2304</v>
      </c>
      <c r="I7" s="2">
        <f>H7/F7</f>
        <v>1</v>
      </c>
      <c r="J7" s="2">
        <f>IF(H7/E7&gt;1.5,1,H7/E7)</f>
        <v>1</v>
      </c>
    </row>
    <row r="8" spans="1:10" x14ac:dyDescent="0.2">
      <c r="A8" t="s">
        <v>20</v>
      </c>
      <c r="B8" t="s">
        <v>27</v>
      </c>
      <c r="C8" s="117">
        <v>1362100.5899999999</v>
      </c>
      <c r="D8" s="117">
        <v>0</v>
      </c>
      <c r="E8" s="117">
        <f t="shared" si="3"/>
        <v>1362100.5899999999</v>
      </c>
      <c r="F8" s="117">
        <v>2833869.44</v>
      </c>
      <c r="G8" s="2">
        <f t="shared" si="0"/>
        <v>1</v>
      </c>
      <c r="H8" s="117">
        <v>2833869.44</v>
      </c>
      <c r="I8" s="2">
        <f t="shared" si="1"/>
        <v>1</v>
      </c>
      <c r="J8" s="2">
        <f>IF(H8/E8&gt;1.5,1,H8/E8)</f>
        <v>1</v>
      </c>
    </row>
    <row r="9" spans="1:10" x14ac:dyDescent="0.2">
      <c r="A9" t="s">
        <v>20</v>
      </c>
      <c r="B9" t="s">
        <v>28</v>
      </c>
      <c r="C9" s="117">
        <v>600000</v>
      </c>
      <c r="D9" s="117">
        <v>0</v>
      </c>
      <c r="E9" s="117">
        <f t="shared" si="3"/>
        <v>600000</v>
      </c>
      <c r="F9" s="117">
        <v>1575</v>
      </c>
      <c r="G9" s="2">
        <f t="shared" si="0"/>
        <v>2.6250000000000002E-3</v>
      </c>
      <c r="H9" s="117">
        <v>1575</v>
      </c>
      <c r="I9" s="2">
        <f t="shared" si="1"/>
        <v>1</v>
      </c>
      <c r="J9" s="2">
        <f t="shared" si="2"/>
        <v>2.6250000000000002E-3</v>
      </c>
    </row>
    <row r="10" spans="1:10" x14ac:dyDescent="0.2">
      <c r="A10" t="s">
        <v>20</v>
      </c>
      <c r="B10" t="s">
        <v>29</v>
      </c>
      <c r="C10" s="117">
        <v>8000000</v>
      </c>
      <c r="D10" s="117">
        <v>0</v>
      </c>
      <c r="E10" s="117">
        <f t="shared" si="3"/>
        <v>8000000</v>
      </c>
      <c r="F10" s="117">
        <v>0</v>
      </c>
      <c r="G10" s="2">
        <f t="shared" si="0"/>
        <v>0</v>
      </c>
      <c r="H10" s="117">
        <v>0</v>
      </c>
      <c r="I10" s="2" t="e">
        <f t="shared" si="1"/>
        <v>#DIV/0!</v>
      </c>
      <c r="J10" s="2">
        <f t="shared" si="2"/>
        <v>0</v>
      </c>
    </row>
    <row r="11" spans="1:10" s="3" customFormat="1" x14ac:dyDescent="0.2">
      <c r="B11" s="3" t="s">
        <v>15</v>
      </c>
      <c r="C11" s="4">
        <f>SUM(C2:C10)</f>
        <v>201330000</v>
      </c>
      <c r="D11" s="4">
        <f>SUM(D2:D10)</f>
        <v>0</v>
      </c>
      <c r="E11" s="4">
        <f>SUM(E2:E10)</f>
        <v>201330000</v>
      </c>
      <c r="F11" s="4">
        <f>SUM(F2:F10)</f>
        <v>44208765.330000006</v>
      </c>
      <c r="G11" s="5">
        <f t="shared" ref="G11:G31" si="4">F11/E11</f>
        <v>0.21958359573834008</v>
      </c>
      <c r="H11" s="4">
        <f>SUM(H2:H10)</f>
        <v>43952632.490000002</v>
      </c>
      <c r="I11" s="5">
        <f t="shared" si="1"/>
        <v>0.99420628832114899</v>
      </c>
      <c r="J11" s="5">
        <f t="shared" si="2"/>
        <v>0.21831139169522676</v>
      </c>
    </row>
    <row r="12" spans="1:10" x14ac:dyDescent="0.2">
      <c r="A12" t="s">
        <v>30</v>
      </c>
      <c r="B12" t="s">
        <v>41</v>
      </c>
      <c r="C12" s="117">
        <v>0</v>
      </c>
      <c r="D12" s="117">
        <v>0</v>
      </c>
      <c r="E12" s="117">
        <f t="shared" si="3"/>
        <v>0</v>
      </c>
      <c r="F12" s="117">
        <v>0</v>
      </c>
      <c r="G12" s="2" t="e">
        <f t="shared" si="4"/>
        <v>#DIV/0!</v>
      </c>
      <c r="H12" s="117">
        <v>0</v>
      </c>
      <c r="I12" s="2" t="e">
        <f t="shared" si="1"/>
        <v>#DIV/0!</v>
      </c>
      <c r="J12" s="2" t="e">
        <f t="shared" si="2"/>
        <v>#DIV/0!</v>
      </c>
    </row>
    <row r="13" spans="1:10" x14ac:dyDescent="0.2">
      <c r="A13" t="s">
        <v>30</v>
      </c>
      <c r="B13" t="s">
        <v>42</v>
      </c>
      <c r="C13" s="117">
        <v>0</v>
      </c>
      <c r="D13" s="117">
        <v>0</v>
      </c>
      <c r="E13" s="117">
        <f t="shared" si="3"/>
        <v>0</v>
      </c>
      <c r="F13" s="117">
        <v>0</v>
      </c>
      <c r="G13" s="2" t="e">
        <f t="shared" si="4"/>
        <v>#DIV/0!</v>
      </c>
      <c r="H13" s="117">
        <v>0</v>
      </c>
      <c r="I13" s="2" t="e">
        <f t="shared" si="1"/>
        <v>#DIV/0!</v>
      </c>
      <c r="J13" s="2" t="e">
        <f t="shared" si="2"/>
        <v>#DIV/0!</v>
      </c>
    </row>
    <row r="14" spans="1:10" x14ac:dyDescent="0.2">
      <c r="A14" t="s">
        <v>30</v>
      </c>
      <c r="B14" t="s">
        <v>43</v>
      </c>
      <c r="C14" s="117">
        <v>19550</v>
      </c>
      <c r="D14" s="117">
        <v>0</v>
      </c>
      <c r="E14" s="117">
        <f t="shared" si="3"/>
        <v>19550</v>
      </c>
      <c r="F14" s="117">
        <v>16285.060000000001</v>
      </c>
      <c r="G14" s="2">
        <f t="shared" si="4"/>
        <v>0.83299539641943743</v>
      </c>
      <c r="H14" s="117">
        <v>661.72</v>
      </c>
      <c r="I14" s="2">
        <f t="shared" si="1"/>
        <v>4.0633562295748368E-2</v>
      </c>
      <c r="J14" s="2">
        <f t="shared" si="2"/>
        <v>3.3847570332480821E-2</v>
      </c>
    </row>
    <row r="15" spans="1:10" x14ac:dyDescent="0.2">
      <c r="A15" t="s">
        <v>30</v>
      </c>
      <c r="B15" t="s">
        <v>24</v>
      </c>
      <c r="C15" s="117">
        <v>9349160</v>
      </c>
      <c r="D15" s="117">
        <v>0</v>
      </c>
      <c r="E15" s="117">
        <f t="shared" si="3"/>
        <v>9349160</v>
      </c>
      <c r="F15" s="117">
        <v>330301.68</v>
      </c>
      <c r="G15" s="2">
        <f t="shared" si="4"/>
        <v>3.5329556879976382E-2</v>
      </c>
      <c r="H15" s="117">
        <v>325101.68</v>
      </c>
      <c r="I15" s="2">
        <f>H15/F15</f>
        <v>0.98425681637465479</v>
      </c>
      <c r="J15" s="2">
        <f t="shared" si="2"/>
        <v>3.4773357178612838E-2</v>
      </c>
    </row>
    <row r="16" spans="1:10" x14ac:dyDescent="0.2">
      <c r="A16" t="s">
        <v>30</v>
      </c>
      <c r="B16" t="s">
        <v>44</v>
      </c>
      <c r="C16" s="117">
        <v>61290</v>
      </c>
      <c r="D16" s="117">
        <v>0</v>
      </c>
      <c r="E16" s="117">
        <f t="shared" si="3"/>
        <v>61290</v>
      </c>
      <c r="F16" s="117">
        <v>39471.67</v>
      </c>
      <c r="G16" s="2">
        <f t="shared" si="4"/>
        <v>0.64401484744656545</v>
      </c>
      <c r="H16" s="117">
        <v>39471.67</v>
      </c>
      <c r="I16" s="2">
        <f t="shared" si="1"/>
        <v>1</v>
      </c>
      <c r="J16" s="2">
        <f t="shared" si="2"/>
        <v>0.64401484744656545</v>
      </c>
    </row>
    <row r="17" spans="1:10" x14ac:dyDescent="0.2">
      <c r="A17" t="s">
        <v>30</v>
      </c>
      <c r="B17" t="s">
        <v>45</v>
      </c>
      <c r="C17" s="117">
        <v>0</v>
      </c>
      <c r="D17" s="117">
        <v>0</v>
      </c>
      <c r="E17" s="117">
        <f t="shared" si="3"/>
        <v>0</v>
      </c>
      <c r="F17" s="117">
        <v>0</v>
      </c>
      <c r="G17" s="2" t="e">
        <f t="shared" si="4"/>
        <v>#DIV/0!</v>
      </c>
      <c r="H17" s="117">
        <v>0</v>
      </c>
      <c r="I17" s="2" t="e">
        <f t="shared" si="1"/>
        <v>#DIV/0!</v>
      </c>
      <c r="J17" s="2" t="e">
        <f t="shared" si="2"/>
        <v>#DIV/0!</v>
      </c>
    </row>
    <row r="18" spans="1:10" x14ac:dyDescent="0.2">
      <c r="A18" t="s">
        <v>30</v>
      </c>
      <c r="B18" t="s">
        <v>27</v>
      </c>
      <c r="C18" s="117">
        <v>0</v>
      </c>
      <c r="D18" s="117">
        <v>0</v>
      </c>
      <c r="E18" s="117">
        <f t="shared" si="3"/>
        <v>0</v>
      </c>
      <c r="F18" s="117">
        <v>0</v>
      </c>
      <c r="G18" s="2" t="e">
        <f>F18/E19</f>
        <v>#DIV/0!</v>
      </c>
      <c r="H18" s="117">
        <v>0</v>
      </c>
      <c r="I18" s="2" t="e">
        <f t="shared" si="1"/>
        <v>#DIV/0!</v>
      </c>
      <c r="J18" s="2" t="e">
        <f>+H18/E19</f>
        <v>#DIV/0!</v>
      </c>
    </row>
    <row r="19" spans="1:10" x14ac:dyDescent="0.2">
      <c r="A19" t="s">
        <v>30</v>
      </c>
      <c r="B19" t="s">
        <v>28</v>
      </c>
      <c r="C19" s="117">
        <v>0</v>
      </c>
      <c r="D19" s="117">
        <v>0</v>
      </c>
      <c r="E19" s="117">
        <f t="shared" si="3"/>
        <v>0</v>
      </c>
      <c r="F19" s="117">
        <v>0</v>
      </c>
      <c r="G19" s="2" t="e">
        <f>F19/E20</f>
        <v>#DIV/0!</v>
      </c>
      <c r="H19" s="117">
        <v>0</v>
      </c>
      <c r="I19" s="2" t="e">
        <f t="shared" si="1"/>
        <v>#DIV/0!</v>
      </c>
      <c r="J19" s="2" t="e">
        <f>+H19/E20</f>
        <v>#DIV/0!</v>
      </c>
    </row>
    <row r="20" spans="1:10" x14ac:dyDescent="0.2">
      <c r="A20" t="s">
        <v>30</v>
      </c>
      <c r="B20" t="s">
        <v>29</v>
      </c>
      <c r="C20" s="117">
        <v>0</v>
      </c>
      <c r="D20" s="117">
        <v>0</v>
      </c>
      <c r="E20" s="117">
        <f t="shared" si="3"/>
        <v>0</v>
      </c>
      <c r="F20" s="117">
        <v>0</v>
      </c>
      <c r="G20" s="2" t="e">
        <f t="shared" si="4"/>
        <v>#DIV/0!</v>
      </c>
      <c r="H20" s="117">
        <v>0</v>
      </c>
      <c r="I20" s="2" t="e">
        <f t="shared" si="1"/>
        <v>#DIV/0!</v>
      </c>
      <c r="J20" s="2" t="e">
        <f t="shared" si="2"/>
        <v>#DIV/0!</v>
      </c>
    </row>
    <row r="21" spans="1:10" x14ac:dyDescent="0.2">
      <c r="A21" s="3"/>
      <c r="B21" s="3" t="s">
        <v>31</v>
      </c>
      <c r="C21" s="4">
        <f>SUM(C12:C20)</f>
        <v>9430000</v>
      </c>
      <c r="D21" s="4">
        <f>SUM(D12:D20)</f>
        <v>0</v>
      </c>
      <c r="E21" s="4">
        <f>SUM(E12:E20)</f>
        <v>9430000</v>
      </c>
      <c r="F21" s="4">
        <f>SUM(F12:F20)</f>
        <v>386058.41</v>
      </c>
      <c r="G21" s="5">
        <f t="shared" si="4"/>
        <v>4.0939386002120888E-2</v>
      </c>
      <c r="H21" s="4">
        <f>SUM(H12:H20)</f>
        <v>365235.06999999995</v>
      </c>
      <c r="I21" s="5">
        <f t="shared" si="1"/>
        <v>0.94606168532891166</v>
      </c>
      <c r="J21" s="5">
        <f t="shared" si="2"/>
        <v>3.8731184517497345E-2</v>
      </c>
    </row>
    <row r="22" spans="1:10" x14ac:dyDescent="0.2">
      <c r="A22" t="s">
        <v>32</v>
      </c>
      <c r="B22" t="s">
        <v>41</v>
      </c>
      <c r="C22" s="117">
        <v>0</v>
      </c>
      <c r="D22" s="117">
        <v>0</v>
      </c>
      <c r="E22" s="117">
        <f t="shared" si="3"/>
        <v>0</v>
      </c>
      <c r="F22" s="117">
        <v>0</v>
      </c>
      <c r="G22" s="2" t="e">
        <f t="shared" si="4"/>
        <v>#DIV/0!</v>
      </c>
      <c r="H22" s="117">
        <v>0</v>
      </c>
      <c r="I22" s="2" t="e">
        <f t="shared" si="1"/>
        <v>#DIV/0!</v>
      </c>
      <c r="J22" s="2" t="e">
        <f t="shared" si="2"/>
        <v>#DIV/0!</v>
      </c>
    </row>
    <row r="23" spans="1:10" x14ac:dyDescent="0.2">
      <c r="A23" t="s">
        <v>32</v>
      </c>
      <c r="B23" t="s">
        <v>42</v>
      </c>
      <c r="C23" s="117">
        <v>0</v>
      </c>
      <c r="D23" s="117">
        <v>0</v>
      </c>
      <c r="E23" s="117">
        <f t="shared" si="3"/>
        <v>0</v>
      </c>
      <c r="F23" s="117">
        <v>0</v>
      </c>
      <c r="G23" s="2" t="e">
        <f t="shared" si="4"/>
        <v>#DIV/0!</v>
      </c>
      <c r="H23" s="117">
        <v>0</v>
      </c>
      <c r="I23" s="2" t="e">
        <f t="shared" si="1"/>
        <v>#DIV/0!</v>
      </c>
      <c r="J23" s="2" t="e">
        <f t="shared" si="2"/>
        <v>#DIV/0!</v>
      </c>
    </row>
    <row r="24" spans="1:10" x14ac:dyDescent="0.2">
      <c r="A24" t="s">
        <v>32</v>
      </c>
      <c r="B24" t="s">
        <v>43</v>
      </c>
      <c r="C24" s="117">
        <v>17839300</v>
      </c>
      <c r="D24" s="117">
        <v>0</v>
      </c>
      <c r="E24" s="117">
        <v>17839300</v>
      </c>
      <c r="F24" s="117">
        <v>0</v>
      </c>
      <c r="G24" s="2">
        <f t="shared" si="4"/>
        <v>0</v>
      </c>
      <c r="H24" s="117">
        <v>0</v>
      </c>
      <c r="I24" s="2" t="e">
        <f t="shared" si="1"/>
        <v>#DIV/0!</v>
      </c>
      <c r="J24" s="2">
        <f t="shared" si="2"/>
        <v>0</v>
      </c>
    </row>
    <row r="25" spans="1:10" x14ac:dyDescent="0.2">
      <c r="A25" t="s">
        <v>32</v>
      </c>
      <c r="B25" t="s">
        <v>24</v>
      </c>
      <c r="C25" s="117">
        <v>80000</v>
      </c>
      <c r="D25" s="117">
        <v>0</v>
      </c>
      <c r="E25" s="117">
        <v>80000</v>
      </c>
      <c r="F25" s="117">
        <v>0</v>
      </c>
      <c r="G25" s="2">
        <f t="shared" si="4"/>
        <v>0</v>
      </c>
      <c r="H25" s="117">
        <v>0</v>
      </c>
      <c r="I25" s="2" t="e">
        <f t="shared" si="1"/>
        <v>#DIV/0!</v>
      </c>
      <c r="J25" s="2">
        <f t="shared" si="2"/>
        <v>0</v>
      </c>
    </row>
    <row r="26" spans="1:10" x14ac:dyDescent="0.2">
      <c r="A26" t="s">
        <v>32</v>
      </c>
      <c r="B26" t="s">
        <v>44</v>
      </c>
      <c r="C26" s="117">
        <v>650700</v>
      </c>
      <c r="D26" s="117">
        <v>0</v>
      </c>
      <c r="E26" s="117">
        <v>650700</v>
      </c>
      <c r="F26" s="117">
        <v>208319.51</v>
      </c>
      <c r="G26" s="2">
        <f t="shared" si="4"/>
        <v>0.32014678039034888</v>
      </c>
      <c r="H26" s="117">
        <v>208319.51</v>
      </c>
      <c r="I26" s="2">
        <f t="shared" si="1"/>
        <v>1</v>
      </c>
      <c r="J26" s="2">
        <f t="shared" si="2"/>
        <v>0.32014678039034888</v>
      </c>
    </row>
    <row r="27" spans="1:10" x14ac:dyDescent="0.2">
      <c r="A27" t="s">
        <v>32</v>
      </c>
      <c r="B27" t="s">
        <v>45</v>
      </c>
      <c r="C27" s="117">
        <v>0</v>
      </c>
      <c r="D27" s="117">
        <v>0</v>
      </c>
      <c r="E27" s="117">
        <v>0</v>
      </c>
      <c r="F27" s="117">
        <v>0</v>
      </c>
      <c r="G27" s="2">
        <f>F27/E29</f>
        <v>0</v>
      </c>
      <c r="H27" s="117">
        <v>0</v>
      </c>
      <c r="I27" s="2" t="e">
        <f t="shared" si="1"/>
        <v>#DIV/0!</v>
      </c>
      <c r="J27" s="2">
        <f>+H27/E29</f>
        <v>0</v>
      </c>
    </row>
    <row r="28" spans="1:10" x14ac:dyDescent="0.2">
      <c r="A28" t="s">
        <v>32</v>
      </c>
      <c r="B28" t="s">
        <v>27</v>
      </c>
      <c r="C28" s="117">
        <v>0</v>
      </c>
      <c r="D28" s="117">
        <v>0</v>
      </c>
      <c r="E28" s="117">
        <f t="shared" si="3"/>
        <v>0</v>
      </c>
      <c r="F28" s="117">
        <v>0</v>
      </c>
      <c r="G28" s="2" t="e">
        <f t="shared" si="4"/>
        <v>#DIV/0!</v>
      </c>
      <c r="H28" s="117">
        <v>0</v>
      </c>
      <c r="I28" s="2" t="e">
        <f t="shared" si="1"/>
        <v>#DIV/0!</v>
      </c>
      <c r="J28" s="2" t="e">
        <f t="shared" si="2"/>
        <v>#DIV/0!</v>
      </c>
    </row>
    <row r="29" spans="1:10" x14ac:dyDescent="0.2">
      <c r="A29" t="s">
        <v>32</v>
      </c>
      <c r="B29" t="s">
        <v>28</v>
      </c>
      <c r="C29" s="117">
        <v>0</v>
      </c>
      <c r="D29" s="117">
        <v>1352889.53</v>
      </c>
      <c r="E29" s="117">
        <v>1352889.53</v>
      </c>
      <c r="F29" s="117">
        <v>0</v>
      </c>
      <c r="G29" s="2">
        <f t="shared" si="4"/>
        <v>0</v>
      </c>
      <c r="H29" s="117">
        <v>0</v>
      </c>
      <c r="I29" s="2" t="e">
        <f t="shared" si="1"/>
        <v>#DIV/0!</v>
      </c>
      <c r="J29" s="2">
        <f t="shared" si="2"/>
        <v>0</v>
      </c>
    </row>
    <row r="30" spans="1:10" x14ac:dyDescent="0.2">
      <c r="A30" t="s">
        <v>32</v>
      </c>
      <c r="B30" t="s">
        <v>29</v>
      </c>
      <c r="C30" s="117">
        <v>0</v>
      </c>
      <c r="D30" s="117">
        <v>0</v>
      </c>
      <c r="E30" s="117">
        <f t="shared" si="3"/>
        <v>0</v>
      </c>
      <c r="F30" s="117">
        <v>0</v>
      </c>
      <c r="G30" s="2" t="e">
        <f t="shared" si="4"/>
        <v>#DIV/0!</v>
      </c>
      <c r="H30" s="117">
        <v>0</v>
      </c>
      <c r="I30" s="2" t="e">
        <f t="shared" si="1"/>
        <v>#DIV/0!</v>
      </c>
      <c r="J30" s="2" t="e">
        <f t="shared" si="2"/>
        <v>#DIV/0!</v>
      </c>
    </row>
    <row r="31" spans="1:10" x14ac:dyDescent="0.2">
      <c r="A31" s="3"/>
      <c r="B31" s="3" t="s">
        <v>32</v>
      </c>
      <c r="C31" s="4">
        <f>SUM(C22:C30)</f>
        <v>18570000</v>
      </c>
      <c r="D31" s="4">
        <f>SUM(D22:D30)</f>
        <v>1352889.53</v>
      </c>
      <c r="E31" s="4">
        <f>SUM(E22:E30)</f>
        <v>19922889.530000001</v>
      </c>
      <c r="F31" s="4">
        <f>SUM(F22:F30)</f>
        <v>208319.51</v>
      </c>
      <c r="G31" s="5">
        <f t="shared" si="4"/>
        <v>1.0456289971708737E-2</v>
      </c>
      <c r="H31" s="4">
        <f>SUM(H22:H30)</f>
        <v>208319.51</v>
      </c>
      <c r="I31" s="5">
        <f t="shared" si="1"/>
        <v>1</v>
      </c>
      <c r="J31" s="5">
        <f t="shared" si="2"/>
        <v>1.0456289971708737E-2</v>
      </c>
    </row>
    <row r="32" spans="1:10" x14ac:dyDescent="0.2">
      <c r="A32" t="s">
        <v>79</v>
      </c>
      <c r="B32" t="s">
        <v>41</v>
      </c>
    </row>
    <row r="33" spans="1:10" x14ac:dyDescent="0.2">
      <c r="A33" t="s">
        <v>79</v>
      </c>
      <c r="B33" t="s">
        <v>42</v>
      </c>
    </row>
    <row r="34" spans="1:10" x14ac:dyDescent="0.2">
      <c r="A34" t="s">
        <v>79</v>
      </c>
      <c r="B34" t="s">
        <v>43</v>
      </c>
    </row>
    <row r="35" spans="1:10" x14ac:dyDescent="0.2">
      <c r="A35" t="s">
        <v>79</v>
      </c>
      <c r="B35" t="s">
        <v>24</v>
      </c>
      <c r="C35" s="117">
        <v>6930000</v>
      </c>
      <c r="D35" s="117">
        <v>0</v>
      </c>
      <c r="E35" s="117">
        <f>C35</f>
        <v>6930000</v>
      </c>
      <c r="F35" s="117">
        <v>0</v>
      </c>
      <c r="G35" s="129"/>
      <c r="H35" s="117">
        <v>0</v>
      </c>
    </row>
    <row r="36" spans="1:10" x14ac:dyDescent="0.2">
      <c r="A36" t="s">
        <v>79</v>
      </c>
      <c r="B36" t="s">
        <v>44</v>
      </c>
    </row>
    <row r="37" spans="1:10" x14ac:dyDescent="0.2">
      <c r="A37" t="s">
        <v>79</v>
      </c>
      <c r="B37" t="s">
        <v>45</v>
      </c>
    </row>
    <row r="38" spans="1:10" x14ac:dyDescent="0.2">
      <c r="A38" t="s">
        <v>79</v>
      </c>
      <c r="B38" t="s">
        <v>27</v>
      </c>
    </row>
    <row r="39" spans="1:10" x14ac:dyDescent="0.2">
      <c r="A39" t="s">
        <v>79</v>
      </c>
      <c r="B39" t="s">
        <v>28</v>
      </c>
    </row>
    <row r="40" spans="1:10" x14ac:dyDescent="0.2">
      <c r="A40" t="s">
        <v>79</v>
      </c>
      <c r="B40" t="s">
        <v>29</v>
      </c>
    </row>
    <row r="41" spans="1:10" x14ac:dyDescent="0.2">
      <c r="A41" s="3"/>
      <c r="B41" s="3" t="s">
        <v>80</v>
      </c>
      <c r="C41" s="4">
        <f>SUM(C32:C40)</f>
        <v>6930000</v>
      </c>
      <c r="D41" s="4">
        <f>SUM(D32:D40)</f>
        <v>0</v>
      </c>
      <c r="E41" s="4">
        <f>SUM(E32:E40)</f>
        <v>6930000</v>
      </c>
      <c r="F41" s="4">
        <f>SUM(F32:F40)</f>
        <v>0</v>
      </c>
      <c r="G41" s="5"/>
      <c r="H41" s="4">
        <f>SUM(H32:H40)</f>
        <v>0</v>
      </c>
      <c r="I41" s="5"/>
    </row>
    <row r="42" spans="1:10" x14ac:dyDescent="0.2">
      <c r="A42" t="s">
        <v>33</v>
      </c>
      <c r="B42" t="s">
        <v>91</v>
      </c>
      <c r="C42" s="1">
        <f t="shared" ref="C42:F44" si="5">C2+C12+C22</f>
        <v>19762331.240000002</v>
      </c>
      <c r="D42" s="1">
        <f t="shared" si="5"/>
        <v>0</v>
      </c>
      <c r="E42" s="1">
        <f t="shared" si="5"/>
        <v>19762331.240000002</v>
      </c>
      <c r="F42" s="1">
        <f t="shared" si="5"/>
        <v>4798487.72</v>
      </c>
      <c r="G42" s="2">
        <f>F42/E42</f>
        <v>0.24280980121857321</v>
      </c>
      <c r="H42" s="1">
        <f>H2+H12+H22</f>
        <v>4784207.49</v>
      </c>
      <c r="I42" s="2">
        <f t="shared" ref="I42:I51" si="6">H42/F42</f>
        <v>0.99702401447429367</v>
      </c>
      <c r="J42" s="2">
        <f>H42/E42</f>
        <v>0.2420872027646471</v>
      </c>
    </row>
    <row r="43" spans="1:10" x14ac:dyDescent="0.2">
      <c r="A43" t="s">
        <v>33</v>
      </c>
      <c r="B43" t="s">
        <v>92</v>
      </c>
      <c r="C43" s="1">
        <f t="shared" si="5"/>
        <v>14404862.060000001</v>
      </c>
      <c r="D43" s="1">
        <f t="shared" si="5"/>
        <v>0</v>
      </c>
      <c r="E43" s="1">
        <f t="shared" ref="E43" si="7">E3+E13+E23</f>
        <v>14404862.060000001</v>
      </c>
      <c r="F43" s="1">
        <f t="shared" ref="F43" si="8">F3+F13+F23</f>
        <v>3731601.06</v>
      </c>
      <c r="G43" s="2">
        <f>F43/E43</f>
        <v>0.25905149556149237</v>
      </c>
      <c r="H43" s="1">
        <f t="shared" ref="H43:H50" si="9">H3+H13+H23</f>
        <v>3731601.06</v>
      </c>
      <c r="I43" s="2">
        <f t="shared" si="6"/>
        <v>1</v>
      </c>
      <c r="J43" s="2">
        <f>H43/E43</f>
        <v>0.25905149556149237</v>
      </c>
    </row>
    <row r="44" spans="1:10" x14ac:dyDescent="0.2">
      <c r="A44" t="s">
        <v>33</v>
      </c>
      <c r="B44" t="s">
        <v>93</v>
      </c>
      <c r="C44" s="1">
        <f t="shared" si="5"/>
        <v>20036519.309999999</v>
      </c>
      <c r="D44" s="1">
        <f t="shared" si="5"/>
        <v>0</v>
      </c>
      <c r="E44" s="1">
        <f t="shared" ref="E44" si="10">E4+E14+E24</f>
        <v>20036519.309999999</v>
      </c>
      <c r="F44" s="1">
        <f t="shared" ref="F44" si="11">F4+F14+F24</f>
        <v>251191.03</v>
      </c>
      <c r="G44" s="2">
        <f>F44/E44</f>
        <v>1.2536659991370528E-2</v>
      </c>
      <c r="H44" s="1">
        <f t="shared" si="9"/>
        <v>216621.36000000002</v>
      </c>
      <c r="I44" s="2">
        <f t="shared" si="6"/>
        <v>0.86237697261721491</v>
      </c>
      <c r="J44" s="2">
        <f>H44/E44</f>
        <v>1.0811326890089476E-2</v>
      </c>
    </row>
    <row r="45" spans="1:10" x14ac:dyDescent="0.2">
      <c r="A45" t="s">
        <v>33</v>
      </c>
      <c r="B45" t="s">
        <v>85</v>
      </c>
      <c r="C45" s="1">
        <f>C5+C15+C25-C35</f>
        <v>150463496.83999997</v>
      </c>
      <c r="D45" s="1">
        <f>D5+D15+D25-D35</f>
        <v>0</v>
      </c>
      <c r="E45" s="1">
        <f>E5+E15+E25-E35</f>
        <v>150463496.83999997</v>
      </c>
      <c r="F45" s="1">
        <f t="shared" ref="F45" si="12">F5+F15+F25</f>
        <v>32106111.800000001</v>
      </c>
      <c r="G45" s="2">
        <f>F45/E45</f>
        <v>0.21338140129855571</v>
      </c>
      <c r="H45" s="1">
        <f t="shared" si="9"/>
        <v>31883156.16</v>
      </c>
      <c r="I45" s="2">
        <f t="shared" si="6"/>
        <v>0.99305566362601405</v>
      </c>
      <c r="J45" s="2">
        <f>H45/E45</f>
        <v>0.21189960907198604</v>
      </c>
    </row>
    <row r="46" spans="1:10" x14ac:dyDescent="0.2">
      <c r="A46" t="s">
        <v>33</v>
      </c>
      <c r="B46" t="s">
        <v>94</v>
      </c>
      <c r="C46" s="1">
        <f t="shared" ref="C46:F50" si="13">C6+C16+C26</f>
        <v>7769589.96</v>
      </c>
      <c r="D46" s="1">
        <f t="shared" si="13"/>
        <v>0</v>
      </c>
      <c r="E46" s="1">
        <f t="shared" si="13"/>
        <v>7769589.96</v>
      </c>
      <c r="F46" s="1">
        <f t="shared" si="13"/>
        <v>1078003.2000000002</v>
      </c>
      <c r="G46" s="2">
        <f>F46/E46</f>
        <v>0.1387464725358557</v>
      </c>
      <c r="H46" s="1">
        <f t="shared" si="9"/>
        <v>1072852.56</v>
      </c>
      <c r="I46" s="2">
        <f t="shared" si="6"/>
        <v>0.99522205499946559</v>
      </c>
      <c r="J46" s="2">
        <f>H46/E46</f>
        <v>0.13808354952106122</v>
      </c>
    </row>
    <row r="47" spans="1:10" x14ac:dyDescent="0.2">
      <c r="A47" t="s">
        <v>33</v>
      </c>
      <c r="B47" t="s">
        <v>95</v>
      </c>
      <c r="C47" s="1">
        <f t="shared" si="13"/>
        <v>1100</v>
      </c>
      <c r="D47" s="1">
        <f t="shared" si="13"/>
        <v>0</v>
      </c>
      <c r="E47" s="1">
        <f t="shared" si="13"/>
        <v>1100</v>
      </c>
      <c r="F47" s="1">
        <f t="shared" si="13"/>
        <v>2304</v>
      </c>
      <c r="G47" s="2">
        <f>IF(F47/E47&gt;1.5,1,F47/E47)</f>
        <v>1</v>
      </c>
      <c r="H47" s="1">
        <f t="shared" si="9"/>
        <v>2304</v>
      </c>
      <c r="I47" s="2">
        <f t="shared" si="6"/>
        <v>1</v>
      </c>
      <c r="J47" s="99">
        <f>IF(H47/E47&gt;1.5,1,H47/E47)</f>
        <v>1</v>
      </c>
    </row>
    <row r="48" spans="1:10" x14ac:dyDescent="0.2">
      <c r="A48" t="s">
        <v>33</v>
      </c>
      <c r="B48" t="s">
        <v>88</v>
      </c>
      <c r="C48" s="1">
        <f t="shared" si="13"/>
        <v>1362100.5899999999</v>
      </c>
      <c r="D48" s="1">
        <f>D8+D19+D28</f>
        <v>0</v>
      </c>
      <c r="E48" s="1">
        <f t="shared" ref="E48" si="14">E8+E18+E28</f>
        <v>1362100.5899999999</v>
      </c>
      <c r="F48" s="1">
        <f t="shared" ref="F48" si="15">F8+F18+F28</f>
        <v>2833869.44</v>
      </c>
      <c r="G48" s="2">
        <f>IF(F48/E48&gt;1.5,1,F48/E48)</f>
        <v>1</v>
      </c>
      <c r="H48" s="1">
        <f t="shared" si="9"/>
        <v>2833869.44</v>
      </c>
      <c r="I48" s="2">
        <f t="shared" si="6"/>
        <v>1</v>
      </c>
      <c r="J48" s="2">
        <f>IF(H48/E48&gt;1.5,1,H48/E48)</f>
        <v>1</v>
      </c>
    </row>
    <row r="49" spans="1:10" x14ac:dyDescent="0.2">
      <c r="A49" t="s">
        <v>33</v>
      </c>
      <c r="B49" t="s">
        <v>89</v>
      </c>
      <c r="C49" s="1">
        <f>C9+C19+C29</f>
        <v>600000</v>
      </c>
      <c r="D49" s="1">
        <f t="shared" si="13"/>
        <v>1352889.53</v>
      </c>
      <c r="E49" s="1">
        <f t="shared" si="13"/>
        <v>1952889.53</v>
      </c>
      <c r="F49" s="1">
        <f t="shared" si="13"/>
        <v>1575</v>
      </c>
      <c r="G49" s="2">
        <f>F49/E49</f>
        <v>8.0649723182242669E-4</v>
      </c>
      <c r="H49" s="1">
        <f t="shared" si="9"/>
        <v>1575</v>
      </c>
      <c r="I49" s="2">
        <f t="shared" si="6"/>
        <v>1</v>
      </c>
      <c r="J49" s="2">
        <f>H49/E49</f>
        <v>8.0649723182242669E-4</v>
      </c>
    </row>
    <row r="50" spans="1:10" x14ac:dyDescent="0.2">
      <c r="A50" t="s">
        <v>33</v>
      </c>
      <c r="B50" t="s">
        <v>90</v>
      </c>
      <c r="C50" s="1">
        <f t="shared" si="13"/>
        <v>8000000</v>
      </c>
      <c r="D50" s="1">
        <f t="shared" si="13"/>
        <v>0</v>
      </c>
      <c r="E50" s="1">
        <f t="shared" si="13"/>
        <v>8000000</v>
      </c>
      <c r="F50" s="1">
        <f t="shared" si="13"/>
        <v>0</v>
      </c>
      <c r="G50" s="2">
        <f>F50/E50</f>
        <v>0</v>
      </c>
      <c r="H50" s="1">
        <f t="shared" si="9"/>
        <v>0</v>
      </c>
      <c r="I50" s="2" t="e">
        <f t="shared" si="6"/>
        <v>#DIV/0!</v>
      </c>
      <c r="J50" s="2">
        <f>H50/E50</f>
        <v>0</v>
      </c>
    </row>
    <row r="51" spans="1:10" s="3" customFormat="1" x14ac:dyDescent="0.2">
      <c r="B51" s="3" t="s">
        <v>34</v>
      </c>
      <c r="C51" s="4">
        <f>SUM(C42:C50)</f>
        <v>222400000</v>
      </c>
      <c r="D51" s="4">
        <f>SUM(D42:D50)</f>
        <v>1352889.53</v>
      </c>
      <c r="E51" s="4">
        <f>SUM(E42:E50)</f>
        <v>223752889.53</v>
      </c>
      <c r="F51" s="4">
        <f>SUM(F42:F50)</f>
        <v>44803143.25</v>
      </c>
      <c r="G51" s="5">
        <f>F51/E51</f>
        <v>0.20023492587787542</v>
      </c>
      <c r="H51" s="4">
        <f>SUM(H42:H50)</f>
        <v>44526187.07</v>
      </c>
      <c r="I51" s="5">
        <f t="shared" si="6"/>
        <v>0.99381837612475998</v>
      </c>
      <c r="J51" s="67">
        <f>H51/E51</f>
        <v>0.19899714887941183</v>
      </c>
    </row>
    <row r="55" spans="1:10" x14ac:dyDescent="0.2">
      <c r="A55" t="s">
        <v>20</v>
      </c>
      <c r="B55" t="s">
        <v>131</v>
      </c>
      <c r="C55" s="117">
        <v>0</v>
      </c>
      <c r="D55" s="1">
        <f>D9</f>
        <v>0</v>
      </c>
      <c r="E55" s="1">
        <f>C55+D55</f>
        <v>0</v>
      </c>
      <c r="G55" s="99" t="s">
        <v>328</v>
      </c>
      <c r="H55" s="99"/>
      <c r="I55" s="99"/>
      <c r="J55" s="99"/>
    </row>
    <row r="56" spans="1:10" x14ac:dyDescent="0.2">
      <c r="A56" t="s">
        <v>32</v>
      </c>
      <c r="B56" t="s">
        <v>131</v>
      </c>
      <c r="C56" s="1">
        <f>C29</f>
        <v>0</v>
      </c>
      <c r="D56" s="1">
        <f>D29</f>
        <v>1352889.53</v>
      </c>
      <c r="E56" s="1">
        <f>C56+D56</f>
        <v>1352889.53</v>
      </c>
      <c r="H56" s="2"/>
      <c r="J56" s="2"/>
    </row>
    <row r="57" spans="1:10" x14ac:dyDescent="0.2">
      <c r="A57" t="s">
        <v>30</v>
      </c>
      <c r="B57" t="s">
        <v>131</v>
      </c>
      <c r="C57" s="1">
        <f>C19</f>
        <v>0</v>
      </c>
      <c r="D57" s="1">
        <f>D19</f>
        <v>0</v>
      </c>
      <c r="E57" s="1">
        <f>C57+D57</f>
        <v>0</v>
      </c>
    </row>
    <row r="58" spans="1:10" x14ac:dyDescent="0.2">
      <c r="C58" s="1">
        <f>SUM(C55:C57)</f>
        <v>0</v>
      </c>
      <c r="D58" s="1">
        <f>SUM(D55:D57)</f>
        <v>1352889.53</v>
      </c>
      <c r="E58" s="1">
        <f>SUM(E55:E57)</f>
        <v>1352889.53</v>
      </c>
    </row>
    <row r="61" spans="1:10" x14ac:dyDescent="0.2">
      <c r="C61" s="108"/>
    </row>
    <row r="62" spans="1:10" x14ac:dyDescent="0.2">
      <c r="C62" s="108"/>
    </row>
  </sheetData>
  <sheetProtection selectLockedCells="1" selectUnlockedCells="1"/>
  <phoneticPr fontId="0" type="noConversion"/>
  <pageMargins left="0.19652777777777777" right="0.19652777777777777" top="0.59027777777777779" bottom="0.19652777777777777" header="0.51180555555555551" footer="0.51180555555555551"/>
  <pageSetup paperSize="9" scale="71" firstPageNumber="0" orientation="landscape" horizontalDpi="300" verticalDpi="300" r:id="rId1"/>
  <headerFooter alignWithMargins="0"/>
  <ignoredErrors>
    <ignoredError sqref="G42:G47 G11 G31 G49:G51" formula="1"/>
    <ignoredError sqref="I10:I30" evalError="1"/>
    <ignoredError sqref="G12:G30" evalError="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O51"/>
  <sheetViews>
    <sheetView zoomScale="85" zoomScaleNormal="85" workbookViewId="0">
      <pane xSplit="2" ySplit="1" topLeftCell="C35" activePane="bottomRight" state="frozen"/>
      <selection activeCell="K20" sqref="K20"/>
      <selection pane="topRight" activeCell="K20" sqref="K20"/>
      <selection pane="bottomLeft" activeCell="K20" sqref="K20"/>
      <selection pane="bottomRight" activeCell="C35" sqref="C35:E35"/>
    </sheetView>
  </sheetViews>
  <sheetFormatPr baseColWidth="10" defaultColWidth="9.140625" defaultRowHeight="12.75" x14ac:dyDescent="0.2"/>
  <cols>
    <col min="1" max="1" width="6.28515625" customWidth="1"/>
    <col min="2" max="2" width="40.28515625" customWidth="1"/>
    <col min="3" max="3" width="16.42578125" style="1" customWidth="1"/>
    <col min="4" max="4" width="13.5703125" style="1" customWidth="1"/>
    <col min="5" max="5" width="16.140625" style="1" customWidth="1"/>
    <col min="6" max="6" width="19.7109375" style="1" customWidth="1"/>
    <col min="7" max="7" width="16.7109375" style="1" customWidth="1"/>
    <col min="8" max="8" width="19.42578125" style="1" customWidth="1"/>
    <col min="9" max="9" width="19.28515625" style="1" customWidth="1"/>
    <col min="10" max="10" width="13.42578125" style="2" customWidth="1"/>
    <col min="11" max="11" width="10.42578125" style="2" customWidth="1"/>
    <col min="12" max="12" width="14.42578125" style="1" customWidth="1"/>
    <col min="13" max="13" width="10.7109375" style="2" customWidth="1"/>
    <col min="14" max="14" width="14.42578125" style="1" customWidth="1"/>
    <col min="15" max="15" width="9.28515625" style="2" customWidth="1"/>
  </cols>
  <sheetData>
    <row r="1" spans="1:15" s="3" customFormat="1" x14ac:dyDescent="0.2">
      <c r="A1" s="3" t="s">
        <v>19</v>
      </c>
      <c r="B1" s="3" t="s">
        <v>48</v>
      </c>
      <c r="C1" s="4" t="s">
        <v>211</v>
      </c>
      <c r="D1" s="4" t="s">
        <v>2</v>
      </c>
      <c r="E1" s="4" t="s">
        <v>212</v>
      </c>
      <c r="F1" s="4" t="s">
        <v>213</v>
      </c>
      <c r="G1" s="4" t="s">
        <v>12</v>
      </c>
      <c r="H1" s="4" t="s">
        <v>214</v>
      </c>
      <c r="I1" s="4" t="s">
        <v>215</v>
      </c>
      <c r="J1" s="5" t="s">
        <v>216</v>
      </c>
      <c r="K1" s="5"/>
      <c r="L1" s="4"/>
      <c r="M1" s="5"/>
      <c r="N1" s="4"/>
      <c r="O1" s="5"/>
    </row>
    <row r="2" spans="1:15" x14ac:dyDescent="0.2">
      <c r="A2" t="s">
        <v>20</v>
      </c>
      <c r="B2" t="s">
        <v>21</v>
      </c>
      <c r="C2" s="117">
        <v>0</v>
      </c>
      <c r="D2" s="117">
        <v>0</v>
      </c>
      <c r="E2" s="137">
        <v>0</v>
      </c>
      <c r="F2" s="117">
        <v>0</v>
      </c>
      <c r="G2" s="137">
        <v>0</v>
      </c>
      <c r="H2" s="138">
        <f t="shared" ref="H2:H20" si="0">E2-F2-G2</f>
        <v>0</v>
      </c>
      <c r="I2" s="1">
        <f>F2+G2</f>
        <v>0</v>
      </c>
      <c r="J2" s="2">
        <f t="shared" ref="J2:J31" si="1">IFERROR(I2/E2,0)</f>
        <v>0</v>
      </c>
    </row>
    <row r="3" spans="1:15" x14ac:dyDescent="0.2">
      <c r="A3" t="s">
        <v>20</v>
      </c>
      <c r="B3" t="s">
        <v>22</v>
      </c>
      <c r="C3" s="117">
        <v>209127.94</v>
      </c>
      <c r="D3" s="117">
        <v>0</v>
      </c>
      <c r="E3" s="137">
        <v>209127.94</v>
      </c>
      <c r="F3" s="117">
        <v>0</v>
      </c>
      <c r="G3" s="137">
        <v>207177.91</v>
      </c>
      <c r="H3" s="138">
        <f>E3-G3</f>
        <v>1950.0299999999988</v>
      </c>
      <c r="I3" s="1">
        <f t="shared" ref="I3:I10" si="2">F3+G3</f>
        <v>207177.91</v>
      </c>
      <c r="J3" s="2">
        <f t="shared" si="1"/>
        <v>0.99067542098870198</v>
      </c>
    </row>
    <row r="4" spans="1:15" x14ac:dyDescent="0.2">
      <c r="A4" t="s">
        <v>20</v>
      </c>
      <c r="B4" t="s">
        <v>23</v>
      </c>
      <c r="C4" s="137">
        <v>16.96</v>
      </c>
      <c r="D4" s="117">
        <v>0</v>
      </c>
      <c r="E4" s="137">
        <v>16.96</v>
      </c>
      <c r="F4" s="117">
        <v>0</v>
      </c>
      <c r="G4" s="137">
        <v>16.96</v>
      </c>
      <c r="H4" s="138">
        <f t="shared" ref="H4:H10" si="3">E4-G4</f>
        <v>0</v>
      </c>
      <c r="I4" s="1">
        <f t="shared" si="2"/>
        <v>16.96</v>
      </c>
      <c r="J4" s="2">
        <f t="shared" si="1"/>
        <v>1</v>
      </c>
    </row>
    <row r="5" spans="1:15" x14ac:dyDescent="0.2">
      <c r="A5" t="s">
        <v>20</v>
      </c>
      <c r="B5" t="s">
        <v>24</v>
      </c>
      <c r="C5" s="137">
        <v>1416060.05</v>
      </c>
      <c r="D5" s="117">
        <v>0</v>
      </c>
      <c r="E5" s="137">
        <v>1416060.05</v>
      </c>
      <c r="F5" s="117">
        <v>0</v>
      </c>
      <c r="G5" s="137">
        <v>1343874.6500000001</v>
      </c>
      <c r="H5" s="138">
        <f>E5-G5</f>
        <v>72185.399999999907</v>
      </c>
      <c r="I5" s="1">
        <f t="shared" si="2"/>
        <v>1343874.6500000001</v>
      </c>
      <c r="J5" s="2">
        <f t="shared" si="1"/>
        <v>0.94902377197916155</v>
      </c>
    </row>
    <row r="6" spans="1:15" x14ac:dyDescent="0.2">
      <c r="A6" t="s">
        <v>20</v>
      </c>
      <c r="B6" t="s">
        <v>25</v>
      </c>
      <c r="C6" s="117">
        <v>0</v>
      </c>
      <c r="D6" s="117">
        <v>0</v>
      </c>
      <c r="E6" s="137">
        <v>0</v>
      </c>
      <c r="F6" s="117">
        <v>0</v>
      </c>
      <c r="G6" s="137">
        <v>0</v>
      </c>
      <c r="H6" s="138">
        <f t="shared" si="3"/>
        <v>0</v>
      </c>
      <c r="I6" s="1">
        <f t="shared" si="2"/>
        <v>0</v>
      </c>
      <c r="J6" s="2">
        <f t="shared" si="1"/>
        <v>0</v>
      </c>
    </row>
    <row r="7" spans="1:15" x14ac:dyDescent="0.2">
      <c r="A7" t="s">
        <v>20</v>
      </c>
      <c r="B7" t="s">
        <v>26</v>
      </c>
      <c r="C7" s="137">
        <v>79899.060000000012</v>
      </c>
      <c r="D7" s="117">
        <v>0</v>
      </c>
      <c r="E7" s="137">
        <v>79899.060000000012</v>
      </c>
      <c r="F7" s="117">
        <v>0</v>
      </c>
      <c r="G7" s="137">
        <v>79078.570000000007</v>
      </c>
      <c r="H7" s="138">
        <f t="shared" si="3"/>
        <v>820.49000000000524</v>
      </c>
      <c r="I7" s="1">
        <f t="shared" si="2"/>
        <v>79078.570000000007</v>
      </c>
      <c r="J7" s="2">
        <f t="shared" si="1"/>
        <v>0.98973091798576851</v>
      </c>
    </row>
    <row r="8" spans="1:15" x14ac:dyDescent="0.2">
      <c r="A8" t="s">
        <v>20</v>
      </c>
      <c r="B8" t="s">
        <v>27</v>
      </c>
      <c r="C8" s="137">
        <v>1689291.6500000004</v>
      </c>
      <c r="D8" s="117">
        <v>0</v>
      </c>
      <c r="E8" s="137">
        <v>1689291.6500000004</v>
      </c>
      <c r="F8" s="117">
        <v>0</v>
      </c>
      <c r="G8" s="137">
        <v>1644167.0500000003</v>
      </c>
      <c r="H8" s="138">
        <f t="shared" si="3"/>
        <v>45124.600000000093</v>
      </c>
      <c r="I8" s="1">
        <f t="shared" si="2"/>
        <v>1644167.0500000003</v>
      </c>
      <c r="J8" s="2">
        <f t="shared" si="1"/>
        <v>0.97328785707311105</v>
      </c>
    </row>
    <row r="9" spans="1:15" x14ac:dyDescent="0.2">
      <c r="A9" t="s">
        <v>20</v>
      </c>
      <c r="B9" t="s">
        <v>28</v>
      </c>
      <c r="C9" s="117">
        <v>0</v>
      </c>
      <c r="D9" s="117">
        <v>0</v>
      </c>
      <c r="E9" s="137">
        <v>0</v>
      </c>
      <c r="F9" s="117">
        <v>0</v>
      </c>
      <c r="G9" s="137">
        <v>0</v>
      </c>
      <c r="H9" s="138">
        <f t="shared" si="3"/>
        <v>0</v>
      </c>
      <c r="I9" s="1">
        <f t="shared" si="2"/>
        <v>0</v>
      </c>
      <c r="J9" s="2">
        <f t="shared" si="1"/>
        <v>0</v>
      </c>
    </row>
    <row r="10" spans="1:15" x14ac:dyDescent="0.2">
      <c r="A10" t="s">
        <v>20</v>
      </c>
      <c r="B10" t="s">
        <v>29</v>
      </c>
      <c r="C10" s="117">
        <v>0</v>
      </c>
      <c r="D10" s="117">
        <v>0</v>
      </c>
      <c r="E10" s="137">
        <v>0</v>
      </c>
      <c r="F10" s="117">
        <v>0</v>
      </c>
      <c r="G10" s="137">
        <v>0</v>
      </c>
      <c r="H10" s="138">
        <f t="shared" si="3"/>
        <v>0</v>
      </c>
      <c r="I10" s="1">
        <f t="shared" si="2"/>
        <v>0</v>
      </c>
      <c r="J10" s="2">
        <f t="shared" si="1"/>
        <v>0</v>
      </c>
    </row>
    <row r="11" spans="1:15" s="3" customFormat="1" x14ac:dyDescent="0.2">
      <c r="B11" s="3" t="s">
        <v>15</v>
      </c>
      <c r="C11" s="4">
        <f t="shared" ref="C11:I11" si="4">SUM(C2:C10)</f>
        <v>3394395.66</v>
      </c>
      <c r="D11" s="4">
        <f t="shared" si="4"/>
        <v>0</v>
      </c>
      <c r="E11" s="4">
        <f t="shared" si="4"/>
        <v>3394395.66</v>
      </c>
      <c r="F11" s="4">
        <f t="shared" si="4"/>
        <v>0</v>
      </c>
      <c r="G11" s="4">
        <f t="shared" si="4"/>
        <v>3274315.1400000006</v>
      </c>
      <c r="H11" s="4">
        <f t="shared" si="4"/>
        <v>120080.52</v>
      </c>
      <c r="I11" s="4">
        <f t="shared" si="4"/>
        <v>3274315.1400000006</v>
      </c>
      <c r="J11" s="5">
        <f t="shared" si="1"/>
        <v>0.96462388830652712</v>
      </c>
      <c r="K11" s="5"/>
      <c r="L11" s="4"/>
      <c r="M11" s="5"/>
      <c r="N11" s="4"/>
      <c r="O11" s="5"/>
    </row>
    <row r="12" spans="1:15" x14ac:dyDescent="0.2">
      <c r="A12" t="s">
        <v>30</v>
      </c>
      <c r="B12" t="s">
        <v>21</v>
      </c>
      <c r="C12" s="117">
        <v>0</v>
      </c>
      <c r="D12" s="117">
        <v>0</v>
      </c>
      <c r="E12" s="117">
        <v>0</v>
      </c>
      <c r="F12" s="117">
        <v>0</v>
      </c>
      <c r="G12" s="117">
        <v>0</v>
      </c>
      <c r="H12" s="1">
        <f t="shared" si="0"/>
        <v>0</v>
      </c>
      <c r="I12" s="1">
        <f t="shared" ref="I12:I20" si="5">F12+G12</f>
        <v>0</v>
      </c>
      <c r="J12" s="2">
        <f t="shared" si="1"/>
        <v>0</v>
      </c>
    </row>
    <row r="13" spans="1:15" x14ac:dyDescent="0.2">
      <c r="A13" t="s">
        <v>30</v>
      </c>
      <c r="B13" t="s">
        <v>22</v>
      </c>
      <c r="C13" s="117">
        <v>295878.78000000003</v>
      </c>
      <c r="D13" s="117">
        <v>0</v>
      </c>
      <c r="E13" s="117">
        <v>295878.78000000003</v>
      </c>
      <c r="F13" s="117">
        <v>0</v>
      </c>
      <c r="G13" s="117">
        <v>295599.80000000005</v>
      </c>
      <c r="H13" s="1">
        <f t="shared" si="0"/>
        <v>278.97999999998137</v>
      </c>
      <c r="I13" s="1">
        <f t="shared" si="5"/>
        <v>295599.80000000005</v>
      </c>
      <c r="J13" s="2">
        <f t="shared" si="1"/>
        <v>0.9990571138626434</v>
      </c>
    </row>
    <row r="14" spans="1:15" x14ac:dyDescent="0.2">
      <c r="A14" t="s">
        <v>30</v>
      </c>
      <c r="B14" t="s">
        <v>23</v>
      </c>
      <c r="C14" s="137">
        <v>0</v>
      </c>
      <c r="D14" s="117">
        <v>0</v>
      </c>
      <c r="E14" s="137">
        <v>0</v>
      </c>
      <c r="F14" s="117">
        <v>0</v>
      </c>
      <c r="G14" s="117">
        <v>0</v>
      </c>
      <c r="H14" s="1">
        <f t="shared" si="0"/>
        <v>0</v>
      </c>
      <c r="I14" s="1">
        <f>F14+G15</f>
        <v>10960.64</v>
      </c>
      <c r="J14" s="2">
        <f t="shared" si="1"/>
        <v>0</v>
      </c>
    </row>
    <row r="15" spans="1:15" x14ac:dyDescent="0.2">
      <c r="A15" t="s">
        <v>30</v>
      </c>
      <c r="B15" t="s">
        <v>24</v>
      </c>
      <c r="C15" s="137">
        <v>35171.67</v>
      </c>
      <c r="D15" s="117">
        <v>0</v>
      </c>
      <c r="E15" s="137">
        <v>35171.67</v>
      </c>
      <c r="F15" s="117">
        <v>0</v>
      </c>
      <c r="G15" s="117">
        <v>10960.64</v>
      </c>
      <c r="H15" s="1">
        <f t="shared" si="0"/>
        <v>24211.03</v>
      </c>
      <c r="I15" s="1">
        <f>F15+G16</f>
        <v>0</v>
      </c>
      <c r="J15" s="2">
        <f t="shared" si="1"/>
        <v>0</v>
      </c>
    </row>
    <row r="16" spans="1:15" x14ac:dyDescent="0.2">
      <c r="A16" t="s">
        <v>30</v>
      </c>
      <c r="B16" t="s">
        <v>25</v>
      </c>
      <c r="C16" s="117">
        <v>0</v>
      </c>
      <c r="D16" s="117">
        <v>0</v>
      </c>
      <c r="E16" s="117">
        <v>0</v>
      </c>
      <c r="F16" s="117">
        <v>0</v>
      </c>
      <c r="G16" s="117">
        <v>0</v>
      </c>
      <c r="H16" s="1">
        <f t="shared" si="0"/>
        <v>0</v>
      </c>
      <c r="I16" s="1">
        <f t="shared" si="5"/>
        <v>0</v>
      </c>
      <c r="J16" s="2">
        <f t="shared" si="1"/>
        <v>0</v>
      </c>
    </row>
    <row r="17" spans="1:15" x14ac:dyDescent="0.2">
      <c r="A17" t="s">
        <v>30</v>
      </c>
      <c r="B17" t="s">
        <v>26</v>
      </c>
      <c r="C17" s="137">
        <v>0</v>
      </c>
      <c r="D17" s="117">
        <v>0</v>
      </c>
      <c r="E17" s="137">
        <v>0</v>
      </c>
      <c r="F17" s="117">
        <v>0</v>
      </c>
      <c r="G17" s="117">
        <v>0</v>
      </c>
      <c r="H17" s="1">
        <f t="shared" si="0"/>
        <v>0</v>
      </c>
      <c r="I17" s="1">
        <f t="shared" si="5"/>
        <v>0</v>
      </c>
      <c r="J17" s="2">
        <f t="shared" si="1"/>
        <v>0</v>
      </c>
    </row>
    <row r="18" spans="1:15" x14ac:dyDescent="0.2">
      <c r="A18" t="s">
        <v>30</v>
      </c>
      <c r="B18" t="s">
        <v>27</v>
      </c>
      <c r="C18" s="137">
        <v>0</v>
      </c>
      <c r="D18" s="117">
        <v>0</v>
      </c>
      <c r="E18" s="137">
        <v>0</v>
      </c>
      <c r="F18" s="117">
        <v>0</v>
      </c>
      <c r="G18" s="117">
        <v>0</v>
      </c>
      <c r="H18" s="1">
        <f t="shared" si="0"/>
        <v>0</v>
      </c>
      <c r="I18" s="1">
        <f t="shared" si="5"/>
        <v>0</v>
      </c>
      <c r="J18" s="2">
        <f t="shared" si="1"/>
        <v>0</v>
      </c>
    </row>
    <row r="19" spans="1:15" x14ac:dyDescent="0.2">
      <c r="A19" t="s">
        <v>30</v>
      </c>
      <c r="B19" t="s">
        <v>28</v>
      </c>
      <c r="C19" s="117">
        <v>0</v>
      </c>
      <c r="D19" s="117">
        <v>0</v>
      </c>
      <c r="E19" s="117">
        <v>0</v>
      </c>
      <c r="F19" s="117">
        <v>0</v>
      </c>
      <c r="G19" s="117">
        <v>0</v>
      </c>
      <c r="H19" s="1">
        <f t="shared" si="0"/>
        <v>0</v>
      </c>
      <c r="I19" s="1">
        <f t="shared" si="5"/>
        <v>0</v>
      </c>
      <c r="J19" s="2">
        <f t="shared" si="1"/>
        <v>0</v>
      </c>
    </row>
    <row r="20" spans="1:15" x14ac:dyDescent="0.2">
      <c r="A20" t="s">
        <v>30</v>
      </c>
      <c r="B20" t="s">
        <v>29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">
        <f t="shared" si="0"/>
        <v>0</v>
      </c>
      <c r="I20" s="1">
        <f t="shared" si="5"/>
        <v>0</v>
      </c>
      <c r="J20" s="2">
        <f t="shared" si="1"/>
        <v>0</v>
      </c>
    </row>
    <row r="21" spans="1:15" x14ac:dyDescent="0.2">
      <c r="A21" s="3"/>
      <c r="B21" s="3" t="s">
        <v>31</v>
      </c>
      <c r="C21" s="4">
        <f t="shared" ref="C21:I21" si="6">SUM(C12:C20)</f>
        <v>331050.45</v>
      </c>
      <c r="D21" s="4">
        <f t="shared" si="6"/>
        <v>0</v>
      </c>
      <c r="E21" s="4">
        <f t="shared" si="6"/>
        <v>331050.45</v>
      </c>
      <c r="F21" s="4">
        <f t="shared" si="6"/>
        <v>0</v>
      </c>
      <c r="G21" s="4">
        <f t="shared" si="6"/>
        <v>306560.44000000006</v>
      </c>
      <c r="H21" s="4">
        <f t="shared" si="6"/>
        <v>24490.00999999998</v>
      </c>
      <c r="I21" s="4">
        <f t="shared" si="6"/>
        <v>306560.44000000006</v>
      </c>
      <c r="J21" s="5">
        <f t="shared" si="1"/>
        <v>0.92602332967679113</v>
      </c>
      <c r="K21" s="5"/>
      <c r="L21" s="4"/>
      <c r="M21" s="5"/>
      <c r="N21" s="4"/>
      <c r="O21" s="5"/>
    </row>
    <row r="22" spans="1:15" x14ac:dyDescent="0.2">
      <c r="A22" t="s">
        <v>32</v>
      </c>
      <c r="B22" t="s">
        <v>21</v>
      </c>
      <c r="C22" s="117">
        <v>160891.04</v>
      </c>
      <c r="D22" s="117">
        <v>0</v>
      </c>
      <c r="E22" s="117">
        <v>160891.04</v>
      </c>
      <c r="F22" s="117">
        <v>0</v>
      </c>
      <c r="G22" s="117">
        <v>0</v>
      </c>
      <c r="H22" s="1">
        <f t="shared" ref="H22:H30" si="7">E22-F22-G22</f>
        <v>160891.04</v>
      </c>
      <c r="I22" s="1">
        <f t="shared" ref="I22:I30" si="8">F22+G22</f>
        <v>0</v>
      </c>
      <c r="J22" s="2">
        <f t="shared" si="1"/>
        <v>0</v>
      </c>
    </row>
    <row r="23" spans="1:15" x14ac:dyDescent="0.2">
      <c r="A23" t="s">
        <v>32</v>
      </c>
      <c r="B23" t="s">
        <v>22</v>
      </c>
      <c r="C23" s="117">
        <v>63388.11</v>
      </c>
      <c r="D23" s="117">
        <v>0</v>
      </c>
      <c r="E23" s="117">
        <v>63388.11</v>
      </c>
      <c r="F23" s="117">
        <v>0</v>
      </c>
      <c r="G23" s="117">
        <v>0</v>
      </c>
      <c r="H23" s="1">
        <f t="shared" si="7"/>
        <v>63388.11</v>
      </c>
      <c r="I23" s="1">
        <f t="shared" si="8"/>
        <v>0</v>
      </c>
      <c r="J23" s="2">
        <f t="shared" si="1"/>
        <v>0</v>
      </c>
    </row>
    <row r="24" spans="1:15" x14ac:dyDescent="0.2">
      <c r="A24" t="s">
        <v>32</v>
      </c>
      <c r="B24" t="s">
        <v>23</v>
      </c>
      <c r="C24" s="117">
        <v>0</v>
      </c>
      <c r="D24" s="117">
        <v>0</v>
      </c>
      <c r="E24" s="117">
        <v>0</v>
      </c>
      <c r="F24" s="117">
        <v>0</v>
      </c>
      <c r="G24" s="117">
        <v>0</v>
      </c>
      <c r="H24" s="1">
        <f t="shared" si="7"/>
        <v>0</v>
      </c>
      <c r="I24" s="1">
        <f t="shared" si="8"/>
        <v>0</v>
      </c>
      <c r="J24" s="2">
        <f t="shared" si="1"/>
        <v>0</v>
      </c>
    </row>
    <row r="25" spans="1:15" x14ac:dyDescent="0.2">
      <c r="A25" t="s">
        <v>32</v>
      </c>
      <c r="B25" t="s">
        <v>24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">
        <f t="shared" si="7"/>
        <v>0</v>
      </c>
      <c r="I25" s="1">
        <f t="shared" si="8"/>
        <v>0</v>
      </c>
      <c r="J25" s="2">
        <f t="shared" si="1"/>
        <v>0</v>
      </c>
    </row>
    <row r="26" spans="1:15" x14ac:dyDescent="0.2">
      <c r="A26" t="s">
        <v>32</v>
      </c>
      <c r="B26" t="s">
        <v>25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">
        <f t="shared" si="7"/>
        <v>0</v>
      </c>
      <c r="I26" s="1">
        <f t="shared" si="8"/>
        <v>0</v>
      </c>
      <c r="J26" s="2">
        <f t="shared" si="1"/>
        <v>0</v>
      </c>
    </row>
    <row r="27" spans="1:15" x14ac:dyDescent="0.2">
      <c r="A27" t="s">
        <v>32</v>
      </c>
      <c r="B27" t="s">
        <v>26</v>
      </c>
      <c r="C27" s="117">
        <v>23480.77</v>
      </c>
      <c r="D27" s="117">
        <v>0</v>
      </c>
      <c r="E27" s="117">
        <v>23480.77</v>
      </c>
      <c r="F27" s="117">
        <v>0</v>
      </c>
      <c r="G27" s="117">
        <v>0</v>
      </c>
      <c r="H27" s="1">
        <f t="shared" si="7"/>
        <v>23480.77</v>
      </c>
      <c r="I27" s="1">
        <f t="shared" si="8"/>
        <v>0</v>
      </c>
      <c r="J27" s="2">
        <f t="shared" si="1"/>
        <v>0</v>
      </c>
    </row>
    <row r="28" spans="1:15" x14ac:dyDescent="0.2">
      <c r="A28" t="s">
        <v>32</v>
      </c>
      <c r="B28" t="s">
        <v>27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">
        <f t="shared" si="7"/>
        <v>0</v>
      </c>
      <c r="I28" s="1">
        <f t="shared" si="8"/>
        <v>0</v>
      </c>
      <c r="J28" s="2">
        <f t="shared" si="1"/>
        <v>0</v>
      </c>
    </row>
    <row r="29" spans="1:15" x14ac:dyDescent="0.2">
      <c r="A29" t="s">
        <v>32</v>
      </c>
      <c r="B29" t="s">
        <v>28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">
        <f t="shared" si="7"/>
        <v>0</v>
      </c>
      <c r="I29" s="1">
        <f t="shared" si="8"/>
        <v>0</v>
      </c>
      <c r="J29" s="2">
        <f t="shared" si="1"/>
        <v>0</v>
      </c>
    </row>
    <row r="30" spans="1:15" x14ac:dyDescent="0.2">
      <c r="A30" t="s">
        <v>32</v>
      </c>
      <c r="B30" t="s">
        <v>29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">
        <f t="shared" si="7"/>
        <v>0</v>
      </c>
      <c r="I30" s="1">
        <f t="shared" si="8"/>
        <v>0</v>
      </c>
      <c r="J30" s="2">
        <f t="shared" si="1"/>
        <v>0</v>
      </c>
    </row>
    <row r="31" spans="1:15" x14ac:dyDescent="0.2">
      <c r="A31" s="3"/>
      <c r="B31" s="3" t="s">
        <v>32</v>
      </c>
      <c r="C31" s="4">
        <f t="shared" ref="C31:I31" si="9">SUM(C22:C30)</f>
        <v>247759.92</v>
      </c>
      <c r="D31" s="4">
        <f t="shared" si="9"/>
        <v>0</v>
      </c>
      <c r="E31" s="4">
        <f t="shared" si="9"/>
        <v>247759.92</v>
      </c>
      <c r="F31" s="4">
        <f t="shared" si="9"/>
        <v>0</v>
      </c>
      <c r="G31" s="4">
        <f t="shared" si="9"/>
        <v>0</v>
      </c>
      <c r="H31" s="4">
        <f t="shared" si="9"/>
        <v>247759.92</v>
      </c>
      <c r="I31" s="4">
        <f t="shared" si="9"/>
        <v>0</v>
      </c>
      <c r="J31" s="5">
        <f t="shared" si="1"/>
        <v>0</v>
      </c>
      <c r="K31" s="5"/>
      <c r="L31" s="4"/>
      <c r="M31" s="5"/>
      <c r="N31" s="4"/>
      <c r="O31" s="5"/>
    </row>
    <row r="32" spans="1:15" x14ac:dyDescent="0.2">
      <c r="A32" t="s">
        <v>79</v>
      </c>
      <c r="B32" t="s">
        <v>21</v>
      </c>
    </row>
    <row r="33" spans="1:15" x14ac:dyDescent="0.2">
      <c r="A33" t="s">
        <v>79</v>
      </c>
      <c r="B33" t="s">
        <v>22</v>
      </c>
    </row>
    <row r="34" spans="1:15" x14ac:dyDescent="0.2">
      <c r="A34" t="s">
        <v>79</v>
      </c>
      <c r="B34" t="s">
        <v>23</v>
      </c>
    </row>
    <row r="35" spans="1:15" x14ac:dyDescent="0.2">
      <c r="A35" t="s">
        <v>79</v>
      </c>
      <c r="B35" t="s">
        <v>24</v>
      </c>
      <c r="C35" s="117">
        <v>0</v>
      </c>
      <c r="D35" s="117">
        <v>0</v>
      </c>
      <c r="E35" s="117">
        <v>0</v>
      </c>
      <c r="F35" s="117">
        <v>0</v>
      </c>
      <c r="G35" s="117">
        <v>0</v>
      </c>
      <c r="H35" s="1">
        <f>E35-F35-G35</f>
        <v>0</v>
      </c>
      <c r="I35" s="1">
        <f>F35+G35</f>
        <v>0</v>
      </c>
    </row>
    <row r="36" spans="1:15" x14ac:dyDescent="0.2">
      <c r="A36" t="s">
        <v>79</v>
      </c>
      <c r="B36" t="s">
        <v>25</v>
      </c>
    </row>
    <row r="37" spans="1:15" x14ac:dyDescent="0.2">
      <c r="A37" t="s">
        <v>79</v>
      </c>
      <c r="B37" t="s">
        <v>26</v>
      </c>
    </row>
    <row r="38" spans="1:15" x14ac:dyDescent="0.2">
      <c r="A38" t="s">
        <v>79</v>
      </c>
      <c r="B38" t="s">
        <v>27</v>
      </c>
    </row>
    <row r="39" spans="1:15" x14ac:dyDescent="0.2">
      <c r="A39" t="s">
        <v>79</v>
      </c>
      <c r="B39" t="s">
        <v>28</v>
      </c>
    </row>
    <row r="40" spans="1:15" x14ac:dyDescent="0.2">
      <c r="A40" t="s">
        <v>79</v>
      </c>
      <c r="B40" t="s">
        <v>29</v>
      </c>
    </row>
    <row r="41" spans="1:15" x14ac:dyDescent="0.2">
      <c r="A41" s="3"/>
      <c r="B41" s="3" t="s">
        <v>80</v>
      </c>
      <c r="C41" s="4">
        <f t="shared" ref="C41:I41" si="10">SUM(C32:C40)</f>
        <v>0</v>
      </c>
      <c r="D41" s="4">
        <f t="shared" si="10"/>
        <v>0</v>
      </c>
      <c r="E41" s="4">
        <f t="shared" si="10"/>
        <v>0</v>
      </c>
      <c r="F41" s="4">
        <f t="shared" si="10"/>
        <v>0</v>
      </c>
      <c r="G41" s="4">
        <f t="shared" si="10"/>
        <v>0</v>
      </c>
      <c r="H41" s="4">
        <f t="shared" si="10"/>
        <v>0</v>
      </c>
      <c r="I41" s="4">
        <f t="shared" si="10"/>
        <v>0</v>
      </c>
      <c r="J41" s="5"/>
      <c r="K41" s="4"/>
      <c r="L41" s="4"/>
      <c r="M41" s="4"/>
      <c r="N41" s="4"/>
      <c r="O41" s="4"/>
    </row>
    <row r="42" spans="1:15" x14ac:dyDescent="0.2">
      <c r="A42" t="s">
        <v>33</v>
      </c>
      <c r="B42" t="s">
        <v>82</v>
      </c>
      <c r="C42" s="1">
        <f t="shared" ref="C42:I44" si="11">C2+C12+C22</f>
        <v>160891.04</v>
      </c>
      <c r="D42" s="1">
        <f t="shared" si="11"/>
        <v>0</v>
      </c>
      <c r="E42" s="1">
        <f t="shared" si="11"/>
        <v>160891.04</v>
      </c>
      <c r="F42" s="1">
        <f t="shared" si="11"/>
        <v>0</v>
      </c>
      <c r="G42" s="1">
        <f t="shared" si="11"/>
        <v>0</v>
      </c>
      <c r="H42" s="1">
        <f t="shared" si="11"/>
        <v>160891.04</v>
      </c>
      <c r="I42" s="1">
        <f t="shared" si="11"/>
        <v>0</v>
      </c>
    </row>
    <row r="43" spans="1:15" x14ac:dyDescent="0.2">
      <c r="A43" t="s">
        <v>33</v>
      </c>
      <c r="B43" t="s">
        <v>83</v>
      </c>
      <c r="C43" s="1">
        <f t="shared" si="11"/>
        <v>568394.83000000007</v>
      </c>
      <c r="D43" s="1">
        <f t="shared" si="11"/>
        <v>0</v>
      </c>
      <c r="E43" s="1">
        <f t="shared" si="11"/>
        <v>568394.83000000007</v>
      </c>
      <c r="F43" s="1">
        <f t="shared" si="11"/>
        <v>0</v>
      </c>
      <c r="G43" s="1">
        <f t="shared" si="11"/>
        <v>502777.71000000008</v>
      </c>
      <c r="H43" s="1">
        <f t="shared" si="11"/>
        <v>65617.119999999981</v>
      </c>
      <c r="I43" s="1">
        <f t="shared" si="11"/>
        <v>502777.71000000008</v>
      </c>
    </row>
    <row r="44" spans="1:15" x14ac:dyDescent="0.2">
      <c r="A44" t="s">
        <v>33</v>
      </c>
      <c r="B44" t="s">
        <v>84</v>
      </c>
      <c r="C44" s="1">
        <f>C4+C15+C24</f>
        <v>35188.629999999997</v>
      </c>
      <c r="D44" s="1">
        <f t="shared" si="11"/>
        <v>0</v>
      </c>
      <c r="E44" s="1">
        <f t="shared" si="11"/>
        <v>16.96</v>
      </c>
      <c r="F44" s="1">
        <f t="shared" si="11"/>
        <v>0</v>
      </c>
      <c r="G44" s="1">
        <f>G4+G15+G24</f>
        <v>10977.599999999999</v>
      </c>
      <c r="H44" s="1">
        <f t="shared" si="11"/>
        <v>0</v>
      </c>
      <c r="I44" s="1">
        <f t="shared" si="11"/>
        <v>10977.599999999999</v>
      </c>
    </row>
    <row r="45" spans="1:15" x14ac:dyDescent="0.2">
      <c r="A45" t="s">
        <v>33</v>
      </c>
      <c r="B45" t="s">
        <v>85</v>
      </c>
      <c r="C45" s="1">
        <f>C5+C16+C25</f>
        <v>1416060.05</v>
      </c>
      <c r="D45" s="1">
        <f t="shared" ref="D45:I45" si="12">D5+D15+D25-D35</f>
        <v>0</v>
      </c>
      <c r="E45" s="1">
        <f t="shared" si="12"/>
        <v>1451231.72</v>
      </c>
      <c r="F45" s="1">
        <f t="shared" si="12"/>
        <v>0</v>
      </c>
      <c r="G45" s="1">
        <f>G5+G16+G25</f>
        <v>1343874.6500000001</v>
      </c>
      <c r="H45" s="1">
        <f>H5+H15+H25-H35</f>
        <v>96396.429999999906</v>
      </c>
      <c r="I45" s="1">
        <f t="shared" si="12"/>
        <v>1343874.6500000001</v>
      </c>
    </row>
    <row r="46" spans="1:15" x14ac:dyDescent="0.2">
      <c r="A46" t="s">
        <v>33</v>
      </c>
      <c r="B46" t="s">
        <v>86</v>
      </c>
      <c r="C46" s="1">
        <f t="shared" ref="C46:I50" si="13">C6+C16+C26</f>
        <v>0</v>
      </c>
      <c r="D46" s="1">
        <f t="shared" si="13"/>
        <v>0</v>
      </c>
      <c r="E46" s="1">
        <f t="shared" si="13"/>
        <v>0</v>
      </c>
      <c r="F46" s="1">
        <f t="shared" si="13"/>
        <v>0</v>
      </c>
      <c r="G46" s="1">
        <f t="shared" si="13"/>
        <v>0</v>
      </c>
      <c r="H46" s="1">
        <f t="shared" si="13"/>
        <v>0</v>
      </c>
      <c r="I46" s="1">
        <f t="shared" si="13"/>
        <v>0</v>
      </c>
    </row>
    <row r="47" spans="1:15" x14ac:dyDescent="0.2">
      <c r="A47" t="s">
        <v>33</v>
      </c>
      <c r="B47" t="s">
        <v>87</v>
      </c>
      <c r="C47" s="1">
        <f t="shared" si="13"/>
        <v>103379.83000000002</v>
      </c>
      <c r="D47" s="1">
        <f t="shared" si="13"/>
        <v>0</v>
      </c>
      <c r="E47" s="1">
        <f t="shared" si="13"/>
        <v>103379.83000000002</v>
      </c>
      <c r="F47" s="1">
        <f t="shared" si="13"/>
        <v>0</v>
      </c>
      <c r="G47" s="1">
        <f t="shared" si="13"/>
        <v>79078.570000000007</v>
      </c>
      <c r="H47" s="1">
        <f t="shared" si="13"/>
        <v>24301.260000000006</v>
      </c>
      <c r="I47" s="1">
        <f t="shared" si="13"/>
        <v>79078.570000000007</v>
      </c>
    </row>
    <row r="48" spans="1:15" x14ac:dyDescent="0.2">
      <c r="A48" t="s">
        <v>33</v>
      </c>
      <c r="B48" t="s">
        <v>88</v>
      </c>
      <c r="C48" s="1">
        <f t="shared" si="13"/>
        <v>1689291.6500000004</v>
      </c>
      <c r="D48" s="1">
        <f t="shared" si="13"/>
        <v>0</v>
      </c>
      <c r="E48" s="1">
        <f t="shared" si="13"/>
        <v>1689291.6500000004</v>
      </c>
      <c r="F48" s="1">
        <f t="shared" si="13"/>
        <v>0</v>
      </c>
      <c r="G48" s="1">
        <f t="shared" si="13"/>
        <v>1644167.0500000003</v>
      </c>
      <c r="H48" s="1">
        <f t="shared" si="13"/>
        <v>45124.600000000093</v>
      </c>
      <c r="I48" s="1">
        <f t="shared" si="13"/>
        <v>1644167.0500000003</v>
      </c>
    </row>
    <row r="49" spans="1:15" x14ac:dyDescent="0.2">
      <c r="A49" t="s">
        <v>33</v>
      </c>
      <c r="B49" t="s">
        <v>89</v>
      </c>
      <c r="C49" s="1">
        <f t="shared" si="13"/>
        <v>0</v>
      </c>
      <c r="D49" s="1">
        <f t="shared" si="13"/>
        <v>0</v>
      </c>
      <c r="E49" s="1">
        <f t="shared" si="13"/>
        <v>0</v>
      </c>
      <c r="F49" s="1">
        <f t="shared" si="13"/>
        <v>0</v>
      </c>
      <c r="G49" s="1">
        <f t="shared" si="13"/>
        <v>0</v>
      </c>
      <c r="H49" s="1">
        <f t="shared" si="13"/>
        <v>0</v>
      </c>
      <c r="I49" s="1">
        <f t="shared" si="13"/>
        <v>0</v>
      </c>
    </row>
    <row r="50" spans="1:15" x14ac:dyDescent="0.2">
      <c r="A50" t="s">
        <v>33</v>
      </c>
      <c r="B50" t="s">
        <v>90</v>
      </c>
      <c r="C50" s="1">
        <f t="shared" si="13"/>
        <v>0</v>
      </c>
      <c r="D50" s="1">
        <f t="shared" si="13"/>
        <v>0</v>
      </c>
      <c r="E50" s="1">
        <f t="shared" si="13"/>
        <v>0</v>
      </c>
      <c r="F50" s="1">
        <f t="shared" si="13"/>
        <v>0</v>
      </c>
      <c r="G50" s="1">
        <f t="shared" si="13"/>
        <v>0</v>
      </c>
      <c r="H50" s="1">
        <f t="shared" si="13"/>
        <v>0</v>
      </c>
      <c r="I50" s="1">
        <f t="shared" si="13"/>
        <v>0</v>
      </c>
    </row>
    <row r="51" spans="1:15" s="3" customFormat="1" x14ac:dyDescent="0.2">
      <c r="B51" s="3" t="s">
        <v>34</v>
      </c>
      <c r="C51" s="4">
        <f t="shared" ref="C51:I51" si="14">SUM(C42:C50)</f>
        <v>3973206.0300000007</v>
      </c>
      <c r="D51" s="4">
        <f t="shared" si="14"/>
        <v>0</v>
      </c>
      <c r="E51" s="4">
        <f t="shared" si="14"/>
        <v>3973206.0300000003</v>
      </c>
      <c r="F51" s="4">
        <f t="shared" si="14"/>
        <v>0</v>
      </c>
      <c r="G51" s="4">
        <f t="shared" si="14"/>
        <v>3580875.5800000005</v>
      </c>
      <c r="H51" s="4">
        <f t="shared" si="14"/>
        <v>392330.44999999995</v>
      </c>
      <c r="I51" s="4">
        <f t="shared" si="14"/>
        <v>3580875.5800000005</v>
      </c>
      <c r="J51" s="5"/>
      <c r="K51" s="5"/>
      <c r="L51" s="4"/>
      <c r="M51" s="5"/>
      <c r="N51" s="4"/>
      <c r="O51" s="5"/>
    </row>
  </sheetData>
  <sheetProtection selectLockedCells="1" selectUnlockedCells="1"/>
  <pageMargins left="0.19652777777777777" right="0.19652777777777777" top="0.59027777777777779" bottom="0.59027777777777779" header="0.51180555555555551" footer="0.51180555555555551"/>
  <pageSetup paperSize="9" scale="61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L51"/>
  <sheetViews>
    <sheetView zoomScale="70" zoomScaleNormal="70" workbookViewId="0">
      <pane ySplit="1" topLeftCell="A11" activePane="bottomLeft" state="frozen"/>
      <selection activeCell="K20" sqref="K20"/>
      <selection pane="bottomLeft" activeCell="C21" sqref="C21"/>
    </sheetView>
  </sheetViews>
  <sheetFormatPr baseColWidth="10" defaultColWidth="9.140625" defaultRowHeight="12.75" x14ac:dyDescent="0.2"/>
  <cols>
    <col min="1" max="1" width="6.28515625" customWidth="1"/>
    <col min="2" max="2" width="42.7109375" customWidth="1"/>
    <col min="3" max="3" width="18" style="1" customWidth="1"/>
    <col min="4" max="4" width="13.5703125" style="1" customWidth="1"/>
    <col min="5" max="5" width="20.28515625" style="1" customWidth="1"/>
    <col min="6" max="10" width="21" style="1" customWidth="1"/>
    <col min="11" max="11" width="13" style="2" customWidth="1"/>
    <col min="12" max="12" width="9.28515625" style="2" customWidth="1"/>
  </cols>
  <sheetData>
    <row r="1" spans="1:12" s="3" customFormat="1" x14ac:dyDescent="0.2">
      <c r="A1" s="3" t="s">
        <v>19</v>
      </c>
      <c r="B1" s="3" t="s">
        <v>48</v>
      </c>
      <c r="C1" s="4" t="s">
        <v>217</v>
      </c>
      <c r="D1" s="4" t="s">
        <v>218</v>
      </c>
      <c r="E1" s="4" t="s">
        <v>219</v>
      </c>
      <c r="F1" s="4" t="s">
        <v>220</v>
      </c>
      <c r="G1" s="4" t="s">
        <v>199</v>
      </c>
      <c r="H1" s="4" t="s">
        <v>221</v>
      </c>
      <c r="I1" s="4" t="s">
        <v>222</v>
      </c>
      <c r="J1" s="4" t="s">
        <v>215</v>
      </c>
      <c r="K1" s="5" t="s">
        <v>223</v>
      </c>
      <c r="L1" s="5" t="s">
        <v>224</v>
      </c>
    </row>
    <row r="2" spans="1:12" x14ac:dyDescent="0.2">
      <c r="A2" t="s">
        <v>20</v>
      </c>
      <c r="B2" t="s">
        <v>41</v>
      </c>
      <c r="C2" s="137">
        <v>0</v>
      </c>
      <c r="D2" s="137">
        <v>0</v>
      </c>
      <c r="E2" s="137">
        <v>0</v>
      </c>
      <c r="F2" s="1">
        <f>C2+D2-E2</f>
        <v>0</v>
      </c>
      <c r="G2" s="137">
        <v>0</v>
      </c>
      <c r="H2" s="137">
        <v>0</v>
      </c>
      <c r="I2" s="1">
        <f>C2+D2-E2-G2-H2</f>
        <v>0</v>
      </c>
      <c r="J2" s="1">
        <f t="shared" ref="J2:J10" si="0">E2+G2+H2</f>
        <v>0</v>
      </c>
      <c r="K2" s="2">
        <f t="shared" ref="K2:K31" si="1">IFERROR(J2/C2,0)</f>
        <v>0</v>
      </c>
      <c r="L2" s="2">
        <f t="shared" ref="L2:L31" si="2">IFERROR(G2/C2,0)</f>
        <v>0</v>
      </c>
    </row>
    <row r="3" spans="1:12" x14ac:dyDescent="0.2">
      <c r="A3" t="s">
        <v>20</v>
      </c>
      <c r="B3" t="s">
        <v>42</v>
      </c>
      <c r="C3" s="137">
        <v>0</v>
      </c>
      <c r="D3" s="137">
        <v>0</v>
      </c>
      <c r="E3" s="137">
        <v>0</v>
      </c>
      <c r="F3" s="1">
        <f t="shared" ref="F3:F30" si="3">C3+D3-E3</f>
        <v>0</v>
      </c>
      <c r="G3" s="137">
        <v>0</v>
      </c>
      <c r="H3" s="137">
        <v>0</v>
      </c>
      <c r="I3" s="1">
        <f t="shared" ref="I3:I10" si="4">C3+D3-E3-G3-H3</f>
        <v>0</v>
      </c>
      <c r="J3" s="1">
        <f t="shared" si="0"/>
        <v>0</v>
      </c>
      <c r="K3" s="2">
        <f t="shared" si="1"/>
        <v>0</v>
      </c>
      <c r="L3" s="2">
        <f t="shared" si="2"/>
        <v>0</v>
      </c>
    </row>
    <row r="4" spans="1:12" x14ac:dyDescent="0.2">
      <c r="A4" t="s">
        <v>20</v>
      </c>
      <c r="B4" t="s">
        <v>43</v>
      </c>
      <c r="C4" s="137">
        <v>609368.56999999995</v>
      </c>
      <c r="D4" s="137">
        <v>0</v>
      </c>
      <c r="E4" s="137">
        <v>440.25</v>
      </c>
      <c r="F4" s="1">
        <f t="shared" si="3"/>
        <v>608928.31999999995</v>
      </c>
      <c r="G4" s="137">
        <v>3039.67</v>
      </c>
      <c r="H4" s="137">
        <v>0</v>
      </c>
      <c r="I4" s="1">
        <f t="shared" si="4"/>
        <v>605888.64999999991</v>
      </c>
      <c r="J4" s="1">
        <f t="shared" si="0"/>
        <v>3479.92</v>
      </c>
      <c r="K4" s="2">
        <f t="shared" si="1"/>
        <v>5.7106982068340023E-3</v>
      </c>
      <c r="L4" s="2">
        <f t="shared" si="2"/>
        <v>4.9882290450260674E-3</v>
      </c>
    </row>
    <row r="5" spans="1:12" x14ac:dyDescent="0.2">
      <c r="A5" t="s">
        <v>20</v>
      </c>
      <c r="B5" t="s">
        <v>24</v>
      </c>
      <c r="C5" s="137">
        <v>0</v>
      </c>
      <c r="D5" s="137">
        <v>0</v>
      </c>
      <c r="E5" s="137">
        <v>0</v>
      </c>
      <c r="F5" s="1">
        <f t="shared" si="3"/>
        <v>0</v>
      </c>
      <c r="G5" s="137">
        <v>0</v>
      </c>
      <c r="H5" s="137">
        <v>0</v>
      </c>
      <c r="I5" s="1">
        <f t="shared" si="4"/>
        <v>0</v>
      </c>
      <c r="J5" s="1">
        <f t="shared" si="0"/>
        <v>0</v>
      </c>
      <c r="K5" s="2">
        <f t="shared" si="1"/>
        <v>0</v>
      </c>
      <c r="L5" s="2">
        <f t="shared" si="2"/>
        <v>0</v>
      </c>
    </row>
    <row r="6" spans="1:12" x14ac:dyDescent="0.2">
      <c r="A6" t="s">
        <v>20</v>
      </c>
      <c r="B6" t="s">
        <v>44</v>
      </c>
      <c r="C6" s="137">
        <v>28589.26</v>
      </c>
      <c r="D6" s="137">
        <v>0</v>
      </c>
      <c r="E6" s="137">
        <v>0</v>
      </c>
      <c r="F6" s="1">
        <f t="shared" si="3"/>
        <v>28589.26</v>
      </c>
      <c r="G6" s="137">
        <v>28289.26</v>
      </c>
      <c r="H6" s="137">
        <v>0</v>
      </c>
      <c r="I6" s="1">
        <f t="shared" si="4"/>
        <v>300</v>
      </c>
      <c r="J6" s="1">
        <f t="shared" si="0"/>
        <v>28289.26</v>
      </c>
      <c r="K6" s="2">
        <f t="shared" si="1"/>
        <v>0.98950654896279233</v>
      </c>
      <c r="L6" s="2">
        <f t="shared" si="2"/>
        <v>0.98950654896279233</v>
      </c>
    </row>
    <row r="7" spans="1:12" x14ac:dyDescent="0.2">
      <c r="A7" t="s">
        <v>20</v>
      </c>
      <c r="B7" t="s">
        <v>45</v>
      </c>
      <c r="C7" s="137">
        <v>0</v>
      </c>
      <c r="D7" s="137">
        <v>0</v>
      </c>
      <c r="E7" s="137">
        <v>0</v>
      </c>
      <c r="F7" s="1">
        <f t="shared" si="3"/>
        <v>0</v>
      </c>
      <c r="G7" s="137">
        <v>0</v>
      </c>
      <c r="H7" s="137">
        <v>0</v>
      </c>
      <c r="I7" s="1">
        <f t="shared" si="4"/>
        <v>0</v>
      </c>
      <c r="J7" s="1">
        <f t="shared" si="0"/>
        <v>0</v>
      </c>
      <c r="K7" s="2">
        <f t="shared" si="1"/>
        <v>0</v>
      </c>
      <c r="L7" s="2">
        <f t="shared" si="2"/>
        <v>0</v>
      </c>
    </row>
    <row r="8" spans="1:12" x14ac:dyDescent="0.2">
      <c r="A8" t="s">
        <v>20</v>
      </c>
      <c r="B8" t="s">
        <v>27</v>
      </c>
      <c r="C8" s="137">
        <v>0</v>
      </c>
      <c r="D8" s="137">
        <v>0</v>
      </c>
      <c r="E8" s="137">
        <v>0</v>
      </c>
      <c r="F8" s="1">
        <f t="shared" si="3"/>
        <v>0</v>
      </c>
      <c r="G8" s="137">
        <v>0</v>
      </c>
      <c r="H8" s="137">
        <v>0</v>
      </c>
      <c r="I8" s="1">
        <f t="shared" si="4"/>
        <v>0</v>
      </c>
      <c r="J8" s="1">
        <f t="shared" si="0"/>
        <v>0</v>
      </c>
      <c r="K8" s="2">
        <f t="shared" si="1"/>
        <v>0</v>
      </c>
      <c r="L8" s="2">
        <f t="shared" si="2"/>
        <v>0</v>
      </c>
    </row>
    <row r="9" spans="1:12" x14ac:dyDescent="0.2">
      <c r="A9" t="s">
        <v>20</v>
      </c>
      <c r="B9" t="s">
        <v>28</v>
      </c>
      <c r="C9" s="137">
        <v>0</v>
      </c>
      <c r="D9" s="137">
        <v>0</v>
      </c>
      <c r="E9" s="137">
        <v>0</v>
      </c>
      <c r="F9" s="1">
        <f t="shared" si="3"/>
        <v>0</v>
      </c>
      <c r="G9" s="137">
        <v>0</v>
      </c>
      <c r="H9" s="137">
        <v>0</v>
      </c>
      <c r="I9" s="1">
        <f t="shared" si="4"/>
        <v>0</v>
      </c>
      <c r="J9" s="1">
        <f t="shared" si="0"/>
        <v>0</v>
      </c>
      <c r="K9" s="2">
        <f t="shared" si="1"/>
        <v>0</v>
      </c>
      <c r="L9" s="2">
        <f t="shared" si="2"/>
        <v>0</v>
      </c>
    </row>
    <row r="10" spans="1:12" x14ac:dyDescent="0.2">
      <c r="A10" t="s">
        <v>20</v>
      </c>
      <c r="B10" t="s">
        <v>29</v>
      </c>
      <c r="C10" s="137">
        <v>0</v>
      </c>
      <c r="D10" s="137">
        <v>0</v>
      </c>
      <c r="E10" s="137">
        <v>0</v>
      </c>
      <c r="F10" s="1">
        <f t="shared" si="3"/>
        <v>0</v>
      </c>
      <c r="G10" s="137">
        <v>0</v>
      </c>
      <c r="H10" s="137">
        <v>0</v>
      </c>
      <c r="I10" s="1">
        <f t="shared" si="4"/>
        <v>0</v>
      </c>
      <c r="J10" s="1">
        <f t="shared" si="0"/>
        <v>0</v>
      </c>
      <c r="K10" s="2">
        <f t="shared" si="1"/>
        <v>0</v>
      </c>
      <c r="L10" s="2">
        <f t="shared" si="2"/>
        <v>0</v>
      </c>
    </row>
    <row r="11" spans="1:12" s="3" customFormat="1" x14ac:dyDescent="0.2">
      <c r="B11" s="3" t="s">
        <v>15</v>
      </c>
      <c r="C11" s="4">
        <f t="shared" ref="C11:J11" si="5">SUM(C2:C10)</f>
        <v>637957.82999999996</v>
      </c>
      <c r="D11" s="4">
        <f t="shared" si="5"/>
        <v>0</v>
      </c>
      <c r="E11" s="4">
        <f t="shared" si="5"/>
        <v>440.25</v>
      </c>
      <c r="F11" s="4">
        <f t="shared" si="5"/>
        <v>637517.57999999996</v>
      </c>
      <c r="G11" s="4">
        <f t="shared" si="5"/>
        <v>31328.93</v>
      </c>
      <c r="H11" s="1">
        <f t="shared" si="5"/>
        <v>0</v>
      </c>
      <c r="I11" s="4">
        <f t="shared" si="5"/>
        <v>606188.64999999991</v>
      </c>
      <c r="J11" s="4">
        <f t="shared" si="5"/>
        <v>31769.18</v>
      </c>
      <c r="K11" s="5">
        <f t="shared" si="1"/>
        <v>4.9798244501521365E-2</v>
      </c>
      <c r="L11" s="5">
        <f t="shared" si="2"/>
        <v>4.9108151866401578E-2</v>
      </c>
    </row>
    <row r="12" spans="1:12" x14ac:dyDescent="0.2">
      <c r="A12" t="s">
        <v>30</v>
      </c>
      <c r="B12" t="s">
        <v>41</v>
      </c>
      <c r="C12" s="137">
        <v>0</v>
      </c>
      <c r="D12" s="137">
        <v>0</v>
      </c>
      <c r="E12" s="137">
        <v>0</v>
      </c>
      <c r="F12" s="1">
        <f t="shared" si="3"/>
        <v>0</v>
      </c>
      <c r="G12" s="137">
        <v>0</v>
      </c>
      <c r="H12" s="137">
        <v>0</v>
      </c>
      <c r="I12" s="1">
        <f t="shared" ref="I12:I20" si="6">C12+D12-E12-G12-H12</f>
        <v>0</v>
      </c>
      <c r="J12" s="1">
        <f t="shared" ref="J12:J20" si="7">E12+G12+H12</f>
        <v>0</v>
      </c>
      <c r="K12" s="2">
        <f t="shared" si="1"/>
        <v>0</v>
      </c>
      <c r="L12" s="2">
        <f t="shared" si="2"/>
        <v>0</v>
      </c>
    </row>
    <row r="13" spans="1:12" x14ac:dyDescent="0.2">
      <c r="A13" t="s">
        <v>30</v>
      </c>
      <c r="B13" t="s">
        <v>42</v>
      </c>
      <c r="C13" s="137">
        <v>0</v>
      </c>
      <c r="D13" s="137">
        <v>0</v>
      </c>
      <c r="E13" s="137">
        <v>0</v>
      </c>
      <c r="F13" s="1">
        <f t="shared" si="3"/>
        <v>0</v>
      </c>
      <c r="G13" s="137">
        <v>0</v>
      </c>
      <c r="H13" s="137">
        <v>0</v>
      </c>
      <c r="I13" s="1">
        <f t="shared" si="6"/>
        <v>0</v>
      </c>
      <c r="J13" s="1">
        <f t="shared" si="7"/>
        <v>0</v>
      </c>
      <c r="K13" s="2">
        <f t="shared" si="1"/>
        <v>0</v>
      </c>
      <c r="L13" s="2">
        <f t="shared" si="2"/>
        <v>0</v>
      </c>
    </row>
    <row r="14" spans="1:12" x14ac:dyDescent="0.2">
      <c r="A14" t="s">
        <v>30</v>
      </c>
      <c r="B14" t="s">
        <v>43</v>
      </c>
      <c r="C14" s="137">
        <v>8181</v>
      </c>
      <c r="D14" s="137">
        <v>0</v>
      </c>
      <c r="E14" s="137">
        <v>0</v>
      </c>
      <c r="F14" s="1">
        <f t="shared" si="3"/>
        <v>8181</v>
      </c>
      <c r="G14" s="137">
        <v>0</v>
      </c>
      <c r="H14" s="137">
        <v>0</v>
      </c>
      <c r="I14" s="1">
        <f t="shared" si="6"/>
        <v>8181</v>
      </c>
      <c r="J14" s="1">
        <f t="shared" si="7"/>
        <v>0</v>
      </c>
      <c r="K14" s="2">
        <f t="shared" si="1"/>
        <v>0</v>
      </c>
      <c r="L14" s="2">
        <f t="shared" si="2"/>
        <v>0</v>
      </c>
    </row>
    <row r="15" spans="1:12" x14ac:dyDescent="0.2">
      <c r="A15" t="s">
        <v>30</v>
      </c>
      <c r="B15" t="s">
        <v>24</v>
      </c>
      <c r="C15" s="137">
        <v>878.79</v>
      </c>
      <c r="D15" s="137">
        <v>0</v>
      </c>
      <c r="E15" s="137">
        <v>0</v>
      </c>
      <c r="F15" s="1">
        <f t="shared" si="3"/>
        <v>878.79</v>
      </c>
      <c r="G15" s="137">
        <v>0</v>
      </c>
      <c r="H15" s="137">
        <v>0</v>
      </c>
      <c r="I15" s="1">
        <f t="shared" si="6"/>
        <v>878.79</v>
      </c>
      <c r="J15" s="1">
        <f t="shared" si="7"/>
        <v>0</v>
      </c>
      <c r="K15" s="2">
        <f t="shared" si="1"/>
        <v>0</v>
      </c>
      <c r="L15" s="2">
        <f t="shared" si="2"/>
        <v>0</v>
      </c>
    </row>
    <row r="16" spans="1:12" x14ac:dyDescent="0.2">
      <c r="A16" t="s">
        <v>30</v>
      </c>
      <c r="B16" t="s">
        <v>44</v>
      </c>
      <c r="C16" s="137">
        <v>0</v>
      </c>
      <c r="D16" s="137">
        <v>0</v>
      </c>
      <c r="E16" s="137">
        <v>0</v>
      </c>
      <c r="F16" s="1">
        <f t="shared" si="3"/>
        <v>0</v>
      </c>
      <c r="G16" s="137">
        <v>0</v>
      </c>
      <c r="H16" s="137">
        <v>0</v>
      </c>
      <c r="I16" s="1">
        <f t="shared" si="6"/>
        <v>0</v>
      </c>
      <c r="J16" s="1">
        <f t="shared" si="7"/>
        <v>0</v>
      </c>
      <c r="K16" s="2">
        <f t="shared" si="1"/>
        <v>0</v>
      </c>
      <c r="L16" s="2">
        <f t="shared" si="2"/>
        <v>0</v>
      </c>
    </row>
    <row r="17" spans="1:12" x14ac:dyDescent="0.2">
      <c r="A17" t="s">
        <v>30</v>
      </c>
      <c r="B17" t="s">
        <v>45</v>
      </c>
      <c r="C17" s="137">
        <v>0</v>
      </c>
      <c r="D17" s="137">
        <v>0</v>
      </c>
      <c r="E17" s="137">
        <v>0</v>
      </c>
      <c r="F17" s="1">
        <f t="shared" si="3"/>
        <v>0</v>
      </c>
      <c r="G17" s="137">
        <v>0</v>
      </c>
      <c r="H17" s="137">
        <v>0</v>
      </c>
      <c r="I17" s="1">
        <f t="shared" si="6"/>
        <v>0</v>
      </c>
      <c r="J17" s="1">
        <f t="shared" si="7"/>
        <v>0</v>
      </c>
      <c r="K17" s="2">
        <f t="shared" si="1"/>
        <v>0</v>
      </c>
      <c r="L17" s="2">
        <f t="shared" si="2"/>
        <v>0</v>
      </c>
    </row>
    <row r="18" spans="1:12" x14ac:dyDescent="0.2">
      <c r="A18" t="s">
        <v>30</v>
      </c>
      <c r="B18" t="s">
        <v>27</v>
      </c>
      <c r="C18" s="137">
        <v>0</v>
      </c>
      <c r="D18" s="137">
        <v>0</v>
      </c>
      <c r="E18" s="137">
        <v>0</v>
      </c>
      <c r="F18" s="1">
        <f t="shared" si="3"/>
        <v>0</v>
      </c>
      <c r="G18" s="137">
        <v>0</v>
      </c>
      <c r="H18" s="137">
        <v>0</v>
      </c>
      <c r="I18" s="1">
        <f t="shared" si="6"/>
        <v>0</v>
      </c>
      <c r="J18" s="1">
        <f t="shared" si="7"/>
        <v>0</v>
      </c>
      <c r="K18" s="2">
        <f t="shared" si="1"/>
        <v>0</v>
      </c>
      <c r="L18" s="2">
        <f t="shared" si="2"/>
        <v>0</v>
      </c>
    </row>
    <row r="19" spans="1:12" x14ac:dyDescent="0.2">
      <c r="A19" t="s">
        <v>30</v>
      </c>
      <c r="B19" t="s">
        <v>28</v>
      </c>
      <c r="C19" s="137">
        <v>0</v>
      </c>
      <c r="D19" s="137">
        <v>0</v>
      </c>
      <c r="E19" s="137">
        <v>0</v>
      </c>
      <c r="F19" s="1">
        <f t="shared" si="3"/>
        <v>0</v>
      </c>
      <c r="G19" s="137">
        <v>0</v>
      </c>
      <c r="H19" s="137">
        <v>0</v>
      </c>
      <c r="I19" s="1">
        <f t="shared" si="6"/>
        <v>0</v>
      </c>
      <c r="J19" s="1">
        <f t="shared" si="7"/>
        <v>0</v>
      </c>
      <c r="K19" s="2">
        <f t="shared" si="1"/>
        <v>0</v>
      </c>
      <c r="L19" s="2">
        <f t="shared" si="2"/>
        <v>0</v>
      </c>
    </row>
    <row r="20" spans="1:12" x14ac:dyDescent="0.2">
      <c r="A20" t="s">
        <v>30</v>
      </c>
      <c r="B20" t="s">
        <v>29</v>
      </c>
      <c r="C20" s="137">
        <v>0</v>
      </c>
      <c r="D20" s="137">
        <v>0</v>
      </c>
      <c r="E20" s="137">
        <v>0</v>
      </c>
      <c r="F20" s="1">
        <f t="shared" si="3"/>
        <v>0</v>
      </c>
      <c r="G20" s="137">
        <v>0</v>
      </c>
      <c r="H20" s="137">
        <v>0</v>
      </c>
      <c r="I20" s="1">
        <f t="shared" si="6"/>
        <v>0</v>
      </c>
      <c r="J20" s="1">
        <f t="shared" si="7"/>
        <v>0</v>
      </c>
      <c r="K20" s="2">
        <f t="shared" si="1"/>
        <v>0</v>
      </c>
      <c r="L20" s="2">
        <f t="shared" si="2"/>
        <v>0</v>
      </c>
    </row>
    <row r="21" spans="1:12" x14ac:dyDescent="0.2">
      <c r="A21" s="3"/>
      <c r="B21" s="3" t="s">
        <v>31</v>
      </c>
      <c r="C21" s="4">
        <f t="shared" ref="C21:J21" si="8">SUM(C12:C20)</f>
        <v>9059.7900000000009</v>
      </c>
      <c r="D21" s="4">
        <f t="shared" si="8"/>
        <v>0</v>
      </c>
      <c r="E21" s="4">
        <f t="shared" si="8"/>
        <v>0</v>
      </c>
      <c r="F21" s="4">
        <f t="shared" si="8"/>
        <v>9059.7900000000009</v>
      </c>
      <c r="G21" s="4">
        <f t="shared" si="8"/>
        <v>0</v>
      </c>
      <c r="H21" s="4">
        <f t="shared" si="8"/>
        <v>0</v>
      </c>
      <c r="I21" s="4">
        <f t="shared" si="8"/>
        <v>9059.7900000000009</v>
      </c>
      <c r="J21" s="4">
        <f t="shared" si="8"/>
        <v>0</v>
      </c>
      <c r="K21" s="5">
        <f t="shared" si="1"/>
        <v>0</v>
      </c>
      <c r="L21" s="5">
        <f t="shared" si="2"/>
        <v>0</v>
      </c>
    </row>
    <row r="22" spans="1:12" x14ac:dyDescent="0.2">
      <c r="A22" t="s">
        <v>32</v>
      </c>
      <c r="B22" t="s">
        <v>41</v>
      </c>
      <c r="C22" s="117">
        <v>0</v>
      </c>
      <c r="D22" s="137">
        <v>0</v>
      </c>
      <c r="E22" s="117">
        <v>0</v>
      </c>
      <c r="F22" s="1">
        <f t="shared" si="3"/>
        <v>0</v>
      </c>
      <c r="G22" s="137">
        <v>0</v>
      </c>
      <c r="H22" s="137">
        <v>0</v>
      </c>
      <c r="I22" s="1">
        <f t="shared" ref="I22:I30" si="9">F22-G22-H22</f>
        <v>0</v>
      </c>
      <c r="J22" s="1">
        <f t="shared" ref="J22:J30" si="10">E22+G22+H22</f>
        <v>0</v>
      </c>
      <c r="K22" s="2">
        <f t="shared" si="1"/>
        <v>0</v>
      </c>
      <c r="L22" s="2">
        <f t="shared" si="2"/>
        <v>0</v>
      </c>
    </row>
    <row r="23" spans="1:12" x14ac:dyDescent="0.2">
      <c r="A23" t="s">
        <v>32</v>
      </c>
      <c r="B23" t="s">
        <v>42</v>
      </c>
      <c r="C23" s="117">
        <v>0</v>
      </c>
      <c r="D23" s="137">
        <v>0</v>
      </c>
      <c r="E23" s="117">
        <v>0</v>
      </c>
      <c r="F23" s="1">
        <f t="shared" si="3"/>
        <v>0</v>
      </c>
      <c r="G23" s="137">
        <v>0</v>
      </c>
      <c r="H23" s="137">
        <v>0</v>
      </c>
      <c r="I23" s="1">
        <f t="shared" si="9"/>
        <v>0</v>
      </c>
      <c r="J23" s="1">
        <f t="shared" si="10"/>
        <v>0</v>
      </c>
      <c r="K23" s="2">
        <f t="shared" si="1"/>
        <v>0</v>
      </c>
      <c r="L23" s="2">
        <f t="shared" si="2"/>
        <v>0</v>
      </c>
    </row>
    <row r="24" spans="1:12" x14ac:dyDescent="0.2">
      <c r="A24" t="s">
        <v>32</v>
      </c>
      <c r="B24" t="s">
        <v>43</v>
      </c>
      <c r="C24" s="117">
        <v>40079.910000000003</v>
      </c>
      <c r="D24" s="137">
        <v>0</v>
      </c>
      <c r="E24" s="117">
        <v>0</v>
      </c>
      <c r="F24" s="1">
        <f t="shared" si="3"/>
        <v>40079.910000000003</v>
      </c>
      <c r="G24" s="137">
        <v>18172.66</v>
      </c>
      <c r="H24" s="137">
        <v>0</v>
      </c>
      <c r="I24" s="1">
        <f t="shared" si="9"/>
        <v>21907.250000000004</v>
      </c>
      <c r="J24" s="1">
        <f t="shared" si="10"/>
        <v>18172.66</v>
      </c>
      <c r="K24" s="2">
        <f t="shared" si="1"/>
        <v>0.45341069877651918</v>
      </c>
      <c r="L24" s="2">
        <f t="shared" si="2"/>
        <v>0.45341069877651918</v>
      </c>
    </row>
    <row r="25" spans="1:12" x14ac:dyDescent="0.2">
      <c r="A25" t="s">
        <v>32</v>
      </c>
      <c r="B25" t="s">
        <v>24</v>
      </c>
      <c r="C25" s="117">
        <v>0</v>
      </c>
      <c r="D25" s="137">
        <v>0</v>
      </c>
      <c r="E25" s="117">
        <v>0</v>
      </c>
      <c r="F25" s="1">
        <f t="shared" si="3"/>
        <v>0</v>
      </c>
      <c r="G25" s="137">
        <v>0</v>
      </c>
      <c r="H25" s="137">
        <v>0</v>
      </c>
      <c r="I25" s="1">
        <f t="shared" si="9"/>
        <v>0</v>
      </c>
      <c r="J25" s="1">
        <f t="shared" si="10"/>
        <v>0</v>
      </c>
      <c r="K25" s="2">
        <f t="shared" si="1"/>
        <v>0</v>
      </c>
      <c r="L25" s="2">
        <f t="shared" si="2"/>
        <v>0</v>
      </c>
    </row>
    <row r="26" spans="1:12" x14ac:dyDescent="0.2">
      <c r="A26" t="s">
        <v>32</v>
      </c>
      <c r="B26" t="s">
        <v>44</v>
      </c>
      <c r="C26" s="117">
        <v>0</v>
      </c>
      <c r="D26" s="137">
        <v>0</v>
      </c>
      <c r="E26" s="117">
        <v>0</v>
      </c>
      <c r="F26" s="1">
        <f t="shared" si="3"/>
        <v>0</v>
      </c>
      <c r="G26" s="137">
        <v>0</v>
      </c>
      <c r="H26" s="137">
        <v>0</v>
      </c>
      <c r="I26" s="1">
        <f t="shared" si="9"/>
        <v>0</v>
      </c>
      <c r="J26" s="1">
        <f t="shared" si="10"/>
        <v>0</v>
      </c>
      <c r="K26" s="2">
        <f t="shared" si="1"/>
        <v>0</v>
      </c>
      <c r="L26" s="2">
        <f t="shared" si="2"/>
        <v>0</v>
      </c>
    </row>
    <row r="27" spans="1:12" x14ac:dyDescent="0.2">
      <c r="A27" t="s">
        <v>32</v>
      </c>
      <c r="B27" t="s">
        <v>45</v>
      </c>
      <c r="C27" s="117">
        <v>0</v>
      </c>
      <c r="D27" s="137">
        <v>0</v>
      </c>
      <c r="E27" s="117">
        <v>0</v>
      </c>
      <c r="F27" s="1">
        <f t="shared" si="3"/>
        <v>0</v>
      </c>
      <c r="G27" s="137">
        <v>0</v>
      </c>
      <c r="H27" s="137">
        <v>0</v>
      </c>
      <c r="I27" s="1">
        <f t="shared" si="9"/>
        <v>0</v>
      </c>
      <c r="J27" s="1">
        <f t="shared" si="10"/>
        <v>0</v>
      </c>
      <c r="K27" s="2">
        <f t="shared" si="1"/>
        <v>0</v>
      </c>
      <c r="L27" s="2">
        <f t="shared" si="2"/>
        <v>0</v>
      </c>
    </row>
    <row r="28" spans="1:12" x14ac:dyDescent="0.2">
      <c r="A28" t="s">
        <v>32</v>
      </c>
      <c r="B28" t="s">
        <v>27</v>
      </c>
      <c r="C28" s="117">
        <v>0</v>
      </c>
      <c r="D28" s="137">
        <v>0</v>
      </c>
      <c r="E28" s="117">
        <v>0</v>
      </c>
      <c r="F28" s="1">
        <f t="shared" si="3"/>
        <v>0</v>
      </c>
      <c r="G28" s="137">
        <v>0</v>
      </c>
      <c r="H28" s="137">
        <v>0</v>
      </c>
      <c r="I28" s="1">
        <f t="shared" si="9"/>
        <v>0</v>
      </c>
      <c r="J28" s="1">
        <f t="shared" si="10"/>
        <v>0</v>
      </c>
      <c r="K28" s="2">
        <f t="shared" si="1"/>
        <v>0</v>
      </c>
      <c r="L28" s="2">
        <f t="shared" si="2"/>
        <v>0</v>
      </c>
    </row>
    <row r="29" spans="1:12" x14ac:dyDescent="0.2">
      <c r="A29" t="s">
        <v>32</v>
      </c>
      <c r="B29" t="s">
        <v>28</v>
      </c>
      <c r="C29" s="117">
        <v>0</v>
      </c>
      <c r="D29" s="137">
        <v>0</v>
      </c>
      <c r="E29" s="117">
        <v>0</v>
      </c>
      <c r="F29" s="1">
        <f t="shared" si="3"/>
        <v>0</v>
      </c>
      <c r="G29" s="137">
        <v>0</v>
      </c>
      <c r="H29" s="137">
        <v>0</v>
      </c>
      <c r="I29" s="1">
        <f t="shared" si="9"/>
        <v>0</v>
      </c>
      <c r="J29" s="1">
        <f t="shared" si="10"/>
        <v>0</v>
      </c>
      <c r="K29" s="2">
        <f t="shared" si="1"/>
        <v>0</v>
      </c>
      <c r="L29" s="2">
        <f t="shared" si="2"/>
        <v>0</v>
      </c>
    </row>
    <row r="30" spans="1:12" x14ac:dyDescent="0.2">
      <c r="A30" t="s">
        <v>32</v>
      </c>
      <c r="B30" t="s">
        <v>29</v>
      </c>
      <c r="C30" s="117">
        <v>0</v>
      </c>
      <c r="D30" s="137">
        <v>0</v>
      </c>
      <c r="E30" s="117">
        <v>0</v>
      </c>
      <c r="F30" s="1">
        <f t="shared" si="3"/>
        <v>0</v>
      </c>
      <c r="G30" s="137">
        <v>0</v>
      </c>
      <c r="H30" s="137">
        <v>0</v>
      </c>
      <c r="I30" s="1">
        <f t="shared" si="9"/>
        <v>0</v>
      </c>
      <c r="J30" s="1">
        <f t="shared" si="10"/>
        <v>0</v>
      </c>
      <c r="K30" s="2">
        <f t="shared" si="1"/>
        <v>0</v>
      </c>
      <c r="L30" s="2">
        <f t="shared" si="2"/>
        <v>0</v>
      </c>
    </row>
    <row r="31" spans="1:12" x14ac:dyDescent="0.2">
      <c r="A31" s="3"/>
      <c r="B31" s="3" t="s">
        <v>32</v>
      </c>
      <c r="C31" s="4">
        <f t="shared" ref="C31:J31" si="11">SUM(C22:C30)</f>
        <v>40079.910000000003</v>
      </c>
      <c r="D31" s="4">
        <f t="shared" si="11"/>
        <v>0</v>
      </c>
      <c r="E31" s="4">
        <f t="shared" si="11"/>
        <v>0</v>
      </c>
      <c r="F31" s="4">
        <f t="shared" si="11"/>
        <v>40079.910000000003</v>
      </c>
      <c r="G31" s="4">
        <f t="shared" si="11"/>
        <v>18172.66</v>
      </c>
      <c r="H31" s="4">
        <f t="shared" si="11"/>
        <v>0</v>
      </c>
      <c r="I31" s="4">
        <f t="shared" si="11"/>
        <v>21907.250000000004</v>
      </c>
      <c r="J31" s="4">
        <f t="shared" si="11"/>
        <v>18172.66</v>
      </c>
      <c r="K31" s="5">
        <f t="shared" si="1"/>
        <v>0.45341069877651918</v>
      </c>
      <c r="L31" s="5">
        <f t="shared" si="2"/>
        <v>0.45341069877651918</v>
      </c>
    </row>
    <row r="32" spans="1:12" x14ac:dyDescent="0.2">
      <c r="A32" t="s">
        <v>79</v>
      </c>
      <c r="B32" t="s">
        <v>41</v>
      </c>
    </row>
    <row r="33" spans="1:12" x14ac:dyDescent="0.2">
      <c r="A33" t="s">
        <v>79</v>
      </c>
      <c r="B33" t="s">
        <v>42</v>
      </c>
    </row>
    <row r="34" spans="1:12" x14ac:dyDescent="0.2">
      <c r="A34" t="s">
        <v>79</v>
      </c>
      <c r="B34" t="s">
        <v>43</v>
      </c>
    </row>
    <row r="35" spans="1:12" x14ac:dyDescent="0.2">
      <c r="A35" t="s">
        <v>79</v>
      </c>
      <c r="B35" t="s">
        <v>24</v>
      </c>
      <c r="C35" s="117">
        <v>0</v>
      </c>
      <c r="D35" s="117">
        <v>0</v>
      </c>
      <c r="E35" s="117">
        <v>0</v>
      </c>
      <c r="F35" s="1">
        <f>C35+D35-E35</f>
        <v>0</v>
      </c>
      <c r="G35" s="117">
        <v>0</v>
      </c>
      <c r="H35" s="117">
        <v>0</v>
      </c>
      <c r="I35" s="1">
        <f t="shared" ref="I35" si="12">F35-G35-H35</f>
        <v>0</v>
      </c>
      <c r="J35" s="1">
        <f>E35+G35+H35</f>
        <v>0</v>
      </c>
      <c r="K35" s="2">
        <f>IFERROR(J35/C35,0)</f>
        <v>0</v>
      </c>
    </row>
    <row r="36" spans="1:12" x14ac:dyDescent="0.2">
      <c r="A36" t="s">
        <v>79</v>
      </c>
      <c r="B36" t="s">
        <v>44</v>
      </c>
      <c r="G36" s="108"/>
    </row>
    <row r="37" spans="1:12" x14ac:dyDescent="0.2">
      <c r="A37" t="s">
        <v>79</v>
      </c>
      <c r="B37" t="s">
        <v>45</v>
      </c>
    </row>
    <row r="38" spans="1:12" x14ac:dyDescent="0.2">
      <c r="A38" t="s">
        <v>79</v>
      </c>
      <c r="B38" t="s">
        <v>27</v>
      </c>
    </row>
    <row r="39" spans="1:12" x14ac:dyDescent="0.2">
      <c r="A39" t="s">
        <v>79</v>
      </c>
      <c r="B39" t="s">
        <v>28</v>
      </c>
    </row>
    <row r="40" spans="1:12" x14ac:dyDescent="0.2">
      <c r="A40" t="s">
        <v>79</v>
      </c>
      <c r="B40" t="s">
        <v>29</v>
      </c>
    </row>
    <row r="41" spans="1:12" x14ac:dyDescent="0.2">
      <c r="A41" s="3"/>
      <c r="B41" s="3" t="s">
        <v>80</v>
      </c>
      <c r="C41" s="4">
        <f t="shared" ref="C41:J41" si="13">SUM(C32:C40)</f>
        <v>0</v>
      </c>
      <c r="D41" s="4">
        <f t="shared" si="13"/>
        <v>0</v>
      </c>
      <c r="E41" s="4">
        <f t="shared" si="13"/>
        <v>0</v>
      </c>
      <c r="F41" s="4">
        <f t="shared" si="13"/>
        <v>0</v>
      </c>
      <c r="G41" s="4">
        <f t="shared" si="13"/>
        <v>0</v>
      </c>
      <c r="H41" s="4">
        <f t="shared" si="13"/>
        <v>0</v>
      </c>
      <c r="I41" s="4">
        <f t="shared" si="13"/>
        <v>0</v>
      </c>
      <c r="J41" s="4">
        <f t="shared" si="13"/>
        <v>0</v>
      </c>
      <c r="K41" s="5"/>
      <c r="L41" s="5"/>
    </row>
    <row r="42" spans="1:12" x14ac:dyDescent="0.2">
      <c r="A42" t="s">
        <v>33</v>
      </c>
      <c r="B42" t="s">
        <v>91</v>
      </c>
      <c r="C42" s="1">
        <f t="shared" ref="C42:J44" si="14">C2+C12+C22</f>
        <v>0</v>
      </c>
      <c r="D42" s="1">
        <f t="shared" si="14"/>
        <v>0</v>
      </c>
      <c r="E42" s="1">
        <f t="shared" si="14"/>
        <v>0</v>
      </c>
      <c r="F42" s="1">
        <f t="shared" si="14"/>
        <v>0</v>
      </c>
      <c r="G42" s="1">
        <f t="shared" si="14"/>
        <v>0</v>
      </c>
      <c r="H42" s="1">
        <f t="shared" si="14"/>
        <v>0</v>
      </c>
      <c r="I42" s="1">
        <f t="shared" si="14"/>
        <v>0</v>
      </c>
      <c r="J42" s="1">
        <f t="shared" si="14"/>
        <v>0</v>
      </c>
      <c r="K42" s="2">
        <f t="shared" ref="K42:K51" si="15">IFERROR(J42/C42,0)</f>
        <v>0</v>
      </c>
      <c r="L42" s="2">
        <f t="shared" ref="L42:L51" si="16">IFERROR(G42/C42,0)</f>
        <v>0</v>
      </c>
    </row>
    <row r="43" spans="1:12" x14ac:dyDescent="0.2">
      <c r="A43" t="s">
        <v>33</v>
      </c>
      <c r="B43" t="s">
        <v>92</v>
      </c>
      <c r="C43" s="1">
        <f t="shared" ref="C43" si="17">C3+C13+C23</f>
        <v>0</v>
      </c>
      <c r="D43" s="1">
        <f t="shared" si="14"/>
        <v>0</v>
      </c>
      <c r="E43" s="1">
        <f t="shared" si="14"/>
        <v>0</v>
      </c>
      <c r="F43" s="1">
        <f t="shared" si="14"/>
        <v>0</v>
      </c>
      <c r="G43" s="1">
        <f t="shared" si="14"/>
        <v>0</v>
      </c>
      <c r="H43" s="1">
        <f t="shared" si="14"/>
        <v>0</v>
      </c>
      <c r="I43" s="1">
        <f t="shared" si="14"/>
        <v>0</v>
      </c>
      <c r="J43" s="1">
        <f t="shared" si="14"/>
        <v>0</v>
      </c>
      <c r="K43" s="2">
        <f t="shared" si="15"/>
        <v>0</v>
      </c>
      <c r="L43" s="2">
        <f t="shared" si="16"/>
        <v>0</v>
      </c>
    </row>
    <row r="44" spans="1:12" x14ac:dyDescent="0.2">
      <c r="A44" t="s">
        <v>33</v>
      </c>
      <c r="B44" t="s">
        <v>93</v>
      </c>
      <c r="C44" s="1">
        <f t="shared" ref="C44" si="18">C4+C14+C24</f>
        <v>657629.48</v>
      </c>
      <c r="D44" s="1">
        <f t="shared" si="14"/>
        <v>0</v>
      </c>
      <c r="E44" s="1">
        <f t="shared" si="14"/>
        <v>440.25</v>
      </c>
      <c r="F44" s="1">
        <f t="shared" si="14"/>
        <v>657189.23</v>
      </c>
      <c r="G44" s="1">
        <f t="shared" si="14"/>
        <v>21212.33</v>
      </c>
      <c r="H44" s="1">
        <f t="shared" si="14"/>
        <v>0</v>
      </c>
      <c r="I44" s="1">
        <f t="shared" si="14"/>
        <v>635976.89999999991</v>
      </c>
      <c r="J44" s="1">
        <f t="shared" si="14"/>
        <v>21652.58</v>
      </c>
      <c r="K44" s="2">
        <f t="shared" si="15"/>
        <v>3.2925196723236926E-2</v>
      </c>
      <c r="L44" s="2">
        <f t="shared" si="16"/>
        <v>3.2255746807457603E-2</v>
      </c>
    </row>
    <row r="45" spans="1:12" x14ac:dyDescent="0.2">
      <c r="A45" t="s">
        <v>33</v>
      </c>
      <c r="B45" t="s">
        <v>85</v>
      </c>
      <c r="C45" s="1">
        <f>C5+C15+C25-C35</f>
        <v>878.79</v>
      </c>
      <c r="D45" s="1">
        <f t="shared" ref="D45:J45" si="19">D5+D15+D25-D35</f>
        <v>0</v>
      </c>
      <c r="E45" s="1">
        <f t="shared" si="19"/>
        <v>0</v>
      </c>
      <c r="F45" s="1">
        <f t="shared" ref="F45" si="20">F5+F15+F25</f>
        <v>878.79</v>
      </c>
      <c r="G45" s="1">
        <f>G5+G15+G25-G35</f>
        <v>0</v>
      </c>
      <c r="H45" s="1">
        <f t="shared" si="19"/>
        <v>0</v>
      </c>
      <c r="I45" s="1">
        <f t="shared" si="19"/>
        <v>878.79</v>
      </c>
      <c r="J45" s="1">
        <f t="shared" si="19"/>
        <v>0</v>
      </c>
      <c r="K45" s="2">
        <f t="shared" si="15"/>
        <v>0</v>
      </c>
      <c r="L45" s="2">
        <f t="shared" si="16"/>
        <v>0</v>
      </c>
    </row>
    <row r="46" spans="1:12" x14ac:dyDescent="0.2">
      <c r="A46" t="s">
        <v>33</v>
      </c>
      <c r="B46" t="s">
        <v>94</v>
      </c>
      <c r="C46" s="1">
        <f t="shared" ref="C46" si="21">C6+C16+C26</f>
        <v>28589.26</v>
      </c>
      <c r="D46" s="1">
        <f t="shared" ref="D46:J50" si="22">D6+D16+D26</f>
        <v>0</v>
      </c>
      <c r="E46" s="1">
        <f t="shared" si="22"/>
        <v>0</v>
      </c>
      <c r="F46" s="1">
        <f t="shared" si="22"/>
        <v>28589.26</v>
      </c>
      <c r="G46" s="1">
        <f>G6+G16+G26</f>
        <v>28289.26</v>
      </c>
      <c r="H46" s="1">
        <f t="shared" si="22"/>
        <v>0</v>
      </c>
      <c r="I46" s="1">
        <f t="shared" si="22"/>
        <v>300</v>
      </c>
      <c r="J46" s="1">
        <f t="shared" si="22"/>
        <v>28289.26</v>
      </c>
      <c r="K46" s="2">
        <f t="shared" si="15"/>
        <v>0.98950654896279233</v>
      </c>
      <c r="L46" s="2">
        <f t="shared" si="16"/>
        <v>0.98950654896279233</v>
      </c>
    </row>
    <row r="47" spans="1:12" x14ac:dyDescent="0.2">
      <c r="A47" t="s">
        <v>33</v>
      </c>
      <c r="B47" t="s">
        <v>95</v>
      </c>
      <c r="C47" s="1">
        <f t="shared" ref="C47" si="23">C7+C17+C27</f>
        <v>0</v>
      </c>
      <c r="D47" s="1">
        <f t="shared" si="22"/>
        <v>0</v>
      </c>
      <c r="E47" s="1">
        <f t="shared" si="22"/>
        <v>0</v>
      </c>
      <c r="F47" s="1">
        <f t="shared" si="22"/>
        <v>0</v>
      </c>
      <c r="G47" s="1">
        <f>G7+G17+G27</f>
        <v>0</v>
      </c>
      <c r="H47" s="1">
        <f t="shared" si="22"/>
        <v>0</v>
      </c>
      <c r="I47" s="1">
        <f t="shared" si="22"/>
        <v>0</v>
      </c>
      <c r="J47" s="1">
        <f t="shared" si="22"/>
        <v>0</v>
      </c>
      <c r="K47" s="2">
        <f t="shared" si="15"/>
        <v>0</v>
      </c>
      <c r="L47" s="2">
        <f t="shared" si="16"/>
        <v>0</v>
      </c>
    </row>
    <row r="48" spans="1:12" x14ac:dyDescent="0.2">
      <c r="A48" t="s">
        <v>33</v>
      </c>
      <c r="B48" t="s">
        <v>88</v>
      </c>
      <c r="C48" s="1">
        <f t="shared" ref="C48" si="24">C8+C18+C28</f>
        <v>0</v>
      </c>
      <c r="D48" s="1">
        <f t="shared" si="22"/>
        <v>0</v>
      </c>
      <c r="E48" s="1">
        <f t="shared" si="22"/>
        <v>0</v>
      </c>
      <c r="F48" s="1">
        <f t="shared" si="22"/>
        <v>0</v>
      </c>
      <c r="G48" s="1">
        <f>G8+G18+G28</f>
        <v>0</v>
      </c>
      <c r="H48" s="1">
        <f t="shared" si="22"/>
        <v>0</v>
      </c>
      <c r="I48" s="1">
        <f t="shared" si="22"/>
        <v>0</v>
      </c>
      <c r="J48" s="1">
        <f t="shared" si="22"/>
        <v>0</v>
      </c>
      <c r="K48" s="2">
        <f t="shared" si="15"/>
        <v>0</v>
      </c>
      <c r="L48" s="2">
        <f t="shared" si="16"/>
        <v>0</v>
      </c>
    </row>
    <row r="49" spans="1:12" x14ac:dyDescent="0.2">
      <c r="A49" t="s">
        <v>33</v>
      </c>
      <c r="B49" t="s">
        <v>89</v>
      </c>
      <c r="C49" s="1">
        <f t="shared" ref="C49" si="25">C9+C19+C29</f>
        <v>0</v>
      </c>
      <c r="D49" s="1">
        <f t="shared" si="22"/>
        <v>0</v>
      </c>
      <c r="E49" s="1">
        <f t="shared" si="22"/>
        <v>0</v>
      </c>
      <c r="F49" s="1">
        <f t="shared" si="22"/>
        <v>0</v>
      </c>
      <c r="G49" s="1">
        <f>F9+G19+G29</f>
        <v>0</v>
      </c>
      <c r="H49" s="1">
        <f t="shared" si="22"/>
        <v>0</v>
      </c>
      <c r="I49" s="1">
        <f t="shared" si="22"/>
        <v>0</v>
      </c>
      <c r="J49" s="1">
        <f t="shared" si="22"/>
        <v>0</v>
      </c>
      <c r="K49" s="2">
        <f t="shared" si="15"/>
        <v>0</v>
      </c>
      <c r="L49" s="2">
        <f t="shared" si="16"/>
        <v>0</v>
      </c>
    </row>
    <row r="50" spans="1:12" x14ac:dyDescent="0.2">
      <c r="A50" t="s">
        <v>33</v>
      </c>
      <c r="B50" t="s">
        <v>90</v>
      </c>
      <c r="C50" s="1">
        <f t="shared" ref="C50" si="26">C10+C20+C30</f>
        <v>0</v>
      </c>
      <c r="D50" s="1">
        <f t="shared" si="22"/>
        <v>0</v>
      </c>
      <c r="E50" s="1">
        <f t="shared" si="22"/>
        <v>0</v>
      </c>
      <c r="F50" s="1">
        <f t="shared" si="22"/>
        <v>0</v>
      </c>
      <c r="G50" s="1">
        <f>G10+G20+G30</f>
        <v>0</v>
      </c>
      <c r="H50" s="1">
        <f t="shared" si="22"/>
        <v>0</v>
      </c>
      <c r="I50" s="1">
        <f t="shared" si="22"/>
        <v>0</v>
      </c>
      <c r="J50" s="1">
        <f t="shared" si="22"/>
        <v>0</v>
      </c>
      <c r="K50" s="2">
        <f t="shared" si="15"/>
        <v>0</v>
      </c>
      <c r="L50" s="2">
        <f t="shared" si="16"/>
        <v>0</v>
      </c>
    </row>
    <row r="51" spans="1:12" s="3" customFormat="1" x14ac:dyDescent="0.2">
      <c r="B51" s="3" t="s">
        <v>34</v>
      </c>
      <c r="C51" s="4">
        <f>SUM(C42:C50)</f>
        <v>687097.53</v>
      </c>
      <c r="D51" s="4">
        <f t="shared" ref="D51:J51" si="27">SUM(D42:D50)</f>
        <v>0</v>
      </c>
      <c r="E51" s="4">
        <f t="shared" si="27"/>
        <v>440.25</v>
      </c>
      <c r="F51" s="4">
        <f t="shared" si="27"/>
        <v>686657.28</v>
      </c>
      <c r="G51" s="4">
        <f t="shared" si="27"/>
        <v>49501.59</v>
      </c>
      <c r="H51" s="4">
        <f t="shared" si="27"/>
        <v>0</v>
      </c>
      <c r="I51" s="4">
        <f t="shared" si="27"/>
        <v>637155.68999999994</v>
      </c>
      <c r="J51" s="4">
        <f t="shared" si="27"/>
        <v>49941.84</v>
      </c>
      <c r="K51" s="5">
        <f t="shared" si="15"/>
        <v>7.2685227088503709E-2</v>
      </c>
      <c r="L51" s="5">
        <f t="shared" si="16"/>
        <v>7.2044488356696607E-2</v>
      </c>
    </row>
  </sheetData>
  <sheetProtection selectLockedCells="1" selectUnlockedCells="1"/>
  <pageMargins left="0.19652777777777777" right="0.19652777777777777" top="0.59027777777777779" bottom="0.19652777777777777" header="0.51180555555555551" footer="0.51180555555555551"/>
  <pageSetup paperSize="9" scale="71" firstPageNumber="0" orientation="landscape" horizontalDpi="300" verticalDpi="300" r:id="rId1"/>
  <headerFooter alignWithMargins="0"/>
  <ignoredErrors>
    <ignoredError sqref="F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2:O15"/>
  <sheetViews>
    <sheetView zoomScale="85" zoomScaleNormal="85" workbookViewId="0">
      <selection activeCell="B11" sqref="B11:C11"/>
    </sheetView>
  </sheetViews>
  <sheetFormatPr baseColWidth="10" defaultColWidth="9.140625" defaultRowHeight="12.75" x14ac:dyDescent="0.2"/>
  <cols>
    <col min="1" max="1" width="24.140625" customWidth="1"/>
    <col min="2" max="2" width="22.85546875" bestFit="1" customWidth="1"/>
    <col min="3" max="3" width="27.7109375" style="1" customWidth="1"/>
    <col min="5" max="5" width="14.28515625" customWidth="1"/>
    <col min="9" max="9" width="4.140625" customWidth="1"/>
    <col min="10" max="10" width="13.42578125" bestFit="1" customWidth="1"/>
    <col min="11" max="11" width="23.140625" bestFit="1" customWidth="1"/>
    <col min="12" max="12" width="23.140625" customWidth="1"/>
    <col min="13" max="13" width="28.28515625" bestFit="1" customWidth="1"/>
  </cols>
  <sheetData>
    <row r="2" spans="1:15" x14ac:dyDescent="0.2">
      <c r="B2" t="s">
        <v>203</v>
      </c>
      <c r="C2" s="1" t="s">
        <v>259</v>
      </c>
      <c r="K2" s="164" t="s">
        <v>259</v>
      </c>
      <c r="L2" s="164"/>
      <c r="M2" s="165"/>
    </row>
    <row r="3" spans="1:15" ht="8.25" customHeight="1" x14ac:dyDescent="0.2">
      <c r="K3" s="159"/>
      <c r="L3" s="159"/>
      <c r="M3" s="160"/>
    </row>
    <row r="4" spans="1:15" x14ac:dyDescent="0.2">
      <c r="B4" t="s">
        <v>148</v>
      </c>
      <c r="C4" s="1" t="s">
        <v>148</v>
      </c>
      <c r="K4" s="26" t="s">
        <v>330</v>
      </c>
      <c r="L4" s="26" t="s">
        <v>331</v>
      </c>
      <c r="M4" t="s">
        <v>271</v>
      </c>
    </row>
    <row r="5" spans="1:15" x14ac:dyDescent="0.2">
      <c r="A5" t="s">
        <v>202</v>
      </c>
      <c r="B5" s="1">
        <f>B9-B6-B8-B7</f>
        <v>213800000</v>
      </c>
      <c r="C5" s="1">
        <f>C9-C8-C7-C6</f>
        <v>201133193</v>
      </c>
      <c r="J5" t="s">
        <v>280</v>
      </c>
      <c r="K5" s="1">
        <v>179995398.53999999</v>
      </c>
      <c r="L5" s="1">
        <v>94000</v>
      </c>
      <c r="M5" s="117">
        <v>361088239.92000002</v>
      </c>
    </row>
    <row r="6" spans="1:15" x14ac:dyDescent="0.2">
      <c r="A6" t="s">
        <v>149</v>
      </c>
      <c r="B6" s="1">
        <f>+INGRCAPITOL!E50</f>
        <v>8000000</v>
      </c>
      <c r="C6" s="1">
        <v>0</v>
      </c>
      <c r="J6" t="s">
        <v>32</v>
      </c>
      <c r="K6" s="1">
        <v>5826550.2999999998</v>
      </c>
      <c r="L6" s="1">
        <v>0</v>
      </c>
      <c r="M6" s="117">
        <v>23816550.300000001</v>
      </c>
    </row>
    <row r="7" spans="1:15" x14ac:dyDescent="0.2">
      <c r="A7" t="s">
        <v>152</v>
      </c>
      <c r="B7" s="1">
        <f>+INGRCAPITOL!E49-INGRCAPITOL!E58</f>
        <v>600000</v>
      </c>
      <c r="C7" s="108">
        <v>0</v>
      </c>
      <c r="J7" t="s">
        <v>281</v>
      </c>
      <c r="K7" s="1">
        <v>2900165</v>
      </c>
      <c r="L7" s="1">
        <v>581211.65</v>
      </c>
      <c r="M7" s="117">
        <v>13691376.65</v>
      </c>
    </row>
    <row r="8" spans="1:15" x14ac:dyDescent="0.2">
      <c r="A8" t="s">
        <v>150</v>
      </c>
      <c r="B8" s="1">
        <f>+INGRCAPITOL!E58</f>
        <v>1352889.53</v>
      </c>
      <c r="C8" s="1">
        <f>L11</f>
        <v>189397325.49000001</v>
      </c>
      <c r="D8" s="100" t="s">
        <v>326</v>
      </c>
      <c r="E8" s="101"/>
      <c r="F8" t="s">
        <v>329</v>
      </c>
      <c r="J8" t="s">
        <v>282</v>
      </c>
      <c r="K8" s="115" t="s">
        <v>284</v>
      </c>
      <c r="L8" s="115" t="s">
        <v>284</v>
      </c>
      <c r="M8" s="108">
        <v>8065648.3799999999</v>
      </c>
      <c r="N8" s="125" t="s">
        <v>327</v>
      </c>
      <c r="O8" s="26"/>
    </row>
    <row r="9" spans="1:15" x14ac:dyDescent="0.2">
      <c r="A9" t="s">
        <v>151</v>
      </c>
      <c r="B9" s="1">
        <f>+INGRCAPITOL!E51</f>
        <v>223752889.53</v>
      </c>
      <c r="C9" s="1">
        <f>M9</f>
        <v>390530518.49000001</v>
      </c>
      <c r="D9" s="100" t="s">
        <v>333</v>
      </c>
      <c r="E9" s="100"/>
      <c r="F9" t="s">
        <v>271</v>
      </c>
      <c r="J9" t="s">
        <v>283</v>
      </c>
      <c r="K9" s="119">
        <f>K5+K6+K7</f>
        <v>188722113.84</v>
      </c>
      <c r="L9" s="119">
        <f>L5+L6+L7</f>
        <v>675211.65</v>
      </c>
      <c r="M9" s="119">
        <f>M5+M6+M7-M8</f>
        <v>390530518.49000001</v>
      </c>
    </row>
    <row r="10" spans="1:15" x14ac:dyDescent="0.2">
      <c r="K10" s="118"/>
      <c r="L10" s="118"/>
      <c r="M10" s="118"/>
    </row>
    <row r="11" spans="1:15" x14ac:dyDescent="0.2">
      <c r="B11" s="108"/>
      <c r="C11" s="108"/>
      <c r="K11" s="26" t="s">
        <v>332</v>
      </c>
      <c r="L11" s="119">
        <f>K9+L9</f>
        <v>189397325.49000001</v>
      </c>
      <c r="M11" s="1"/>
    </row>
    <row r="12" spans="1:15" x14ac:dyDescent="0.2">
      <c r="B12" s="1"/>
      <c r="D12" t="s">
        <v>269</v>
      </c>
      <c r="M12" s="1"/>
    </row>
    <row r="15" spans="1:15" x14ac:dyDescent="0.2">
      <c r="M15" s="1"/>
    </row>
  </sheetData>
  <mergeCells count="1">
    <mergeCell ref="K2:M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2:P51"/>
  <sheetViews>
    <sheetView topLeftCell="A25" zoomScale="85" zoomScaleNormal="85" workbookViewId="0">
      <selection activeCell="B39" sqref="B39"/>
    </sheetView>
  </sheetViews>
  <sheetFormatPr baseColWidth="10" defaultColWidth="9.140625" defaultRowHeight="12.75" x14ac:dyDescent="0.2"/>
  <cols>
    <col min="1" max="1" width="46.42578125" customWidth="1"/>
    <col min="2" max="6" width="9.140625" customWidth="1"/>
    <col min="7" max="7" width="11" customWidth="1"/>
    <col min="8" max="9" width="9.140625" customWidth="1"/>
    <col min="10" max="10" width="9.140625" style="2" customWidth="1"/>
  </cols>
  <sheetData>
    <row r="2" spans="1:16" x14ac:dyDescent="0.2">
      <c r="A2" s="102" t="s">
        <v>270</v>
      </c>
    </row>
    <row r="4" spans="1:16" x14ac:dyDescent="0.2">
      <c r="A4" t="s">
        <v>118</v>
      </c>
    </row>
    <row r="5" spans="1:16" x14ac:dyDescent="0.2">
      <c r="C5" s="26" t="s">
        <v>119</v>
      </c>
      <c r="G5" s="26" t="s">
        <v>120</v>
      </c>
      <c r="M5" t="s">
        <v>266</v>
      </c>
    </row>
    <row r="6" spans="1:16" x14ac:dyDescent="0.2">
      <c r="A6" t="s">
        <v>8</v>
      </c>
      <c r="B6" t="s">
        <v>97</v>
      </c>
      <c r="C6" t="s">
        <v>99</v>
      </c>
      <c r="D6" t="s">
        <v>100</v>
      </c>
      <c r="E6" t="s">
        <v>101</v>
      </c>
      <c r="F6" t="s">
        <v>97</v>
      </c>
      <c r="G6" t="s">
        <v>99</v>
      </c>
      <c r="H6" t="s">
        <v>100</v>
      </c>
      <c r="I6" t="s">
        <v>101</v>
      </c>
    </row>
    <row r="7" spans="1:16" x14ac:dyDescent="0.2">
      <c r="A7" t="s">
        <v>82</v>
      </c>
      <c r="B7" s="120">
        <f>DESPCAPITOL!K42</f>
        <v>0.2204407549444673</v>
      </c>
      <c r="C7" s="2"/>
      <c r="D7" s="2"/>
      <c r="E7" s="2"/>
      <c r="F7" s="2">
        <f>B7</f>
        <v>0.2204407549444673</v>
      </c>
      <c r="G7" s="2">
        <v>0</v>
      </c>
      <c r="H7" s="2">
        <f t="shared" ref="G7:H15" si="0">+D7-C7</f>
        <v>0</v>
      </c>
      <c r="I7" s="2"/>
      <c r="J7" s="2">
        <v>0.25</v>
      </c>
      <c r="P7" s="2"/>
    </row>
    <row r="8" spans="1:16" x14ac:dyDescent="0.2">
      <c r="A8" t="s">
        <v>83</v>
      </c>
      <c r="B8" s="120">
        <f>DESPCAPITOL!K43</f>
        <v>0.56248610661320786</v>
      </c>
      <c r="C8" s="2"/>
      <c r="D8" s="2"/>
      <c r="E8" s="2"/>
      <c r="F8" s="2">
        <f t="shared" ref="F8:F15" si="1">B8</f>
        <v>0.56248610661320786</v>
      </c>
      <c r="G8" s="2">
        <v>0</v>
      </c>
      <c r="H8" s="2">
        <f t="shared" si="0"/>
        <v>0</v>
      </c>
      <c r="I8" s="2"/>
      <c r="J8" s="2">
        <v>0.25</v>
      </c>
      <c r="P8" s="2"/>
    </row>
    <row r="9" spans="1:16" x14ac:dyDescent="0.2">
      <c r="A9" t="s">
        <v>84</v>
      </c>
      <c r="B9" s="120">
        <f>DESPCAPITOL!K44</f>
        <v>0</v>
      </c>
      <c r="C9" s="2"/>
      <c r="D9" s="2"/>
      <c r="E9" s="2"/>
      <c r="F9" s="2">
        <f t="shared" si="1"/>
        <v>0</v>
      </c>
      <c r="G9" s="2">
        <v>0</v>
      </c>
      <c r="H9" s="2">
        <f t="shared" si="0"/>
        <v>0</v>
      </c>
      <c r="I9" s="2"/>
      <c r="J9" s="2">
        <v>0.25</v>
      </c>
      <c r="P9" s="2"/>
    </row>
    <row r="10" spans="1:16" x14ac:dyDescent="0.2">
      <c r="A10" t="s">
        <v>85</v>
      </c>
      <c r="B10" s="120">
        <f>DESPCAPITOL!K45</f>
        <v>0.56865663461914007</v>
      </c>
      <c r="C10" s="2"/>
      <c r="D10" s="2"/>
      <c r="E10" s="2"/>
      <c r="F10" s="2">
        <f t="shared" si="1"/>
        <v>0.56865663461914007</v>
      </c>
      <c r="G10" s="2">
        <v>0</v>
      </c>
      <c r="H10" s="2">
        <f t="shared" si="0"/>
        <v>0</v>
      </c>
      <c r="I10" s="2"/>
      <c r="J10" s="2">
        <v>0.25</v>
      </c>
      <c r="P10" s="2"/>
    </row>
    <row r="11" spans="1:16" x14ac:dyDescent="0.2">
      <c r="A11" t="s">
        <v>86</v>
      </c>
      <c r="B11" s="120">
        <f>DESPCAPITOL!K46</f>
        <v>0</v>
      </c>
      <c r="C11" s="2"/>
      <c r="D11" s="2"/>
      <c r="E11" s="2"/>
      <c r="F11" s="2">
        <f t="shared" si="1"/>
        <v>0</v>
      </c>
      <c r="G11" s="2">
        <v>0</v>
      </c>
      <c r="H11" s="2">
        <f t="shared" si="0"/>
        <v>0</v>
      </c>
      <c r="I11" s="2"/>
      <c r="J11" s="2">
        <v>0.25</v>
      </c>
      <c r="P11" s="2"/>
    </row>
    <row r="12" spans="1:16" x14ac:dyDescent="0.2">
      <c r="A12" t="s">
        <v>87</v>
      </c>
      <c r="B12" s="120">
        <f>DESPCAPITOL!K47</f>
        <v>0.38433161651646164</v>
      </c>
      <c r="C12" s="2"/>
      <c r="D12" s="2"/>
      <c r="E12" s="2"/>
      <c r="F12" s="2">
        <f t="shared" si="1"/>
        <v>0.38433161651646164</v>
      </c>
      <c r="G12" s="2">
        <v>0</v>
      </c>
      <c r="H12" s="2">
        <f t="shared" si="0"/>
        <v>0</v>
      </c>
      <c r="I12" s="2"/>
      <c r="J12" s="2">
        <v>0.25</v>
      </c>
      <c r="P12" s="2"/>
    </row>
    <row r="13" spans="1:16" x14ac:dyDescent="0.2">
      <c r="A13" t="s">
        <v>88</v>
      </c>
      <c r="B13" s="120">
        <f>DESPCAPITOL!K48</f>
        <v>0.74661989675676033</v>
      </c>
      <c r="C13" s="2"/>
      <c r="D13" s="2"/>
      <c r="E13" s="2"/>
      <c r="F13" s="2">
        <f t="shared" si="1"/>
        <v>0.74661989675676033</v>
      </c>
      <c r="G13" s="2">
        <v>0</v>
      </c>
      <c r="H13" s="2">
        <f t="shared" si="0"/>
        <v>0</v>
      </c>
      <c r="I13" s="2"/>
      <c r="J13" s="2">
        <v>0.25</v>
      </c>
      <c r="P13" s="2"/>
    </row>
    <row r="14" spans="1:16" x14ac:dyDescent="0.2">
      <c r="A14" t="s">
        <v>89</v>
      </c>
      <c r="B14" s="120">
        <f>DESPCAPITOL!K49</f>
        <v>0.18966666666666668</v>
      </c>
      <c r="C14" s="2"/>
      <c r="D14" s="2"/>
      <c r="E14" s="2"/>
      <c r="F14" s="2">
        <f t="shared" si="1"/>
        <v>0.18966666666666668</v>
      </c>
      <c r="G14" s="2">
        <v>0</v>
      </c>
      <c r="H14" s="2">
        <f t="shared" si="0"/>
        <v>0</v>
      </c>
      <c r="I14" s="2"/>
      <c r="J14" s="2">
        <v>0.25</v>
      </c>
      <c r="P14" s="2"/>
    </row>
    <row r="15" spans="1:16" x14ac:dyDescent="0.2">
      <c r="A15" t="s">
        <v>90</v>
      </c>
      <c r="B15" s="120">
        <v>0</v>
      </c>
      <c r="C15" s="2"/>
      <c r="D15" s="2"/>
      <c r="E15" s="2"/>
      <c r="F15" s="2">
        <f t="shared" si="1"/>
        <v>0</v>
      </c>
      <c r="G15" s="2">
        <f t="shared" si="0"/>
        <v>0</v>
      </c>
      <c r="H15" s="2">
        <f t="shared" si="0"/>
        <v>0</v>
      </c>
      <c r="I15" s="2"/>
      <c r="J15" s="2">
        <v>0.25</v>
      </c>
      <c r="P15" s="2"/>
    </row>
    <row r="16" spans="1:16" x14ac:dyDescent="0.2">
      <c r="B16" s="5"/>
    </row>
    <row r="18" spans="1:13" x14ac:dyDescent="0.2">
      <c r="C18" s="26" t="s">
        <v>119</v>
      </c>
      <c r="G18" s="26" t="s">
        <v>120</v>
      </c>
    </row>
    <row r="19" spans="1:13" x14ac:dyDescent="0.2">
      <c r="A19" t="s">
        <v>10</v>
      </c>
      <c r="B19" t="s">
        <v>97</v>
      </c>
      <c r="C19" t="s">
        <v>99</v>
      </c>
      <c r="D19" t="s">
        <v>100</v>
      </c>
      <c r="E19" t="s">
        <v>101</v>
      </c>
      <c r="F19" t="s">
        <v>97</v>
      </c>
      <c r="G19" t="s">
        <v>99</v>
      </c>
      <c r="H19" t="s">
        <v>100</v>
      </c>
      <c r="I19" t="s">
        <v>101</v>
      </c>
    </row>
    <row r="20" spans="1:13" x14ac:dyDescent="0.2">
      <c r="A20" t="s">
        <v>82</v>
      </c>
      <c r="B20" s="120">
        <f>DESPCAPITOL!M42</f>
        <v>0.21407957885259174</v>
      </c>
      <c r="C20" s="2"/>
      <c r="D20" s="2"/>
      <c r="E20" s="2"/>
      <c r="F20" s="2">
        <f t="shared" ref="F20:F28" si="2">B20</f>
        <v>0.21407957885259174</v>
      </c>
      <c r="G20" s="2">
        <v>0</v>
      </c>
      <c r="H20" s="2">
        <f t="shared" ref="G20:H28" si="3">+D20-C20</f>
        <v>0</v>
      </c>
      <c r="I20" s="2"/>
      <c r="J20" s="2">
        <v>0.25</v>
      </c>
      <c r="M20" s="2"/>
    </row>
    <row r="21" spans="1:13" x14ac:dyDescent="0.2">
      <c r="A21" t="s">
        <v>83</v>
      </c>
      <c r="B21" s="120">
        <f>DESPCAPITOL!M43</f>
        <v>8.2270642299912697E-2</v>
      </c>
      <c r="C21" s="2"/>
      <c r="D21" s="2"/>
      <c r="E21" s="2"/>
      <c r="F21" s="2">
        <f t="shared" si="2"/>
        <v>8.2270642299912697E-2</v>
      </c>
      <c r="G21" s="2">
        <v>0</v>
      </c>
      <c r="H21" s="2">
        <f t="shared" si="3"/>
        <v>0</v>
      </c>
      <c r="I21" s="2"/>
      <c r="J21" s="2">
        <v>0.25</v>
      </c>
      <c r="M21" s="2"/>
    </row>
    <row r="22" spans="1:13" x14ac:dyDescent="0.2">
      <c r="A22" t="s">
        <v>84</v>
      </c>
      <c r="B22" s="120">
        <f>DESPCAPITOL!M44</f>
        <v>0</v>
      </c>
      <c r="C22" s="2"/>
      <c r="D22" s="2"/>
      <c r="E22" s="2"/>
      <c r="F22" s="2">
        <f t="shared" si="2"/>
        <v>0</v>
      </c>
      <c r="G22" s="2">
        <v>0</v>
      </c>
      <c r="H22" s="2">
        <f t="shared" si="3"/>
        <v>0</v>
      </c>
      <c r="I22" s="2"/>
      <c r="J22" s="2">
        <v>0.25</v>
      </c>
      <c r="M22" s="2"/>
    </row>
    <row r="23" spans="1:13" x14ac:dyDescent="0.2">
      <c r="A23" t="s">
        <v>85</v>
      </c>
      <c r="B23" s="120">
        <f>DESPCAPITOL!M45</f>
        <v>0.29188916140898619</v>
      </c>
      <c r="C23" s="2"/>
      <c r="D23" s="2"/>
      <c r="E23" s="2"/>
      <c r="F23" s="2">
        <f t="shared" si="2"/>
        <v>0.29188916140898619</v>
      </c>
      <c r="G23" s="2">
        <v>0</v>
      </c>
      <c r="H23" s="2">
        <f t="shared" si="3"/>
        <v>0</v>
      </c>
      <c r="I23" s="2"/>
      <c r="J23" s="2">
        <v>0.25</v>
      </c>
      <c r="M23" s="2"/>
    </row>
    <row r="24" spans="1:13" x14ac:dyDescent="0.2">
      <c r="A24" t="s">
        <v>86</v>
      </c>
      <c r="B24" s="120">
        <f>DESPCAPITOL!M46</f>
        <v>0</v>
      </c>
      <c r="C24" s="2"/>
      <c r="D24" s="2"/>
      <c r="E24" s="2"/>
      <c r="F24" s="2">
        <f t="shared" si="2"/>
        <v>0</v>
      </c>
      <c r="G24" s="2">
        <v>0</v>
      </c>
      <c r="H24" s="2">
        <f t="shared" si="3"/>
        <v>0</v>
      </c>
      <c r="I24" s="2"/>
      <c r="J24" s="2">
        <v>0.25</v>
      </c>
      <c r="M24" s="2"/>
    </row>
    <row r="25" spans="1:13" x14ac:dyDescent="0.2">
      <c r="A25" t="s">
        <v>87</v>
      </c>
      <c r="B25" s="120">
        <f>DESPCAPITOL!M47</f>
        <v>3.4869812292301502E-2</v>
      </c>
      <c r="C25" s="2"/>
      <c r="D25" s="2"/>
      <c r="E25" s="2"/>
      <c r="F25" s="2">
        <f t="shared" si="2"/>
        <v>3.4869812292301502E-2</v>
      </c>
      <c r="G25" s="2">
        <v>0</v>
      </c>
      <c r="H25" s="2">
        <f t="shared" si="3"/>
        <v>0</v>
      </c>
      <c r="I25" s="2"/>
      <c r="J25" s="2">
        <v>0.25</v>
      </c>
      <c r="M25" s="2"/>
    </row>
    <row r="26" spans="1:13" x14ac:dyDescent="0.2">
      <c r="A26" t="s">
        <v>88</v>
      </c>
      <c r="B26" s="120">
        <f>DESPCAPITOL!M48</f>
        <v>1.2503100057526105E-2</v>
      </c>
      <c r="C26" s="2"/>
      <c r="D26" s="2"/>
      <c r="E26" s="2"/>
      <c r="F26" s="2">
        <f t="shared" si="2"/>
        <v>1.2503100057526105E-2</v>
      </c>
      <c r="G26" s="2">
        <v>0</v>
      </c>
      <c r="H26" s="2">
        <f t="shared" si="3"/>
        <v>0</v>
      </c>
      <c r="I26" s="2"/>
      <c r="J26" s="2">
        <v>0.25</v>
      </c>
      <c r="M26" s="2"/>
    </row>
    <row r="27" spans="1:13" x14ac:dyDescent="0.2">
      <c r="A27" t="s">
        <v>89</v>
      </c>
      <c r="B27" s="120">
        <f>DESPCAPITOL!M49</f>
        <v>0.18966666666666668</v>
      </c>
      <c r="C27" s="2"/>
      <c r="D27" s="2"/>
      <c r="E27" s="2"/>
      <c r="F27" s="2">
        <f t="shared" si="2"/>
        <v>0.18966666666666668</v>
      </c>
      <c r="G27" s="2">
        <v>0</v>
      </c>
      <c r="H27" s="2">
        <f t="shared" si="3"/>
        <v>0</v>
      </c>
      <c r="I27" s="2"/>
      <c r="J27" s="2">
        <v>0.25</v>
      </c>
      <c r="M27" s="2"/>
    </row>
    <row r="28" spans="1:13" x14ac:dyDescent="0.2">
      <c r="A28" t="s">
        <v>90</v>
      </c>
      <c r="B28" s="120">
        <v>0</v>
      </c>
      <c r="C28" s="2"/>
      <c r="D28" s="2"/>
      <c r="E28" s="2"/>
      <c r="F28" s="2">
        <f t="shared" si="2"/>
        <v>0</v>
      </c>
      <c r="G28" s="2">
        <f t="shared" si="3"/>
        <v>0</v>
      </c>
      <c r="H28" s="2">
        <f t="shared" si="3"/>
        <v>0</v>
      </c>
      <c r="I28" s="2"/>
      <c r="J28" s="2">
        <v>0.25</v>
      </c>
      <c r="M28" s="2"/>
    </row>
    <row r="31" spans="1:13" x14ac:dyDescent="0.2">
      <c r="C31" s="26" t="s">
        <v>119</v>
      </c>
      <c r="G31" s="26" t="s">
        <v>120</v>
      </c>
    </row>
    <row r="32" spans="1:13" x14ac:dyDescent="0.2">
      <c r="A32" t="s">
        <v>98</v>
      </c>
      <c r="B32" t="s">
        <v>97</v>
      </c>
      <c r="C32" t="s">
        <v>99</v>
      </c>
      <c r="D32" t="s">
        <v>100</v>
      </c>
      <c r="E32" t="s">
        <v>101</v>
      </c>
      <c r="F32" t="s">
        <v>97</v>
      </c>
      <c r="G32" t="s">
        <v>99</v>
      </c>
      <c r="H32" t="s">
        <v>100</v>
      </c>
      <c r="I32" t="s">
        <v>101</v>
      </c>
    </row>
    <row r="33" spans="1:10" x14ac:dyDescent="0.2">
      <c r="A33" t="s">
        <v>91</v>
      </c>
      <c r="B33" s="120">
        <f>INGRCAPITOL!G42</f>
        <v>0.24280980121857321</v>
      </c>
      <c r="C33" s="2"/>
      <c r="D33" s="2"/>
      <c r="E33" s="2"/>
      <c r="F33" s="2">
        <f t="shared" ref="F33:F41" si="4">B33</f>
        <v>0.24280980121857321</v>
      </c>
      <c r="G33" s="2">
        <v>0</v>
      </c>
      <c r="H33" s="2">
        <f t="shared" ref="H33:H41" si="5">+D33-C33</f>
        <v>0</v>
      </c>
      <c r="I33" s="2"/>
      <c r="J33" s="2">
        <v>0.25</v>
      </c>
    </row>
    <row r="34" spans="1:10" x14ac:dyDescent="0.2">
      <c r="A34" t="s">
        <v>92</v>
      </c>
      <c r="B34" s="120">
        <f>INGRCAPITOL!G43</f>
        <v>0.25905149556149237</v>
      </c>
      <c r="C34" s="2"/>
      <c r="D34" s="2"/>
      <c r="E34" s="2"/>
      <c r="F34" s="2">
        <f t="shared" si="4"/>
        <v>0.25905149556149237</v>
      </c>
      <c r="G34" s="2">
        <v>0</v>
      </c>
      <c r="H34" s="2">
        <f t="shared" si="5"/>
        <v>0</v>
      </c>
      <c r="I34" s="2"/>
      <c r="J34" s="2">
        <v>0.25</v>
      </c>
    </row>
    <row r="35" spans="1:10" x14ac:dyDescent="0.2">
      <c r="A35" t="s">
        <v>93</v>
      </c>
      <c r="B35" s="120">
        <f>INGRCAPITOL!G44</f>
        <v>1.2536659991370528E-2</v>
      </c>
      <c r="C35" s="2"/>
      <c r="D35" s="2"/>
      <c r="E35" s="2"/>
      <c r="F35" s="2">
        <f t="shared" si="4"/>
        <v>1.2536659991370528E-2</v>
      </c>
      <c r="G35" s="2">
        <v>0</v>
      </c>
      <c r="H35" s="2">
        <f t="shared" si="5"/>
        <v>0</v>
      </c>
      <c r="I35" s="2"/>
      <c r="J35" s="2">
        <v>0.25</v>
      </c>
    </row>
    <row r="36" spans="1:10" x14ac:dyDescent="0.2">
      <c r="A36" t="s">
        <v>85</v>
      </c>
      <c r="B36" s="120">
        <f>INGRCAPITOL!G45</f>
        <v>0.21338140129855571</v>
      </c>
      <c r="C36" s="2"/>
      <c r="D36" s="2"/>
      <c r="E36" s="2"/>
      <c r="F36" s="2">
        <f t="shared" si="4"/>
        <v>0.21338140129855571</v>
      </c>
      <c r="G36" s="2">
        <v>0</v>
      </c>
      <c r="H36" s="2">
        <f t="shared" si="5"/>
        <v>0</v>
      </c>
      <c r="I36" s="2"/>
      <c r="J36" s="2">
        <v>0.25</v>
      </c>
    </row>
    <row r="37" spans="1:10" x14ac:dyDescent="0.2">
      <c r="A37" t="s">
        <v>94</v>
      </c>
      <c r="B37" s="120">
        <f>INGRCAPITOL!G46</f>
        <v>0.1387464725358557</v>
      </c>
      <c r="C37" s="2"/>
      <c r="D37" s="2"/>
      <c r="E37" s="2"/>
      <c r="F37" s="2">
        <f t="shared" si="4"/>
        <v>0.1387464725358557</v>
      </c>
      <c r="G37" s="2">
        <v>0</v>
      </c>
      <c r="H37" s="2">
        <f t="shared" si="5"/>
        <v>0</v>
      </c>
      <c r="I37" s="2"/>
      <c r="J37" s="2">
        <v>0.25</v>
      </c>
    </row>
    <row r="38" spans="1:10" x14ac:dyDescent="0.2">
      <c r="A38" t="s">
        <v>95</v>
      </c>
      <c r="B38" s="120">
        <f>INGRCAPITOL!G47</f>
        <v>1</v>
      </c>
      <c r="C38" s="2"/>
      <c r="D38" s="2"/>
      <c r="E38" s="2"/>
      <c r="F38" s="2">
        <f t="shared" si="4"/>
        <v>1</v>
      </c>
      <c r="G38" s="2">
        <v>0</v>
      </c>
      <c r="H38" s="2">
        <f t="shared" si="5"/>
        <v>0</v>
      </c>
      <c r="I38" s="2"/>
      <c r="J38" s="2">
        <v>0.25</v>
      </c>
    </row>
    <row r="39" spans="1:10" x14ac:dyDescent="0.2">
      <c r="A39" t="s">
        <v>88</v>
      </c>
      <c r="B39" s="120">
        <f>INGRCAPITOL!G48</f>
        <v>1</v>
      </c>
      <c r="C39" s="2"/>
      <c r="D39" s="2"/>
      <c r="E39" s="2"/>
      <c r="F39" s="2">
        <f t="shared" si="4"/>
        <v>1</v>
      </c>
      <c r="G39" s="2">
        <v>0</v>
      </c>
      <c r="H39" s="2">
        <f t="shared" si="5"/>
        <v>0</v>
      </c>
      <c r="I39" s="2"/>
      <c r="J39" s="2">
        <v>0.25</v>
      </c>
    </row>
    <row r="40" spans="1:10" x14ac:dyDescent="0.2">
      <c r="A40" t="s">
        <v>89</v>
      </c>
      <c r="B40" s="120">
        <f>INGRCAPITOL!G49</f>
        <v>8.0649723182242669E-4</v>
      </c>
      <c r="C40" s="2"/>
      <c r="D40" s="2"/>
      <c r="E40" s="2"/>
      <c r="F40" s="2">
        <f t="shared" si="4"/>
        <v>8.0649723182242669E-4</v>
      </c>
      <c r="G40" s="2">
        <v>0</v>
      </c>
      <c r="H40" s="2">
        <f t="shared" si="5"/>
        <v>0</v>
      </c>
      <c r="I40" s="2"/>
      <c r="J40" s="2">
        <v>0.25</v>
      </c>
    </row>
    <row r="41" spans="1:10" x14ac:dyDescent="0.2">
      <c r="A41" t="s">
        <v>90</v>
      </c>
      <c r="B41" s="120">
        <v>0</v>
      </c>
      <c r="C41" s="2"/>
      <c r="D41" s="2"/>
      <c r="E41" s="2"/>
      <c r="F41" s="2">
        <f t="shared" si="4"/>
        <v>0</v>
      </c>
      <c r="G41" s="2">
        <v>0</v>
      </c>
      <c r="H41" s="2">
        <f t="shared" si="5"/>
        <v>0</v>
      </c>
      <c r="I41" s="2"/>
      <c r="J41" s="2">
        <v>0.25</v>
      </c>
    </row>
    <row r="43" spans="1:10" x14ac:dyDescent="0.2">
      <c r="B43" s="2"/>
    </row>
    <row r="44" spans="1:10" x14ac:dyDescent="0.2">
      <c r="B44" s="2"/>
    </row>
    <row r="45" spans="1:10" x14ac:dyDescent="0.2">
      <c r="B45" s="2"/>
    </row>
    <row r="46" spans="1:10" x14ac:dyDescent="0.2">
      <c r="B46" s="2"/>
    </row>
    <row r="47" spans="1:10" x14ac:dyDescent="0.2">
      <c r="B47" s="2"/>
    </row>
    <row r="48" spans="1:10" x14ac:dyDescent="0.2">
      <c r="B48" s="2"/>
    </row>
    <row r="49" spans="2:2" x14ac:dyDescent="0.2">
      <c r="B49" s="2"/>
    </row>
    <row r="50" spans="2:2" x14ac:dyDescent="0.2">
      <c r="B50" s="2"/>
    </row>
    <row r="51" spans="2:2" x14ac:dyDescent="0.2">
      <c r="B51" s="2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Z V O a V j d q w M S k A A A A 9 g A A A B I A H A B D b 2 5 m a W c v U G F j a 2 F n Z S 5 4 b W w g o h g A K K A U A A A A A A A A A A A A A A A A A A A A A A A A A A A A h Y 9 N C s I w G E S v U r J v / o o g 5 W u 6 E H c W h I K 4 D W m s w T a V J j W 9 m w u P 5 B W s a N W d y 3 n z F j P 3 6 w 3 y s W 2 i i + 6 d 6 W y G G K Y o 0 l Z 1 l b F 1 h g Z / i J c o F 7 C V 6 i R r H U 2 y d e n o q g w d v T + n h I Q Q c E h w 1 9 e E U 8 r I v t i U 6 q h b i T 6 y + S / H x j o v r d J I w O 4 1 R n D M G M c L n m A K Z I Z Q G P s V + L T 3 2 f 5 A W A 2 N H 3 o t t I v X J Z A 5 A n l / E A 9 Q S w M E F A A C A A g A Z V O a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V T m l Y o i k e 4 D g A A A B E A A A A T A B w A R m 9 y b X V s Y X M v U 2 V j d G l v b j E u b S C i G A A o o B Q A A A A A A A A A A A A A A A A A A A A A A A A A A A A r T k 0 u y c z P U w i G 0 I b W A F B L A Q I t A B Q A A g A I A G V T m l Y 3 a s D E p A A A A P Y A A A A S A A A A A A A A A A A A A A A A A A A A A A B D b 2 5 m a W c v U G F j a 2 F n Z S 5 4 b W x Q S w E C L Q A U A A I A C A B l U 5 p W D 8 r p q 6 Q A A A D p A A A A E w A A A A A A A A A A A A A A A A D w A A A A W 0 N v b n R l b n R f V H l w Z X N d L n h t b F B L A Q I t A B Q A A g A I A G V T m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Y 7 h M g s l 8 B R L h A 4 a T S S w 8 8 A A A A A A I A A A A A A B B m A A A A A Q A A I A A A A H J a i f e N o 8 B 7 G N V o j g D 2 K U f / l 1 c 6 I w 5 J r E 3 H W I t R E S R Y A A A A A A 6 A A A A A A g A A I A A A A E x 8 6 5 O n R 6 y 0 2 D 1 / z A M R b / f C 6 H h u H j k 3 M m 2 H K i G G v 0 c 1 U A A A A E / D M h D y 1 7 0 F K 2 X p X n U Q 2 A i R Y D Y M M k W X d b P h k u t r Z z Y I z x W z 9 K k t S d w R V 9 u C d 2 q A J W C V 2 0 d E f c j P Z 9 Z 9 Z B v d Z n N c F H 9 x d M K X i f O M Z K P F S C R 2 Q A A A A E B s C m d p l C + g k E V P w R k q s R K l E + C i I b d w q F 2 b d w 1 f 7 k 1 o 2 a 0 O v D H 4 5 a f v t s G k u d h 8 U l 5 e T j W Q F K n F 6 9 5 y m 1 O t k G 4 = < / D a t a M a s h u p > 
</file>

<file path=customXml/itemProps1.xml><?xml version="1.0" encoding="utf-8"?>
<ds:datastoreItem xmlns:ds="http://schemas.openxmlformats.org/officeDocument/2006/customXml" ds:itemID="{E331A424-829B-4849-B972-C04CBF1D9B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14</vt:i4>
      </vt:variant>
    </vt:vector>
  </HeadingPairs>
  <TitlesOfParts>
    <vt:vector size="46" baseType="lpstr">
      <vt:lpstr>CREDDEF</vt:lpstr>
      <vt:lpstr>DESPAREA</vt:lpstr>
      <vt:lpstr>DESPCAPITOL</vt:lpstr>
      <vt:lpstr>DESPPROG</vt:lpstr>
      <vt:lpstr>INGRCAPITOL</vt:lpstr>
      <vt:lpstr>TCTS_DESPRGC</vt:lpstr>
      <vt:lpstr>TCTS_INGRCAP</vt:lpstr>
      <vt:lpstr>FINANÇAMENT</vt:lpstr>
      <vt:lpstr>ANUAL_TRIM</vt:lpstr>
      <vt:lpstr>H_CORP</vt:lpstr>
      <vt:lpstr>PREVISIONSFIANY</vt:lpstr>
      <vt:lpstr>ESTABILITAT</vt:lpstr>
      <vt:lpstr>REGLADESPESA</vt:lpstr>
      <vt:lpstr>ENDEUTAMENT</vt:lpstr>
      <vt:lpstr>Portada</vt:lpstr>
      <vt:lpstr>Dades globals</vt:lpstr>
      <vt:lpstr>A1_PREGESTIONAT</vt:lpstr>
      <vt:lpstr>A1B_FINANÇAMENT</vt:lpstr>
      <vt:lpstr>A2_EVOL</vt:lpstr>
      <vt:lpstr>A3CAP_GrauModif</vt:lpstr>
      <vt:lpstr>A4CAP_SitCred</vt:lpstr>
      <vt:lpstr>A5PROG_SITCRED</vt:lpstr>
      <vt:lpstr>A6AREA_GrauModif</vt:lpstr>
      <vt:lpstr>A7AREA_SitCred</vt:lpstr>
      <vt:lpstr>A8_SITINGR</vt:lpstr>
      <vt:lpstr>A9_EXEC</vt:lpstr>
      <vt:lpstr>A10_trimestres</vt:lpstr>
      <vt:lpstr>A11_PREVISIONS</vt:lpstr>
      <vt:lpstr>A12_LOEPSF</vt:lpstr>
      <vt:lpstr>Hoja1</vt:lpstr>
      <vt:lpstr>Full11</vt:lpstr>
      <vt:lpstr>A1_PREGESTIONAT_old</vt:lpstr>
      <vt:lpstr>A1_PREGESTIONAT!Área_de_impresión</vt:lpstr>
      <vt:lpstr>A1_PREGESTIONAT_old!Área_de_impresión</vt:lpstr>
      <vt:lpstr>A10_trimestres!Área_de_impresión</vt:lpstr>
      <vt:lpstr>A11_PREVISIONS!Área_de_impresión</vt:lpstr>
      <vt:lpstr>A12_LOEPSF!Área_de_impresión</vt:lpstr>
      <vt:lpstr>A1B_FINANÇAMENT!Área_de_impresión</vt:lpstr>
      <vt:lpstr>A2_EVOL!Área_de_impresión</vt:lpstr>
      <vt:lpstr>A3CAP_GrauModif!Área_de_impresión</vt:lpstr>
      <vt:lpstr>A4CAP_SitCred!Área_de_impresión</vt:lpstr>
      <vt:lpstr>A5PROG_SITCRED!Área_de_impresión</vt:lpstr>
      <vt:lpstr>A6AREA_GrauModif!Área_de_impresión</vt:lpstr>
      <vt:lpstr>A7AREA_SitCred!Área_de_impresión</vt:lpstr>
      <vt:lpstr>A8_SITINGR!Área_de_impresión</vt:lpstr>
      <vt:lpstr>A9_EXEC!Área_de_impresión</vt:lpstr>
    </vt:vector>
  </TitlesOfParts>
  <Company>DIPUTACIÓ DE TARRAGONA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Agustí Porta Odena</cp:lastModifiedBy>
  <cp:lastPrinted>2025-05-15T09:03:13Z</cp:lastPrinted>
  <dcterms:created xsi:type="dcterms:W3CDTF">2017-08-29T06:57:14Z</dcterms:created>
  <dcterms:modified xsi:type="dcterms:W3CDTF">2026-07-27T12:32:25Z</dcterms:modified>
</cp:coreProperties>
</file>