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90Intervenci/0_AA_GEST ECON/PRESSUPOST 2026/01. DOCS exp aprov PR26/"/>
    </mc:Choice>
  </mc:AlternateContent>
  <xr:revisionPtr revIDLastSave="48" documentId="8_{9F2C0411-5613-4FA1-A79D-222AC92EF9A5}" xr6:coauthVersionLast="47" xr6:coauthVersionMax="47" xr10:uidLastSave="{31490981-08F4-49B8-81A7-2582F8AD8FA5}"/>
  <bookViews>
    <workbookView minimized="1" xWindow="780" yWindow="780" windowWidth="14400" windowHeight="7335" xr2:uid="{7623858E-D0AD-4F43-A4BA-A61B75D108D3}"/>
  </bookViews>
  <sheets>
    <sheet name="PAIF 2026 22oct" sheetId="1" r:id="rId1"/>
    <sheet name="invPR26 23oct" sheetId="2" r:id="rId2"/>
    <sheet name="PAIF25 30oct" sheetId="3" r:id="rId3"/>
    <sheet name="PAIF24final" sheetId="4" r:id="rId4"/>
    <sheet name="PAIF23fina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bookmark_1" localSheetId="1">'invPR26 23oct'!#REF!</definedName>
    <definedName name="__bookmark_1" localSheetId="0">'[1]EE 10-7-25'!#REF!</definedName>
    <definedName name="__bookmark_1" localSheetId="4">PAIF23final!#REF!</definedName>
    <definedName name="__bookmark_1" localSheetId="3">PAIF24final!#REF!</definedName>
    <definedName name="__bookmark_1" localSheetId="2">'PAIF25 30oct'!#REF!</definedName>
    <definedName name="__bookmark_1">'[2]EE 10-7-25'!#REF!</definedName>
    <definedName name="__bookmark_2" localSheetId="1">'invPR26 23oct'!$E$1:$BG$133</definedName>
    <definedName name="__bookmark_2" localSheetId="4">PAIF23final!$A$5:$AH$36</definedName>
    <definedName name="__bookmark_2" localSheetId="3">PAIF24final!$A$4:$K$39</definedName>
    <definedName name="__bookmark_2" localSheetId="2">'PAIF25 30oct'!$A$4:$J$40</definedName>
    <definedName name="__bookmark_2">#REF!</definedName>
    <definedName name="_xlnm._FilterDatabase" localSheetId="1" hidden="1">'invPR26 23oct'!$A$1:$AC$135</definedName>
    <definedName name="_xlnm._FilterDatabase" localSheetId="4" hidden="1">PAIF23final!$A$5:$K$47</definedName>
    <definedName name="_xlnm._FilterDatabase" localSheetId="3" hidden="1">PAIF24final!$A$1:$K$48</definedName>
    <definedName name="_xlnm._FilterDatabase" localSheetId="2" hidden="1">'PAIF25 30oct'!$A$4:$J$46</definedName>
    <definedName name="cal" localSheetId="1">#REF!</definedName>
    <definedName name="cal" localSheetId="4">#REF!</definedName>
    <definedName name="cal" localSheetId="3">#REF!</definedName>
    <definedName name="cal" localSheetId="2">#REF!</definedName>
    <definedName name="cal">#REF!</definedName>
    <definedName name="Datos" localSheetId="1">#REF!</definedName>
    <definedName name="Datos" localSheetId="4">#REF!</definedName>
    <definedName name="Datos" localSheetId="3">#REF!</definedName>
    <definedName name="Datos" localSheetId="2">#REF!</definedName>
    <definedName name="Datos">#REF!</definedName>
    <definedName name="dd" localSheetId="1">#REF!</definedName>
    <definedName name="dd" localSheetId="4">#REF!</definedName>
    <definedName name="dd" localSheetId="3">#REF!</definedName>
    <definedName name="dd" localSheetId="2">#REF!</definedName>
    <definedName name="dd">#REF!</definedName>
    <definedName name="dh" localSheetId="1">[3]Report!#REF!</definedName>
    <definedName name="dh" localSheetId="0">#REF!</definedName>
    <definedName name="dh" localSheetId="4">#REF!</definedName>
    <definedName name="dh" localSheetId="3">#REF!</definedName>
    <definedName name="dh" localSheetId="2">#REF!</definedName>
    <definedName name="dh">[3]Report!#REF!</definedName>
    <definedName name="dho" localSheetId="1">#REF!</definedName>
    <definedName name="dho" localSheetId="4">#REF!</definedName>
    <definedName name="dho" localSheetId="3">#REF!</definedName>
    <definedName name="dho" localSheetId="2">#REF!</definedName>
    <definedName name="dho">#REF!</definedName>
    <definedName name="djjej" localSheetId="1">#REF!</definedName>
    <definedName name="djjej" localSheetId="4">#REF!</definedName>
    <definedName name="djjej" localSheetId="3">#REF!</definedName>
    <definedName name="djjej" localSheetId="2">#REF!</definedName>
    <definedName name="djjej">#REF!</definedName>
    <definedName name="dkdk" localSheetId="1">[4]Partides!#REF!</definedName>
    <definedName name="dkdk" localSheetId="0">#REF!</definedName>
    <definedName name="dkdk" localSheetId="4">#REF!</definedName>
    <definedName name="dkdk" localSheetId="3">#REF!</definedName>
    <definedName name="dkdk" localSheetId="2">#REF!</definedName>
    <definedName name="dkdk">[4]Partides!#REF!</definedName>
    <definedName name="DKDKD" localSheetId="1">[3]Report!#REF!</definedName>
    <definedName name="DKDKD" localSheetId="0">#REF!</definedName>
    <definedName name="DKDKD" localSheetId="4">#REF!</definedName>
    <definedName name="DKDKD" localSheetId="3">#REF!</definedName>
    <definedName name="DKDKD" localSheetId="2">#REF!</definedName>
    <definedName name="DKDKD">[3]Report!#REF!</definedName>
    <definedName name="DKDKDK" localSheetId="1">[3]Report!#REF!</definedName>
    <definedName name="DKDKDK" localSheetId="0">#REF!</definedName>
    <definedName name="DKDKDK" localSheetId="4">#REF!</definedName>
    <definedName name="DKDKDK" localSheetId="3">#REF!</definedName>
    <definedName name="DKDKDK" localSheetId="2">#REF!</definedName>
    <definedName name="DKDKDK">[3]Report!#REF!</definedName>
    <definedName name="dkdkk" localSheetId="1">#REF!</definedName>
    <definedName name="dkdkk" localSheetId="4">#REF!</definedName>
    <definedName name="dkdkk" localSheetId="3">#REF!</definedName>
    <definedName name="dkdkk" localSheetId="2">#REF!</definedName>
    <definedName name="dkdkk">#REF!</definedName>
    <definedName name="dujdu" localSheetId="1">[5]Partides!#REF!</definedName>
    <definedName name="dujdu" localSheetId="0">#REF!</definedName>
    <definedName name="dujdu" localSheetId="4">#REF!</definedName>
    <definedName name="dujdu" localSheetId="3">#REF!</definedName>
    <definedName name="dujdu" localSheetId="2">#REF!</definedName>
    <definedName name="dujdu">[5]Partides!#REF!</definedName>
    <definedName name="eee" localSheetId="1">[3]Report!#REF!</definedName>
    <definedName name="eee" localSheetId="0">#REF!</definedName>
    <definedName name="eee" localSheetId="4">#REF!</definedName>
    <definedName name="eee" localSheetId="3">#REF!</definedName>
    <definedName name="eee" localSheetId="2">#REF!</definedName>
    <definedName name="eee">[3]Report!#REF!</definedName>
    <definedName name="elek" localSheetId="1">[3]Report!#REF!</definedName>
    <definedName name="elek" localSheetId="0">#REF!</definedName>
    <definedName name="elek" localSheetId="4">#REF!</definedName>
    <definedName name="elek" localSheetId="3">#REF!</definedName>
    <definedName name="elek" localSheetId="2">#REF!</definedName>
    <definedName name="elek">[3]Report!#REF!</definedName>
    <definedName name="fh" localSheetId="1">#REF!</definedName>
    <definedName name="fh" localSheetId="4">#REF!</definedName>
    <definedName name="fh" localSheetId="3">#REF!</definedName>
    <definedName name="fh" localSheetId="2">#REF!</definedName>
    <definedName name="fh">#REF!</definedName>
    <definedName name="futs19set" localSheetId="1">#REF!</definedName>
    <definedName name="futs19set">#REF!</definedName>
    <definedName name="futs3oct" localSheetId="1">#REF!</definedName>
    <definedName name="futs3oct" localSheetId="4">#REF!</definedName>
    <definedName name="futs3oct" localSheetId="3">#REF!</definedName>
    <definedName name="futs3oct" localSheetId="2">#REF!</definedName>
    <definedName name="futs3oct">#REF!</definedName>
    <definedName name="gg" localSheetId="1">#REF!</definedName>
    <definedName name="gg" localSheetId="4">#REF!</definedName>
    <definedName name="gg" localSheetId="3">#REF!</definedName>
    <definedName name="gg" localSheetId="2">#REF!</definedName>
    <definedName name="gg">#REF!</definedName>
    <definedName name="hello" localSheetId="1">#REF!</definedName>
    <definedName name="hello" localSheetId="4">#REF!</definedName>
    <definedName name="hello" localSheetId="3">#REF!</definedName>
    <definedName name="hello" localSheetId="2">#REF!</definedName>
    <definedName name="hello">#REF!</definedName>
    <definedName name="IIIIOWOW" localSheetId="1">#REF!</definedName>
    <definedName name="IIIIOWOW" localSheetId="4">#REF!</definedName>
    <definedName name="IIIIOWOW" localSheetId="3">#REF!</definedName>
    <definedName name="IIIIOWOW" localSheetId="2">#REF!</definedName>
    <definedName name="IIIIOWOW">#REF!</definedName>
    <definedName name="iik" localSheetId="1">#REF!</definedName>
    <definedName name="iik" localSheetId="4">#REF!</definedName>
    <definedName name="iik" localSheetId="3">#REF!</definedName>
    <definedName name="iik" localSheetId="2">#REF!</definedName>
    <definedName name="iik">#REF!</definedName>
    <definedName name="IUH" localSheetId="1">#REF!</definedName>
    <definedName name="IUH" localSheetId="4">#REF!</definedName>
    <definedName name="IUH" localSheetId="3">#REF!</definedName>
    <definedName name="IUH" localSheetId="2">#REF!</definedName>
    <definedName name="IUH">#REF!</definedName>
    <definedName name="jjj" localSheetId="1">[5]Partides!#REF!</definedName>
    <definedName name="jjj" localSheetId="0">#REF!</definedName>
    <definedName name="jjj" localSheetId="4">#REF!</definedName>
    <definedName name="jjj" localSheetId="3">#REF!</definedName>
    <definedName name="jjj" localSheetId="2">#REF!</definedName>
    <definedName name="jjj">[5]Partides!#REF!</definedName>
    <definedName name="kdkkdk" localSheetId="1">[3]Report!#REF!</definedName>
    <definedName name="kdkkdk" localSheetId="0">#REF!</definedName>
    <definedName name="kdkkdk" localSheetId="4">#REF!</definedName>
    <definedName name="kdkkdk" localSheetId="3">#REF!</definedName>
    <definedName name="kdkkdk" localSheetId="2">#REF!</definedName>
    <definedName name="kdkkdk">[3]Report!#REF!</definedName>
    <definedName name="kk" localSheetId="1">[5]Partides!#REF!</definedName>
    <definedName name="kk" localSheetId="0">#REF!</definedName>
    <definedName name="kk" localSheetId="4">#REF!</definedName>
    <definedName name="kk" localSheetId="3">#REF!</definedName>
    <definedName name="kk" localSheetId="2">#REF!</definedName>
    <definedName name="kk">[5]Partides!#REF!</definedName>
    <definedName name="kkf" localSheetId="1">[3]Report!#REF!</definedName>
    <definedName name="kkf" localSheetId="0">#REF!</definedName>
    <definedName name="kkf" localSheetId="4">#REF!</definedName>
    <definedName name="kkf" localSheetId="3">#REF!</definedName>
    <definedName name="kkf" localSheetId="2">#REF!</definedName>
    <definedName name="kkf">[3]Report!#REF!</definedName>
    <definedName name="kl" localSheetId="1">#REF!</definedName>
    <definedName name="kl" localSheetId="4">#REF!</definedName>
    <definedName name="kl" localSheetId="3">#REF!</definedName>
    <definedName name="kl" localSheetId="2">#REF!</definedName>
    <definedName name="kl">#REF!</definedName>
    <definedName name="kok" localSheetId="1">#REF!</definedName>
    <definedName name="kok">#REF!</definedName>
    <definedName name="l" localSheetId="1">[3]Report!#REF!</definedName>
    <definedName name="l" localSheetId="0">#REF!</definedName>
    <definedName name="l" localSheetId="4">#REF!</definedName>
    <definedName name="l" localSheetId="3">#REF!</definedName>
    <definedName name="l" localSheetId="2">#REF!</definedName>
    <definedName name="l">[3]Report!#REF!</definedName>
    <definedName name="ldldldl" localSheetId="1">#REF!</definedName>
    <definedName name="ldldldl" localSheetId="4">#REF!</definedName>
    <definedName name="ldldldl" localSheetId="3">#REF!</definedName>
    <definedName name="ldldldl" localSheetId="2">#REF!</definedName>
    <definedName name="ldldldl">#REF!</definedName>
    <definedName name="ll" localSheetId="1">[3]Report!#REF!</definedName>
    <definedName name="ll" localSheetId="0">#REF!</definedName>
    <definedName name="ll" localSheetId="4">#REF!</definedName>
    <definedName name="ll" localSheetId="3">#REF!</definedName>
    <definedName name="ll" localSheetId="2">#REF!</definedName>
    <definedName name="ll">[3]Report!#REF!</definedName>
    <definedName name="lo" localSheetId="1">#REF!</definedName>
    <definedName name="lo" localSheetId="4">#REF!</definedName>
    <definedName name="lo" localSheetId="3">#REF!</definedName>
    <definedName name="lo" localSheetId="2">#REF!</definedName>
    <definedName name="lo">#REF!</definedName>
    <definedName name="lol" localSheetId="1">#REF!</definedName>
    <definedName name="lol" localSheetId="4">#REF!</definedName>
    <definedName name="lol" localSheetId="3">#REF!</definedName>
    <definedName name="lol" localSheetId="2">#REF!</definedName>
    <definedName name="lol">#REF!</definedName>
    <definedName name="oil" localSheetId="1">#REF!</definedName>
    <definedName name="oil" localSheetId="4">#REF!</definedName>
    <definedName name="oil" localSheetId="3">#REF!</definedName>
    <definedName name="oil" localSheetId="2">#REF!</definedName>
    <definedName name="oil">#REF!</definedName>
    <definedName name="oo" localSheetId="1">#REF!</definedName>
    <definedName name="oo" localSheetId="4">#REF!</definedName>
    <definedName name="oo" localSheetId="3">#REF!</definedName>
    <definedName name="oo" localSheetId="2">#REF!</definedName>
    <definedName name="oo">#REF!</definedName>
    <definedName name="ºº" localSheetId="1">[3]Report!#REF!</definedName>
    <definedName name="ºº" localSheetId="0">#REF!</definedName>
    <definedName name="ºº" localSheetId="4">#REF!</definedName>
    <definedName name="ºº" localSheetId="3">#REF!</definedName>
    <definedName name="ºº" localSheetId="2">#REF!</definedName>
    <definedName name="ºº">[3]Report!#REF!</definedName>
    <definedName name="opfut21" localSheetId="1">[3]Report!#REF!</definedName>
    <definedName name="opfut21" localSheetId="0">#REF!</definedName>
    <definedName name="opfut21" localSheetId="4">#REF!</definedName>
    <definedName name="opfut21" localSheetId="3">#REF!</definedName>
    <definedName name="opfut21" localSheetId="2">#REF!</definedName>
    <definedName name="opfut21">[3]Report!#REF!</definedName>
    <definedName name="sddfj" localSheetId="1">#REF!</definedName>
    <definedName name="sddfj" localSheetId="4">#REF!</definedName>
    <definedName name="sddfj" localSheetId="3">#REF!</definedName>
    <definedName name="sddfj" localSheetId="2">#REF!</definedName>
    <definedName name="sddfj">#REF!</definedName>
    <definedName name="sh" localSheetId="1">[3]Report!#REF!</definedName>
    <definedName name="sh" localSheetId="0">#REF!</definedName>
    <definedName name="sh" localSheetId="4">#REF!</definedName>
    <definedName name="sh" localSheetId="3">#REF!</definedName>
    <definedName name="sh" localSheetId="2">#REF!</definedName>
    <definedName name="sh">[3]Report!#REF!</definedName>
    <definedName name="ss" localSheetId="1">#REF!</definedName>
    <definedName name="ss" localSheetId="4">#REF!</definedName>
    <definedName name="ss" localSheetId="3">#REF!</definedName>
    <definedName name="ss" localSheetId="2">#REF!</definedName>
    <definedName name="ss">#REF!</definedName>
    <definedName name="ssssss" localSheetId="1">#REF!</definedName>
    <definedName name="ssssss" localSheetId="4">#REF!</definedName>
    <definedName name="ssssss" localSheetId="3">#REF!</definedName>
    <definedName name="ssssss" localSheetId="2">#REF!</definedName>
    <definedName name="ssssss">#REF!</definedName>
    <definedName name="_xlnm.Print_Titles" localSheetId="4">PAIF23final!$1:$5</definedName>
    <definedName name="_xlnm.Print_Titles" localSheetId="3">PAIF24final!$1:$3</definedName>
    <definedName name="_xlnm.Print_Titles" localSheetId="2">'PAIF25 30oct'!$1:$3</definedName>
    <definedName name="WW" localSheetId="1">#REF!</definedName>
    <definedName name="WW" localSheetId="4">#REF!</definedName>
    <definedName name="WW" localSheetId="3">#REF!</definedName>
    <definedName name="WW" localSheetId="2">#REF!</definedName>
    <definedName name="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5" l="1"/>
  <c r="G42" i="5"/>
  <c r="F42" i="5"/>
  <c r="F44" i="5" s="1"/>
  <c r="D42" i="5"/>
  <c r="I41" i="5"/>
  <c r="J41" i="5" s="1"/>
  <c r="K41" i="5" s="1"/>
  <c r="I40" i="5"/>
  <c r="J40" i="5" s="1"/>
  <c r="K40" i="5" s="1"/>
  <c r="I39" i="5"/>
  <c r="J39" i="5" s="1"/>
  <c r="K39" i="5" s="1"/>
  <c r="I38" i="5"/>
  <c r="J38" i="5" s="1"/>
  <c r="K38" i="5" s="1"/>
  <c r="I37" i="5"/>
  <c r="J37" i="5" s="1"/>
  <c r="K37" i="5" s="1"/>
  <c r="D36" i="5"/>
  <c r="D43" i="5" s="1"/>
  <c r="I35" i="5"/>
  <c r="J35" i="5" s="1"/>
  <c r="K35" i="5" s="1"/>
  <c r="I34" i="5"/>
  <c r="J34" i="5" s="1"/>
  <c r="K34" i="5" s="1"/>
  <c r="I33" i="5"/>
  <c r="J33" i="5" s="1"/>
  <c r="K33" i="5" s="1"/>
  <c r="I32" i="5"/>
  <c r="J32" i="5" s="1"/>
  <c r="K32" i="5" s="1"/>
  <c r="I31" i="5"/>
  <c r="J31" i="5" s="1"/>
  <c r="K31" i="5" s="1"/>
  <c r="I30" i="5"/>
  <c r="J30" i="5" s="1"/>
  <c r="K30" i="5" s="1"/>
  <c r="E29" i="5"/>
  <c r="I28" i="5"/>
  <c r="J28" i="5" s="1"/>
  <c r="K28" i="5" s="1"/>
  <c r="E27" i="5"/>
  <c r="I26" i="5"/>
  <c r="J26" i="5" s="1"/>
  <c r="K26" i="5" s="1"/>
  <c r="E25" i="5"/>
  <c r="I24" i="5"/>
  <c r="J24" i="5" s="1"/>
  <c r="K24" i="5" s="1"/>
  <c r="I23" i="5"/>
  <c r="J23" i="5" s="1"/>
  <c r="K23" i="5" s="1"/>
  <c r="I22" i="5"/>
  <c r="J22" i="5" s="1"/>
  <c r="K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I17" i="5"/>
  <c r="J17" i="5" s="1"/>
  <c r="K17" i="5" s="1"/>
  <c r="I16" i="5"/>
  <c r="J16" i="5" s="1"/>
  <c r="K16" i="5" s="1"/>
  <c r="I15" i="5"/>
  <c r="J15" i="5" s="1"/>
  <c r="K15" i="5" s="1"/>
  <c r="E14" i="5"/>
  <c r="I13" i="5"/>
  <c r="J13" i="5" s="1"/>
  <c r="K13" i="5" s="1"/>
  <c r="I12" i="5"/>
  <c r="J12" i="5" s="1"/>
  <c r="K12" i="5" s="1"/>
  <c r="I11" i="5"/>
  <c r="J11" i="5" s="1"/>
  <c r="K11" i="5" s="1"/>
  <c r="I10" i="5"/>
  <c r="J10" i="5" s="1"/>
  <c r="K10" i="5" s="1"/>
  <c r="I9" i="5"/>
  <c r="J9" i="5" s="1"/>
  <c r="K9" i="5" s="1"/>
  <c r="I8" i="5"/>
  <c r="J8" i="5" s="1"/>
  <c r="K8" i="5" s="1"/>
  <c r="I7" i="5"/>
  <c r="J7" i="5" s="1"/>
  <c r="K7" i="5" s="1"/>
  <c r="I6" i="5"/>
  <c r="I45" i="4"/>
  <c r="H45" i="4"/>
  <c r="G45" i="4"/>
  <c r="F45" i="4"/>
  <c r="E45" i="4"/>
  <c r="J44" i="4"/>
  <c r="K44" i="4" s="1"/>
  <c r="J43" i="4"/>
  <c r="K43" i="4" s="1"/>
  <c r="J42" i="4"/>
  <c r="K42" i="4" s="1"/>
  <c r="D41" i="4"/>
  <c r="J40" i="4"/>
  <c r="K40" i="4" s="1"/>
  <c r="J39" i="4"/>
  <c r="I38" i="4"/>
  <c r="I46" i="4" s="1"/>
  <c r="H38" i="4"/>
  <c r="H46" i="4" s="1"/>
  <c r="G38" i="4"/>
  <c r="G46" i="4" s="1"/>
  <c r="F38" i="4"/>
  <c r="F46" i="4" s="1"/>
  <c r="E38" i="4"/>
  <c r="E46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D19" i="4"/>
  <c r="J19" i="4" s="1"/>
  <c r="K19" i="4" s="1"/>
  <c r="D18" i="4"/>
  <c r="J18" i="4" s="1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D11" i="4"/>
  <c r="J11" i="4" s="1"/>
  <c r="K11" i="4" s="1"/>
  <c r="J10" i="4"/>
  <c r="K10" i="4" s="1"/>
  <c r="J9" i="4"/>
  <c r="K9" i="4" s="1"/>
  <c r="J8" i="4"/>
  <c r="K8" i="4" s="1"/>
  <c r="J7" i="4"/>
  <c r="K7" i="4" s="1"/>
  <c r="J6" i="4"/>
  <c r="K6" i="4" s="1"/>
  <c r="D5" i="4"/>
  <c r="H45" i="3"/>
  <c r="G45" i="3"/>
  <c r="F45" i="3"/>
  <c r="E45" i="3"/>
  <c r="D45" i="3"/>
  <c r="I45" i="3" s="1"/>
  <c r="I44" i="3"/>
  <c r="J44" i="3" s="1"/>
  <c r="I43" i="3"/>
  <c r="J43" i="3" s="1"/>
  <c r="I42" i="3"/>
  <c r="J42" i="3" s="1"/>
  <c r="I41" i="3"/>
  <c r="J41" i="3" s="1"/>
  <c r="I40" i="3"/>
  <c r="J40" i="3" s="1"/>
  <c r="J45" i="3" s="1"/>
  <c r="H39" i="3"/>
  <c r="H46" i="3" s="1"/>
  <c r="G39" i="3"/>
  <c r="G46" i="3" s="1"/>
  <c r="F39" i="3"/>
  <c r="F46" i="3" s="1"/>
  <c r="F48" i="3" s="1"/>
  <c r="E39" i="3"/>
  <c r="E46" i="3" s="1"/>
  <c r="D39" i="3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J39" i="3" s="1"/>
  <c r="J46" i="3" s="1"/>
  <c r="J6" i="5" l="1"/>
  <c r="E42" i="5"/>
  <c r="I14" i="5"/>
  <c r="I25" i="5"/>
  <c r="J25" i="5" s="1"/>
  <c r="K25" i="5" s="1"/>
  <c r="I27" i="5"/>
  <c r="J27" i="5" s="1"/>
  <c r="K27" i="5" s="1"/>
  <c r="I29" i="5"/>
  <c r="J29" i="5" s="1"/>
  <c r="K29" i="5" s="1"/>
  <c r="D38" i="4"/>
  <c r="J5" i="4"/>
  <c r="K39" i="4"/>
  <c r="D45" i="4"/>
  <c r="J41" i="4"/>
  <c r="D46" i="3"/>
  <c r="I46" i="3" s="1"/>
  <c r="I39" i="3"/>
  <c r="I42" i="5" l="1"/>
  <c r="J14" i="5"/>
  <c r="K14" i="5" s="1"/>
  <c r="J42" i="5"/>
  <c r="K42" i="5" s="1"/>
  <c r="K6" i="5"/>
  <c r="K41" i="4"/>
  <c r="J45" i="4"/>
  <c r="K45" i="4"/>
  <c r="J38" i="4"/>
  <c r="J46" i="4" s="1"/>
  <c r="K5" i="4"/>
  <c r="K38" i="4" s="1"/>
  <c r="K46" i="4" s="1"/>
  <c r="D46" i="4"/>
  <c r="Q149" i="2" l="1"/>
  <c r="M136" i="2"/>
  <c r="AH133" i="2"/>
  <c r="AA133" i="2"/>
  <c r="U133" i="2"/>
  <c r="R132" i="2"/>
  <c r="Q132" i="2"/>
  <c r="Y132" i="2" s="1"/>
  <c r="R131" i="2"/>
  <c r="Q131" i="2"/>
  <c r="Y131" i="2" s="1"/>
  <c r="AJ130" i="2"/>
  <c r="AK130" i="2" s="1"/>
  <c r="Y130" i="2"/>
  <c r="R130" i="2"/>
  <c r="D130" i="2"/>
  <c r="C130" i="2"/>
  <c r="B130" i="2"/>
  <c r="A130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J129" i="2"/>
  <c r="AK129" i="2" s="1"/>
  <c r="AL129" i="2" s="1"/>
  <c r="W129" i="2"/>
  <c r="T129" i="2"/>
  <c r="R129" i="2"/>
  <c r="Q129" i="2"/>
  <c r="Y129" i="2" s="1"/>
  <c r="E129" i="2"/>
  <c r="D129" i="2"/>
  <c r="C129" i="2"/>
  <c r="B129" i="2"/>
  <c r="A129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J128" i="2"/>
  <c r="AK128" i="2" s="1"/>
  <c r="AL128" i="2" s="1"/>
  <c r="W128" i="2"/>
  <c r="T128" i="2"/>
  <c r="R128" i="2"/>
  <c r="Q128" i="2"/>
  <c r="Y128" i="2" s="1"/>
  <c r="E128" i="2"/>
  <c r="D128" i="2"/>
  <c r="C128" i="2"/>
  <c r="B128" i="2"/>
  <c r="A128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J127" i="2"/>
  <c r="AK127" i="2" s="1"/>
  <c r="AL127" i="2" s="1"/>
  <c r="Y127" i="2"/>
  <c r="R127" i="2"/>
  <c r="E127" i="2"/>
  <c r="D127" i="2"/>
  <c r="C127" i="2"/>
  <c r="B127" i="2"/>
  <c r="A127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J126" i="2"/>
  <c r="AK126" i="2" s="1"/>
  <c r="AL126" i="2" s="1"/>
  <c r="Y126" i="2"/>
  <c r="R126" i="2"/>
  <c r="E126" i="2"/>
  <c r="D126" i="2"/>
  <c r="C126" i="2"/>
  <c r="B126" i="2"/>
  <c r="A126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J125" i="2"/>
  <c r="AK125" i="2" s="1"/>
  <c r="AL125" i="2" s="1"/>
  <c r="Y125" i="2"/>
  <c r="T125" i="2"/>
  <c r="R125" i="2"/>
  <c r="E125" i="2"/>
  <c r="D125" i="2"/>
  <c r="C125" i="2"/>
  <c r="B125" i="2"/>
  <c r="A125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J124" i="2"/>
  <c r="AK124" i="2" s="1"/>
  <c r="AL124" i="2" s="1"/>
  <c r="Y124" i="2"/>
  <c r="R124" i="2"/>
  <c r="E124" i="2"/>
  <c r="D124" i="2"/>
  <c r="C124" i="2"/>
  <c r="B124" i="2"/>
  <c r="A124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J123" i="2"/>
  <c r="AK123" i="2" s="1"/>
  <c r="AL123" i="2" s="1"/>
  <c r="AB123" i="2"/>
  <c r="S123" i="2"/>
  <c r="R123" i="2"/>
  <c r="Q123" i="2"/>
  <c r="E123" i="2"/>
  <c r="D123" i="2"/>
  <c r="C123" i="2"/>
  <c r="B123" i="2"/>
  <c r="A123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J122" i="2"/>
  <c r="AK122" i="2" s="1"/>
  <c r="AL122" i="2" s="1"/>
  <c r="Y122" i="2"/>
  <c r="R122" i="2"/>
  <c r="E122" i="2"/>
  <c r="D122" i="2"/>
  <c r="C122" i="2"/>
  <c r="B122" i="2"/>
  <c r="A122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J121" i="2"/>
  <c r="AK121" i="2" s="1"/>
  <c r="AL121" i="2" s="1"/>
  <c r="Y121" i="2"/>
  <c r="R121" i="2"/>
  <c r="E121" i="2"/>
  <c r="D121" i="2"/>
  <c r="C121" i="2"/>
  <c r="B121" i="2"/>
  <c r="A121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J120" i="2"/>
  <c r="AK120" i="2" s="1"/>
  <c r="AL120" i="2" s="1"/>
  <c r="AB120" i="2"/>
  <c r="V120" i="2"/>
  <c r="T120" i="2"/>
  <c r="R120" i="2"/>
  <c r="Q120" i="2"/>
  <c r="Y120" i="2" s="1"/>
  <c r="E120" i="2"/>
  <c r="D120" i="2"/>
  <c r="C120" i="2"/>
  <c r="B120" i="2"/>
  <c r="A120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J119" i="2"/>
  <c r="AK119" i="2" s="1"/>
  <c r="AL119" i="2" s="1"/>
  <c r="Y119" i="2"/>
  <c r="R119" i="2"/>
  <c r="E119" i="2"/>
  <c r="D119" i="2"/>
  <c r="C119" i="2"/>
  <c r="B119" i="2"/>
  <c r="A119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J118" i="2"/>
  <c r="AK118" i="2" s="1"/>
  <c r="AL118" i="2" s="1"/>
  <c r="Y118" i="2"/>
  <c r="R118" i="2"/>
  <c r="E118" i="2"/>
  <c r="D118" i="2"/>
  <c r="C118" i="2"/>
  <c r="B118" i="2"/>
  <c r="A118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J117" i="2"/>
  <c r="AK117" i="2" s="1"/>
  <c r="AL117" i="2" s="1"/>
  <c r="AB117" i="2"/>
  <c r="V117" i="2"/>
  <c r="S117" i="2"/>
  <c r="T117" i="2" s="1"/>
  <c r="R117" i="2"/>
  <c r="Q117" i="2"/>
  <c r="Y117" i="2" s="1"/>
  <c r="E117" i="2"/>
  <c r="D117" i="2"/>
  <c r="C117" i="2"/>
  <c r="B117" i="2"/>
  <c r="A117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J116" i="2"/>
  <c r="AK116" i="2" s="1"/>
  <c r="AL116" i="2" s="1"/>
  <c r="Y116" i="2"/>
  <c r="R116" i="2"/>
  <c r="E116" i="2"/>
  <c r="D116" i="2"/>
  <c r="C116" i="2"/>
  <c r="B116" i="2"/>
  <c r="A116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J115" i="2"/>
  <c r="AK115" i="2" s="1"/>
  <c r="AL115" i="2" s="1"/>
  <c r="Y115" i="2"/>
  <c r="R115" i="2"/>
  <c r="E115" i="2"/>
  <c r="D115" i="2"/>
  <c r="C115" i="2"/>
  <c r="B115" i="2"/>
  <c r="A115" i="2"/>
  <c r="AJ114" i="2"/>
  <c r="AK114" i="2" s="1"/>
  <c r="AL114" i="2" s="1"/>
  <c r="Y114" i="2"/>
  <c r="R114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J113" i="2"/>
  <c r="AK113" i="2" s="1"/>
  <c r="AL113" i="2" s="1"/>
  <c r="W113" i="2"/>
  <c r="Y113" i="2" s="1"/>
  <c r="T113" i="2"/>
  <c r="O113" i="2"/>
  <c r="N113" i="2"/>
  <c r="M113" i="2"/>
  <c r="R113" i="2" s="1"/>
  <c r="E113" i="2"/>
  <c r="D113" i="2"/>
  <c r="C113" i="2"/>
  <c r="B113" i="2"/>
  <c r="A113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J112" i="2"/>
  <c r="AK112" i="2" s="1"/>
  <c r="AL112" i="2" s="1"/>
  <c r="Y112" i="2"/>
  <c r="O112" i="2"/>
  <c r="N112" i="2"/>
  <c r="M112" i="2"/>
  <c r="R112" i="2" s="1"/>
  <c r="E112" i="2"/>
  <c r="D112" i="2"/>
  <c r="C112" i="2"/>
  <c r="B112" i="2"/>
  <c r="A112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J111" i="2"/>
  <c r="AK111" i="2" s="1"/>
  <c r="AL111" i="2" s="1"/>
  <c r="Y111" i="2"/>
  <c r="R111" i="2"/>
  <c r="E111" i="2"/>
  <c r="D111" i="2"/>
  <c r="C111" i="2"/>
  <c r="B111" i="2"/>
  <c r="A111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J110" i="2"/>
  <c r="AK110" i="2" s="1"/>
  <c r="AL110" i="2" s="1"/>
  <c r="Y110" i="2"/>
  <c r="R110" i="2"/>
  <c r="E110" i="2"/>
  <c r="D110" i="2"/>
  <c r="C110" i="2"/>
  <c r="B110" i="2"/>
  <c r="A110" i="2"/>
  <c r="AJ109" i="2"/>
  <c r="AK109" i="2" s="1"/>
  <c r="AL109" i="2" s="1"/>
  <c r="Y109" i="2"/>
  <c r="T109" i="2"/>
  <c r="R109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J108" i="2"/>
  <c r="AK108" i="2" s="1"/>
  <c r="AL108" i="2" s="1"/>
  <c r="AB108" i="2"/>
  <c r="S108" i="2"/>
  <c r="R108" i="2"/>
  <c r="Q108" i="2"/>
  <c r="E108" i="2"/>
  <c r="D108" i="2"/>
  <c r="C108" i="2"/>
  <c r="B108" i="2"/>
  <c r="A108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J107" i="2"/>
  <c r="AK107" i="2" s="1"/>
  <c r="AL107" i="2" s="1"/>
  <c r="Y107" i="2"/>
  <c r="R107" i="2"/>
  <c r="E107" i="2"/>
  <c r="D107" i="2"/>
  <c r="C107" i="2"/>
  <c r="B107" i="2"/>
  <c r="A107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J106" i="2"/>
  <c r="AK106" i="2" s="1"/>
  <c r="AL106" i="2" s="1"/>
  <c r="Y106" i="2"/>
  <c r="O106" i="2"/>
  <c r="N106" i="2"/>
  <c r="M106" i="2"/>
  <c r="R106" i="2" s="1"/>
  <c r="E106" i="2"/>
  <c r="D106" i="2"/>
  <c r="C106" i="2"/>
  <c r="B106" i="2"/>
  <c r="A106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J105" i="2"/>
  <c r="AK105" i="2" s="1"/>
  <c r="AL105" i="2" s="1"/>
  <c r="Y105" i="2"/>
  <c r="O105" i="2"/>
  <c r="N105" i="2"/>
  <c r="M105" i="2"/>
  <c r="R105" i="2" s="1"/>
  <c r="E105" i="2"/>
  <c r="D105" i="2"/>
  <c r="C105" i="2"/>
  <c r="B105" i="2"/>
  <c r="A105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J104" i="2"/>
  <c r="AK104" i="2" s="1"/>
  <c r="AL104" i="2" s="1"/>
  <c r="T104" i="2"/>
  <c r="Q104" i="2"/>
  <c r="Y104" i="2" s="1"/>
  <c r="O104" i="2"/>
  <c r="N104" i="2"/>
  <c r="M104" i="2"/>
  <c r="R104" i="2" s="1"/>
  <c r="E104" i="2"/>
  <c r="D104" i="2"/>
  <c r="C104" i="2"/>
  <c r="B104" i="2"/>
  <c r="A104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J103" i="2"/>
  <c r="AK103" i="2" s="1"/>
  <c r="AL103" i="2" s="1"/>
  <c r="V103" i="2"/>
  <c r="R103" i="2"/>
  <c r="Q103" i="2"/>
  <c r="Y103" i="2" s="1"/>
  <c r="E103" i="2"/>
  <c r="D103" i="2"/>
  <c r="C103" i="2"/>
  <c r="B103" i="2"/>
  <c r="A103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J102" i="2"/>
  <c r="AK102" i="2" s="1"/>
  <c r="AL102" i="2" s="1"/>
  <c r="V102" i="2"/>
  <c r="T102" i="2"/>
  <c r="R102" i="2"/>
  <c r="Q102" i="2"/>
  <c r="Y102" i="2" s="1"/>
  <c r="E102" i="2"/>
  <c r="D102" i="2"/>
  <c r="C102" i="2"/>
  <c r="B102" i="2"/>
  <c r="A102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J101" i="2"/>
  <c r="AK101" i="2" s="1"/>
  <c r="AL101" i="2" s="1"/>
  <c r="Y101" i="2"/>
  <c r="R101" i="2"/>
  <c r="E101" i="2"/>
  <c r="D101" i="2"/>
  <c r="C101" i="2"/>
  <c r="B101" i="2"/>
  <c r="A101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J100" i="2"/>
  <c r="AK100" i="2" s="1"/>
  <c r="AL100" i="2" s="1"/>
  <c r="V100" i="2"/>
  <c r="R100" i="2"/>
  <c r="Q100" i="2"/>
  <c r="Y100" i="2" s="1"/>
  <c r="E100" i="2"/>
  <c r="D100" i="2"/>
  <c r="C100" i="2"/>
  <c r="B100" i="2"/>
  <c r="A100" i="2"/>
  <c r="AJ99" i="2"/>
  <c r="AK99" i="2" s="1"/>
  <c r="AL99" i="2" s="1"/>
  <c r="X99" i="2"/>
  <c r="Y99" i="2" s="1"/>
  <c r="T99" i="2"/>
  <c r="R99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J98" i="2"/>
  <c r="AK98" i="2" s="1"/>
  <c r="AL98" i="2" s="1"/>
  <c r="V98" i="2"/>
  <c r="R98" i="2"/>
  <c r="Q98" i="2"/>
  <c r="Y98" i="2" s="1"/>
  <c r="E98" i="2"/>
  <c r="D98" i="2"/>
  <c r="C98" i="2"/>
  <c r="B98" i="2"/>
  <c r="A98" i="2"/>
  <c r="AJ97" i="2"/>
  <c r="AK97" i="2" s="1"/>
  <c r="AL97" i="2" s="1"/>
  <c r="V97" i="2"/>
  <c r="R97" i="2"/>
  <c r="Q97" i="2"/>
  <c r="Y97" i="2" s="1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J96" i="2"/>
  <c r="AK96" i="2" s="1"/>
  <c r="AL96" i="2" s="1"/>
  <c r="V96" i="2"/>
  <c r="R96" i="2"/>
  <c r="Q96" i="2"/>
  <c r="Y96" i="2" s="1"/>
  <c r="E96" i="2"/>
  <c r="D96" i="2"/>
  <c r="C96" i="2"/>
  <c r="B96" i="2"/>
  <c r="A96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J95" i="2"/>
  <c r="AK95" i="2" s="1"/>
  <c r="AL95" i="2" s="1"/>
  <c r="Y95" i="2"/>
  <c r="R95" i="2"/>
  <c r="E95" i="2"/>
  <c r="D95" i="2"/>
  <c r="C95" i="2"/>
  <c r="B95" i="2"/>
  <c r="A95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J94" i="2"/>
  <c r="AK94" i="2" s="1"/>
  <c r="AL94" i="2" s="1"/>
  <c r="Y94" i="2"/>
  <c r="R94" i="2"/>
  <c r="E94" i="2"/>
  <c r="D94" i="2"/>
  <c r="C94" i="2"/>
  <c r="B94" i="2"/>
  <c r="A94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J93" i="2"/>
  <c r="AK93" i="2" s="1"/>
  <c r="AL93" i="2" s="1"/>
  <c r="Y93" i="2"/>
  <c r="R93" i="2"/>
  <c r="E93" i="2"/>
  <c r="D93" i="2"/>
  <c r="C93" i="2"/>
  <c r="B93" i="2"/>
  <c r="A93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J92" i="2"/>
  <c r="AK92" i="2" s="1"/>
  <c r="AL92" i="2" s="1"/>
  <c r="Y92" i="2"/>
  <c r="R92" i="2"/>
  <c r="E92" i="2"/>
  <c r="D92" i="2"/>
  <c r="C92" i="2"/>
  <c r="B92" i="2"/>
  <c r="A92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J91" i="2"/>
  <c r="AK91" i="2" s="1"/>
  <c r="AL91" i="2" s="1"/>
  <c r="Y91" i="2"/>
  <c r="R91" i="2"/>
  <c r="E91" i="2"/>
  <c r="D91" i="2"/>
  <c r="C91" i="2"/>
  <c r="B91" i="2"/>
  <c r="A91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J90" i="2"/>
  <c r="AK90" i="2" s="1"/>
  <c r="AL90" i="2" s="1"/>
  <c r="Y90" i="2"/>
  <c r="O90" i="2"/>
  <c r="N90" i="2"/>
  <c r="M90" i="2"/>
  <c r="R90" i="2" s="1"/>
  <c r="E90" i="2"/>
  <c r="D90" i="2"/>
  <c r="C90" i="2"/>
  <c r="B90" i="2"/>
  <c r="A90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J89" i="2"/>
  <c r="AK89" i="2" s="1"/>
  <c r="AL89" i="2" s="1"/>
  <c r="Y89" i="2"/>
  <c r="R89" i="2"/>
  <c r="E89" i="2"/>
  <c r="D89" i="2"/>
  <c r="C89" i="2"/>
  <c r="B89" i="2"/>
  <c r="A89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J88" i="2"/>
  <c r="AK88" i="2" s="1"/>
  <c r="AL88" i="2" s="1"/>
  <c r="Y88" i="2"/>
  <c r="R88" i="2"/>
  <c r="E88" i="2"/>
  <c r="D88" i="2"/>
  <c r="C88" i="2"/>
  <c r="B88" i="2"/>
  <c r="A88" i="2"/>
  <c r="AJ87" i="2"/>
  <c r="AK87" i="2" s="1"/>
  <c r="AL87" i="2" s="1"/>
  <c r="R87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J86" i="2"/>
  <c r="AK86" i="2" s="1"/>
  <c r="AL86" i="2" s="1"/>
  <c r="Y86" i="2"/>
  <c r="R86" i="2"/>
  <c r="E86" i="2"/>
  <c r="D86" i="2"/>
  <c r="C86" i="2"/>
  <c r="B86" i="2"/>
  <c r="A86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J85" i="2"/>
  <c r="AK85" i="2" s="1"/>
  <c r="AL85" i="2" s="1"/>
  <c r="Y85" i="2"/>
  <c r="R85" i="2"/>
  <c r="E85" i="2"/>
  <c r="D85" i="2"/>
  <c r="C85" i="2"/>
  <c r="B85" i="2"/>
  <c r="A85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J84" i="2"/>
  <c r="AK84" i="2" s="1"/>
  <c r="AL84" i="2" s="1"/>
  <c r="Y84" i="2"/>
  <c r="R84" i="2"/>
  <c r="E84" i="2"/>
  <c r="D84" i="2"/>
  <c r="C84" i="2"/>
  <c r="B84" i="2"/>
  <c r="A84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J83" i="2"/>
  <c r="AK83" i="2" s="1"/>
  <c r="AL83" i="2" s="1"/>
  <c r="Y83" i="2"/>
  <c r="R83" i="2"/>
  <c r="E83" i="2"/>
  <c r="D83" i="2"/>
  <c r="C83" i="2"/>
  <c r="B83" i="2"/>
  <c r="A83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J82" i="2"/>
  <c r="AK82" i="2" s="1"/>
  <c r="AL82" i="2" s="1"/>
  <c r="Y82" i="2"/>
  <c r="R82" i="2"/>
  <c r="E82" i="2"/>
  <c r="D82" i="2"/>
  <c r="C82" i="2"/>
  <c r="B82" i="2"/>
  <c r="A82" i="2"/>
  <c r="AJ81" i="2"/>
  <c r="AK81" i="2" s="1"/>
  <c r="AL81" i="2" s="1"/>
  <c r="X81" i="2"/>
  <c r="R81" i="2"/>
  <c r="Q81" i="2"/>
  <c r="Y81" i="2" s="1"/>
  <c r="AJ80" i="2"/>
  <c r="AK80" i="2" s="1"/>
  <c r="AL80" i="2" s="1"/>
  <c r="R80" i="2"/>
  <c r="Q80" i="2"/>
  <c r="Y80" i="2" s="1"/>
  <c r="AJ79" i="2"/>
  <c r="AK79" i="2" s="1"/>
  <c r="AL79" i="2" s="1"/>
  <c r="Y79" i="2"/>
  <c r="R79" i="2"/>
  <c r="AJ78" i="2"/>
  <c r="AK78" i="2" s="1"/>
  <c r="AL78" i="2" s="1"/>
  <c r="X78" i="2"/>
  <c r="R78" i="2"/>
  <c r="Q78" i="2"/>
  <c r="Y78" i="2" s="1"/>
  <c r="AJ77" i="2"/>
  <c r="AK77" i="2" s="1"/>
  <c r="AL77" i="2" s="1"/>
  <c r="Y77" i="2"/>
  <c r="R77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J76" i="2"/>
  <c r="AK76" i="2" s="1"/>
  <c r="AL76" i="2" s="1"/>
  <c r="AB76" i="2"/>
  <c r="V76" i="2"/>
  <c r="T76" i="2"/>
  <c r="R76" i="2"/>
  <c r="Q76" i="2"/>
  <c r="Y76" i="2" s="1"/>
  <c r="E76" i="2"/>
  <c r="D76" i="2"/>
  <c r="C76" i="2"/>
  <c r="B76" i="2"/>
  <c r="A76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J75" i="2"/>
  <c r="AK75" i="2" s="1"/>
  <c r="AL75" i="2" s="1"/>
  <c r="Y75" i="2"/>
  <c r="R75" i="2"/>
  <c r="E75" i="2"/>
  <c r="D75" i="2"/>
  <c r="C75" i="2"/>
  <c r="B75" i="2"/>
  <c r="A75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J74" i="2"/>
  <c r="AK74" i="2" s="1"/>
  <c r="AL74" i="2" s="1"/>
  <c r="Y74" i="2"/>
  <c r="R74" i="2"/>
  <c r="E74" i="2"/>
  <c r="D74" i="2"/>
  <c r="C74" i="2"/>
  <c r="B74" i="2"/>
  <c r="A74" i="2"/>
  <c r="AJ73" i="2"/>
  <c r="AK73" i="2" s="1"/>
  <c r="AL73" i="2" s="1"/>
  <c r="R73" i="2"/>
  <c r="Q73" i="2"/>
  <c r="Y73" i="2" s="1"/>
  <c r="AJ72" i="2"/>
  <c r="AK72" i="2" s="1"/>
  <c r="AL72" i="2" s="1"/>
  <c r="Y72" i="2"/>
  <c r="R72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J71" i="2"/>
  <c r="AK71" i="2" s="1"/>
  <c r="AL71" i="2" s="1"/>
  <c r="V71" i="2"/>
  <c r="T71" i="2"/>
  <c r="R71" i="2"/>
  <c r="Q71" i="2"/>
  <c r="Y71" i="2" s="1"/>
  <c r="E71" i="2"/>
  <c r="D71" i="2"/>
  <c r="C71" i="2"/>
  <c r="B71" i="2"/>
  <c r="A71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J70" i="2"/>
  <c r="AK70" i="2" s="1"/>
  <c r="AL70" i="2" s="1"/>
  <c r="Y70" i="2"/>
  <c r="R70" i="2"/>
  <c r="E70" i="2"/>
  <c r="D70" i="2"/>
  <c r="C70" i="2"/>
  <c r="B70" i="2"/>
  <c r="A70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J69" i="2"/>
  <c r="AK69" i="2" s="1"/>
  <c r="AL69" i="2" s="1"/>
  <c r="Y69" i="2"/>
  <c r="R69" i="2"/>
  <c r="E69" i="2"/>
  <c r="D69" i="2"/>
  <c r="C69" i="2"/>
  <c r="B69" i="2"/>
  <c r="A69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J68" i="2"/>
  <c r="AK68" i="2" s="1"/>
  <c r="AL68" i="2" s="1"/>
  <c r="Y68" i="2"/>
  <c r="R68" i="2"/>
  <c r="E68" i="2"/>
  <c r="D68" i="2"/>
  <c r="C68" i="2"/>
  <c r="B68" i="2"/>
  <c r="A68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J67" i="2"/>
  <c r="AK67" i="2" s="1"/>
  <c r="AL67" i="2" s="1"/>
  <c r="Y67" i="2"/>
  <c r="R67" i="2"/>
  <c r="E67" i="2"/>
  <c r="D67" i="2"/>
  <c r="C67" i="2"/>
  <c r="B67" i="2"/>
  <c r="A67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J66" i="2"/>
  <c r="AK66" i="2" s="1"/>
  <c r="AL66" i="2" s="1"/>
  <c r="AB66" i="2"/>
  <c r="Y66" i="2"/>
  <c r="R66" i="2"/>
  <c r="E66" i="2"/>
  <c r="D66" i="2"/>
  <c r="C66" i="2"/>
  <c r="B66" i="2"/>
  <c r="A66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J65" i="2"/>
  <c r="AK65" i="2" s="1"/>
  <c r="AL65" i="2" s="1"/>
  <c r="Y65" i="2"/>
  <c r="R65" i="2"/>
  <c r="E65" i="2"/>
  <c r="D65" i="2"/>
  <c r="C65" i="2"/>
  <c r="B65" i="2"/>
  <c r="A65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J64" i="2"/>
  <c r="AK64" i="2" s="1"/>
  <c r="AL64" i="2" s="1"/>
  <c r="V64" i="2"/>
  <c r="T64" i="2"/>
  <c r="R64" i="2"/>
  <c r="Q64" i="2"/>
  <c r="Y64" i="2" s="1"/>
  <c r="E64" i="2"/>
  <c r="D64" i="2"/>
  <c r="C64" i="2"/>
  <c r="B64" i="2"/>
  <c r="A64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J63" i="2"/>
  <c r="AK63" i="2" s="1"/>
  <c r="AL63" i="2" s="1"/>
  <c r="Y63" i="2"/>
  <c r="R63" i="2"/>
  <c r="E63" i="2"/>
  <c r="D63" i="2"/>
  <c r="C63" i="2"/>
  <c r="B63" i="2"/>
  <c r="A63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J62" i="2"/>
  <c r="AK62" i="2" s="1"/>
  <c r="AL62" i="2" s="1"/>
  <c r="V62" i="2"/>
  <c r="T62" i="2"/>
  <c r="R62" i="2"/>
  <c r="Q62" i="2"/>
  <c r="Y62" i="2" s="1"/>
  <c r="E62" i="2"/>
  <c r="D62" i="2"/>
  <c r="C62" i="2"/>
  <c r="B62" i="2"/>
  <c r="A62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J61" i="2"/>
  <c r="AK61" i="2" s="1"/>
  <c r="AL61" i="2" s="1"/>
  <c r="AB61" i="2"/>
  <c r="V61" i="2"/>
  <c r="R61" i="2"/>
  <c r="Q61" i="2"/>
  <c r="Y61" i="2" s="1"/>
  <c r="E61" i="2"/>
  <c r="D61" i="2"/>
  <c r="C61" i="2"/>
  <c r="B61" i="2"/>
  <c r="A61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J60" i="2"/>
  <c r="AK60" i="2" s="1"/>
  <c r="AL60" i="2" s="1"/>
  <c r="AB60" i="2"/>
  <c r="V60" i="2"/>
  <c r="R60" i="2"/>
  <c r="Q60" i="2"/>
  <c r="Y60" i="2" s="1"/>
  <c r="E60" i="2"/>
  <c r="D60" i="2"/>
  <c r="C60" i="2"/>
  <c r="B60" i="2"/>
  <c r="A60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J59" i="2"/>
  <c r="AK59" i="2" s="1"/>
  <c r="AL59" i="2" s="1"/>
  <c r="AB59" i="2"/>
  <c r="V59" i="2"/>
  <c r="R59" i="2"/>
  <c r="Q59" i="2"/>
  <c r="Y59" i="2" s="1"/>
  <c r="E59" i="2"/>
  <c r="D59" i="2"/>
  <c r="C59" i="2"/>
  <c r="B59" i="2"/>
  <c r="A59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J58" i="2"/>
  <c r="AK58" i="2" s="1"/>
  <c r="AL58" i="2" s="1"/>
  <c r="AB58" i="2"/>
  <c r="V58" i="2"/>
  <c r="R58" i="2"/>
  <c r="Q58" i="2"/>
  <c r="Y58" i="2" s="1"/>
  <c r="E58" i="2"/>
  <c r="D58" i="2"/>
  <c r="C58" i="2"/>
  <c r="B58" i="2"/>
  <c r="A58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J57" i="2"/>
  <c r="AK57" i="2" s="1"/>
  <c r="AL57" i="2" s="1"/>
  <c r="Y57" i="2"/>
  <c r="R57" i="2"/>
  <c r="E57" i="2"/>
  <c r="D57" i="2"/>
  <c r="C57" i="2"/>
  <c r="B57" i="2"/>
  <c r="A57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J56" i="2"/>
  <c r="AK56" i="2" s="1"/>
  <c r="AL56" i="2" s="1"/>
  <c r="Y56" i="2"/>
  <c r="R56" i="2"/>
  <c r="E56" i="2"/>
  <c r="D56" i="2"/>
  <c r="C56" i="2"/>
  <c r="B56" i="2"/>
  <c r="A56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J55" i="2"/>
  <c r="AK55" i="2" s="1"/>
  <c r="AL55" i="2" s="1"/>
  <c r="Y55" i="2"/>
  <c r="R55" i="2"/>
  <c r="E55" i="2"/>
  <c r="D55" i="2"/>
  <c r="C55" i="2"/>
  <c r="B55" i="2"/>
  <c r="A55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J54" i="2"/>
  <c r="AK54" i="2" s="1"/>
  <c r="AL54" i="2" s="1"/>
  <c r="W54" i="2"/>
  <c r="Y54" i="2" s="1"/>
  <c r="T54" i="2"/>
  <c r="R54" i="2"/>
  <c r="E54" i="2"/>
  <c r="D54" i="2"/>
  <c r="C54" i="2"/>
  <c r="B54" i="2"/>
  <c r="A54" i="2"/>
  <c r="AJ53" i="2"/>
  <c r="AK53" i="2" s="1"/>
  <c r="AL53" i="2" s="1"/>
  <c r="Y53" i="2"/>
  <c r="R53" i="2"/>
  <c r="D53" i="2"/>
  <c r="C53" i="2"/>
  <c r="B53" i="2"/>
  <c r="A53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J52" i="2"/>
  <c r="AK52" i="2" s="1"/>
  <c r="AL52" i="2" s="1"/>
  <c r="Y52" i="2"/>
  <c r="R52" i="2"/>
  <c r="E52" i="2"/>
  <c r="D52" i="2"/>
  <c r="C52" i="2"/>
  <c r="B52" i="2"/>
  <c r="A52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J51" i="2"/>
  <c r="AK51" i="2" s="1"/>
  <c r="AL51" i="2" s="1"/>
  <c r="Y51" i="2"/>
  <c r="R51" i="2"/>
  <c r="E51" i="2"/>
  <c r="D51" i="2"/>
  <c r="C51" i="2"/>
  <c r="B51" i="2"/>
  <c r="A51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J50" i="2"/>
  <c r="AK50" i="2" s="1"/>
  <c r="AL50" i="2" s="1"/>
  <c r="Y50" i="2"/>
  <c r="R50" i="2"/>
  <c r="E50" i="2"/>
  <c r="D50" i="2"/>
  <c r="C50" i="2"/>
  <c r="B50" i="2"/>
  <c r="A50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J49" i="2"/>
  <c r="AK49" i="2" s="1"/>
  <c r="AL49" i="2" s="1"/>
  <c r="Y49" i="2"/>
  <c r="O49" i="2"/>
  <c r="N49" i="2"/>
  <c r="M49" i="2"/>
  <c r="R49" i="2" s="1"/>
  <c r="E49" i="2"/>
  <c r="D49" i="2"/>
  <c r="C49" i="2"/>
  <c r="B49" i="2"/>
  <c r="A49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J48" i="2"/>
  <c r="AK48" i="2" s="1"/>
  <c r="AL48" i="2" s="1"/>
  <c r="Y48" i="2"/>
  <c r="R48" i="2"/>
  <c r="E48" i="2"/>
  <c r="D48" i="2"/>
  <c r="C48" i="2"/>
  <c r="B48" i="2"/>
  <c r="A48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J47" i="2"/>
  <c r="AK47" i="2" s="1"/>
  <c r="AL47" i="2" s="1"/>
  <c r="Y47" i="2"/>
  <c r="R47" i="2"/>
  <c r="E47" i="2"/>
  <c r="D47" i="2"/>
  <c r="C47" i="2"/>
  <c r="B47" i="2"/>
  <c r="A47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J46" i="2"/>
  <c r="AK46" i="2" s="1"/>
  <c r="AL46" i="2" s="1"/>
  <c r="Y46" i="2"/>
  <c r="R46" i="2"/>
  <c r="E46" i="2"/>
  <c r="D46" i="2"/>
  <c r="C46" i="2"/>
  <c r="B46" i="2"/>
  <c r="A46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J45" i="2"/>
  <c r="AK45" i="2" s="1"/>
  <c r="AL45" i="2" s="1"/>
  <c r="Y45" i="2"/>
  <c r="R45" i="2"/>
  <c r="E45" i="2"/>
  <c r="D45" i="2"/>
  <c r="C45" i="2"/>
  <c r="B45" i="2"/>
  <c r="A45" i="2"/>
  <c r="AJ44" i="2"/>
  <c r="AK44" i="2" s="1"/>
  <c r="AL44" i="2" s="1"/>
  <c r="X44" i="2"/>
  <c r="R44" i="2"/>
  <c r="Q44" i="2"/>
  <c r="Y44" i="2" s="1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J43" i="2"/>
  <c r="AK43" i="2" s="1"/>
  <c r="AL43" i="2" s="1"/>
  <c r="AB43" i="2"/>
  <c r="Y43" i="2"/>
  <c r="R43" i="2"/>
  <c r="E43" i="2"/>
  <c r="D43" i="2"/>
  <c r="C43" i="2"/>
  <c r="B43" i="2"/>
  <c r="A43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J42" i="2"/>
  <c r="AK42" i="2" s="1"/>
  <c r="AL42" i="2" s="1"/>
  <c r="Y42" i="2"/>
  <c r="R42" i="2"/>
  <c r="E42" i="2"/>
  <c r="D42" i="2"/>
  <c r="C42" i="2"/>
  <c r="B42" i="2"/>
  <c r="A42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J41" i="2"/>
  <c r="AK41" i="2" s="1"/>
  <c r="AL41" i="2" s="1"/>
  <c r="Y41" i="2"/>
  <c r="R41" i="2"/>
  <c r="E41" i="2"/>
  <c r="D41" i="2"/>
  <c r="C41" i="2"/>
  <c r="B41" i="2"/>
  <c r="A41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J40" i="2"/>
  <c r="AK40" i="2" s="1"/>
  <c r="AL40" i="2" s="1"/>
  <c r="Y40" i="2"/>
  <c r="R40" i="2"/>
  <c r="E40" i="2"/>
  <c r="D40" i="2"/>
  <c r="C40" i="2"/>
  <c r="B40" i="2"/>
  <c r="A40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J39" i="2"/>
  <c r="AK39" i="2" s="1"/>
  <c r="AL39" i="2" s="1"/>
  <c r="Y39" i="2"/>
  <c r="O39" i="2"/>
  <c r="N39" i="2"/>
  <c r="M39" i="2"/>
  <c r="R39" i="2" s="1"/>
  <c r="E39" i="2"/>
  <c r="D39" i="2"/>
  <c r="C39" i="2"/>
  <c r="B39" i="2"/>
  <c r="A39" i="2"/>
  <c r="AF38" i="2"/>
  <c r="AB38" i="2"/>
  <c r="V38" i="2"/>
  <c r="R38" i="2"/>
  <c r="Q38" i="2"/>
  <c r="Y38" i="2" s="1"/>
  <c r="C38" i="2"/>
  <c r="B38" i="2"/>
  <c r="A38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J37" i="2"/>
  <c r="AK37" i="2" s="1"/>
  <c r="AL37" i="2" s="1"/>
  <c r="Y37" i="2"/>
  <c r="R37" i="2"/>
  <c r="E37" i="2"/>
  <c r="D37" i="2"/>
  <c r="C37" i="2"/>
  <c r="B37" i="2"/>
  <c r="A37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J36" i="2"/>
  <c r="AK36" i="2" s="1"/>
  <c r="AL36" i="2" s="1"/>
  <c r="Y36" i="2"/>
  <c r="R36" i="2"/>
  <c r="E36" i="2"/>
  <c r="D36" i="2"/>
  <c r="C36" i="2"/>
  <c r="B36" i="2"/>
  <c r="A36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J35" i="2"/>
  <c r="AK35" i="2" s="1"/>
  <c r="AL35" i="2" s="1"/>
  <c r="Y35" i="2"/>
  <c r="R35" i="2"/>
  <c r="E35" i="2"/>
  <c r="D35" i="2"/>
  <c r="C35" i="2"/>
  <c r="B35" i="2"/>
  <c r="A35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J34" i="2"/>
  <c r="AK34" i="2" s="1"/>
  <c r="AL34" i="2" s="1"/>
  <c r="AB34" i="2"/>
  <c r="T34" i="2"/>
  <c r="R34" i="2"/>
  <c r="Q34" i="2"/>
  <c r="Y34" i="2" s="1"/>
  <c r="E34" i="2"/>
  <c r="D34" i="2"/>
  <c r="C34" i="2"/>
  <c r="B34" i="2"/>
  <c r="A34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J33" i="2"/>
  <c r="AK33" i="2" s="1"/>
  <c r="AL33" i="2" s="1"/>
  <c r="Y33" i="2"/>
  <c r="O33" i="2"/>
  <c r="N33" i="2"/>
  <c r="M33" i="2"/>
  <c r="R33" i="2" s="1"/>
  <c r="E33" i="2"/>
  <c r="D33" i="2"/>
  <c r="C33" i="2"/>
  <c r="B33" i="2"/>
  <c r="A33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J32" i="2"/>
  <c r="AK32" i="2" s="1"/>
  <c r="AL32" i="2" s="1"/>
  <c r="Y32" i="2"/>
  <c r="O32" i="2"/>
  <c r="N32" i="2"/>
  <c r="M32" i="2"/>
  <c r="R32" i="2" s="1"/>
  <c r="E32" i="2"/>
  <c r="D32" i="2"/>
  <c r="C32" i="2"/>
  <c r="B32" i="2"/>
  <c r="A32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J31" i="2"/>
  <c r="AK31" i="2" s="1"/>
  <c r="AL31" i="2" s="1"/>
  <c r="Y31" i="2"/>
  <c r="O31" i="2"/>
  <c r="N31" i="2"/>
  <c r="M31" i="2"/>
  <c r="R31" i="2" s="1"/>
  <c r="E31" i="2"/>
  <c r="D31" i="2"/>
  <c r="C31" i="2"/>
  <c r="B31" i="2"/>
  <c r="A31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J30" i="2"/>
  <c r="AK30" i="2" s="1"/>
  <c r="AL30" i="2" s="1"/>
  <c r="Y30" i="2"/>
  <c r="O30" i="2"/>
  <c r="O133" i="2" s="1"/>
  <c r="N30" i="2"/>
  <c r="N133" i="2" s="1"/>
  <c r="M30" i="2"/>
  <c r="E30" i="2"/>
  <c r="D30" i="2"/>
  <c r="C30" i="2"/>
  <c r="B30" i="2"/>
  <c r="A30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J29" i="2"/>
  <c r="AK29" i="2" s="1"/>
  <c r="AL29" i="2" s="1"/>
  <c r="Y29" i="2"/>
  <c r="R29" i="2"/>
  <c r="E29" i="2"/>
  <c r="D29" i="2"/>
  <c r="C29" i="2"/>
  <c r="B29" i="2"/>
  <c r="A29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J28" i="2"/>
  <c r="AK28" i="2" s="1"/>
  <c r="AL28" i="2" s="1"/>
  <c r="Y28" i="2"/>
  <c r="R28" i="2"/>
  <c r="E28" i="2"/>
  <c r="D28" i="2"/>
  <c r="C28" i="2"/>
  <c r="B28" i="2"/>
  <c r="A28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J27" i="2"/>
  <c r="AK27" i="2" s="1"/>
  <c r="AL27" i="2" s="1"/>
  <c r="Y27" i="2"/>
  <c r="R27" i="2"/>
  <c r="P27" i="2"/>
  <c r="T27" i="2" s="1"/>
  <c r="E27" i="2"/>
  <c r="D27" i="2"/>
  <c r="C27" i="2"/>
  <c r="B27" i="2"/>
  <c r="A27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J26" i="2"/>
  <c r="AK26" i="2" s="1"/>
  <c r="AL26" i="2" s="1"/>
  <c r="Y26" i="2"/>
  <c r="R26" i="2"/>
  <c r="E26" i="2"/>
  <c r="D26" i="2"/>
  <c r="C26" i="2"/>
  <c r="B26" i="2"/>
  <c r="A26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I25" i="2"/>
  <c r="Y25" i="2"/>
  <c r="T25" i="2"/>
  <c r="R25" i="2"/>
  <c r="E25" i="2"/>
  <c r="D25" i="2"/>
  <c r="C25" i="2"/>
  <c r="B25" i="2"/>
  <c r="A25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J24" i="2"/>
  <c r="AK24" i="2" s="1"/>
  <c r="AL24" i="2" s="1"/>
  <c r="Y24" i="2"/>
  <c r="R24" i="2"/>
  <c r="E24" i="2"/>
  <c r="D24" i="2"/>
  <c r="C24" i="2"/>
  <c r="B24" i="2"/>
  <c r="A24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J23" i="2"/>
  <c r="AK23" i="2" s="1"/>
  <c r="AL23" i="2" s="1"/>
  <c r="Y23" i="2"/>
  <c r="R23" i="2"/>
  <c r="E23" i="2"/>
  <c r="D23" i="2"/>
  <c r="C23" i="2"/>
  <c r="B23" i="2"/>
  <c r="A23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J22" i="2"/>
  <c r="AK22" i="2" s="1"/>
  <c r="AL22" i="2" s="1"/>
  <c r="Y22" i="2"/>
  <c r="R22" i="2"/>
  <c r="E22" i="2"/>
  <c r="D22" i="2"/>
  <c r="C22" i="2"/>
  <c r="B22" i="2"/>
  <c r="A22" i="2"/>
  <c r="AJ21" i="2"/>
  <c r="AK21" i="2" s="1"/>
  <c r="AL21" i="2" s="1"/>
  <c r="X21" i="2"/>
  <c r="R21" i="2"/>
  <c r="Q21" i="2"/>
  <c r="Y21" i="2" s="1"/>
  <c r="AJ20" i="2"/>
  <c r="AK20" i="2" s="1"/>
  <c r="AL20" i="2" s="1"/>
  <c r="X20" i="2"/>
  <c r="R20" i="2"/>
  <c r="Q20" i="2"/>
  <c r="Y20" i="2" s="1"/>
  <c r="AJ19" i="2"/>
  <c r="AK19" i="2" s="1"/>
  <c r="AL19" i="2" s="1"/>
  <c r="Y19" i="2"/>
  <c r="R19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J18" i="2"/>
  <c r="AK18" i="2" s="1"/>
  <c r="AL18" i="2" s="1"/>
  <c r="W18" i="2"/>
  <c r="T18" i="2"/>
  <c r="R18" i="2"/>
  <c r="Q18" i="2"/>
  <c r="Y18" i="2" s="1"/>
  <c r="E18" i="2"/>
  <c r="D18" i="2"/>
  <c r="C18" i="2"/>
  <c r="B18" i="2"/>
  <c r="A18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J17" i="2"/>
  <c r="AK17" i="2" s="1"/>
  <c r="AL17" i="2" s="1"/>
  <c r="Y17" i="2"/>
  <c r="R17" i="2"/>
  <c r="E17" i="2"/>
  <c r="D17" i="2"/>
  <c r="C17" i="2"/>
  <c r="B17" i="2"/>
  <c r="A17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J16" i="2"/>
  <c r="AK16" i="2" s="1"/>
  <c r="AL16" i="2" s="1"/>
  <c r="Y16" i="2"/>
  <c r="R16" i="2"/>
  <c r="E16" i="2"/>
  <c r="D16" i="2"/>
  <c r="C16" i="2"/>
  <c r="B16" i="2"/>
  <c r="A16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J15" i="2"/>
  <c r="AK15" i="2" s="1"/>
  <c r="AL15" i="2" s="1"/>
  <c r="Y15" i="2"/>
  <c r="R15" i="2"/>
  <c r="E15" i="2"/>
  <c r="D15" i="2"/>
  <c r="C15" i="2"/>
  <c r="B15" i="2"/>
  <c r="A15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J14" i="2"/>
  <c r="AK14" i="2" s="1"/>
  <c r="AL14" i="2" s="1"/>
  <c r="Y14" i="2"/>
  <c r="R14" i="2"/>
  <c r="E14" i="2"/>
  <c r="D14" i="2"/>
  <c r="C14" i="2"/>
  <c r="B14" i="2"/>
  <c r="A14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J13" i="2"/>
  <c r="AK13" i="2" s="1"/>
  <c r="AL13" i="2" s="1"/>
  <c r="Y13" i="2"/>
  <c r="R13" i="2"/>
  <c r="E13" i="2"/>
  <c r="D13" i="2"/>
  <c r="C13" i="2"/>
  <c r="B13" i="2"/>
  <c r="A13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J12" i="2"/>
  <c r="AK12" i="2" s="1"/>
  <c r="AL12" i="2" s="1"/>
  <c r="AB12" i="2"/>
  <c r="R12" i="2"/>
  <c r="P12" i="2"/>
  <c r="V12" i="2" s="1"/>
  <c r="Y12" i="2" s="1"/>
  <c r="E12" i="2"/>
  <c r="D12" i="2"/>
  <c r="C12" i="2"/>
  <c r="B12" i="2"/>
  <c r="A12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J11" i="2"/>
  <c r="AK11" i="2" s="1"/>
  <c r="AL11" i="2" s="1"/>
  <c r="Y11" i="2"/>
  <c r="R11" i="2"/>
  <c r="E11" i="2"/>
  <c r="D11" i="2"/>
  <c r="C11" i="2"/>
  <c r="B11" i="2"/>
  <c r="A11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J10" i="2"/>
  <c r="AK10" i="2" s="1"/>
  <c r="AL10" i="2" s="1"/>
  <c r="S10" i="2"/>
  <c r="R10" i="2"/>
  <c r="Q10" i="2"/>
  <c r="Y10" i="2" s="1"/>
  <c r="E10" i="2"/>
  <c r="D10" i="2"/>
  <c r="C10" i="2"/>
  <c r="B10" i="2"/>
  <c r="A10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J9" i="2"/>
  <c r="AK9" i="2" s="1"/>
  <c r="AL9" i="2" s="1"/>
  <c r="Y9" i="2"/>
  <c r="R9" i="2"/>
  <c r="E9" i="2"/>
  <c r="D9" i="2"/>
  <c r="C9" i="2"/>
  <c r="B9" i="2"/>
  <c r="A9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J8" i="2"/>
  <c r="AK8" i="2" s="1"/>
  <c r="AL8" i="2" s="1"/>
  <c r="Y8" i="2"/>
  <c r="R8" i="2"/>
  <c r="E8" i="2"/>
  <c r="D8" i="2"/>
  <c r="C8" i="2"/>
  <c r="B8" i="2"/>
  <c r="A8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J7" i="2"/>
  <c r="AK7" i="2" s="1"/>
  <c r="AL7" i="2" s="1"/>
  <c r="Y7" i="2"/>
  <c r="R7" i="2"/>
  <c r="E7" i="2"/>
  <c r="D7" i="2"/>
  <c r="C7" i="2"/>
  <c r="B7" i="2"/>
  <c r="A7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J6" i="2"/>
  <c r="AK6" i="2" s="1"/>
  <c r="AL6" i="2" s="1"/>
  <c r="Y6" i="2"/>
  <c r="R6" i="2"/>
  <c r="E6" i="2"/>
  <c r="D6" i="2"/>
  <c r="C6" i="2"/>
  <c r="B6" i="2"/>
  <c r="A6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J5" i="2"/>
  <c r="AK5" i="2" s="1"/>
  <c r="AL5" i="2" s="1"/>
  <c r="Y5" i="2"/>
  <c r="R5" i="2"/>
  <c r="E5" i="2"/>
  <c r="D5" i="2"/>
  <c r="C5" i="2"/>
  <c r="B5" i="2"/>
  <c r="A5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J4" i="2"/>
  <c r="AK4" i="2" s="1"/>
  <c r="AL4" i="2" s="1"/>
  <c r="V4" i="2"/>
  <c r="T4" i="2"/>
  <c r="R4" i="2"/>
  <c r="Q4" i="2"/>
  <c r="Y4" i="2" s="1"/>
  <c r="E4" i="2"/>
  <c r="D4" i="2"/>
  <c r="C4" i="2"/>
  <c r="B4" i="2"/>
  <c r="A4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J3" i="2"/>
  <c r="AK3" i="2" s="1"/>
  <c r="AL3" i="2" s="1"/>
  <c r="Y3" i="2"/>
  <c r="R3" i="2"/>
  <c r="E3" i="2"/>
  <c r="D3" i="2"/>
  <c r="C3" i="2"/>
  <c r="B3" i="2"/>
  <c r="A3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J2" i="2"/>
  <c r="AB2" i="2"/>
  <c r="X2" i="2"/>
  <c r="X133" i="2" s="1"/>
  <c r="W2" i="2"/>
  <c r="R2" i="2"/>
  <c r="Q2" i="2"/>
  <c r="P2" i="2"/>
  <c r="E2" i="2"/>
  <c r="D2" i="2"/>
  <c r="C2" i="2"/>
  <c r="B2" i="2"/>
  <c r="A2" i="2"/>
  <c r="I49" i="1"/>
  <c r="H49" i="1"/>
  <c r="G49" i="1"/>
  <c r="F49" i="1"/>
  <c r="E49" i="1"/>
  <c r="D49" i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I41" i="1"/>
  <c r="I50" i="1" s="1"/>
  <c r="H41" i="1"/>
  <c r="H50" i="1" s="1"/>
  <c r="G41" i="1"/>
  <c r="G50" i="1" s="1"/>
  <c r="F41" i="1"/>
  <c r="F50" i="1" s="1"/>
  <c r="F52" i="1" s="1"/>
  <c r="E41" i="1"/>
  <c r="E50" i="1" s="1"/>
  <c r="D41" i="1"/>
  <c r="D50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K30" i="1"/>
  <c r="J30" i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U135" i="2" l="1"/>
  <c r="Q135" i="2"/>
  <c r="P135" i="2"/>
  <c r="U134" i="2"/>
  <c r="Q134" i="2"/>
  <c r="Q136" i="2" s="1"/>
  <c r="P134" i="2"/>
  <c r="P136" i="2" s="1"/>
  <c r="P133" i="2"/>
  <c r="T2" i="2"/>
  <c r="Q133" i="2"/>
  <c r="Y2" i="2"/>
  <c r="AK2" i="2"/>
  <c r="S133" i="2"/>
  <c r="T10" i="2"/>
  <c r="AI133" i="2"/>
  <c r="AJ25" i="2"/>
  <c r="M133" i="2"/>
  <c r="R133" i="2" s="1"/>
  <c r="R30" i="2"/>
  <c r="AF133" i="2"/>
  <c r="AG38" i="2"/>
  <c r="W108" i="2"/>
  <c r="T108" i="2"/>
  <c r="V123" i="2"/>
  <c r="T123" i="2"/>
  <c r="J49" i="1"/>
  <c r="K42" i="1"/>
  <c r="K49" i="1" s="1"/>
  <c r="J41" i="1"/>
  <c r="J50" i="1" s="1"/>
  <c r="K5" i="1"/>
  <c r="K41" i="1" s="1"/>
  <c r="K50" i="1" s="1"/>
  <c r="V133" i="2" l="1"/>
  <c r="Y123" i="2"/>
  <c r="W133" i="2"/>
  <c r="Y108" i="2"/>
  <c r="AG133" i="2"/>
  <c r="AG141" i="2" s="1"/>
  <c r="AJ38" i="2"/>
  <c r="AK38" i="2" s="1"/>
  <c r="AL38" i="2" s="1"/>
  <c r="AF134" i="2"/>
  <c r="AJ133" i="2"/>
  <c r="AK133" i="2" s="1"/>
  <c r="AJ131" i="2"/>
  <c r="AK25" i="2"/>
  <c r="AL25" i="2" s="1"/>
  <c r="T133" i="2"/>
  <c r="AK131" i="2"/>
  <c r="AL2" i="2"/>
  <c r="AL131" i="2" s="1"/>
  <c r="V138" i="2" l="1"/>
  <c r="V1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Dolores Hernandez Paterna</author>
  </authors>
  <commentList>
    <comment ref="AF38" authorId="0" shapeId="0" xr:uid="{D2B236D6-B846-48A9-94D9-25DDAB8F7C05}">
      <text>
        <r>
          <rPr>
            <b/>
            <sz val="9"/>
            <color indexed="81"/>
            <rFont val="Tahoma"/>
            <family val="2"/>
          </rPr>
          <t>Maria Dolores Hernandez Paterna:</t>
        </r>
        <r>
          <rPr>
            <sz val="9"/>
            <color indexed="81"/>
            <rFont val="Tahoma"/>
            <family val="2"/>
          </rPr>
          <t xml:space="preserve">
40% de l'aportació mpal de 632.772,98
EDIL: proj 3, actuacio 5+6
</t>
        </r>
      </text>
    </comment>
    <comment ref="X79" authorId="0" shapeId="0" xr:uid="{90C2D7EB-6F3A-4B46-94D5-991E2D7EA11C}">
      <text>
        <r>
          <rPr>
            <b/>
            <sz val="9"/>
            <color indexed="81"/>
            <rFont val="Tahoma"/>
            <family val="2"/>
          </rPr>
          <t>Maria Dolores Hernandez Paterna:</t>
        </r>
        <r>
          <rPr>
            <sz val="9"/>
            <color indexed="81"/>
            <rFont val="Tahoma"/>
            <family val="2"/>
          </rPr>
          <t xml:space="preserve">
l'aportació és de 2025 (així es diu a l'acceptació)</t>
        </r>
      </text>
    </comment>
  </commentList>
</comments>
</file>

<file path=xl/sharedStrings.xml><?xml version="1.0" encoding="utf-8"?>
<sst xmlns="http://schemas.openxmlformats.org/spreadsheetml/2006/main" count="1350" uniqueCount="567">
  <si>
    <t>Ajuntament de Viladecans</t>
  </si>
  <si>
    <t>Pressupost 2026</t>
  </si>
  <si>
    <t>PLA ACTUACIÓ INVERSIONS I FINANÇAMENT (PAIF) 2026</t>
  </si>
  <si>
    <t>FINANÇAMENT PAIF 2026</t>
  </si>
  <si>
    <t>Projecte</t>
  </si>
  <si>
    <t>Codi partida 2026</t>
  </si>
  <si>
    <t>Descripció partida 2026</t>
  </si>
  <si>
    <t>Crèdit inicial 2026</t>
  </si>
  <si>
    <t>Prèstec 2026</t>
  </si>
  <si>
    <t>FEDER 2021-27 EDIL PAI</t>
  </si>
  <si>
    <t>Diba PGI 2024-27</t>
  </si>
  <si>
    <t>DIBA control termic mercat mpal 25-26</t>
  </si>
  <si>
    <t>Consorci Delta BCN</t>
  </si>
  <si>
    <t>Estalvi corrent</t>
  </si>
  <si>
    <t>TOTAL PAIF 2026</t>
  </si>
  <si>
    <t>10310/92040/62600</t>
  </si>
  <si>
    <t>EQUIP PROCÉS INFORMACIÓ</t>
  </si>
  <si>
    <t>15060/13200/62400</t>
  </si>
  <si>
    <t>ADQUISICIÓ VEHICLES</t>
  </si>
  <si>
    <t>15060/92000/62500</t>
  </si>
  <si>
    <t>ADQUISICIÓ MOBILIARI</t>
  </si>
  <si>
    <t>21000/16000/61900</t>
  </si>
  <si>
    <t>MILLORA INFRAEST. CLAVEGUERAM</t>
  </si>
  <si>
    <t>21010/15100/61900</t>
  </si>
  <si>
    <t>ESTUDIS I PROJECTES</t>
  </si>
  <si>
    <t>21011/93300/63201</t>
  </si>
  <si>
    <t>REHABIL. I MILLORA EDIFICIS MUNICIPALS</t>
  </si>
  <si>
    <t>21011/93300/63300</t>
  </si>
  <si>
    <t>MAQUIN.I INSTAL.LAC. EDIFICIS MPALS</t>
  </si>
  <si>
    <t>FAI26003</t>
  </si>
  <si>
    <t>21011/93320/63200</t>
  </si>
  <si>
    <t>INVERSIONS ESCOLES</t>
  </si>
  <si>
    <t>21020/15100/60901</t>
  </si>
  <si>
    <t>EXPROPIACIONS</t>
  </si>
  <si>
    <t>21030/15100/61901</t>
  </si>
  <si>
    <t>EXECUCIÓ SUBSIDIÀRIA (C.A.)</t>
  </si>
  <si>
    <t>FAI19006</t>
  </si>
  <si>
    <t>21030/34200/63200</t>
  </si>
  <si>
    <t>REFORMA I AMPLIACIO CAMP FUTBOL ATRIUM</t>
  </si>
  <si>
    <t>21030/42500/62302</t>
  </si>
  <si>
    <t>INVERSIONS EFICIÈNCIA ENERGÈTICA</t>
  </si>
  <si>
    <t>FAI25002</t>
  </si>
  <si>
    <t>21030/42500/62303</t>
  </si>
  <si>
    <t>LOT1: FOTOVOLTAIQUES CF T.ROJA + PL. CONSTITUCIÓ + EB PINEDA</t>
  </si>
  <si>
    <t>21030/42500/62304</t>
  </si>
  <si>
    <t>LOT3: FOTOVOLTAIQUES PARC DE LA MARINA</t>
  </si>
  <si>
    <t>21030/42500/62305</t>
  </si>
  <si>
    <t>LOT5: FOTOVOLTAIQUES ESCOLES MONTSERRATINA + M. MATA</t>
  </si>
  <si>
    <t>21030/42500/62306</t>
  </si>
  <si>
    <t>LOT6 FOTOVOLTAIQUES CEMENTIRI + 13 ROSES + ESCOLA A. TARGA</t>
  </si>
  <si>
    <t>FAI24001</t>
  </si>
  <si>
    <t>21030/92000/62500</t>
  </si>
  <si>
    <t>SALA DE PLENS TORRE MODOLELL</t>
  </si>
  <si>
    <t>21030/93300/62200</t>
  </si>
  <si>
    <t>ADEQUACIO ESPAIS PER SERVEIS MPALS.</t>
  </si>
  <si>
    <t>22010/17200/61900</t>
  </si>
  <si>
    <t>INVERSIÓ REPOSICIÓ MEDI AMBIENT</t>
  </si>
  <si>
    <t>22010/17200/62300</t>
  </si>
  <si>
    <t>MAQUIN. I INSTAL. MEDI AMBIENT</t>
  </si>
  <si>
    <t>22010/17900/62500</t>
  </si>
  <si>
    <t>ALTRES INVERSIONS MEDI AMBIENT</t>
  </si>
  <si>
    <t>23000/43300/62600</t>
  </si>
  <si>
    <t>INVERSIO ELECTRONICA SERVEI EMPRESA</t>
  </si>
  <si>
    <t>30120/34100/62500</t>
  </si>
  <si>
    <t>INVERSIÓ MATERIAL ESPORTIU</t>
  </si>
  <si>
    <t>FAI25003</t>
  </si>
  <si>
    <t>30120/34200/63200</t>
  </si>
  <si>
    <t>INVERSIONS DE REPOSICIÓ EN EQUIPAMENTS ESPORTIUS</t>
  </si>
  <si>
    <t>30210/23100/62300</t>
  </si>
  <si>
    <t>INVERSIÓ MATERIAL SERVEIS SOCIALS</t>
  </si>
  <si>
    <t>30300/13200/62300</t>
  </si>
  <si>
    <t>INVERSIONS SEGURETAT I CONVIVÈNCIA</t>
  </si>
  <si>
    <t>31000/15300/62300</t>
  </si>
  <si>
    <t>MAQUIN. I INSTAL.ESPAI PUBLIC</t>
  </si>
  <si>
    <t>31000/15300/62521</t>
  </si>
  <si>
    <t>MOBILIARI URBÀ ESPAI PÚBLIC</t>
  </si>
  <si>
    <t>31010/17100/60900</t>
  </si>
  <si>
    <t>MILLORA D'ESPAIS PUBLICS</t>
  </si>
  <si>
    <t>31010/17100/62521</t>
  </si>
  <si>
    <t>INVERSIO JOCS INFANTILS</t>
  </si>
  <si>
    <t>31014/13400/60900</t>
  </si>
  <si>
    <t>INVERSIÓ INFRAESTRUCTURA MOBILITAT</t>
  </si>
  <si>
    <t>FAI26002</t>
  </si>
  <si>
    <t>31020/16210/62400</t>
  </si>
  <si>
    <t>VEHICLES RECOLLIDA RESIDUS I NETEJA VIÀRIA</t>
  </si>
  <si>
    <t>31020/16210/62500</t>
  </si>
  <si>
    <t>ADQUIS. CONTENIDORS RECOLLIDA RESIDUS</t>
  </si>
  <si>
    <t>31023/16500/61900</t>
  </si>
  <si>
    <t>INVERSIÓ ENLLUMENAT PÚBLIC</t>
  </si>
  <si>
    <t>31023/93300/63300</t>
  </si>
  <si>
    <t>INSTAL.LACIONS CLIMA D'EDIFICIS</t>
  </si>
  <si>
    <t>31025/17100/61900</t>
  </si>
  <si>
    <t>SUBMINIST. I PLANTACIÓ ARBRAT</t>
  </si>
  <si>
    <t>Total capítol 6 INVERSIONS</t>
  </si>
  <si>
    <t>11000/32600/78000</t>
  </si>
  <si>
    <t>FCV: MILLORA XARXA INNOVACIÓ EDUCATIVA</t>
  </si>
  <si>
    <t>FAI26001</t>
  </si>
  <si>
    <t>21000/15100/74002</t>
  </si>
  <si>
    <t>VIMED SERVEIS CONSORCI DELTA BCN</t>
  </si>
  <si>
    <t>21000/15101/74003</t>
  </si>
  <si>
    <t>VIMED GESTIÓ OBRES</t>
  </si>
  <si>
    <t>21000/92000/72000</t>
  </si>
  <si>
    <t>TRANSF. DE CAPITAL A L'ADMÓ. DE L'ESTAT</t>
  </si>
  <si>
    <t>21020/13401/76400</t>
  </si>
  <si>
    <t>DIBA Carril Bici St. Climent BV-2003</t>
  </si>
  <si>
    <t>30130/32630/78001</t>
  </si>
  <si>
    <t>SUBVENCIÓ CENTRES ESCOLARS i AMPAS</t>
  </si>
  <si>
    <t>30200/31200/76700</t>
  </si>
  <si>
    <t>CONSORCI SOCIOSANITARI VILADECANS CSSV</t>
  </si>
  <si>
    <t>Total capítol 7 TRANSF. CAPITAL</t>
  </si>
  <si>
    <t>Total inversions PAIF 2026</t>
  </si>
  <si>
    <t>15080/91326</t>
  </si>
  <si>
    <t>21000/79100</t>
  </si>
  <si>
    <t>21000/76101</t>
  </si>
  <si>
    <t>21000/76103</t>
  </si>
  <si>
    <t>21000/76701</t>
  </si>
  <si>
    <t>octubre 2025</t>
  </si>
  <si>
    <t>DIBA CARRIL BICI CRTA. SANT CLIMENT BV-2003</t>
  </si>
  <si>
    <t>FAI26004</t>
  </si>
  <si>
    <t>Org</t>
  </si>
  <si>
    <t>Func</t>
  </si>
  <si>
    <t>Eco</t>
  </si>
  <si>
    <t>Codi(rom)</t>
  </si>
  <si>
    <t>CAP</t>
  </si>
  <si>
    <t>Proj25</t>
  </si>
  <si>
    <t>Proj26</t>
  </si>
  <si>
    <t>Rom</t>
  </si>
  <si>
    <t>Codi 2025</t>
  </si>
  <si>
    <t>partida 2025</t>
  </si>
  <si>
    <t>Codi 2026</t>
  </si>
  <si>
    <t>partida 2026</t>
  </si>
  <si>
    <t>Inicial 2025</t>
  </si>
  <si>
    <t>Modif 2025</t>
  </si>
  <si>
    <t>Actual</t>
  </si>
  <si>
    <t>PRESSUP 2026- V2 19/9/</t>
  </si>
  <si>
    <t>V3 1/10/25 amb peticions</t>
  </si>
  <si>
    <t>variació  PR 2026-25</t>
  </si>
  <si>
    <t>Peticions àrees 2026</t>
  </si>
  <si>
    <t>Var. peticions vs V2</t>
  </si>
  <si>
    <r>
      <rPr>
        <b/>
        <u/>
        <sz val="11"/>
        <color rgb="FFFF0000"/>
        <rFont val="Calibri"/>
        <family val="2"/>
      </rPr>
      <t>2026 FINAL</t>
    </r>
    <r>
      <rPr>
        <b/>
        <sz val="11"/>
        <color rgb="FFFF0000"/>
        <rFont val="Calibri"/>
        <family val="2"/>
      </rPr>
      <t xml:space="preserve"> acceptat 8/10/25</t>
    </r>
  </si>
  <si>
    <t>P1 (prioritat 1)</t>
  </si>
  <si>
    <t>P2</t>
  </si>
  <si>
    <t>P3 REBUTJAT</t>
  </si>
  <si>
    <t>Check</t>
  </si>
  <si>
    <t>Notes G.EC PR2026</t>
  </si>
  <si>
    <t>FUTs 26  a 17/10</t>
  </si>
  <si>
    <t>Saldo credit inicial - futs</t>
  </si>
  <si>
    <t>Var. PR 2025-24. Consolida PR26?</t>
  </si>
  <si>
    <t>FEDER 2021-27 EDIL PAI Viladecans</t>
  </si>
  <si>
    <t>suma</t>
  </si>
  <si>
    <t>Inc. Rom.</t>
  </si>
  <si>
    <t>RC Pdt. + ND</t>
  </si>
  <si>
    <t>A</t>
  </si>
  <si>
    <t>A pendent</t>
  </si>
  <si>
    <t>D</t>
  </si>
  <si>
    <t>D pendent</t>
  </si>
  <si>
    <t>O</t>
  </si>
  <si>
    <t>O pendent</t>
  </si>
  <si>
    <t>P</t>
  </si>
  <si>
    <t>P pendent</t>
  </si>
  <si>
    <t>RP</t>
  </si>
  <si>
    <t>Reintegraments</t>
  </si>
  <si>
    <t>Saldo</t>
  </si>
  <si>
    <t>Romanent</t>
  </si>
  <si>
    <t>%</t>
  </si>
  <si>
    <t>%Ds/Cr</t>
  </si>
  <si>
    <t>%O /Cr</t>
  </si>
  <si>
    <t>%RPs/O</t>
  </si>
  <si>
    <t>veure desglos "Sis inf26"</t>
  </si>
  <si>
    <t>FAI24002</t>
  </si>
  <si>
    <t>2024</t>
  </si>
  <si>
    <t>FAC23016</t>
  </si>
  <si>
    <t>2023</t>
  </si>
  <si>
    <t>11400/17200/61900</t>
  </si>
  <si>
    <t>PLANS URBAN MOBILITY ACTIONS (PUMA) - URBACT</t>
  </si>
  <si>
    <t>FAC23015</t>
  </si>
  <si>
    <t>11400/92500/62600</t>
  </si>
  <si>
    <t>NEXTGEN YOUTH NETWORK-URBACT</t>
  </si>
  <si>
    <t>15000/92000/68200</t>
  </si>
  <si>
    <t>RT INVERSIONS BÉNS PATRIMONIALS</t>
  </si>
  <si>
    <t>FAI22012_M</t>
  </si>
  <si>
    <t>2022</t>
  </si>
  <si>
    <t>15030/17200/62604</t>
  </si>
  <si>
    <t>MRR ZBETDT: DIGITALITZACIÓ TRANSPORT</t>
  </si>
  <si>
    <t>FAC22019_M</t>
  </si>
  <si>
    <t>15031/92040/62600</t>
  </si>
  <si>
    <t>MRR COMERÇ - S.I. EQUIPS PROCÈS INFORMACIÓ</t>
  </si>
  <si>
    <t>4 motos poli (60m) + 1 carretilla brigada (36m</t>
  </si>
  <si>
    <t>anual recurrent</t>
  </si>
  <si>
    <t>FAI23009_M</t>
  </si>
  <si>
    <t>15130/13401/62600</t>
  </si>
  <si>
    <t>MRR ZBE2 EQUIPS DIGITALITZACIÓ TRANSPORT</t>
  </si>
  <si>
    <t>20202/92040/62600</t>
  </si>
  <si>
    <t>MRR COMERÇ - EQUIPS PROCÈS INFORMACIÓ</t>
  </si>
  <si>
    <t>20202/93300/63201</t>
  </si>
  <si>
    <t>MRR COMERÇ - REHABILITACIÓ EDIFICIS</t>
  </si>
  <si>
    <t>FAI19011</t>
  </si>
  <si>
    <t>2020</t>
  </si>
  <si>
    <t>21000/15301/61900</t>
  </si>
  <si>
    <t>CARRER S.ALLENDE (MONTSERRATINA)</t>
  </si>
  <si>
    <t>Claveg.Poblat Roca F1: plaça isaac albeniz 2026-27</t>
  </si>
  <si>
    <t>E.Serra</t>
  </si>
  <si>
    <t>millora inundacions carrer llobatona (clavegueram)</t>
  </si>
  <si>
    <t>esperem a fer amb contracte agbar, inversions</t>
  </si>
  <si>
    <t>21000/17100/61900</t>
  </si>
  <si>
    <t>aigues no potables. Ca n'alemany. Reparació diposit pou</t>
  </si>
  <si>
    <t>FAI24004</t>
  </si>
  <si>
    <t>FAI24011</t>
  </si>
  <si>
    <t>INVERSIONS MILLORA XARXA AIGUA NO POTABLE - DIBA</t>
  </si>
  <si>
    <t>21000/92000/63200</t>
  </si>
  <si>
    <t>PATRIMONI MUNICIPAL DEL SÒL</t>
  </si>
  <si>
    <t>FAI25001</t>
  </si>
  <si>
    <t>Vimed: 2,5%+deficit</t>
  </si>
  <si>
    <t>21000/15102/74002</t>
  </si>
  <si>
    <t>VIMED: C.P. ASSISTENCIA TECNICA</t>
  </si>
  <si>
    <t>Vimed: 2,5%+ 140m deficit+ 95m serv tecnics</t>
  </si>
  <si>
    <t>21000/16100/76400</t>
  </si>
  <si>
    <t>MILLORA XARXA ABASTAMENT D'AIGUA POTABLE - DIBA</t>
  </si>
  <si>
    <t>21000/34200/76400</t>
  </si>
  <si>
    <t>AMB PISTES ESPORTIVES CAN SELLARES</t>
  </si>
  <si>
    <t>FAI23010_M</t>
  </si>
  <si>
    <t>21010/15101/60900</t>
  </si>
  <si>
    <t>MRR OBRES REURBAN. EIX VERD PLA 3-30-300</t>
  </si>
  <si>
    <t>21010/15300/60900</t>
  </si>
  <si>
    <t>INVERSIONS NOVES EN INFRAESTRUCTURES</t>
  </si>
  <si>
    <t>futs26</t>
  </si>
  <si>
    <t>FAI23001</t>
  </si>
  <si>
    <t>FAI22001</t>
  </si>
  <si>
    <t>21010/17110/76400</t>
  </si>
  <si>
    <t>AMB: MILLORA ACCESOS PLATJES F.2 (PSG)</t>
  </si>
  <si>
    <t>NOVA PARTIDA 2026</t>
  </si>
  <si>
    <t>28/2023/C00014 conveni DIBA. Executa DIBA i ajunt paga l'aport mpal a la liquid.obra</t>
  </si>
  <si>
    <t>FAI19016</t>
  </si>
  <si>
    <t>2019</t>
  </si>
  <si>
    <t>21020/15100/60900</t>
  </si>
  <si>
    <t>(P.MPAL.SoL) EIXAMPLE CENTRE S.BARONÉ</t>
  </si>
  <si>
    <t>mantenir partida inicial</t>
  </si>
  <si>
    <t>FAI21011</t>
  </si>
  <si>
    <t>21020/15100/61900</t>
  </si>
  <si>
    <t>URB. RAMBLA MODOLELL. F.1</t>
  </si>
  <si>
    <t>FAI24003</t>
  </si>
  <si>
    <t>21020/15104/61900</t>
  </si>
  <si>
    <t>RAMBLA MODOLELL FASE 2</t>
  </si>
  <si>
    <t>Revisat. No cal dotar fut26</t>
  </si>
  <si>
    <t>fase1 rambla. Modificar proteccions vegetacions</t>
  </si>
  <si>
    <t>FAI24008</t>
  </si>
  <si>
    <t>21020/15300/61903</t>
  </si>
  <si>
    <t>MARGE EST PARC CAN XIC (A.CLAVÉ)</t>
  </si>
  <si>
    <t>FAI19014</t>
  </si>
  <si>
    <t>2018</t>
  </si>
  <si>
    <t>21020/34200/62100</t>
  </si>
  <si>
    <t>ADQUISICIO DE TERRENYS (Can Ginestar)</t>
  </si>
  <si>
    <t>21020/15100/74002</t>
  </si>
  <si>
    <t>VIMED: GESTIÓ RAMBLA MODOLELL</t>
  </si>
  <si>
    <t>FAI17028</t>
  </si>
  <si>
    <t>21030/15100/60900</t>
  </si>
  <si>
    <t>MILLORA BARRI ALBARROSA</t>
  </si>
  <si>
    <t>21030/15310/61900</t>
  </si>
  <si>
    <t>PACIFICACIÓ ENTORN ESCOLES (Marta Mata)</t>
  </si>
  <si>
    <t>¿cal dotar al 2026?</t>
  </si>
  <si>
    <t>PSA_AMB al 21</t>
  </si>
  <si>
    <t>EXEC. SUBSIDIARIA SIVIS- PL 13 ROSES</t>
  </si>
  <si>
    <t>21020/15100/76400</t>
  </si>
  <si>
    <t>AMB: REFORMA PLAÇA 13 ROSES (PSA)</t>
  </si>
  <si>
    <t>NO CAL DOTAR. INCORPORAREM CREDIT DEL 2025. aport.mpal 2026. Executa AMB amb PSA. Proposta incorporar el credit 25 al 26, si interven dona l'ok</t>
  </si>
  <si>
    <t>per licitar arranjament solar vehicles falten320m. La resta està dotat al 2025</t>
  </si>
  <si>
    <t>FAI20007</t>
  </si>
  <si>
    <t>2021</t>
  </si>
  <si>
    <t>21030/42500/62301</t>
  </si>
  <si>
    <t>FOTOVOLTAIQUES- FEDER IDAE</t>
  </si>
  <si>
    <t>FAI23002</t>
  </si>
  <si>
    <t>RCfut26 aport mpal subv Diba</t>
  </si>
  <si>
    <t>25% licitació 98.300 Afut26. Urgent adjudicar al gener 26. incorporació 75% finançat amb prestec, i cal dotar per urgencia l'altre 25% a PR26</t>
  </si>
  <si>
    <t>FAI23008_M</t>
  </si>
  <si>
    <t>21030/32600/63200</t>
  </si>
  <si>
    <t>MRR INVERSIO ESCOLA A.ROCA (E.O.I)</t>
  </si>
  <si>
    <t>GALISTEO REVISA I NO HI HA DESVIACIO</t>
  </si>
  <si>
    <t>Revisat. Cal dotar els fut26. Pendent baixa adjudicació per imprevistos</t>
  </si>
  <si>
    <t>FAI19015_M</t>
  </si>
  <si>
    <t>21030/92000/63200</t>
  </si>
  <si>
    <t>MRR REHABILITACIO TORRE MODOLELL</t>
  </si>
  <si>
    <t>FAI22002</t>
  </si>
  <si>
    <t>21030/34200/63206</t>
  </si>
  <si>
    <t>PISCINA EXTERIOR LLEVANT (red proj)</t>
  </si>
  <si>
    <t>21030/34200/63300</t>
  </si>
  <si>
    <t>ATRIUM ESPORTS INSTAL·LACIONS</t>
  </si>
  <si>
    <t>21031/93320/63200</t>
  </si>
  <si>
    <t>JLDuran: 161m€ 5 banys A.Targa + CM 3,6m</t>
  </si>
  <si>
    <t>50m€+ 100m€ 2025 i 2026 per banys i toldos ombra patis</t>
  </si>
  <si>
    <t>PLA DE XOC ESCOLES BRESSOL (humitats EB La Marina)</t>
  </si>
  <si>
    <t>humitats La Marina 26-27</t>
  </si>
  <si>
    <t>FAI21005</t>
  </si>
  <si>
    <t>21031/43120/63201</t>
  </si>
  <si>
    <t>MRR COMERÇ - REHABILITACIÓ MERCAT MUNICIPAL</t>
  </si>
  <si>
    <t>21031/93300/63201</t>
  </si>
  <si>
    <t>JLDuran: mantenir import25. No definides actuacions</t>
  </si>
  <si>
    <t>21011/93300/63200</t>
  </si>
  <si>
    <t>mantenir 70m anuals</t>
  </si>
  <si>
    <t>coberta torre roja</t>
  </si>
  <si>
    <t>millora mercat mpal pl.europa, parcialment finançat DIBA  (l'aportació es de 2025)</t>
  </si>
  <si>
    <t>163/2025/C00158 subv diba25-26. Confort termic mercat mpal. Aport mpal 2025 contra partida cap6 rehab edificis</t>
  </si>
  <si>
    <t>adequacio local ponent de vimed per atencio veins llevant</t>
  </si>
  <si>
    <t>medi ambient: mòdul parc c.guardiola, aula ambiental</t>
  </si>
  <si>
    <t>21031/93300/63300</t>
  </si>
  <si>
    <t>NOVA 2026</t>
  </si>
  <si>
    <t>medi ambient: adquirir mòdul parc c.guardiola, aula ambiental</t>
  </si>
  <si>
    <t>FAI24007_M</t>
  </si>
  <si>
    <t>23001/43201/62521</t>
  </si>
  <si>
    <t>MRR INVERSIÓ PSTD COSTA BARCELONA DELTA LLOBREGAT</t>
  </si>
  <si>
    <t>30000/13401/60900</t>
  </si>
  <si>
    <t>MRR ZBE2 VIQUAL ESTACIONAMENT REGULAT</t>
  </si>
  <si>
    <t>30000/13306/60903</t>
  </si>
  <si>
    <t>MRR ZBETDT: ESTACIONAMENT REGULAT VIQUAL</t>
  </si>
  <si>
    <t>30000/17200/60904</t>
  </si>
  <si>
    <t>MRR ZBETDT: ZONES BAIXES EMISSIONS VIQUAL</t>
  </si>
  <si>
    <t>30000/13300/74000</t>
  </si>
  <si>
    <t>RT VIQUAL: L4 MOBILITAT. ADQUISICIÓ GRUA</t>
  </si>
  <si>
    <t>30110/33300/62500</t>
  </si>
  <si>
    <t>RT INVERSIÓ EQUIP. CULTURALS I MUSEU</t>
  </si>
  <si>
    <t>30110/33300/62501</t>
  </si>
  <si>
    <t>PROJECTE MUSEOGRAFIC C.AMAT</t>
  </si>
  <si>
    <t>30121/34100/62500</t>
  </si>
  <si>
    <t>30121/34200/63200</t>
  </si>
  <si>
    <t>aport.mpal 2026. 219/2025/C00158 acceptada subv DIBA</t>
  </si>
  <si>
    <t>import modificat al 2025</t>
  </si>
  <si>
    <t>30130/32300/78001</t>
  </si>
  <si>
    <t>SUBVENCIONS ESCOLES SMART CLASSROOM</t>
  </si>
  <si>
    <t>Elisabet. No tenen la valoració individual per escola fins el 2026</t>
  </si>
  <si>
    <t>el servei demana 3.500</t>
  </si>
  <si>
    <t>31000/13400/60900</t>
  </si>
  <si>
    <t>inclou 200m camí del mar. CANVI ORGANIC A 31014 unitat mobilitat</t>
  </si>
  <si>
    <t>31000/13401/60900</t>
  </si>
  <si>
    <t>MRR ZBE2 INVERSIÓ INFRAESTR. MOBILITAT</t>
  </si>
  <si>
    <t>31000/13306/60902</t>
  </si>
  <si>
    <t>MRR ZBETDT: ACCESSIBILITAT I CALMAT TRANSIT</t>
  </si>
  <si>
    <t>demanen senyals, papereres brigada</t>
  </si>
  <si>
    <t>NOVA 2026. EP vol adquirir "carretilla elevadora" (toro) per a la brigada mpal</t>
  </si>
  <si>
    <t>31000/13401/76400</t>
  </si>
  <si>
    <t>MRR ZBE2 AMB CONVENI BICIBOX I ACCESIBILITAT</t>
  </si>
  <si>
    <t>nomes font de t.ballester+altres act.petites</t>
  </si>
  <si>
    <t>font de t.ballester+altres act.petites</t>
  </si>
  <si>
    <t>31012/17101/60900</t>
  </si>
  <si>
    <t>MRR INVERSIO RENATURALIT. E.PUBLIC PLA 3-30-300</t>
  </si>
  <si>
    <t>31012/17100/61900</t>
  </si>
  <si>
    <t>FAI23004</t>
  </si>
  <si>
    <t>31012/17100/62521</t>
  </si>
  <si>
    <t>31025/17100/62521</t>
  </si>
  <si>
    <t>CANVI ORGANIC A 31010</t>
  </si>
  <si>
    <t>31020/15300/61900</t>
  </si>
  <si>
    <t>ARRANJAMENT DE TERRENYS</t>
  </si>
  <si>
    <t>FAI24005</t>
  </si>
  <si>
    <t>36,3m seguretat en 2 punts +30m  subst lluminaries eficiencia</t>
  </si>
  <si>
    <t>subst. Maquines aire acond T Roja</t>
  </si>
  <si>
    <t>NOVA PARTIDA 26</t>
  </si>
  <si>
    <r>
      <rPr>
        <b/>
        <sz val="9"/>
        <color rgb="FFFF0000"/>
        <rFont val="Arial"/>
        <family val="2"/>
      </rPr>
      <t>NO EXISTEIX.</t>
    </r>
    <r>
      <rPr>
        <sz val="9"/>
        <color rgb="FFFF0000"/>
        <rFont val="Arial"/>
        <family val="2"/>
      </rPr>
      <t xml:space="preserve"> nova partida en previsió retorn subv PIREP T MODOLELL i altres </t>
    </r>
  </si>
  <si>
    <t>Cap 6</t>
  </si>
  <si>
    <t>Cap 7</t>
  </si>
  <si>
    <t>ENTRAT TOT AL BUC</t>
  </si>
  <si>
    <t>vimed consorci delta</t>
  </si>
  <si>
    <t>Vehicles urbaser</t>
  </si>
  <si>
    <t>prestec 2026: 1,6M</t>
  </si>
  <si>
    <t>inversions escoles</t>
  </si>
  <si>
    <t>prestec 2026: 100m</t>
  </si>
  <si>
    <t>P1+2</t>
  </si>
  <si>
    <t>incr vs juliol</t>
  </si>
  <si>
    <t>peticions 2025 no tramitades per falta d'info</t>
  </si>
  <si>
    <t>reconfiguració espais C.Calderon: obres i mobiliari</t>
  </si>
  <si>
    <t>C.Ferreiro. Pendent info, calendari i gestió amb P.T i compres. No es va tramitar la petició amb RT24</t>
  </si>
  <si>
    <t>millora instal.esportives</t>
  </si>
  <si>
    <t>Elisabet. Manca d'info per tramitar amb RT2024</t>
  </si>
  <si>
    <t>VIQUAL inclou "lloguer local Podium PENDENT OBRES PREVIES"</t>
  </si>
  <si>
    <t>ES FARAN LES OBRES ALS LOCALS PODIUM?  CALENDARI I VALORACIÓ?</t>
  </si>
  <si>
    <t>Mod credit 2025 per retornar avançat subv MITMA T.Modolell</t>
  </si>
  <si>
    <t>8/10/25 PT confirma que no cal. No hi haurà interessos en cas que finalment calgui retornar res de T.Modolell</t>
  </si>
  <si>
    <t>PETICIO ENRIC SERRA</t>
  </si>
  <si>
    <t>projecte en redacció</t>
  </si>
  <si>
    <t>clavegueram Poblat Roca  (3 Fases):</t>
  </si>
  <si>
    <t>projecte en redacció. 3 fases. Valoració entre 3-4M. Es podria fer una primera fase 1,5 anys.</t>
  </si>
  <si>
    <t>1a fase</t>
  </si>
  <si>
    <t>plaça isaac albeniz</t>
  </si>
  <si>
    <t>2a fase</t>
  </si>
  <si>
    <t>plaça tete montoliu</t>
  </si>
  <si>
    <t>3a fase</t>
  </si>
  <si>
    <t>perimetral</t>
  </si>
  <si>
    <t>millora mercat mpal pl.europa, parcialment finançat DIBA</t>
  </si>
  <si>
    <t>APORTACIÓ MPAL</t>
  </si>
  <si>
    <t>empresa i ocup</t>
  </si>
  <si>
    <t>revisar si tenim la subv</t>
  </si>
  <si>
    <t>pla xoc escoles bressol</t>
  </si>
  <si>
    <t>la marina</t>
  </si>
  <si>
    <t>humitats</t>
  </si>
  <si>
    <t>potser entraria al contracte cap 2 mant clavegueram</t>
  </si>
  <si>
    <t>(treire en la fase2 el cost de les reixes galliners i canviar-ho per altra solucio)</t>
  </si>
  <si>
    <t>PASCUAL JIMÉNEZ a 29/09/2025:</t>
  </si>
  <si>
    <r>
      <t xml:space="preserve">La previsión para 2.026 más que duplicará la asignación inicial para la partida de adquisición de vehículos, es decir que se necesitarán aproximadamente </t>
    </r>
    <r>
      <rPr>
        <b/>
        <i/>
        <sz val="11"/>
        <color rgb="FFFF0000"/>
        <rFont val="Calibri"/>
        <family val="2"/>
      </rPr>
      <t>140.000,00 €.</t>
    </r>
  </si>
  <si>
    <t>Esta cantidad se basa en:</t>
  </si>
  <si>
    <t>Sustitución de 4 motocicletas de carrocería escúter para la Policía Local  con motorización eléctrica a 15.000,00 unidad ya transformada que montan 60.000,00 €.</t>
  </si>
  <si>
    <t>CONSULTAR SI 2025 ADJUDICACIÓ</t>
  </si>
  <si>
    <t>Nueva dotación de una furgoneta mixta de cinco plazas con motorización híbrida eléctrica/gasolina para Protección Civil por 40.000,00 €</t>
  </si>
  <si>
    <t>Nueva dotación de una carretilla elevadora 4X4 matriculada para la Brigada con motorización diésel (porque no hay otra opción en el mercado) por 36.000,00 €.</t>
  </si>
  <si>
    <t>revisió escenari amb E Serra</t>
  </si>
  <si>
    <t>EIXAMPLE CENTRE- Cr.Nord</t>
  </si>
  <si>
    <t>moure al 2027 per calendari execució. Esperar a EDIL per si es pot incloure a PGI si surt Rambla</t>
  </si>
  <si>
    <t>BV-2003. Travessa urbana - AEP</t>
  </si>
  <si>
    <t>DIBA redactat memoria PEC. Demanar import a Chaves. 2027 i 28 execució. Previsió conveni DIBA al 27</t>
  </si>
  <si>
    <t>Pressupost 2025</t>
  </si>
  <si>
    <t>PLA ACTUACIÓ INVERSIONS I FINANÇAMENT (PAIF) 2025</t>
  </si>
  <si>
    <t>FINANÇAMENT PAIF 2025</t>
  </si>
  <si>
    <t>Descripció 2025</t>
  </si>
  <si>
    <t>Crèdit inicial 2025</t>
  </si>
  <si>
    <t>Prèstec 2025</t>
  </si>
  <si>
    <t>Diba conveni Rambla F2</t>
  </si>
  <si>
    <t>TOTAL PAIF 2025</t>
  </si>
  <si>
    <t>PACIFICACIÓ ENTORN ESCOLES</t>
  </si>
  <si>
    <t>30101/34100/62500</t>
  </si>
  <si>
    <t>30220/32630/78001</t>
  </si>
  <si>
    <t>Total inversions PAIF 2025</t>
  </si>
  <si>
    <t>15080/91325</t>
  </si>
  <si>
    <t>21000/76110</t>
  </si>
  <si>
    <t>novembre 2024</t>
  </si>
  <si>
    <t>Pressupost 2024</t>
  </si>
  <si>
    <t>PAIF 2024</t>
  </si>
  <si>
    <t>FINANÇAMENT PAIF 2024</t>
  </si>
  <si>
    <t>Codi 2024</t>
  </si>
  <si>
    <t>Descripció 2024</t>
  </si>
  <si>
    <t>Crèdit inicial 2024</t>
  </si>
  <si>
    <t>Prèstec 24</t>
  </si>
  <si>
    <t>Diba conveni Rambla F1+2</t>
  </si>
  <si>
    <t>AMB PACTE 2024-27</t>
  </si>
  <si>
    <t>TOTAL PAIF 2024</t>
  </si>
  <si>
    <t>MILLORA INFRAEST.CLAVEGUERAM</t>
  </si>
  <si>
    <t>MAQUIN.I INSTAL.LAC. MEDI AMBIENT</t>
  </si>
  <si>
    <t>FAI24006</t>
  </si>
  <si>
    <t>AMB- PISTES ESPORTIVES CAN SELLARES</t>
  </si>
  <si>
    <t>Total inversions PAIF 2024</t>
  </si>
  <si>
    <t>novembre 2023</t>
  </si>
  <si>
    <t>15080/91324</t>
  </si>
  <si>
    <t>21000/76400</t>
  </si>
  <si>
    <t>Pressupost 2023</t>
  </si>
  <si>
    <t>PAIF 2023</t>
  </si>
  <si>
    <t>FINANÇAMENT PAIF 2023</t>
  </si>
  <si>
    <t>Codi 2023</t>
  </si>
  <si>
    <t>Descripció 2023</t>
  </si>
  <si>
    <t>Crèdit inicial 2023</t>
  </si>
  <si>
    <t>Prèstec 2023</t>
  </si>
  <si>
    <t>Diba PGI L.1</t>
  </si>
  <si>
    <t>Diba Resil 2.0</t>
  </si>
  <si>
    <t>MRR MDI</t>
  </si>
  <si>
    <t>TOTAL PAIF 2023</t>
  </si>
  <si>
    <t>comprov</t>
  </si>
  <si>
    <t>Modificació</t>
  </si>
  <si>
    <t>Vinculació / Projecte</t>
  </si>
  <si>
    <t>15130/92040/62600</t>
  </si>
  <si>
    <t>15030*/92040*/62600*</t>
  </si>
  <si>
    <t>15060*/13200*/62400*</t>
  </si>
  <si>
    <t>15060*/92000*/62500*</t>
  </si>
  <si>
    <t>20200/43300/62600</t>
  </si>
  <si>
    <t>20200*/43300*/62600*</t>
  </si>
  <si>
    <t>21010*/15100*/61900*</t>
  </si>
  <si>
    <t>21020*/15100*/61900*</t>
  </si>
  <si>
    <t>21030*/15100*/61901*</t>
  </si>
  <si>
    <t>FAI20002</t>
  </si>
  <si>
    <t>21030/32300/62200</t>
  </si>
  <si>
    <t>PISTA COBERTA PATI ESCOLA GARROFER</t>
  </si>
  <si>
    <t>21030*/32300*/62200*</t>
  </si>
  <si>
    <t>21030*/42500*/62302*</t>
  </si>
  <si>
    <t>21030/93300/63201</t>
  </si>
  <si>
    <t>REHABILITACIÓ EDIFICIS MUNICIPALS</t>
  </si>
  <si>
    <t>21030*/93300*/63201*</t>
  </si>
  <si>
    <t>22010*/17200*/61900*</t>
  </si>
  <si>
    <t>22010*/17200*/62300*</t>
  </si>
  <si>
    <t>30101*/34100*/62500*</t>
  </si>
  <si>
    <t>30210*/23100*/62300*</t>
  </si>
  <si>
    <t>30300*/13200*/62300*</t>
  </si>
  <si>
    <t>31000*/13400*/60900*</t>
  </si>
  <si>
    <t>31000/13400/60901</t>
  </si>
  <si>
    <t>NG INVERS INFRAESTR. MOBILITAT</t>
  </si>
  <si>
    <t>31000*/15300*/62521*</t>
  </si>
  <si>
    <t>31010*/17100*/60900*</t>
  </si>
  <si>
    <t>FAI23003</t>
  </si>
  <si>
    <t>31010/15300/60900</t>
  </si>
  <si>
    <t>ASFALTAT DE CARRERS</t>
  </si>
  <si>
    <t>31010*/15300*/60900*</t>
  </si>
  <si>
    <t>31010/16000/61900</t>
  </si>
  <si>
    <t>31010*/16000*/61900*</t>
  </si>
  <si>
    <t>31012*/17100*/61900*</t>
  </si>
  <si>
    <t>31012*/17100*/62521*</t>
  </si>
  <si>
    <t>FAI23005</t>
  </si>
  <si>
    <t>31020*/16210*/62400*</t>
  </si>
  <si>
    <t>31020*/16210*/62500*</t>
  </si>
  <si>
    <t>31021/93320/63200</t>
  </si>
  <si>
    <t>31021*/93320*/63200*</t>
  </si>
  <si>
    <t>31021/93300/63201</t>
  </si>
  <si>
    <t>MILLORA EDIFICIS MUNICIPALS</t>
  </si>
  <si>
    <t>31021*/93300*/63*</t>
  </si>
  <si>
    <t>31021/93300/63300</t>
  </si>
  <si>
    <t>FAI22008</t>
  </si>
  <si>
    <t>31023*/93300*/63300*</t>
  </si>
  <si>
    <t>FAI21006</t>
  </si>
  <si>
    <t>31023*/16500*/61900*</t>
  </si>
  <si>
    <t>Total capítol 7 TRANSF.CAPITAL</t>
  </si>
  <si>
    <t>Total inversions PAIF 2023</t>
  </si>
  <si>
    <t>15080/91323</t>
  </si>
  <si>
    <t>21020/76103</t>
  </si>
  <si>
    <t>15000/76105</t>
  </si>
  <si>
    <t>15030/72025</t>
  </si>
  <si>
    <t>novembre 2022</t>
  </si>
  <si>
    <t>21000/15100/62200(2018)</t>
  </si>
  <si>
    <t>21020/34200/62100(2018)</t>
  </si>
  <si>
    <t>21030/15100/61901(2018)</t>
  </si>
  <si>
    <t>21030/92000/63200(2018)</t>
  </si>
  <si>
    <t>31000/15300/60900(2018)</t>
  </si>
  <si>
    <t>31020/15300/61900(2018)</t>
  </si>
  <si>
    <t>21010/32300/63201(2019)</t>
  </si>
  <si>
    <t>21020/15100/60900(2019)</t>
  </si>
  <si>
    <t>21020/15100/61900(2019)</t>
  </si>
  <si>
    <t>21020/15300/61902(2019)</t>
  </si>
  <si>
    <t>21030/15100/60900(2019)</t>
  </si>
  <si>
    <t>21030/17100/60900(2019)</t>
  </si>
  <si>
    <t>21030/34200/62202(2019)</t>
  </si>
  <si>
    <t>21030/42500/62300(2019)</t>
  </si>
  <si>
    <t>21030/33300/63200(2019)</t>
  </si>
  <si>
    <t>21030/23100/63200(2019)</t>
  </si>
  <si>
    <t>21030/23100/63201(2019)</t>
  </si>
  <si>
    <t>31012/17100/61900(2019)</t>
  </si>
  <si>
    <t>31023/16500/61900(2019)</t>
  </si>
  <si>
    <t>15020/92000/62500(2020)</t>
  </si>
  <si>
    <t>21020/15300/61902(2020)</t>
  </si>
  <si>
    <t>21030/15100/61900(2020)</t>
  </si>
  <si>
    <t>21030/32300/62200(2020)</t>
  </si>
  <si>
    <t>21030/42500/62301(2020)</t>
  </si>
  <si>
    <t>21030/33300/63200(2020)</t>
  </si>
  <si>
    <t>21030/93300/63201(2020)</t>
  </si>
  <si>
    <t>21030/34200/63202(2020)</t>
  </si>
  <si>
    <t>15030/92040/62600(2021)</t>
  </si>
  <si>
    <t>15060/13200/62400(2021)</t>
  </si>
  <si>
    <t>15060/92000/62500(2021)</t>
  </si>
  <si>
    <t>20201/49101/62300(2021)</t>
  </si>
  <si>
    <t>20201/49102/62500(2021)</t>
  </si>
  <si>
    <t>21010/15300/60900(2021)</t>
  </si>
  <si>
    <t>21010/15100/61900(2021)</t>
  </si>
  <si>
    <t>21020/33700/60901(2021)</t>
  </si>
  <si>
    <t>21020/15100/61900(2021)</t>
  </si>
  <si>
    <t>21020/15300/61900(2021)</t>
  </si>
  <si>
    <t>21020/15300/61902(2021)</t>
  </si>
  <si>
    <t>21020/15300/61903(2021)</t>
  </si>
  <si>
    <t>21030/15320/61900(2021)</t>
  </si>
  <si>
    <t>21030/32300/62200(2021)</t>
  </si>
  <si>
    <t>21030/42500/62301(2021)</t>
  </si>
  <si>
    <t>21030*/33210*/63200*</t>
  </si>
  <si>
    <t>21030/33300/63201(2021)</t>
  </si>
  <si>
    <t>21030/93300/63201(2021)</t>
  </si>
  <si>
    <t>21030/93300/63202(2021)</t>
  </si>
  <si>
    <t>21030/34200/63202(2021)</t>
  </si>
  <si>
    <t>31000/13400/60900(2021)</t>
  </si>
  <si>
    <t>31000/15300/62521(2021)</t>
  </si>
  <si>
    <t>31010/15300/60900(2021)</t>
  </si>
  <si>
    <t>31010/17100/60900(2021)</t>
  </si>
  <si>
    <t>31010/16000/61900(2021)</t>
  </si>
  <si>
    <t>31012/17100/61900(2021)</t>
  </si>
  <si>
    <t>31020/16210/62500(2021)</t>
  </si>
  <si>
    <t>31021/93320/63200(2021)</t>
  </si>
  <si>
    <t>31021/93300/63201(2021)</t>
  </si>
  <si>
    <t>31021/93300/63300(2021)</t>
  </si>
  <si>
    <t>31023/16500/61900(2021)</t>
  </si>
  <si>
    <t>31023/93300/63300(2021)</t>
  </si>
  <si>
    <r>
      <t>31014</t>
    </r>
    <r>
      <rPr>
        <sz val="10"/>
        <color rgb="FF000000"/>
        <rFont val="Arial"/>
        <family val="2"/>
      </rPr>
      <t>/13200/62400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</si>
</sst>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0.00\%"/>
  </numFmts>
  <fonts count="81" x14ac:knownFonts="1">
    <font>
      <sz val="11"/>
      <color theme="1"/>
      <name val="Aptos Narrow"/>
      <family val="2"/>
      <scheme val="minor"/>
    </font>
    <font>
      <sz val="10"/>
      <color indexed="64"/>
      <name val="Arial"/>
      <family val="2"/>
    </font>
    <font>
      <sz val="10"/>
      <color indexed="64"/>
      <name val="Aptos Narrow"/>
      <family val="2"/>
      <scheme val="minor"/>
    </font>
    <font>
      <b/>
      <sz val="10"/>
      <color indexed="64"/>
      <name val="Aptos Narrow"/>
      <family val="2"/>
      <scheme val="minor"/>
    </font>
    <font>
      <b/>
      <sz val="16"/>
      <color indexed="64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64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2"/>
      <color indexed="64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8"/>
      <color theme="0" tint="-0.499984740745262"/>
      <name val="Aptos Narrow"/>
      <family val="2"/>
      <scheme val="minor"/>
    </font>
    <font>
      <b/>
      <sz val="10"/>
      <color theme="0" tint="-0.499984740745262"/>
      <name val="Arial"/>
      <family val="2"/>
    </font>
    <font>
      <sz val="10"/>
      <color indexed="64"/>
      <name val="Arial"/>
      <family val="2"/>
    </font>
    <font>
      <b/>
      <sz val="9"/>
      <color indexed="8"/>
      <name val="Arial"/>
      <family val="2"/>
    </font>
    <font>
      <sz val="8"/>
      <color rgb="FFFF0000"/>
      <name val="Aptos Narrow"/>
      <family val="2"/>
      <scheme val="minor"/>
    </font>
    <font>
      <b/>
      <sz val="9"/>
      <color theme="0" tint="-0.49998474074526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theme="0" tint="-0.499984740745262"/>
      <name val="Calibri"/>
      <family val="2"/>
    </font>
    <font>
      <b/>
      <sz val="9"/>
      <color rgb="FFFF0000"/>
      <name val="Calibri"/>
      <family val="2"/>
    </font>
    <font>
      <b/>
      <sz val="10"/>
      <color rgb="FFFF0000"/>
      <name val="Aptos Narrow"/>
      <family val="2"/>
      <scheme val="minor"/>
    </font>
    <font>
      <b/>
      <sz val="10"/>
      <color rgb="FF00B0F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9"/>
      <color indexed="8"/>
      <name val="Arial"/>
      <family val="2"/>
    </font>
    <font>
      <sz val="9"/>
      <color indexed="64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9"/>
      <color theme="0" tint="-0.499984740745262"/>
      <name val="Arial"/>
      <family val="2"/>
    </font>
    <font>
      <sz val="9"/>
      <name val="Arial"/>
      <family val="2"/>
    </font>
    <font>
      <sz val="8.5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color indexed="8"/>
      <name val="Aptos Narrow"/>
      <family val="2"/>
    </font>
    <font>
      <sz val="10"/>
      <color theme="0" tint="-0.499984740745262"/>
      <name val="Aptos Narrow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ptos Narrow"/>
      <family val="2"/>
    </font>
    <font>
      <sz val="9"/>
      <color indexed="8"/>
      <name val="Calibri"/>
      <family val="2"/>
    </font>
    <font>
      <i/>
      <sz val="9"/>
      <color rgb="FFFF0000"/>
      <name val="Arial"/>
      <family val="2"/>
    </font>
    <font>
      <sz val="8.5"/>
      <name val="Arial"/>
      <family val="2"/>
    </font>
    <font>
      <i/>
      <sz val="9"/>
      <color rgb="FF0070C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0"/>
      <color theme="0" tint="-0.499984740745262"/>
      <name val="Aptos Narrow"/>
      <family val="2"/>
      <scheme val="minor"/>
    </font>
    <font>
      <b/>
      <sz val="9"/>
      <color indexed="64"/>
      <name val="Arial"/>
      <family val="2"/>
    </font>
    <font>
      <b/>
      <sz val="10"/>
      <color indexed="64"/>
      <name val="Arial"/>
      <family val="2"/>
    </font>
    <font>
      <b/>
      <sz val="11"/>
      <color indexed="64"/>
      <name val="Arial"/>
      <family val="2"/>
    </font>
    <font>
      <sz val="8.5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11"/>
      <color rgb="FF1F497D"/>
      <name val="Calibri"/>
      <family val="2"/>
    </font>
    <font>
      <b/>
      <i/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sz val="9"/>
      <color rgb="FF00B0F0"/>
      <name val="Arial"/>
      <family val="2"/>
    </font>
    <font>
      <b/>
      <sz val="9"/>
      <color rgb="FF00B0F0"/>
      <name val="Arial"/>
      <family val="2"/>
    </font>
    <font>
      <b/>
      <sz val="11"/>
      <color theme="0" tint="-0.499984740745262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64"/>
      <name val="Aptos Narrow"/>
      <family val="2"/>
      <scheme val="minor"/>
    </font>
    <font>
      <b/>
      <sz val="11"/>
      <color indexed="64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</cellStyleXfs>
  <cellXfs count="448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left" vertical="center"/>
    </xf>
    <xf numFmtId="0" fontId="7" fillId="2" borderId="7" xfId="3" applyNumberFormat="1" applyFont="1" applyFill="1" applyBorder="1" applyAlignment="1" applyProtection="1">
      <alignment horizontal="center" vertical="center" wrapText="1"/>
    </xf>
    <xf numFmtId="0" fontId="7" fillId="3" borderId="4" xfId="2" applyNumberFormat="1" applyFont="1" applyFill="1" applyBorder="1" applyAlignment="1" applyProtection="1">
      <alignment horizontal="center" vertical="center" wrapText="1"/>
    </xf>
    <xf numFmtId="0" fontId="6" fillId="3" borderId="5" xfId="2" applyNumberFormat="1" applyFont="1" applyFill="1" applyBorder="1" applyAlignment="1" applyProtection="1">
      <alignment horizontal="center" vertical="center" wrapText="1"/>
    </xf>
    <xf numFmtId="0" fontId="5" fillId="3" borderId="5" xfId="2" applyNumberFormat="1" applyFont="1" applyFill="1" applyBorder="1" applyAlignment="1" applyProtection="1">
      <alignment horizontal="center" vertical="center" wrapText="1"/>
    </xf>
    <xf numFmtId="4" fontId="8" fillId="3" borderId="8" xfId="4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0" borderId="4" xfId="1" applyFont="1" applyBorder="1" applyAlignment="1">
      <alignment horizontal="left" vertical="center"/>
    </xf>
    <xf numFmtId="4" fontId="10" fillId="0" borderId="5" xfId="1" applyNumberFormat="1" applyFont="1" applyBorder="1" applyAlignment="1">
      <alignment horizontal="left" vertical="center"/>
    </xf>
    <xf numFmtId="4" fontId="11" fillId="0" borderId="6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right" vertical="center"/>
    </xf>
    <xf numFmtId="4" fontId="11" fillId="0" borderId="4" xfId="1" applyNumberFormat="1" applyFont="1" applyBorder="1" applyAlignment="1">
      <alignment horizontal="right" vertical="center"/>
    </xf>
    <xf numFmtId="4" fontId="11" fillId="0" borderId="5" xfId="1" applyNumberFormat="1" applyFont="1" applyBorder="1" applyAlignment="1">
      <alignment horizontal="right" vertical="center"/>
    </xf>
    <xf numFmtId="4" fontId="12" fillId="0" borderId="8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4" fontId="2" fillId="0" borderId="5" xfId="1" applyNumberFormat="1" applyFont="1" applyBorder="1" applyAlignment="1">
      <alignment horizontal="right" vertical="center"/>
    </xf>
    <xf numFmtId="4" fontId="7" fillId="4" borderId="6" xfId="4" applyNumberFormat="1" applyFont="1" applyFill="1" applyBorder="1" applyAlignment="1">
      <alignment vertical="center" wrapText="1"/>
    </xf>
    <xf numFmtId="4" fontId="7" fillId="4" borderId="9" xfId="1" applyNumberFormat="1" applyFont="1" applyFill="1" applyBorder="1" applyAlignment="1">
      <alignment horizontal="right" vertical="center"/>
    </xf>
    <xf numFmtId="4" fontId="7" fillId="4" borderId="4" xfId="1" applyNumberFormat="1" applyFont="1" applyFill="1" applyBorder="1" applyAlignment="1">
      <alignment horizontal="right" vertical="center"/>
    </xf>
    <xf numFmtId="4" fontId="7" fillId="4" borderId="5" xfId="1" applyNumberFormat="1" applyFont="1" applyFill="1" applyBorder="1" applyAlignment="1">
      <alignment horizontal="right" vertical="center"/>
    </xf>
    <xf numFmtId="4" fontId="7" fillId="4" borderId="8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4" fontId="10" fillId="0" borderId="5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4" fontId="13" fillId="4" borderId="12" xfId="4" applyNumberFormat="1" applyFont="1" applyFill="1" applyBorder="1" applyAlignment="1">
      <alignment vertical="center" wrapText="1"/>
    </xf>
    <xf numFmtId="4" fontId="7" fillId="4" borderId="13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4" fontId="14" fillId="0" borderId="0" xfId="1" applyNumberFormat="1" applyFont="1" applyAlignment="1">
      <alignment horizontal="right" vertical="center"/>
    </xf>
    <xf numFmtId="0" fontId="12" fillId="0" borderId="0" xfId="1" quotePrefix="1" applyFont="1" applyAlignment="1">
      <alignment horizontal="right" vertical="center"/>
    </xf>
    <xf numFmtId="4" fontId="15" fillId="0" borderId="0" xfId="1" applyNumberFormat="1" applyFont="1" applyAlignment="1">
      <alignment horizontal="right" vertical="center"/>
    </xf>
    <xf numFmtId="4" fontId="12" fillId="0" borderId="10" xfId="1" applyNumberFormat="1" applyFont="1" applyBorder="1" applyAlignment="1">
      <alignment horizontal="right" vertical="center"/>
    </xf>
    <xf numFmtId="4" fontId="12" fillId="0" borderId="11" xfId="1" applyNumberFormat="1" applyFont="1" applyBorder="1" applyAlignment="1">
      <alignment horizontal="right" vertical="center"/>
    </xf>
    <xf numFmtId="4" fontId="12" fillId="0" borderId="14" xfId="1" applyNumberFormat="1" applyFont="1" applyBorder="1" applyAlignment="1">
      <alignment horizontal="right" vertical="center"/>
    </xf>
    <xf numFmtId="4" fontId="12" fillId="0" borderId="15" xfId="1" applyNumberFormat="1" applyFont="1" applyBorder="1" applyAlignment="1">
      <alignment horizontal="right" vertical="center"/>
    </xf>
    <xf numFmtId="49" fontId="16" fillId="0" borderId="0" xfId="1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0" fontId="1" fillId="0" borderId="0" xfId="5" applyAlignment="1">
      <alignment vertical="center"/>
    </xf>
    <xf numFmtId="4" fontId="4" fillId="2" borderId="20" xfId="1" applyNumberFormat="1" applyFont="1" applyFill="1" applyBorder="1" applyAlignment="1">
      <alignment vertical="center"/>
    </xf>
    <xf numFmtId="4" fontId="4" fillId="2" borderId="19" xfId="1" applyNumberFormat="1" applyFont="1" applyFill="1" applyBorder="1" applyAlignment="1">
      <alignment vertical="center"/>
    </xf>
    <xf numFmtId="4" fontId="4" fillId="2" borderId="22" xfId="1" applyNumberFormat="1" applyFont="1" applyFill="1" applyBorder="1" applyAlignment="1">
      <alignment vertical="center"/>
    </xf>
    <xf numFmtId="4" fontId="4" fillId="2" borderId="21" xfId="1" applyNumberFormat="1" applyFont="1" applyFill="1" applyBorder="1" applyAlignment="1">
      <alignment vertical="center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/>
    </xf>
    <xf numFmtId="0" fontId="21" fillId="4" borderId="5" xfId="6" applyFont="1" applyFill="1" applyBorder="1" applyAlignment="1">
      <alignment horizontal="center" vertical="center"/>
    </xf>
    <xf numFmtId="0" fontId="18" fillId="0" borderId="5" xfId="7" applyFont="1" applyBorder="1" applyAlignment="1">
      <alignment horizontal="left" vertical="center" wrapText="1"/>
    </xf>
    <xf numFmtId="0" fontId="22" fillId="5" borderId="5" xfId="7" applyFont="1" applyFill="1" applyBorder="1" applyAlignment="1">
      <alignment vertical="center" wrapText="1"/>
    </xf>
    <xf numFmtId="0" fontId="21" fillId="4" borderId="5" xfId="6" applyFont="1" applyFill="1" applyBorder="1" applyAlignment="1">
      <alignment horizontal="left" vertical="center"/>
    </xf>
    <xf numFmtId="0" fontId="23" fillId="4" borderId="5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0" fontId="25" fillId="4" borderId="5" xfId="6" applyFont="1" applyFill="1" applyBorder="1" applyAlignment="1">
      <alignment horizontal="left" vertical="center"/>
    </xf>
    <xf numFmtId="165" fontId="26" fillId="4" borderId="5" xfId="1" applyNumberFormat="1" applyFont="1" applyFill="1" applyBorder="1" applyAlignment="1">
      <alignment vertical="center"/>
    </xf>
    <xf numFmtId="0" fontId="23" fillId="4" borderId="5" xfId="6" applyFont="1" applyFill="1" applyBorder="1" applyAlignment="1">
      <alignment horizontal="center" vertical="center" wrapText="1"/>
    </xf>
    <xf numFmtId="0" fontId="23" fillId="4" borderId="5" xfId="6" applyFont="1" applyFill="1" applyBorder="1" applyAlignment="1">
      <alignment horizontal="center" vertical="center"/>
    </xf>
    <xf numFmtId="165" fontId="27" fillId="6" borderId="23" xfId="6" applyNumberFormat="1" applyFont="1" applyFill="1" applyBorder="1" applyAlignment="1">
      <alignment horizontal="center" vertical="center" wrapText="1"/>
    </xf>
    <xf numFmtId="165" fontId="27" fillId="7" borderId="23" xfId="6" applyNumberFormat="1" applyFont="1" applyFill="1" applyBorder="1" applyAlignment="1">
      <alignment horizontal="center" vertical="center" wrapText="1"/>
    </xf>
    <xf numFmtId="165" fontId="28" fillId="4" borderId="5" xfId="6" applyNumberFormat="1" applyFont="1" applyFill="1" applyBorder="1" applyAlignment="1">
      <alignment horizontal="center" vertical="center" wrapText="1"/>
    </xf>
    <xf numFmtId="165" fontId="29" fillId="3" borderId="5" xfId="6" applyNumberFormat="1" applyFont="1" applyFill="1" applyBorder="1" applyAlignment="1">
      <alignment horizontal="center" vertical="center" wrapText="1"/>
    </xf>
    <xf numFmtId="165" fontId="28" fillId="8" borderId="6" xfId="6" applyNumberFormat="1" applyFont="1" applyFill="1" applyBorder="1" applyAlignment="1">
      <alignment horizontal="center" vertical="center" wrapText="1"/>
    </xf>
    <xf numFmtId="165" fontId="30" fillId="8" borderId="24" xfId="6" applyNumberFormat="1" applyFont="1" applyFill="1" applyBorder="1" applyAlignment="1">
      <alignment horizontal="center" vertical="center" wrapText="1"/>
    </xf>
    <xf numFmtId="165" fontId="32" fillId="7" borderId="23" xfId="6" applyNumberFormat="1" applyFont="1" applyFill="1" applyBorder="1" applyAlignment="1">
      <alignment horizontal="center" vertical="center" wrapText="1"/>
    </xf>
    <xf numFmtId="165" fontId="32" fillId="7" borderId="5" xfId="6" applyNumberFormat="1" applyFont="1" applyFill="1" applyBorder="1" applyAlignment="1">
      <alignment horizontal="center" vertical="center" wrapText="1"/>
    </xf>
    <xf numFmtId="165" fontId="32" fillId="6" borderId="5" xfId="6" applyNumberFormat="1" applyFont="1" applyFill="1" applyBorder="1" applyAlignment="1">
      <alignment horizontal="center" vertical="center" wrapText="1"/>
    </xf>
    <xf numFmtId="165" fontId="33" fillId="3" borderId="5" xfId="6" applyNumberFormat="1" applyFont="1" applyFill="1" applyBorder="1" applyAlignment="1">
      <alignment horizontal="center" vertical="center" wrapText="1"/>
    </xf>
    <xf numFmtId="165" fontId="30" fillId="5" borderId="5" xfId="6" applyNumberFormat="1" applyFont="1" applyFill="1" applyBorder="1" applyAlignment="1">
      <alignment horizontal="left" vertical="center" wrapText="1"/>
    </xf>
    <xf numFmtId="165" fontId="30" fillId="7" borderId="5" xfId="6" applyNumberFormat="1" applyFont="1" applyFill="1" applyBorder="1" applyAlignment="1">
      <alignment horizontal="center" wrapText="1"/>
    </xf>
    <xf numFmtId="165" fontId="30" fillId="9" borderId="5" xfId="6" applyNumberFormat="1" applyFont="1" applyFill="1" applyBorder="1" applyAlignment="1">
      <alignment horizontal="center" vertical="center" wrapText="1"/>
    </xf>
    <xf numFmtId="165" fontId="34" fillId="0" borderId="5" xfId="6" applyNumberFormat="1" applyFont="1" applyBorder="1" applyAlignment="1">
      <alignment horizontal="center" vertical="center" wrapText="1"/>
    </xf>
    <xf numFmtId="0" fontId="21" fillId="4" borderId="6" xfId="6" applyFont="1" applyFill="1" applyBorder="1" applyAlignment="1">
      <alignment horizontal="center" vertical="center"/>
    </xf>
    <xf numFmtId="4" fontId="35" fillId="0" borderId="25" xfId="4" applyNumberFormat="1" applyFont="1" applyBorder="1" applyAlignment="1">
      <alignment horizontal="center" vertical="center" wrapText="1"/>
    </xf>
    <xf numFmtId="4" fontId="35" fillId="6" borderId="26" xfId="4" applyNumberFormat="1" applyFont="1" applyFill="1" applyBorder="1" applyAlignment="1">
      <alignment horizontal="center" vertical="center" wrapText="1"/>
    </xf>
    <xf numFmtId="4" fontId="36" fillId="0" borderId="26" xfId="4" applyNumberFormat="1" applyFont="1" applyBorder="1" applyAlignment="1">
      <alignment horizontal="center" vertical="center" wrapText="1"/>
    </xf>
    <xf numFmtId="4" fontId="5" fillId="0" borderId="27" xfId="4" applyNumberFormat="1" applyFont="1" applyBorder="1" applyAlignment="1">
      <alignment horizontal="center" vertical="center" wrapText="1"/>
    </xf>
    <xf numFmtId="4" fontId="37" fillId="0" borderId="23" xfId="7" applyNumberFormat="1" applyFont="1" applyBorder="1" applyAlignment="1">
      <alignment horizontal="right" vertical="center"/>
    </xf>
    <xf numFmtId="4" fontId="37" fillId="0" borderId="5" xfId="7" applyNumberFormat="1" applyFont="1" applyBorder="1" applyAlignment="1">
      <alignment horizontal="right" vertical="center"/>
    </xf>
    <xf numFmtId="4" fontId="5" fillId="0" borderId="28" xfId="4" applyNumberFormat="1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/>
    </xf>
    <xf numFmtId="0" fontId="38" fillId="0" borderId="0" xfId="6" applyFont="1" applyAlignment="1">
      <alignment horizontal="left" vertical="center"/>
    </xf>
    <xf numFmtId="0" fontId="39" fillId="0" borderId="0" xfId="6" applyFont="1" applyAlignment="1">
      <alignment horizontal="left" vertical="center"/>
    </xf>
    <xf numFmtId="0" fontId="40" fillId="0" borderId="0" xfId="1" applyFont="1"/>
    <xf numFmtId="0" fontId="41" fillId="0" borderId="5" xfId="1" applyFont="1" applyBorder="1" applyAlignment="1">
      <alignment vertical="top"/>
    </xf>
    <xf numFmtId="0" fontId="21" fillId="0" borderId="5" xfId="6" applyFont="1" applyBorder="1" applyAlignment="1">
      <alignment horizontal="center" vertical="top"/>
    </xf>
    <xf numFmtId="0" fontId="42" fillId="0" borderId="5" xfId="6" applyFont="1" applyBorder="1" applyAlignment="1">
      <alignment horizontal="left"/>
    </xf>
    <xf numFmtId="0" fontId="43" fillId="0" borderId="5" xfId="6" applyFont="1" applyBorder="1"/>
    <xf numFmtId="0" fontId="38" fillId="0" borderId="5" xfId="6" applyFont="1" applyBorder="1" applyAlignment="1">
      <alignment horizontal="left" vertical="top"/>
    </xf>
    <xf numFmtId="0" fontId="44" fillId="0" borderId="5" xfId="6" applyFont="1" applyBorder="1" applyAlignment="1">
      <alignment horizontal="left"/>
    </xf>
    <xf numFmtId="0" fontId="38" fillId="0" borderId="5" xfId="6" applyFont="1" applyBorder="1" applyAlignment="1">
      <alignment horizontal="left"/>
    </xf>
    <xf numFmtId="4" fontId="38" fillId="4" borderId="5" xfId="6" applyNumberFormat="1" applyFont="1" applyFill="1" applyBorder="1"/>
    <xf numFmtId="4" fontId="44" fillId="0" borderId="5" xfId="6" applyNumberFormat="1" applyFont="1" applyBorder="1"/>
    <xf numFmtId="4" fontId="45" fillId="6" borderId="5" xfId="6" applyNumberFormat="1" applyFont="1" applyFill="1" applyBorder="1"/>
    <xf numFmtId="4" fontId="45" fillId="7" borderId="5" xfId="6" applyNumberFormat="1" applyFont="1" applyFill="1" applyBorder="1"/>
    <xf numFmtId="4" fontId="46" fillId="4" borderId="5" xfId="6" applyNumberFormat="1" applyFont="1" applyFill="1" applyBorder="1"/>
    <xf numFmtId="4" fontId="45" fillId="3" borderId="5" xfId="6" applyNumberFormat="1" applyFont="1" applyFill="1" applyBorder="1"/>
    <xf numFmtId="4" fontId="25" fillId="8" borderId="6" xfId="6" applyNumberFormat="1" applyFont="1" applyFill="1" applyBorder="1"/>
    <xf numFmtId="4" fontId="47" fillId="8" borderId="29" xfId="6" applyNumberFormat="1" applyFont="1" applyFill="1" applyBorder="1"/>
    <xf numFmtId="4" fontId="25" fillId="7" borderId="23" xfId="6" applyNumberFormat="1" applyFont="1" applyFill="1" applyBorder="1"/>
    <xf numFmtId="4" fontId="25" fillId="7" borderId="5" xfId="6" applyNumberFormat="1" applyFont="1" applyFill="1" applyBorder="1"/>
    <xf numFmtId="4" fontId="24" fillId="6" borderId="5" xfId="6" applyNumberFormat="1" applyFont="1" applyFill="1" applyBorder="1"/>
    <xf numFmtId="4" fontId="44" fillId="3" borderId="5" xfId="6" applyNumberFormat="1" applyFont="1" applyFill="1" applyBorder="1"/>
    <xf numFmtId="4" fontId="38" fillId="0" borderId="5" xfId="6" applyNumberFormat="1" applyFont="1" applyBorder="1" applyAlignment="1">
      <alignment horizontal="left"/>
    </xf>
    <xf numFmtId="4" fontId="48" fillId="7" borderId="5" xfId="8" applyNumberFormat="1" applyFont="1" applyFill="1" applyBorder="1"/>
    <xf numFmtId="4" fontId="38" fillId="0" borderId="5" xfId="6" applyNumberFormat="1" applyFont="1" applyBorder="1" applyAlignment="1">
      <alignment horizontal="right" vertical="top"/>
    </xf>
    <xf numFmtId="4" fontId="38" fillId="0" borderId="6" xfId="6" applyNumberFormat="1" applyFont="1" applyBorder="1" applyAlignment="1">
      <alignment horizontal="right" vertical="top"/>
    </xf>
    <xf numFmtId="4" fontId="49" fillId="0" borderId="30" xfId="6" applyNumberFormat="1" applyFont="1" applyBorder="1" applyAlignment="1">
      <alignment horizontal="right" vertical="top"/>
    </xf>
    <xf numFmtId="4" fontId="49" fillId="0" borderId="5" xfId="6" applyNumberFormat="1" applyFont="1" applyBorder="1" applyAlignment="1">
      <alignment horizontal="right" vertical="top"/>
    </xf>
    <xf numFmtId="4" fontId="14" fillId="0" borderId="31" xfId="7" applyNumberFormat="1" applyFont="1" applyBorder="1" applyAlignment="1">
      <alignment horizontal="right" vertical="center"/>
    </xf>
    <xf numFmtId="4" fontId="50" fillId="0" borderId="23" xfId="7" applyNumberFormat="1" applyFont="1" applyBorder="1" applyAlignment="1">
      <alignment horizontal="right" vertical="center"/>
    </xf>
    <xf numFmtId="4" fontId="50" fillId="0" borderId="5" xfId="7" applyNumberFormat="1" applyFont="1" applyBorder="1" applyAlignment="1">
      <alignment horizontal="right" vertical="center"/>
    </xf>
    <xf numFmtId="166" fontId="38" fillId="0" borderId="5" xfId="6" applyNumberFormat="1" applyFont="1" applyBorder="1" applyAlignment="1">
      <alignment horizontal="right" vertical="top"/>
    </xf>
    <xf numFmtId="0" fontId="38" fillId="0" borderId="0" xfId="6" applyFont="1" applyAlignment="1">
      <alignment horizontal="left" vertical="top"/>
    </xf>
    <xf numFmtId="0" fontId="39" fillId="0" borderId="0" xfId="6" applyFont="1"/>
    <xf numFmtId="4" fontId="38" fillId="0" borderId="5" xfId="6" applyNumberFormat="1" applyFont="1" applyBorder="1" applyAlignment="1">
      <alignment horizontal="right"/>
    </xf>
    <xf numFmtId="4" fontId="25" fillId="8" borderId="5" xfId="6" applyNumberFormat="1" applyFont="1" applyFill="1" applyBorder="1" applyAlignment="1">
      <alignment horizontal="right"/>
    </xf>
    <xf numFmtId="0" fontId="25" fillId="6" borderId="5" xfId="6" applyFont="1" applyFill="1" applyBorder="1" applyAlignment="1">
      <alignment horizontal="left"/>
    </xf>
    <xf numFmtId="0" fontId="25" fillId="0" borderId="5" xfId="6" applyFont="1" applyBorder="1" applyAlignment="1">
      <alignment horizontal="left"/>
    </xf>
    <xf numFmtId="4" fontId="25" fillId="0" borderId="5" xfId="6" applyNumberFormat="1" applyFont="1" applyBorder="1" applyAlignment="1">
      <alignment horizontal="left"/>
    </xf>
    <xf numFmtId="0" fontId="25" fillId="0" borderId="0" xfId="6" applyFont="1"/>
    <xf numFmtId="4" fontId="38" fillId="4" borderId="32" xfId="6" applyNumberFormat="1" applyFont="1" applyFill="1" applyBorder="1"/>
    <xf numFmtId="4" fontId="44" fillId="0" borderId="32" xfId="6" applyNumberFormat="1" applyFont="1" applyBorder="1"/>
    <xf numFmtId="0" fontId="25" fillId="0" borderId="0" xfId="6" applyFont="1" applyAlignment="1">
      <alignment horizontal="right"/>
    </xf>
    <xf numFmtId="165" fontId="51" fillId="8" borderId="28" xfId="1" applyNumberFormat="1" applyFont="1" applyFill="1" applyBorder="1" applyAlignment="1">
      <alignment horizontal="left"/>
    </xf>
    <xf numFmtId="0" fontId="52" fillId="5" borderId="5" xfId="6" applyFont="1" applyFill="1" applyBorder="1" applyAlignment="1">
      <alignment horizontal="left"/>
    </xf>
    <xf numFmtId="4" fontId="53" fillId="6" borderId="5" xfId="6" applyNumberFormat="1" applyFont="1" applyFill="1" applyBorder="1"/>
    <xf numFmtId="4" fontId="53" fillId="7" borderId="5" xfId="6" applyNumberFormat="1" applyFont="1" applyFill="1" applyBorder="1"/>
    <xf numFmtId="4" fontId="38" fillId="8" borderId="5" xfId="6" applyNumberFormat="1" applyFont="1" applyFill="1" applyBorder="1" applyAlignment="1">
      <alignment horizontal="left"/>
    </xf>
    <xf numFmtId="4" fontId="51" fillId="10" borderId="5" xfId="8" applyNumberFormat="1" applyFont="1" applyFill="1" applyBorder="1"/>
    <xf numFmtId="0" fontId="42" fillId="5" borderId="5" xfId="6" applyFont="1" applyFill="1" applyBorder="1" applyAlignment="1">
      <alignment horizontal="left"/>
    </xf>
    <xf numFmtId="0" fontId="43" fillId="5" borderId="5" xfId="6" applyFont="1" applyFill="1" applyBorder="1"/>
    <xf numFmtId="0" fontId="38" fillId="5" borderId="5" xfId="6" applyFont="1" applyFill="1" applyBorder="1" applyAlignment="1">
      <alignment horizontal="left" vertical="top"/>
    </xf>
    <xf numFmtId="0" fontId="24" fillId="5" borderId="5" xfId="6" applyFont="1" applyFill="1" applyBorder="1" applyAlignment="1">
      <alignment horizontal="right"/>
    </xf>
    <xf numFmtId="4" fontId="42" fillId="0" borderId="5" xfId="6" applyNumberFormat="1" applyFont="1" applyBorder="1" applyAlignment="1">
      <alignment horizontal="left"/>
    </xf>
    <xf numFmtId="4" fontId="25" fillId="8" borderId="5" xfId="6" applyNumberFormat="1" applyFont="1" applyFill="1" applyBorder="1" applyAlignment="1">
      <alignment horizontal="right" vertical="top"/>
    </xf>
    <xf numFmtId="4" fontId="54" fillId="6" borderId="5" xfId="6" applyNumberFormat="1" applyFont="1" applyFill="1" applyBorder="1" applyAlignment="1">
      <alignment horizontal="right" vertical="top"/>
    </xf>
    <xf numFmtId="4" fontId="54" fillId="0" borderId="5" xfId="6" applyNumberFormat="1" applyFont="1" applyBorder="1" applyAlignment="1">
      <alignment horizontal="right" vertical="top"/>
    </xf>
    <xf numFmtId="4" fontId="25" fillId="9" borderId="5" xfId="6" applyNumberFormat="1" applyFont="1" applyFill="1" applyBorder="1" applyAlignment="1">
      <alignment horizontal="left"/>
    </xf>
    <xf numFmtId="4" fontId="45" fillId="8" borderId="5" xfId="6" applyNumberFormat="1" applyFont="1" applyFill="1" applyBorder="1"/>
    <xf numFmtId="4" fontId="25" fillId="8" borderId="5" xfId="6" applyNumberFormat="1" applyFont="1" applyFill="1" applyBorder="1" applyAlignment="1">
      <alignment horizontal="left"/>
    </xf>
    <xf numFmtId="0" fontId="24" fillId="0" borderId="5" xfId="6" applyFont="1" applyBorder="1" applyAlignment="1">
      <alignment horizontal="center" vertical="top"/>
    </xf>
    <xf numFmtId="0" fontId="44" fillId="6" borderId="5" xfId="6" applyFont="1" applyFill="1" applyBorder="1" applyAlignment="1">
      <alignment horizontal="left"/>
    </xf>
    <xf numFmtId="4" fontId="45" fillId="5" borderId="5" xfId="6" applyNumberFormat="1" applyFont="1" applyFill="1" applyBorder="1"/>
    <xf numFmtId="0" fontId="38" fillId="7" borderId="5" xfId="6" applyFont="1" applyFill="1" applyBorder="1" applyAlignment="1">
      <alignment horizontal="left"/>
    </xf>
    <xf numFmtId="0" fontId="44" fillId="8" borderId="5" xfId="6" applyFont="1" applyFill="1" applyBorder="1" applyAlignment="1">
      <alignment horizontal="left"/>
    </xf>
    <xf numFmtId="0" fontId="25" fillId="8" borderId="5" xfId="6" applyFont="1" applyFill="1" applyBorder="1" applyAlignment="1">
      <alignment horizontal="left"/>
    </xf>
    <xf numFmtId="4" fontId="53" fillId="7" borderId="5" xfId="8" applyNumberFormat="1" applyFont="1" applyFill="1" applyBorder="1"/>
    <xf numFmtId="4" fontId="45" fillId="10" borderId="5" xfId="6" applyNumberFormat="1" applyFont="1" applyFill="1" applyBorder="1"/>
    <xf numFmtId="4" fontId="25" fillId="10" borderId="23" xfId="6" applyNumberFormat="1" applyFont="1" applyFill="1" applyBorder="1"/>
    <xf numFmtId="4" fontId="48" fillId="8" borderId="5" xfId="8" applyNumberFormat="1" applyFont="1" applyFill="1" applyBorder="1"/>
    <xf numFmtId="4" fontId="47" fillId="8" borderId="33" xfId="6" applyNumberFormat="1" applyFont="1" applyFill="1" applyBorder="1"/>
    <xf numFmtId="4" fontId="47" fillId="8" borderId="24" xfId="6" applyNumberFormat="1" applyFont="1" applyFill="1" applyBorder="1"/>
    <xf numFmtId="165" fontId="55" fillId="0" borderId="5" xfId="8" applyNumberFormat="1" applyFont="1" applyBorder="1" applyAlignment="1">
      <alignment vertical="top"/>
    </xf>
    <xf numFmtId="0" fontId="39" fillId="0" borderId="0" xfId="6" applyFont="1" applyAlignment="1">
      <alignment horizontal="left"/>
    </xf>
    <xf numFmtId="0" fontId="44" fillId="10" borderId="5" xfId="6" applyFont="1" applyFill="1" applyBorder="1" applyAlignment="1">
      <alignment horizontal="left"/>
    </xf>
    <xf numFmtId="0" fontId="24" fillId="10" borderId="5" xfId="6" applyFont="1" applyFill="1" applyBorder="1" applyAlignment="1">
      <alignment horizontal="right"/>
    </xf>
    <xf numFmtId="4" fontId="47" fillId="8" borderId="34" xfId="6" applyNumberFormat="1" applyFont="1" applyFill="1" applyBorder="1"/>
    <xf numFmtId="4" fontId="47" fillId="8" borderId="35" xfId="6" applyNumberFormat="1" applyFont="1" applyFill="1" applyBorder="1"/>
    <xf numFmtId="4" fontId="25" fillId="0" borderId="5" xfId="6" applyNumberFormat="1" applyFont="1" applyBorder="1" applyAlignment="1">
      <alignment horizontal="right" vertical="top"/>
    </xf>
    <xf numFmtId="0" fontId="56" fillId="0" borderId="5" xfId="6" applyFont="1" applyBorder="1" applyAlignment="1">
      <alignment horizontal="left"/>
    </xf>
    <xf numFmtId="0" fontId="25" fillId="10" borderId="5" xfId="6" applyFont="1" applyFill="1" applyBorder="1" applyAlignment="1">
      <alignment horizontal="right"/>
    </xf>
    <xf numFmtId="0" fontId="51" fillId="10" borderId="0" xfId="6" applyFont="1" applyFill="1"/>
    <xf numFmtId="0" fontId="25" fillId="10" borderId="5" xfId="6" applyFont="1" applyFill="1" applyBorder="1" applyAlignment="1">
      <alignment horizontal="left"/>
    </xf>
    <xf numFmtId="4" fontId="47" fillId="10" borderId="29" xfId="6" applyNumberFormat="1" applyFont="1" applyFill="1" applyBorder="1"/>
    <xf numFmtId="165" fontId="26" fillId="8" borderId="28" xfId="1" applyNumberFormat="1" applyFont="1" applyFill="1" applyBorder="1" applyAlignment="1">
      <alignment horizontal="left"/>
    </xf>
    <xf numFmtId="4" fontId="57" fillId="3" borderId="5" xfId="6" applyNumberFormat="1" applyFont="1" applyFill="1" applyBorder="1"/>
    <xf numFmtId="4" fontId="46" fillId="8" borderId="6" xfId="6" applyNumberFormat="1" applyFont="1" applyFill="1" applyBorder="1"/>
    <xf numFmtId="4" fontId="46" fillId="7" borderId="5" xfId="6" applyNumberFormat="1" applyFont="1" applyFill="1" applyBorder="1"/>
    <xf numFmtId="4" fontId="46" fillId="7" borderId="23" xfId="6" applyNumberFormat="1" applyFont="1" applyFill="1" applyBorder="1"/>
    <xf numFmtId="0" fontId="42" fillId="0" borderId="5" xfId="6" applyFont="1" applyBorder="1"/>
    <xf numFmtId="4" fontId="38" fillId="8" borderId="5" xfId="6" applyNumberFormat="1" applyFont="1" applyFill="1" applyBorder="1" applyAlignment="1">
      <alignment horizontal="right"/>
    </xf>
    <xf numFmtId="0" fontId="42" fillId="0" borderId="0" xfId="1" applyFont="1"/>
    <xf numFmtId="0" fontId="51" fillId="0" borderId="5" xfId="1" applyFont="1" applyBorder="1" applyAlignment="1">
      <alignment vertical="top"/>
    </xf>
    <xf numFmtId="0" fontId="25" fillId="0" borderId="5" xfId="6" applyFont="1" applyBorder="1" applyAlignment="1">
      <alignment horizontal="left" vertical="top"/>
    </xf>
    <xf numFmtId="4" fontId="25" fillId="4" borderId="5" xfId="6" applyNumberFormat="1" applyFont="1" applyFill="1" applyBorder="1"/>
    <xf numFmtId="4" fontId="25" fillId="0" borderId="5" xfId="6" applyNumberFormat="1" applyFont="1" applyBorder="1"/>
    <xf numFmtId="4" fontId="25" fillId="0" borderId="6" xfId="6" applyNumberFormat="1" applyFont="1" applyBorder="1" applyAlignment="1">
      <alignment horizontal="right" vertical="top"/>
    </xf>
    <xf numFmtId="4" fontId="54" fillId="0" borderId="30" xfId="6" applyNumberFormat="1" applyFont="1" applyBorder="1" applyAlignment="1">
      <alignment horizontal="right" vertical="top"/>
    </xf>
    <xf numFmtId="166" fontId="25" fillId="0" borderId="5" xfId="6" applyNumberFormat="1" applyFont="1" applyBorder="1" applyAlignment="1">
      <alignment horizontal="right" vertical="top"/>
    </xf>
    <xf numFmtId="0" fontId="25" fillId="0" borderId="0" xfId="6" applyFont="1" applyAlignment="1">
      <alignment horizontal="left" vertical="top"/>
    </xf>
    <xf numFmtId="4" fontId="25" fillId="5" borderId="5" xfId="6" applyNumberFormat="1" applyFont="1" applyFill="1" applyBorder="1" applyAlignment="1">
      <alignment horizontal="left"/>
    </xf>
    <xf numFmtId="4" fontId="45" fillId="0" borderId="5" xfId="6" applyNumberFormat="1" applyFont="1" applyBorder="1" applyAlignment="1">
      <alignment horizontal="left"/>
    </xf>
    <xf numFmtId="0" fontId="38" fillId="10" borderId="5" xfId="6" applyFont="1" applyFill="1" applyBorder="1" applyAlignment="1">
      <alignment horizontal="left" vertical="top"/>
    </xf>
    <xf numFmtId="0" fontId="25" fillId="11" borderId="5" xfId="6" applyFont="1" applyFill="1" applyBorder="1" applyAlignment="1">
      <alignment horizontal="left"/>
    </xf>
    <xf numFmtId="4" fontId="38" fillId="5" borderId="5" xfId="6" applyNumberFormat="1" applyFont="1" applyFill="1" applyBorder="1" applyAlignment="1">
      <alignment horizontal="left"/>
    </xf>
    <xf numFmtId="0" fontId="58" fillId="0" borderId="5" xfId="6" applyFont="1" applyBorder="1" applyAlignment="1">
      <alignment horizontal="left"/>
    </xf>
    <xf numFmtId="4" fontId="21" fillId="0" borderId="5" xfId="6" applyNumberFormat="1" applyFont="1" applyBorder="1" applyAlignment="1">
      <alignment horizontal="left"/>
    </xf>
    <xf numFmtId="0" fontId="24" fillId="6" borderId="5" xfId="6" applyFont="1" applyFill="1" applyBorder="1" applyAlignment="1">
      <alignment horizontal="left"/>
    </xf>
    <xf numFmtId="4" fontId="24" fillId="5" borderId="5" xfId="6" applyNumberFormat="1" applyFont="1" applyFill="1" applyBorder="1" applyAlignment="1">
      <alignment horizontal="left"/>
    </xf>
    <xf numFmtId="4" fontId="45" fillId="6" borderId="32" xfId="6" applyNumberFormat="1" applyFont="1" applyFill="1" applyBorder="1"/>
    <xf numFmtId="4" fontId="49" fillId="0" borderId="36" xfId="6" applyNumberFormat="1" applyFont="1" applyBorder="1" applyAlignment="1">
      <alignment horizontal="right" vertical="top"/>
    </xf>
    <xf numFmtId="4" fontId="49" fillId="0" borderId="37" xfId="6" applyNumberFormat="1" applyFont="1" applyBorder="1" applyAlignment="1">
      <alignment horizontal="right" vertical="top"/>
    </xf>
    <xf numFmtId="0" fontId="41" fillId="0" borderId="0" xfId="1" applyFont="1" applyAlignment="1">
      <alignment vertical="top"/>
    </xf>
    <xf numFmtId="0" fontId="21" fillId="8" borderId="5" xfId="6" applyFont="1" applyFill="1" applyBorder="1" applyAlignment="1">
      <alignment horizontal="center" vertical="top"/>
    </xf>
    <xf numFmtId="0" fontId="43" fillId="10" borderId="5" xfId="6" applyFont="1" applyFill="1" applyBorder="1"/>
    <xf numFmtId="0" fontId="39" fillId="10" borderId="0" xfId="6" applyFont="1" applyFill="1"/>
    <xf numFmtId="0" fontId="24" fillId="10" borderId="5" xfId="6" applyFont="1" applyFill="1" applyBorder="1" applyAlignment="1">
      <alignment horizontal="right" vertical="top"/>
    </xf>
    <xf numFmtId="4" fontId="44" fillId="0" borderId="6" xfId="6" applyNumberFormat="1" applyFont="1" applyBorder="1"/>
    <xf numFmtId="4" fontId="45" fillId="5" borderId="0" xfId="6" applyNumberFormat="1" applyFont="1" applyFill="1"/>
    <xf numFmtId="4" fontId="45" fillId="7" borderId="0" xfId="6" applyNumberFormat="1" applyFont="1" applyFill="1"/>
    <xf numFmtId="4" fontId="57" fillId="3" borderId="32" xfId="6" applyNumberFormat="1" applyFont="1" applyFill="1" applyBorder="1"/>
    <xf numFmtId="4" fontId="46" fillId="8" borderId="38" xfId="6" applyNumberFormat="1" applyFont="1" applyFill="1" applyBorder="1"/>
    <xf numFmtId="4" fontId="24" fillId="7" borderId="39" xfId="6" applyNumberFormat="1" applyFont="1" applyFill="1" applyBorder="1"/>
    <xf numFmtId="4" fontId="46" fillId="7" borderId="32" xfId="6" applyNumberFormat="1" applyFont="1" applyFill="1" applyBorder="1"/>
    <xf numFmtId="4" fontId="49" fillId="0" borderId="40" xfId="6" applyNumberFormat="1" applyFont="1" applyBorder="1" applyAlignment="1">
      <alignment horizontal="right" vertical="top"/>
    </xf>
    <xf numFmtId="4" fontId="49" fillId="0" borderId="41" xfId="6" applyNumberFormat="1" applyFont="1" applyBorder="1" applyAlignment="1">
      <alignment horizontal="right" vertical="top"/>
    </xf>
    <xf numFmtId="4" fontId="50" fillId="0" borderId="31" xfId="7" applyNumberFormat="1" applyFont="1" applyBorder="1" applyAlignment="1">
      <alignment horizontal="right" vertical="center"/>
    </xf>
    <xf numFmtId="4" fontId="45" fillId="7" borderId="32" xfId="6" applyNumberFormat="1" applyFont="1" applyFill="1" applyBorder="1"/>
    <xf numFmtId="0" fontId="20" fillId="0" borderId="0" xfId="6"/>
    <xf numFmtId="0" fontId="21" fillId="0" borderId="5" xfId="6" applyFont="1" applyBorder="1" applyAlignment="1">
      <alignment horizontal="center"/>
    </xf>
    <xf numFmtId="0" fontId="21" fillId="0" borderId="5" xfId="6" applyFont="1" applyBorder="1" applyAlignment="1">
      <alignment horizontal="left"/>
    </xf>
    <xf numFmtId="0" fontId="38" fillId="0" borderId="5" xfId="6" applyFont="1" applyBorder="1"/>
    <xf numFmtId="4" fontId="59" fillId="4" borderId="5" xfId="6" applyNumberFormat="1" applyFont="1" applyFill="1" applyBorder="1"/>
    <xf numFmtId="4" fontId="53" fillId="6" borderId="42" xfId="6" applyNumberFormat="1" applyFont="1" applyFill="1" applyBorder="1"/>
    <xf numFmtId="4" fontId="60" fillId="7" borderId="42" xfId="6" applyNumberFormat="1" applyFont="1" applyFill="1" applyBorder="1"/>
    <xf numFmtId="4" fontId="53" fillId="3" borderId="42" xfId="6" applyNumberFormat="1" applyFont="1" applyFill="1" applyBorder="1"/>
    <xf numFmtId="4" fontId="24" fillId="0" borderId="43" xfId="6" applyNumberFormat="1" applyFont="1" applyBorder="1"/>
    <xf numFmtId="4" fontId="47" fillId="5" borderId="42" xfId="6" applyNumberFormat="1" applyFont="1" applyFill="1" applyBorder="1"/>
    <xf numFmtId="4" fontId="24" fillId="7" borderId="44" xfId="6" applyNumberFormat="1" applyFont="1" applyFill="1" applyBorder="1"/>
    <xf numFmtId="4" fontId="24" fillId="7" borderId="45" xfId="6" applyNumberFormat="1" applyFont="1" applyFill="1" applyBorder="1"/>
    <xf numFmtId="4" fontId="23" fillId="3" borderId="0" xfId="6" applyNumberFormat="1" applyFont="1" applyFill="1"/>
    <xf numFmtId="0" fontId="38" fillId="0" borderId="23" xfId="6" applyFont="1" applyBorder="1" applyAlignment="1">
      <alignment horizontal="left"/>
    </xf>
    <xf numFmtId="4" fontId="59" fillId="7" borderId="5" xfId="6" applyNumberFormat="1" applyFont="1" applyFill="1" applyBorder="1" applyAlignment="1">
      <alignment horizontal="right"/>
    </xf>
    <xf numFmtId="4" fontId="25" fillId="0" borderId="5" xfId="6" applyNumberFormat="1" applyFont="1" applyBorder="1" applyAlignment="1">
      <alignment horizontal="right"/>
    </xf>
    <xf numFmtId="0" fontId="38" fillId="0" borderId="5" xfId="6" applyFont="1" applyBorder="1" applyAlignment="1">
      <alignment horizontal="right"/>
    </xf>
    <xf numFmtId="4" fontId="61" fillId="2" borderId="46" xfId="7" applyNumberFormat="1" applyFont="1" applyFill="1" applyBorder="1" applyAlignment="1">
      <alignment horizontal="right"/>
    </xf>
    <xf numFmtId="4" fontId="61" fillId="7" borderId="47" xfId="7" applyNumberFormat="1" applyFont="1" applyFill="1" applyBorder="1" applyAlignment="1">
      <alignment horizontal="right"/>
    </xf>
    <xf numFmtId="4" fontId="50" fillId="0" borderId="5" xfId="7" applyNumberFormat="1" applyFont="1" applyBorder="1" applyAlignment="1">
      <alignment horizontal="right"/>
    </xf>
    <xf numFmtId="0" fontId="38" fillId="0" borderId="0" xfId="6" applyFont="1" applyAlignment="1">
      <alignment horizontal="left"/>
    </xf>
    <xf numFmtId="0" fontId="38" fillId="0" borderId="5" xfId="6" applyFont="1" applyBorder="1" applyAlignment="1">
      <alignment vertical="top"/>
    </xf>
    <xf numFmtId="0" fontId="44" fillId="0" borderId="5" xfId="6" applyFont="1" applyBorder="1"/>
    <xf numFmtId="0" fontId="44" fillId="0" borderId="0" xfId="6" applyFont="1"/>
    <xf numFmtId="0" fontId="38" fillId="0" borderId="0" xfId="6" applyFont="1"/>
    <xf numFmtId="4" fontId="46" fillId="0" borderId="5" xfId="6" applyNumberFormat="1" applyFont="1" applyBorder="1" applyAlignment="1">
      <alignment horizontal="right"/>
    </xf>
    <xf numFmtId="0" fontId="44" fillId="0" borderId="5" xfId="6" applyFont="1" applyBorder="1" applyAlignment="1">
      <alignment horizontal="right" vertical="top"/>
    </xf>
    <xf numFmtId="4" fontId="21" fillId="4" borderId="28" xfId="6" applyNumberFormat="1" applyFont="1" applyFill="1" applyBorder="1" applyAlignment="1">
      <alignment horizontal="right"/>
    </xf>
    <xf numFmtId="4" fontId="59" fillId="4" borderId="28" xfId="6" applyNumberFormat="1" applyFont="1" applyFill="1" applyBorder="1" applyAlignment="1">
      <alignment horizontal="right"/>
    </xf>
    <xf numFmtId="0" fontId="59" fillId="5" borderId="5" xfId="6" applyFont="1" applyFill="1" applyBorder="1" applyAlignment="1">
      <alignment horizontal="right"/>
    </xf>
    <xf numFmtId="0" fontId="21" fillId="5" borderId="28" xfId="6" applyFont="1" applyFill="1" applyBorder="1" applyAlignment="1">
      <alignment horizontal="left"/>
    </xf>
    <xf numFmtId="4" fontId="47" fillId="5" borderId="28" xfId="6" applyNumberFormat="1" applyFont="1" applyFill="1" applyBorder="1" applyAlignment="1">
      <alignment horizontal="right"/>
    </xf>
    <xf numFmtId="4" fontId="23" fillId="0" borderId="41" xfId="6" applyNumberFormat="1" applyFont="1" applyBorder="1" applyAlignment="1">
      <alignment horizontal="right"/>
    </xf>
    <xf numFmtId="4" fontId="23" fillId="0" borderId="28" xfId="6" applyNumberFormat="1" applyFont="1" applyBorder="1" applyAlignment="1">
      <alignment horizontal="right"/>
    </xf>
    <xf numFmtId="4" fontId="44" fillId="0" borderId="5" xfId="6" applyNumberFormat="1" applyFont="1" applyBorder="1" applyAlignment="1">
      <alignment horizontal="right"/>
    </xf>
    <xf numFmtId="0" fontId="38" fillId="0" borderId="5" xfId="6" applyFont="1" applyBorder="1" applyAlignment="1">
      <alignment horizontal="right" vertical="top"/>
    </xf>
    <xf numFmtId="4" fontId="40" fillId="0" borderId="5" xfId="6" applyNumberFormat="1" applyFont="1" applyBorder="1"/>
    <xf numFmtId="4" fontId="62" fillId="7" borderId="11" xfId="7" applyNumberFormat="1" applyFont="1" applyFill="1" applyBorder="1"/>
    <xf numFmtId="0" fontId="38" fillId="0" borderId="0" xfId="6" applyFont="1" applyAlignment="1">
      <alignment vertical="top"/>
    </xf>
    <xf numFmtId="0" fontId="63" fillId="0" borderId="5" xfId="6" applyFont="1" applyBorder="1" applyAlignment="1">
      <alignment horizontal="center"/>
    </xf>
    <xf numFmtId="0" fontId="63" fillId="0" borderId="5" xfId="6" applyFont="1" applyBorder="1" applyAlignment="1">
      <alignment horizontal="left"/>
    </xf>
    <xf numFmtId="0" fontId="39" fillId="0" borderId="5" xfId="6" applyFont="1" applyBorder="1"/>
    <xf numFmtId="0" fontId="44" fillId="0" borderId="5" xfId="6" applyFont="1" applyBorder="1" applyAlignment="1">
      <alignment horizontal="right"/>
    </xf>
    <xf numFmtId="4" fontId="21" fillId="4" borderId="5" xfId="6" applyNumberFormat="1" applyFont="1" applyFill="1" applyBorder="1" applyAlignment="1">
      <alignment horizontal="right"/>
    </xf>
    <xf numFmtId="4" fontId="59" fillId="4" borderId="5" xfId="6" applyNumberFormat="1" applyFont="1" applyFill="1" applyBorder="1" applyAlignment="1">
      <alignment horizontal="right"/>
    </xf>
    <xf numFmtId="0" fontId="64" fillId="5" borderId="0" xfId="6" applyFont="1" applyFill="1" applyAlignment="1">
      <alignment horizontal="right"/>
    </xf>
    <xf numFmtId="0" fontId="63" fillId="5" borderId="0" xfId="6" applyFont="1" applyFill="1" applyAlignment="1">
      <alignment horizontal="left"/>
    </xf>
    <xf numFmtId="0" fontId="63" fillId="7" borderId="48" xfId="6" applyFont="1" applyFill="1" applyBorder="1" applyAlignment="1">
      <alignment horizontal="left"/>
    </xf>
    <xf numFmtId="0" fontId="63" fillId="7" borderId="49" xfId="6" applyFont="1" applyFill="1" applyBorder="1" applyAlignment="1">
      <alignment horizontal="left"/>
    </xf>
    <xf numFmtId="0" fontId="63" fillId="7" borderId="50" xfId="6" applyFont="1" applyFill="1" applyBorder="1" applyAlignment="1">
      <alignment horizontal="left"/>
    </xf>
    <xf numFmtId="0" fontId="23" fillId="0" borderId="0" xfId="6" applyFont="1" applyAlignment="1">
      <alignment horizontal="left"/>
    </xf>
    <xf numFmtId="0" fontId="39" fillId="0" borderId="5" xfId="6" applyFont="1" applyBorder="1" applyAlignment="1">
      <alignment horizontal="left"/>
    </xf>
    <xf numFmtId="0" fontId="39" fillId="0" borderId="0" xfId="6" applyFont="1" applyAlignment="1">
      <alignment horizontal="right"/>
    </xf>
    <xf numFmtId="0" fontId="39" fillId="0" borderId="5" xfId="6" applyFont="1" applyBorder="1" applyAlignment="1">
      <alignment horizontal="right"/>
    </xf>
    <xf numFmtId="0" fontId="24" fillId="0" borderId="5" xfId="6" applyFont="1" applyBorder="1" applyAlignment="1">
      <alignment horizontal="right"/>
    </xf>
    <xf numFmtId="0" fontId="24" fillId="0" borderId="5" xfId="6" applyFont="1" applyBorder="1" applyAlignment="1">
      <alignment horizontal="left"/>
    </xf>
    <xf numFmtId="4" fontId="23" fillId="4" borderId="0" xfId="6" applyNumberFormat="1" applyFont="1" applyFill="1" applyAlignment="1">
      <alignment horizontal="right"/>
    </xf>
    <xf numFmtId="0" fontId="24" fillId="0" borderId="0" xfId="6" applyFont="1" applyAlignment="1">
      <alignment horizontal="left"/>
    </xf>
    <xf numFmtId="0" fontId="63" fillId="0" borderId="0" xfId="6" applyFont="1" applyAlignment="1">
      <alignment horizontal="left"/>
    </xf>
    <xf numFmtId="0" fontId="65" fillId="0" borderId="0" xfId="6" applyFont="1" applyAlignment="1">
      <alignment horizontal="left"/>
    </xf>
    <xf numFmtId="4" fontId="23" fillId="7" borderId="51" xfId="6" applyNumberFormat="1" applyFont="1" applyFill="1" applyBorder="1" applyAlignment="1">
      <alignment horizontal="right"/>
    </xf>
    <xf numFmtId="4" fontId="23" fillId="7" borderId="52" xfId="6" applyNumberFormat="1" applyFont="1" applyFill="1" applyBorder="1" applyAlignment="1">
      <alignment horizontal="right"/>
    </xf>
    <xf numFmtId="4" fontId="23" fillId="7" borderId="53" xfId="6" applyNumberFormat="1" applyFont="1" applyFill="1" applyBorder="1" applyAlignment="1">
      <alignment horizontal="right"/>
    </xf>
    <xf numFmtId="4" fontId="39" fillId="0" borderId="5" xfId="6" applyNumberFormat="1" applyFont="1" applyBorder="1" applyAlignment="1">
      <alignment horizontal="right"/>
    </xf>
    <xf numFmtId="0" fontId="24" fillId="0" borderId="5" xfId="6" applyFont="1" applyBorder="1"/>
    <xf numFmtId="0" fontId="46" fillId="0" borderId="5" xfId="6" applyFont="1" applyBorder="1" applyAlignment="1">
      <alignment horizontal="right"/>
    </xf>
    <xf numFmtId="14" fontId="47" fillId="0" borderId="5" xfId="6" applyNumberFormat="1" applyFont="1" applyBorder="1" applyAlignment="1">
      <alignment horizontal="right"/>
    </xf>
    <xf numFmtId="0" fontId="66" fillId="0" borderId="5" xfId="6" applyFont="1" applyBorder="1" applyAlignment="1">
      <alignment horizontal="right"/>
    </xf>
    <xf numFmtId="4" fontId="67" fillId="0" borderId="41" xfId="6" applyNumberFormat="1" applyFont="1" applyBorder="1" applyAlignment="1">
      <alignment horizontal="right"/>
    </xf>
    <xf numFmtId="0" fontId="47" fillId="0" borderId="5" xfId="6" applyFont="1" applyBorder="1" applyAlignment="1">
      <alignment horizontal="right"/>
    </xf>
    <xf numFmtId="0" fontId="44" fillId="5" borderId="0" xfId="6" applyFont="1" applyFill="1"/>
    <xf numFmtId="0" fontId="39" fillId="5" borderId="0" xfId="6" applyFont="1" applyFill="1"/>
    <xf numFmtId="14" fontId="24" fillId="5" borderId="0" xfId="6" applyNumberFormat="1" applyFont="1" applyFill="1"/>
    <xf numFmtId="4" fontId="23" fillId="7" borderId="40" xfId="6" applyNumberFormat="1" applyFont="1" applyFill="1" applyBorder="1" applyAlignment="1">
      <alignment horizontal="right"/>
    </xf>
    <xf numFmtId="4" fontId="23" fillId="7" borderId="41" xfId="6" applyNumberFormat="1" applyFont="1" applyFill="1" applyBorder="1" applyAlignment="1">
      <alignment horizontal="right"/>
    </xf>
    <xf numFmtId="0" fontId="41" fillId="8" borderId="32" xfId="6" applyFont="1" applyFill="1" applyBorder="1"/>
    <xf numFmtId="0" fontId="25" fillId="0" borderId="32" xfId="6" applyFont="1" applyBorder="1" applyAlignment="1">
      <alignment horizontal="right"/>
    </xf>
    <xf numFmtId="0" fontId="51" fillId="8" borderId="32" xfId="6" applyFont="1" applyFill="1" applyBorder="1"/>
    <xf numFmtId="0" fontId="44" fillId="8" borderId="5" xfId="6" applyFont="1" applyFill="1" applyBorder="1" applyAlignment="1">
      <alignment horizontal="right"/>
    </xf>
    <xf numFmtId="0" fontId="46" fillId="0" borderId="0" xfId="6" applyFont="1" applyAlignment="1">
      <alignment horizontal="right"/>
    </xf>
    <xf numFmtId="0" fontId="47" fillId="0" borderId="0" xfId="6" applyFont="1" applyAlignment="1">
      <alignment horizontal="right"/>
    </xf>
    <xf numFmtId="0" fontId="66" fillId="0" borderId="0" xfId="6" applyFont="1" applyAlignment="1">
      <alignment horizontal="right"/>
    </xf>
    <xf numFmtId="0" fontId="46" fillId="8" borderId="0" xfId="6" applyFont="1" applyFill="1" applyAlignment="1">
      <alignment horizontal="left"/>
    </xf>
    <xf numFmtId="0" fontId="41" fillId="0" borderId="0" xfId="6" applyFont="1"/>
    <xf numFmtId="0" fontId="51" fillId="12" borderId="0" xfId="6" applyFont="1" applyFill="1"/>
    <xf numFmtId="14" fontId="39" fillId="12" borderId="0" xfId="6" applyNumberFormat="1" applyFont="1" applyFill="1" applyAlignment="1">
      <alignment horizontal="right"/>
    </xf>
    <xf numFmtId="0" fontId="44" fillId="0" borderId="0" xfId="6" applyFont="1" applyAlignment="1">
      <alignment horizontal="right"/>
    </xf>
    <xf numFmtId="4" fontId="63" fillId="0" borderId="5" xfId="6" applyNumberFormat="1" applyFont="1" applyBorder="1" applyAlignment="1">
      <alignment horizontal="right"/>
    </xf>
    <xf numFmtId="4" fontId="63" fillId="0" borderId="0" xfId="6" applyNumberFormat="1" applyFont="1" applyAlignment="1">
      <alignment horizontal="right"/>
    </xf>
    <xf numFmtId="0" fontId="25" fillId="0" borderId="0" xfId="6" applyFont="1" applyAlignment="1">
      <alignment horizontal="left"/>
    </xf>
    <xf numFmtId="165" fontId="51" fillId="8" borderId="0" xfId="1" applyNumberFormat="1" applyFont="1" applyFill="1" applyAlignment="1">
      <alignment horizontal="left"/>
    </xf>
    <xf numFmtId="4" fontId="25" fillId="8" borderId="0" xfId="6" applyNumberFormat="1" applyFont="1" applyFill="1" applyAlignment="1">
      <alignment horizontal="right" vertical="top"/>
    </xf>
    <xf numFmtId="4" fontId="25" fillId="8" borderId="48" xfId="6" applyNumberFormat="1" applyFont="1" applyFill="1" applyBorder="1" applyAlignment="1">
      <alignment horizontal="right" vertical="top"/>
    </xf>
    <xf numFmtId="4" fontId="25" fillId="8" borderId="49" xfId="6" applyNumberFormat="1" applyFont="1" applyFill="1" applyBorder="1" applyAlignment="1">
      <alignment horizontal="right" vertical="top"/>
    </xf>
    <xf numFmtId="0" fontId="25" fillId="0" borderId="49" xfId="6" applyFont="1" applyBorder="1"/>
    <xf numFmtId="0" fontId="46" fillId="0" borderId="49" xfId="6" applyFont="1" applyBorder="1" applyAlignment="1">
      <alignment horizontal="right"/>
    </xf>
    <xf numFmtId="0" fontId="46" fillId="0" borderId="50" xfId="6" applyFont="1" applyBorder="1" applyAlignment="1">
      <alignment horizontal="right"/>
    </xf>
    <xf numFmtId="0" fontId="39" fillId="0" borderId="54" xfId="6" applyFont="1" applyBorder="1"/>
    <xf numFmtId="4" fontId="25" fillId="8" borderId="55" xfId="6" applyNumberFormat="1" applyFont="1" applyFill="1" applyBorder="1" applyAlignment="1">
      <alignment horizontal="right" vertical="top"/>
    </xf>
    <xf numFmtId="4" fontId="47" fillId="8" borderId="0" xfId="6" applyNumberFormat="1" applyFont="1" applyFill="1" applyAlignment="1">
      <alignment horizontal="right" vertical="top"/>
    </xf>
    <xf numFmtId="4" fontId="44" fillId="8" borderId="0" xfId="6" applyNumberFormat="1" applyFont="1" applyFill="1" applyAlignment="1">
      <alignment horizontal="right" vertical="top"/>
    </xf>
    <xf numFmtId="0" fontId="39" fillId="0" borderId="54" xfId="6" applyFont="1" applyBorder="1" applyAlignment="1">
      <alignment horizontal="right"/>
    </xf>
    <xf numFmtId="0" fontId="1" fillId="0" borderId="56" xfId="6" applyFont="1" applyBorder="1" applyAlignment="1">
      <alignment horizontal="right"/>
    </xf>
    <xf numFmtId="0" fontId="1" fillId="0" borderId="57" xfId="6" applyFont="1" applyBorder="1" applyAlignment="1">
      <alignment horizontal="right"/>
    </xf>
    <xf numFmtId="0" fontId="51" fillId="0" borderId="57" xfId="6" applyFont="1" applyBorder="1" applyAlignment="1">
      <alignment horizontal="right"/>
    </xf>
    <xf numFmtId="0" fontId="51" fillId="0" borderId="58" xfId="6" applyFont="1" applyBorder="1" applyAlignment="1">
      <alignment horizontal="right"/>
    </xf>
    <xf numFmtId="0" fontId="51" fillId="0" borderId="0" xfId="6" applyFont="1" applyAlignment="1">
      <alignment horizontal="right"/>
    </xf>
    <xf numFmtId="0" fontId="41" fillId="0" borderId="0" xfId="6" applyFont="1" applyAlignment="1">
      <alignment horizontal="right"/>
    </xf>
    <xf numFmtId="0" fontId="65" fillId="0" borderId="0" xfId="6" applyFont="1" applyAlignment="1">
      <alignment horizontal="right"/>
    </xf>
    <xf numFmtId="0" fontId="46" fillId="0" borderId="0" xfId="6" applyFont="1" applyAlignment="1">
      <alignment horizontal="left"/>
    </xf>
    <xf numFmtId="0" fontId="39" fillId="0" borderId="28" xfId="6" applyFont="1" applyBorder="1" applyAlignment="1">
      <alignment horizontal="right"/>
    </xf>
    <xf numFmtId="0" fontId="25" fillId="0" borderId="28" xfId="6" applyFont="1" applyBorder="1" applyAlignment="1">
      <alignment horizontal="left"/>
    </xf>
    <xf numFmtId="0" fontId="47" fillId="0" borderId="28" xfId="6" applyFont="1" applyBorder="1" applyAlignment="1">
      <alignment horizontal="left"/>
    </xf>
    <xf numFmtId="0" fontId="44" fillId="0" borderId="28" xfId="6" applyFont="1" applyBorder="1" applyAlignment="1">
      <alignment horizontal="left"/>
    </xf>
    <xf numFmtId="0" fontId="68" fillId="0" borderId="0" xfId="6" applyFont="1" applyAlignment="1">
      <alignment vertical="center"/>
    </xf>
    <xf numFmtId="0" fontId="25" fillId="0" borderId="5" xfId="6" applyFont="1" applyBorder="1"/>
    <xf numFmtId="0" fontId="70" fillId="0" borderId="0" xfId="6" applyFont="1" applyAlignment="1">
      <alignment horizontal="left" vertical="center" indent="1"/>
    </xf>
    <xf numFmtId="0" fontId="26" fillId="3" borderId="0" xfId="6" applyFont="1" applyFill="1"/>
    <xf numFmtId="0" fontId="24" fillId="3" borderId="5" xfId="6" applyFont="1" applyFill="1" applyBorder="1" applyAlignment="1">
      <alignment horizontal="center"/>
    </xf>
    <xf numFmtId="0" fontId="24" fillId="3" borderId="5" xfId="6" applyFont="1" applyFill="1" applyBorder="1" applyAlignment="1">
      <alignment horizontal="left"/>
    </xf>
    <xf numFmtId="0" fontId="24" fillId="3" borderId="0" xfId="6" applyFont="1" applyFill="1"/>
    <xf numFmtId="0" fontId="24" fillId="3" borderId="5" xfId="6" applyFont="1" applyFill="1" applyBorder="1"/>
    <xf numFmtId="0" fontId="24" fillId="3" borderId="5" xfId="6" applyFont="1" applyFill="1" applyBorder="1" applyAlignment="1">
      <alignment horizontal="right"/>
    </xf>
    <xf numFmtId="0" fontId="71" fillId="0" borderId="5" xfId="6" applyFont="1" applyBorder="1"/>
    <xf numFmtId="0" fontId="71" fillId="0" borderId="5" xfId="6" applyFont="1" applyBorder="1" applyAlignment="1">
      <alignment horizontal="left"/>
    </xf>
    <xf numFmtId="0" fontId="72" fillId="0" borderId="5" xfId="6" applyFont="1" applyBorder="1" applyAlignment="1">
      <alignment horizontal="left"/>
    </xf>
    <xf numFmtId="0" fontId="73" fillId="8" borderId="0" xfId="6" applyFont="1" applyFill="1"/>
    <xf numFmtId="0" fontId="17" fillId="8" borderId="0" xfId="6" applyFont="1" applyFill="1"/>
    <xf numFmtId="14" fontId="24" fillId="8" borderId="5" xfId="6" applyNumberFormat="1" applyFont="1" applyFill="1" applyBorder="1" applyAlignment="1">
      <alignment horizontal="right"/>
    </xf>
    <xf numFmtId="0" fontId="63" fillId="0" borderId="5" xfId="6" applyFont="1" applyBorder="1" applyAlignment="1">
      <alignment horizontal="right"/>
    </xf>
    <xf numFmtId="14" fontId="25" fillId="0" borderId="5" xfId="6" applyNumberFormat="1" applyFont="1" applyBorder="1" applyAlignment="1">
      <alignment horizontal="right"/>
    </xf>
    <xf numFmtId="14" fontId="44" fillId="0" borderId="5" xfId="6" applyNumberFormat="1" applyFont="1" applyBorder="1" applyAlignment="1">
      <alignment horizontal="right"/>
    </xf>
    <xf numFmtId="0" fontId="41" fillId="8" borderId="59" xfId="1" applyFont="1" applyFill="1" applyBorder="1" applyAlignment="1">
      <alignment horizontal="left"/>
    </xf>
    <xf numFmtId="0" fontId="39" fillId="0" borderId="53" xfId="6" applyFont="1" applyBorder="1"/>
    <xf numFmtId="0" fontId="51" fillId="8" borderId="59" xfId="1" applyFont="1" applyFill="1" applyBorder="1" applyAlignment="1">
      <alignment horizontal="left"/>
    </xf>
    <xf numFmtId="0" fontId="39" fillId="8" borderId="5" xfId="6" applyFont="1" applyFill="1" applyBorder="1" applyAlignment="1">
      <alignment horizontal="right"/>
    </xf>
    <xf numFmtId="0" fontId="47" fillId="0" borderId="5" xfId="6" applyFont="1" applyBorder="1" applyAlignment="1">
      <alignment horizontal="left"/>
    </xf>
    <xf numFmtId="165" fontId="41" fillId="8" borderId="28" xfId="1" applyNumberFormat="1" applyFont="1" applyFill="1" applyBorder="1" applyAlignment="1">
      <alignment horizontal="left"/>
    </xf>
    <xf numFmtId="0" fontId="39" fillId="0" borderId="28" xfId="6" applyFont="1" applyBorder="1"/>
    <xf numFmtId="0" fontId="1" fillId="0" borderId="0" xfId="6" applyFont="1"/>
    <xf numFmtId="0" fontId="25" fillId="0" borderId="5" xfId="6" applyFont="1" applyBorder="1" applyAlignment="1">
      <alignment horizontal="right"/>
    </xf>
    <xf numFmtId="0" fontId="63" fillId="0" borderId="0" xfId="6" applyFont="1" applyAlignment="1">
      <alignment horizontal="center"/>
    </xf>
    <xf numFmtId="0" fontId="2" fillId="0" borderId="0" xfId="1" applyFont="1"/>
    <xf numFmtId="4" fontId="2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15" fillId="0" borderId="0" xfId="1" applyNumberFormat="1" applyFont="1" applyAlignment="1">
      <alignment horizontal="left"/>
    </xf>
    <xf numFmtId="0" fontId="5" fillId="0" borderId="5" xfId="1" applyFont="1" applyBorder="1" applyAlignment="1">
      <alignment horizontal="center" vertical="center"/>
    </xf>
    <xf numFmtId="0" fontId="5" fillId="0" borderId="5" xfId="2" applyNumberFormat="1" applyFont="1" applyFill="1" applyBorder="1" applyAlignment="1" applyProtection="1">
      <alignment horizontal="center" vertical="center"/>
    </xf>
    <xf numFmtId="0" fontId="5" fillId="0" borderId="6" xfId="2" applyNumberFormat="1" applyFont="1" applyFill="1" applyBorder="1" applyAlignment="1" applyProtection="1">
      <alignment horizontal="center" vertical="center"/>
    </xf>
    <xf numFmtId="0" fontId="5" fillId="2" borderId="5" xfId="3" applyNumberFormat="1" applyFont="1" applyFill="1" applyBorder="1" applyAlignment="1" applyProtection="1">
      <alignment horizontal="center" vertical="center" wrapText="1"/>
    </xf>
    <xf numFmtId="0" fontId="5" fillId="0" borderId="62" xfId="2" applyNumberFormat="1" applyFont="1" applyFill="1" applyBorder="1" applyAlignment="1" applyProtection="1">
      <alignment horizontal="center" vertical="center" wrapText="1"/>
    </xf>
    <xf numFmtId="0" fontId="5" fillId="0" borderId="63" xfId="2" applyNumberFormat="1" applyFont="1" applyFill="1" applyBorder="1" applyAlignment="1" applyProtection="1">
      <alignment horizontal="center" vertical="center" wrapText="1"/>
    </xf>
    <xf numFmtId="0" fontId="5" fillId="0" borderId="28" xfId="2" applyNumberFormat="1" applyFont="1" applyFill="1" applyBorder="1" applyAlignment="1" applyProtection="1">
      <alignment horizontal="center" vertical="center" wrapText="1"/>
    </xf>
    <xf numFmtId="4" fontId="61" fillId="0" borderId="64" xfId="4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/>
    </xf>
    <xf numFmtId="4" fontId="10" fillId="0" borderId="6" xfId="1" applyNumberFormat="1" applyFont="1" applyBorder="1" applyAlignment="1">
      <alignment horizontal="left" vertical="center" wrapText="1"/>
    </xf>
    <xf numFmtId="4" fontId="10" fillId="0" borderId="4" xfId="1" applyNumberFormat="1" applyFont="1" applyBorder="1" applyAlignment="1">
      <alignment horizontal="right" vertical="center"/>
    </xf>
    <xf numFmtId="4" fontId="10" fillId="0" borderId="23" xfId="1" applyNumberFormat="1" applyFont="1" applyBorder="1" applyAlignment="1">
      <alignment horizontal="right" vertical="center"/>
    </xf>
    <xf numFmtId="4" fontId="14" fillId="0" borderId="8" xfId="1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horizontal="left" vertical="center"/>
    </xf>
    <xf numFmtId="4" fontId="10" fillId="0" borderId="32" xfId="1" applyNumberFormat="1" applyFont="1" applyBorder="1" applyAlignment="1">
      <alignment horizontal="right" vertical="center"/>
    </xf>
    <xf numFmtId="4" fontId="10" fillId="0" borderId="8" xfId="1" applyNumberFormat="1" applyFont="1" applyBorder="1" applyAlignment="1">
      <alignment horizontal="right" vertical="center"/>
    </xf>
    <xf numFmtId="4" fontId="6" fillId="4" borderId="5" xfId="4" applyNumberFormat="1" applyFont="1" applyFill="1" applyBorder="1" applyAlignment="1">
      <alignment vertical="center" wrapText="1"/>
    </xf>
    <xf numFmtId="4" fontId="6" fillId="4" borderId="5" xfId="1" applyNumberFormat="1" applyFont="1" applyFill="1" applyBorder="1" applyAlignment="1">
      <alignment horizontal="right" vertical="center"/>
    </xf>
    <xf numFmtId="4" fontId="5" fillId="4" borderId="5" xfId="1" applyNumberFormat="1" applyFont="1" applyFill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top"/>
    </xf>
    <xf numFmtId="4" fontId="5" fillId="4" borderId="28" xfId="1" applyNumberFormat="1" applyFont="1" applyFill="1" applyBorder="1" applyAlignment="1">
      <alignment horizontal="right" vertical="center"/>
    </xf>
    <xf numFmtId="4" fontId="7" fillId="4" borderId="5" xfId="4" applyNumberFormat="1" applyFont="1" applyFill="1" applyBorder="1" applyAlignment="1">
      <alignment vertical="center" wrapText="1"/>
    </xf>
    <xf numFmtId="4" fontId="6" fillId="4" borderId="6" xfId="1" applyNumberFormat="1" applyFont="1" applyFill="1" applyBorder="1" applyAlignment="1">
      <alignment horizontal="right" vertical="center"/>
    </xf>
    <xf numFmtId="4" fontId="5" fillId="4" borderId="6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horizontal="left"/>
    </xf>
    <xf numFmtId="4" fontId="14" fillId="0" borderId="0" xfId="1" applyNumberFormat="1" applyFont="1" applyAlignment="1">
      <alignment horizontal="right" vertical="top"/>
    </xf>
    <xf numFmtId="0" fontId="14" fillId="0" borderId="0" xfId="1" quotePrefix="1" applyFont="1" applyAlignment="1">
      <alignment horizontal="right" vertical="top"/>
    </xf>
    <xf numFmtId="4" fontId="14" fillId="0" borderId="45" xfId="1" applyNumberFormat="1" applyFont="1" applyBorder="1" applyAlignment="1">
      <alignment horizontal="right" vertical="top"/>
    </xf>
    <xf numFmtId="4" fontId="14" fillId="0" borderId="65" xfId="1" applyNumberFormat="1" applyFont="1" applyBorder="1" applyAlignment="1">
      <alignment horizontal="right" vertical="top"/>
    </xf>
    <xf numFmtId="4" fontId="14" fillId="0" borderId="66" xfId="1" applyNumberFormat="1" applyFont="1" applyBorder="1" applyAlignment="1">
      <alignment horizontal="right" vertical="top"/>
    </xf>
    <xf numFmtId="4" fontId="14" fillId="0" borderId="67" xfId="1" applyNumberFormat="1" applyFont="1" applyBorder="1" applyAlignment="1">
      <alignment horizontal="right" vertical="top"/>
    </xf>
    <xf numFmtId="4" fontId="76" fillId="0" borderId="0" xfId="1" applyNumberFormat="1" applyFont="1" applyAlignment="1">
      <alignment horizontal="left"/>
    </xf>
    <xf numFmtId="4" fontId="5" fillId="4" borderId="5" xfId="4" applyNumberFormat="1" applyFont="1" applyFill="1" applyBorder="1" applyAlignment="1">
      <alignment vertical="center" wrapText="1"/>
    </xf>
    <xf numFmtId="0" fontId="9" fillId="0" borderId="0" xfId="1" applyFont="1"/>
    <xf numFmtId="4" fontId="9" fillId="0" borderId="0" xfId="1" applyNumberFormat="1" applyFont="1" applyAlignment="1">
      <alignment horizontal="right"/>
    </xf>
    <xf numFmtId="4" fontId="77" fillId="0" borderId="0" xfId="1" applyNumberFormat="1" applyFont="1" applyAlignment="1">
      <alignment horizontal="right"/>
    </xf>
    <xf numFmtId="4" fontId="37" fillId="0" borderId="0" xfId="1" applyNumberFormat="1" applyFont="1" applyAlignment="1">
      <alignment horizontal="right"/>
    </xf>
    <xf numFmtId="0" fontId="6" fillId="0" borderId="5" xfId="1" applyFont="1" applyBorder="1" applyAlignment="1">
      <alignment horizont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2" borderId="5" xfId="3" applyNumberFormat="1" applyFont="1" applyFill="1" applyBorder="1" applyAlignment="1" applyProtection="1">
      <alignment horizontal="center" vertical="center" wrapText="1"/>
    </xf>
    <xf numFmtId="0" fontId="6" fillId="0" borderId="62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4" fontId="8" fillId="0" borderId="64" xfId="4" applyNumberFormat="1" applyFont="1" applyBorder="1" applyAlignment="1">
      <alignment horizontal="center" vertical="center" wrapText="1"/>
    </xf>
    <xf numFmtId="0" fontId="73" fillId="0" borderId="0" xfId="2" applyNumberFormat="1" applyFont="1" applyFill="1" applyBorder="1" applyAlignment="1" applyProtection="1">
      <alignment vertical="center"/>
    </xf>
    <xf numFmtId="0" fontId="8" fillId="0" borderId="0" xfId="2" applyNumberFormat="1" applyFont="1" applyFill="1" applyBorder="1" applyAlignment="1" applyProtection="1">
      <alignment vertical="center"/>
    </xf>
    <xf numFmtId="4" fontId="8" fillId="0" borderId="0" xfId="1" applyNumberFormat="1" applyFont="1" applyAlignment="1">
      <alignment horizontal="right" vertical="center"/>
    </xf>
    <xf numFmtId="0" fontId="78" fillId="0" borderId="0" xfId="1" applyFont="1" applyAlignment="1">
      <alignment horizontal="center" vertical="center"/>
    </xf>
    <xf numFmtId="0" fontId="79" fillId="0" borderId="5" xfId="1" applyFont="1" applyBorder="1" applyAlignment="1">
      <alignment horizontal="left"/>
    </xf>
    <xf numFmtId="4" fontId="79" fillId="0" borderId="5" xfId="1" applyNumberFormat="1" applyFont="1" applyBorder="1" applyAlignment="1">
      <alignment horizontal="left" vertical="center"/>
    </xf>
    <xf numFmtId="4" fontId="79" fillId="0" borderId="6" xfId="1" applyNumberFormat="1" applyFont="1" applyBorder="1" applyAlignment="1">
      <alignment horizontal="left" vertical="center" wrapText="1"/>
    </xf>
    <xf numFmtId="4" fontId="79" fillId="0" borderId="5" xfId="1" applyNumberFormat="1" applyFont="1" applyBorder="1" applyAlignment="1">
      <alignment horizontal="right" vertical="center"/>
    </xf>
    <xf numFmtId="4" fontId="79" fillId="0" borderId="4" xfId="1" applyNumberFormat="1" applyFont="1" applyBorder="1" applyAlignment="1">
      <alignment horizontal="right" vertical="center"/>
    </xf>
    <xf numFmtId="4" fontId="78" fillId="0" borderId="8" xfId="1" applyNumberFormat="1" applyFont="1" applyBorder="1" applyAlignment="1">
      <alignment horizontal="right" vertical="center"/>
    </xf>
    <xf numFmtId="4" fontId="37" fillId="0" borderId="0" xfId="1" applyNumberFormat="1" applyFont="1" applyAlignment="1">
      <alignment horizontal="right" vertical="top"/>
    </xf>
    <xf numFmtId="4" fontId="78" fillId="0" borderId="0" xfId="1" applyNumberFormat="1" applyFont="1" applyAlignment="1">
      <alignment horizontal="right" vertical="top"/>
    </xf>
    <xf numFmtId="0" fontId="78" fillId="0" borderId="0" xfId="1" applyFont="1" applyAlignment="1">
      <alignment horizontal="left" vertical="top"/>
    </xf>
    <xf numFmtId="4" fontId="79" fillId="0" borderId="6" xfId="1" applyNumberFormat="1" applyFont="1" applyBorder="1" applyAlignment="1">
      <alignment horizontal="left" vertical="center"/>
    </xf>
    <xf numFmtId="0" fontId="79" fillId="5" borderId="5" xfId="1" applyFont="1" applyFill="1" applyBorder="1" applyAlignment="1">
      <alignment horizontal="left"/>
    </xf>
    <xf numFmtId="0" fontId="79" fillId="0" borderId="5" xfId="1" applyFont="1" applyBorder="1" applyAlignment="1">
      <alignment horizontal="left" vertical="center"/>
    </xf>
    <xf numFmtId="4" fontId="79" fillId="0" borderId="32" xfId="1" applyNumberFormat="1" applyFont="1" applyBorder="1" applyAlignment="1">
      <alignment horizontal="right" vertical="center"/>
    </xf>
    <xf numFmtId="4" fontId="79" fillId="0" borderId="8" xfId="1" applyNumberFormat="1" applyFont="1" applyBorder="1" applyAlignment="1">
      <alignment horizontal="right" vertical="center"/>
    </xf>
    <xf numFmtId="4" fontId="79" fillId="0" borderId="23" xfId="1" applyNumberFormat="1" applyFont="1" applyBorder="1" applyAlignment="1">
      <alignment horizontal="right" vertical="center"/>
    </xf>
    <xf numFmtId="4" fontId="79" fillId="0" borderId="28" xfId="1" applyNumberFormat="1" applyFont="1" applyBorder="1" applyAlignment="1">
      <alignment horizontal="right" vertical="center"/>
    </xf>
    <xf numFmtId="4" fontId="79" fillId="0" borderId="5" xfId="1" applyNumberFormat="1" applyFont="1" applyBorder="1" applyAlignment="1">
      <alignment horizontal="right" vertical="top"/>
    </xf>
    <xf numFmtId="4" fontId="6" fillId="4" borderId="28" xfId="1" applyNumberFormat="1" applyFont="1" applyFill="1" applyBorder="1" applyAlignment="1">
      <alignment horizontal="right" vertical="center"/>
    </xf>
    <xf numFmtId="4" fontId="6" fillId="4" borderId="68" xfId="1" applyNumberFormat="1" applyFont="1" applyFill="1" applyBorder="1" applyAlignment="1">
      <alignment horizontal="right" vertical="center"/>
    </xf>
    <xf numFmtId="4" fontId="6" fillId="4" borderId="32" xfId="1" applyNumberFormat="1" applyFont="1" applyFill="1" applyBorder="1" applyAlignment="1">
      <alignment horizontal="right" vertical="center"/>
    </xf>
    <xf numFmtId="4" fontId="6" fillId="4" borderId="11" xfId="1" applyNumberFormat="1" applyFont="1" applyFill="1" applyBorder="1" applyAlignment="1">
      <alignment horizontal="right" vertical="center"/>
    </xf>
    <xf numFmtId="4" fontId="8" fillId="4" borderId="69" xfId="1" applyNumberFormat="1" applyFont="1" applyFill="1" applyBorder="1" applyAlignment="1">
      <alignment horizontal="right" vertical="center"/>
    </xf>
    <xf numFmtId="4" fontId="78" fillId="0" borderId="45" xfId="1" applyNumberFormat="1" applyFont="1" applyBorder="1" applyAlignment="1">
      <alignment horizontal="right" vertical="top"/>
    </xf>
    <xf numFmtId="4" fontId="79" fillId="0" borderId="0" xfId="1" applyNumberFormat="1" applyFont="1" applyAlignment="1">
      <alignment horizontal="right" vertical="top"/>
    </xf>
    <xf numFmtId="0" fontId="78" fillId="0" borderId="0" xfId="1" applyFont="1" applyAlignment="1">
      <alignment horizontal="left"/>
    </xf>
    <xf numFmtId="4" fontId="4" fillId="3" borderId="1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horizontal="center" vertical="center"/>
    </xf>
    <xf numFmtId="4" fontId="7" fillId="4" borderId="17" xfId="1" applyNumberFormat="1" applyFont="1" applyFill="1" applyBorder="1" applyAlignment="1">
      <alignment horizontal="center" vertical="center"/>
    </xf>
    <xf numFmtId="4" fontId="7" fillId="4" borderId="18" xfId="1" applyNumberFormat="1" applyFont="1" applyFill="1" applyBorder="1" applyAlignment="1">
      <alignment horizontal="center" vertical="center"/>
    </xf>
    <xf numFmtId="4" fontId="15" fillId="0" borderId="60" xfId="1" applyNumberFormat="1" applyFont="1" applyBorder="1" applyAlignment="1">
      <alignment horizontal="center"/>
    </xf>
    <xf numFmtId="4" fontId="15" fillId="0" borderId="61" xfId="1" applyNumberFormat="1" applyFont="1" applyBorder="1" applyAlignment="1">
      <alignment horizontal="center"/>
    </xf>
    <xf numFmtId="4" fontId="15" fillId="0" borderId="44" xfId="1" applyNumberFormat="1" applyFont="1" applyBorder="1" applyAlignment="1">
      <alignment horizontal="center"/>
    </xf>
    <xf numFmtId="4" fontId="5" fillId="4" borderId="60" xfId="1" applyNumberFormat="1" applyFont="1" applyFill="1" applyBorder="1" applyAlignment="1">
      <alignment horizontal="center" vertical="center"/>
    </xf>
    <xf numFmtId="4" fontId="5" fillId="4" borderId="61" xfId="1" applyNumberFormat="1" applyFont="1" applyFill="1" applyBorder="1" applyAlignment="1">
      <alignment horizontal="center" vertical="center"/>
    </xf>
    <xf numFmtId="4" fontId="5" fillId="4" borderId="44" xfId="1" applyNumberFormat="1" applyFont="1" applyFill="1" applyBorder="1" applyAlignment="1">
      <alignment horizontal="center" vertical="center"/>
    </xf>
    <xf numFmtId="4" fontId="76" fillId="0" borderId="60" xfId="1" applyNumberFormat="1" applyFont="1" applyBorder="1" applyAlignment="1">
      <alignment horizontal="center"/>
    </xf>
    <xf numFmtId="4" fontId="76" fillId="0" borderId="61" xfId="1" applyNumberFormat="1" applyFont="1" applyBorder="1" applyAlignment="1">
      <alignment horizontal="center"/>
    </xf>
    <xf numFmtId="4" fontId="76" fillId="0" borderId="44" xfId="1" applyNumberFormat="1" applyFont="1" applyBorder="1" applyAlignment="1">
      <alignment horizontal="center"/>
    </xf>
    <xf numFmtId="4" fontId="6" fillId="0" borderId="70" xfId="1" applyNumberFormat="1" applyFont="1" applyBorder="1" applyAlignment="1">
      <alignment horizontal="center" vertical="top"/>
    </xf>
    <xf numFmtId="4" fontId="6" fillId="0" borderId="14" xfId="1" applyNumberFormat="1" applyFont="1" applyBorder="1" applyAlignment="1">
      <alignment horizontal="center" vertical="top"/>
    </xf>
    <xf numFmtId="4" fontId="6" fillId="0" borderId="15" xfId="1" applyNumberFormat="1" applyFont="1" applyBorder="1" applyAlignment="1">
      <alignment horizontal="center" vertical="top"/>
    </xf>
  </cellXfs>
  <cellStyles count="9">
    <cellStyle name="Millares 2" xfId="2" xr:uid="{DB12D367-3EE4-4C45-8E50-03331CBDB0E3}"/>
    <cellStyle name="Millares 4" xfId="3" xr:uid="{9CAB81E9-F365-4BBB-9896-FAF111FA629E}"/>
    <cellStyle name="Normal" xfId="0" builtinId="0"/>
    <cellStyle name="Normal 11" xfId="5" xr:uid="{59DBB561-8EC3-46C2-863A-46EF6B4BCC8A}"/>
    <cellStyle name="Normal 2" xfId="6" xr:uid="{9863F9DC-2FF0-40B6-A836-03CEFFF1E923}"/>
    <cellStyle name="Normal 2 2" xfId="1" xr:uid="{65AF2F65-8664-42D7-953B-605CA9811E42}"/>
    <cellStyle name="Normal 3 4" xfId="4" xr:uid="{8EED0AD2-25A8-47CE-98C3-2AA1E3399AA2}"/>
    <cellStyle name="Normal 4" xfId="8" xr:uid="{F9629217-6ADD-4EF6-8CD2-CFAA05106ACA}"/>
    <cellStyle name="Normal_Hoja1" xfId="7" xr:uid="{9BCE91DF-832A-4F75-AC8B-84005FB51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ladecans.sharepoint.com/sites/15000-ServeisGenerals/15090Intervenci/0_AA_GEST%20ECON/PRESSUPOST%202026/03.%20Despeses%20PR26/Cap%206%20i%207%20PR26/Cap%206%20i%207%20PR26%208-10-25.xlsx" TargetMode="External"/><Relationship Id="rId1" Type="http://schemas.openxmlformats.org/officeDocument/2006/relationships/externalLinkPath" Target="/sites/15000-ServeisGenerals/15090Intervenci/0_AA_GEST%20ECON/PRESSUPOST%202026/03.%20Despeses%20PR26/Cap%206%20i%207%20PR26/work/Cap%206%20i%207%20PR26%208-10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ladecans.sharepoint.com/sites/15000-ServeisGenerals/15090Intervenci/0_AA_GEST%20ECON/PRESSUPOST%202026/03.%20Despeses%20PR26/Cap%206%20i%207%20PR26/Cap%206%20i%207%20PR26%2022-10-25.xlsx" TargetMode="External"/><Relationship Id="rId1" Type="http://schemas.openxmlformats.org/officeDocument/2006/relationships/externalLinkPath" Target="/sites/15000-ServeisGenerals/15090Intervenci/0_AA_GEST%20ECON/PRESSUPOST%202026/03.%20Despeses%20PR26/Cap%206%20i%207%20PR26/Cap%206%20i%207%20PR26%2022-10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grups1\interven\0_AA_GEST%20ECON\PRESSUPOST%202021\3%20DESPESES%2021\Cap%202%20i%204\0%20Docs%20treball%20proposta%20inicial\oper%20futures\oper%20futca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ven/0_AA_GEST%20ECON/PRESSUPOST%202020/4%20DESPESES%202020/Cap%202%20i%204/0%20Docs%20de%20treball%20proposta%20inicial/CAP%202%20i%204%20Pressup2020%20a%20data%202-9-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grups1\interven\0_AA_GEST%20ECON\PRESSUPOST%202020\4%20DESPESES%202020\Cap%202%20i%204\0%20Docs%20de%20treball%20proposta%20inicial\CAP%202%20i%204%20Pressup2020%20a%20data%202-9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PR26 8oct"/>
      <sheetName val="Sist inf26"/>
      <sheetName val="invPR26 7-10"/>
      <sheetName val="invPR26 2-10"/>
      <sheetName val="invPR26 1-10"/>
      <sheetName val="E Public"/>
      <sheetName val="futs 7oct"/>
      <sheetName val="invPR26 19-9"/>
      <sheetName val="invPR26 10-7"/>
      <sheetName val="EE inv25"/>
      <sheetName val="futs 19-09"/>
      <sheetName val="futs 19set"/>
      <sheetName val="esc26 25jul"/>
      <sheetName val="sdo fut9-7-25"/>
      <sheetName val="pwp26"/>
      <sheetName val="n2"/>
      <sheetName val="o"/>
      <sheetName val="invPR25final"/>
      <sheetName val="no"/>
      <sheetName val="esc25 8nov"/>
      <sheetName val="inv25 10-7"/>
      <sheetName val="Part_proj25"/>
      <sheetName val="PAIF25"/>
      <sheetName val="PAIF25-28"/>
      <sheetName val="pwp25"/>
      <sheetName val="futs 9-7-25"/>
      <sheetName val="EE 10-7-25"/>
      <sheetName val="PAIF26"/>
      <sheetName val="esc26 8oct"/>
      <sheetName val="PAIF26-29 pr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PR26 23oct"/>
      <sheetName val="PAIF26 23oct"/>
      <sheetName val="PAIF26-29 PENDENT"/>
      <sheetName val="PAIF26-29 prep"/>
      <sheetName val="invPR26 8oct"/>
      <sheetName val="PAIF26vs25"/>
      <sheetName val="esc26 8oct"/>
      <sheetName val="Sist inf26"/>
      <sheetName val="invPR26 7-10"/>
      <sheetName val="no2"/>
      <sheetName val="invPR26 2-10"/>
      <sheetName val="invPR26 1-10"/>
      <sheetName val="E Public"/>
      <sheetName val="futs 7oct"/>
      <sheetName val="invPR26 19-9"/>
      <sheetName val="invPR26 10-7"/>
      <sheetName val="EE inv25"/>
      <sheetName val="futs 19-09"/>
      <sheetName val="futs 19set"/>
      <sheetName val="esc26 25jul"/>
      <sheetName val="sdo fut9-7-25"/>
      <sheetName val="pwp26"/>
      <sheetName val="n2"/>
      <sheetName val="o"/>
      <sheetName val="invPR25final"/>
      <sheetName val="no"/>
      <sheetName val="esc25 8nov"/>
      <sheetName val="inv25 10-7"/>
      <sheetName val="Part_proj25"/>
      <sheetName val="PAIF25"/>
      <sheetName val="PAIF25-28"/>
      <sheetName val="pwp25"/>
      <sheetName val="futs 9-7-25"/>
      <sheetName val="EE 10-7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4000</v>
          </cell>
        </row>
        <row r="9">
          <cell r="D9">
            <v>30000</v>
          </cell>
        </row>
        <row r="10">
          <cell r="D10">
            <v>22000</v>
          </cell>
        </row>
        <row r="11">
          <cell r="D11">
            <v>32000</v>
          </cell>
        </row>
        <row r="12">
          <cell r="D12">
            <v>50000</v>
          </cell>
        </row>
        <row r="13">
          <cell r="D13">
            <v>50000</v>
          </cell>
        </row>
        <row r="14">
          <cell r="D14">
            <v>6000</v>
          </cell>
        </row>
        <row r="15">
          <cell r="D15">
            <v>2500</v>
          </cell>
        </row>
        <row r="16">
          <cell r="D16">
            <v>25000</v>
          </cell>
        </row>
        <row r="17">
          <cell r="D17">
            <v>30000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taula"/>
      <sheetName val="opfut cap2 2021"/>
      <sheetName val="Report"/>
      <sheetName val="com es treu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des"/>
      <sheetName val="Cap 2,4,6"/>
      <sheetName val="Cap 2,4"/>
      <sheetName val="Cap 2,4 (noRC)"/>
      <sheetName val="resum a revisar"/>
      <sheetName val="exec2i4 SDOS"/>
      <sheetName val="op fut supera crèdit"/>
      <sheetName val="oper fut17jul"/>
      <sheetName val="varC2 inicials19"/>
      <sheetName val="varC4 inicials19-"/>
      <sheetName val="submin S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des"/>
      <sheetName val="Cap 2,4,6"/>
      <sheetName val="Cap 2,4"/>
      <sheetName val="Cap 2,4 (noRC)"/>
      <sheetName val="resum a revisar"/>
      <sheetName val="exec2i4 SDOS"/>
      <sheetName val="op fut supera crèdit"/>
      <sheetName val="oper fut17jul"/>
      <sheetName val="varC2 inicials19"/>
      <sheetName val="varC4 inicials19-"/>
      <sheetName val="submin S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0668-E29F-428A-87D7-67DA042DD46D}">
  <sheetPr>
    <tabColor rgb="FFFFC000"/>
    <pageSetUpPr fitToPage="1"/>
  </sheetPr>
  <dimension ref="A1:IV114"/>
  <sheetViews>
    <sheetView tabSelected="1" zoomScaleNormal="100" workbookViewId="0">
      <pane ySplit="4" topLeftCell="A5" activePane="bottomLeft" state="frozen"/>
      <selection pane="bottomLeft" activeCell="B6" sqref="B6"/>
    </sheetView>
  </sheetViews>
  <sheetFormatPr baseColWidth="10" defaultColWidth="9.140625" defaultRowHeight="13.5" x14ac:dyDescent="0.25"/>
  <cols>
    <col min="1" max="1" width="8.140625" style="1" customWidth="1"/>
    <col min="2" max="2" width="18.140625" style="2" customWidth="1"/>
    <col min="3" max="3" width="61.85546875" style="2" customWidth="1"/>
    <col min="4" max="11" width="14.140625" style="2" customWidth="1"/>
    <col min="12" max="232" width="9.140625" style="1"/>
    <col min="233" max="233" width="8.85546875" style="1" bestFit="1" customWidth="1"/>
    <col min="234" max="234" width="17.85546875" style="1" bestFit="1" customWidth="1"/>
    <col min="235" max="235" width="36" style="1" customWidth="1"/>
    <col min="236" max="236" width="11.5703125" style="1" bestFit="1" customWidth="1"/>
    <col min="237" max="237" width="12" style="1" bestFit="1" customWidth="1"/>
    <col min="238" max="238" width="11.42578125" style="1" customWidth="1"/>
    <col min="239" max="239" width="12.5703125" style="1" customWidth="1"/>
    <col min="240" max="240" width="11.85546875" style="1" bestFit="1" customWidth="1"/>
    <col min="241" max="241" width="13.5703125" style="1" customWidth="1"/>
    <col min="242" max="242" width="11.5703125" style="1" bestFit="1" customWidth="1"/>
    <col min="243" max="243" width="11.5703125" style="1" customWidth="1"/>
    <col min="244" max="244" width="12.85546875" style="1" customWidth="1"/>
    <col min="245" max="247" width="11.5703125" style="1" bestFit="1" customWidth="1"/>
    <col min="248" max="248" width="11.85546875" style="1" bestFit="1" customWidth="1"/>
    <col min="249" max="249" width="11.5703125" style="1" bestFit="1" customWidth="1"/>
    <col min="250" max="250" width="10.42578125" style="1" bestFit="1" customWidth="1"/>
    <col min="251" max="252" width="11.5703125" style="1" bestFit="1" customWidth="1"/>
    <col min="253" max="253" width="10.140625" style="1" bestFit="1" customWidth="1"/>
    <col min="254" max="254" width="10.42578125" style="1" bestFit="1" customWidth="1"/>
    <col min="255" max="256" width="10.140625" style="1" bestFit="1" customWidth="1"/>
    <col min="257" max="16384" width="9.140625" style="44"/>
  </cols>
  <sheetData>
    <row r="1" spans="1:11" x14ac:dyDescent="0.25">
      <c r="J1" s="3"/>
      <c r="K1" s="3" t="s">
        <v>0</v>
      </c>
    </row>
    <row r="2" spans="1:11" ht="14.25" thickBot="1" x14ac:dyDescent="0.3">
      <c r="J2" s="3"/>
      <c r="K2" s="3" t="s">
        <v>1</v>
      </c>
    </row>
    <row r="3" spans="1:11" ht="21.75" thickBot="1" x14ac:dyDescent="0.3">
      <c r="A3" s="47"/>
      <c r="B3" s="48" t="s">
        <v>2</v>
      </c>
      <c r="C3" s="46"/>
      <c r="D3" s="45"/>
      <c r="E3" s="430" t="s">
        <v>3</v>
      </c>
      <c r="F3" s="431"/>
      <c r="G3" s="431"/>
      <c r="H3" s="431"/>
      <c r="I3" s="431"/>
      <c r="J3" s="431"/>
      <c r="K3" s="432"/>
    </row>
    <row r="4" spans="1:11" s="12" customFormat="1" ht="40.5" x14ac:dyDescent="0.25">
      <c r="A4" s="4" t="s">
        <v>4</v>
      </c>
      <c r="B4" s="5" t="s">
        <v>5</v>
      </c>
      <c r="C4" s="6" t="s">
        <v>6</v>
      </c>
      <c r="D4" s="7" t="s">
        <v>7</v>
      </c>
      <c r="E4" s="8" t="s">
        <v>8</v>
      </c>
      <c r="F4" s="9" t="s">
        <v>9</v>
      </c>
      <c r="G4" s="9" t="s">
        <v>10</v>
      </c>
      <c r="H4" s="10" t="s">
        <v>11</v>
      </c>
      <c r="I4" s="9" t="s">
        <v>12</v>
      </c>
      <c r="J4" s="9" t="s">
        <v>13</v>
      </c>
      <c r="K4" s="11" t="s">
        <v>14</v>
      </c>
    </row>
    <row r="5" spans="1:11" ht="15.75" x14ac:dyDescent="0.25">
      <c r="A5" s="13"/>
      <c r="B5" s="14" t="s">
        <v>15</v>
      </c>
      <c r="C5" s="15" t="s">
        <v>16</v>
      </c>
      <c r="D5" s="16">
        <v>156887</v>
      </c>
      <c r="E5" s="17"/>
      <c r="F5" s="18"/>
      <c r="G5" s="18"/>
      <c r="H5" s="18"/>
      <c r="I5" s="18"/>
      <c r="J5" s="18">
        <f t="shared" ref="J5:J40" si="0">+D5-SUM(E5:I5)</f>
        <v>156887</v>
      </c>
      <c r="K5" s="19">
        <f t="shared" ref="K5:K40" si="1">SUM(E5:J5)</f>
        <v>156887</v>
      </c>
    </row>
    <row r="6" spans="1:11" ht="15.75" x14ac:dyDescent="0.25">
      <c r="A6" s="13"/>
      <c r="B6" s="14" t="s">
        <v>566</v>
      </c>
      <c r="C6" s="15" t="s">
        <v>18</v>
      </c>
      <c r="D6" s="16">
        <v>50000</v>
      </c>
      <c r="E6" s="17"/>
      <c r="F6" s="18"/>
      <c r="G6" s="18"/>
      <c r="H6" s="18"/>
      <c r="I6" s="18"/>
      <c r="J6" s="18">
        <f t="shared" si="0"/>
        <v>50000</v>
      </c>
      <c r="K6" s="19">
        <f t="shared" si="1"/>
        <v>50000</v>
      </c>
    </row>
    <row r="7" spans="1:11" ht="15.75" x14ac:dyDescent="0.25">
      <c r="A7" s="13"/>
      <c r="B7" s="14" t="s">
        <v>19</v>
      </c>
      <c r="C7" s="15" t="s">
        <v>20</v>
      </c>
      <c r="D7" s="16">
        <v>50000</v>
      </c>
      <c r="E7" s="17"/>
      <c r="F7" s="18"/>
      <c r="G7" s="18"/>
      <c r="H7" s="18"/>
      <c r="I7" s="18"/>
      <c r="J7" s="18">
        <f t="shared" si="0"/>
        <v>50000</v>
      </c>
      <c r="K7" s="19">
        <f t="shared" si="1"/>
        <v>50000</v>
      </c>
    </row>
    <row r="8" spans="1:11" ht="15.75" x14ac:dyDescent="0.25">
      <c r="A8" s="13"/>
      <c r="B8" s="14" t="s">
        <v>21</v>
      </c>
      <c r="C8" s="15" t="s">
        <v>22</v>
      </c>
      <c r="D8" s="16">
        <v>200000</v>
      </c>
      <c r="E8" s="17"/>
      <c r="F8" s="18"/>
      <c r="G8" s="18"/>
      <c r="H8" s="18"/>
      <c r="I8" s="18"/>
      <c r="J8" s="18">
        <f t="shared" si="0"/>
        <v>200000</v>
      </c>
      <c r="K8" s="19">
        <f t="shared" si="1"/>
        <v>200000</v>
      </c>
    </row>
    <row r="9" spans="1:11" ht="15.75" x14ac:dyDescent="0.25">
      <c r="A9" s="13" t="s">
        <v>118</v>
      </c>
      <c r="B9" s="14" t="s">
        <v>23</v>
      </c>
      <c r="C9" s="20" t="s">
        <v>24</v>
      </c>
      <c r="D9" s="16">
        <v>135000</v>
      </c>
      <c r="E9" s="17">
        <v>100000</v>
      </c>
      <c r="F9" s="18"/>
      <c r="G9" s="18"/>
      <c r="H9" s="18"/>
      <c r="I9" s="18"/>
      <c r="J9" s="18">
        <f t="shared" si="0"/>
        <v>35000</v>
      </c>
      <c r="K9" s="19">
        <f t="shared" si="1"/>
        <v>135000</v>
      </c>
    </row>
    <row r="10" spans="1:11" ht="15.75" x14ac:dyDescent="0.25">
      <c r="A10" s="13"/>
      <c r="B10" s="14" t="s">
        <v>25</v>
      </c>
      <c r="C10" s="15" t="s">
        <v>26</v>
      </c>
      <c r="D10" s="16">
        <v>95000</v>
      </c>
      <c r="E10" s="17"/>
      <c r="F10" s="18"/>
      <c r="G10" s="18"/>
      <c r="H10" s="18">
        <v>15000</v>
      </c>
      <c r="I10" s="18"/>
      <c r="J10" s="18">
        <f t="shared" si="0"/>
        <v>80000</v>
      </c>
      <c r="K10" s="19">
        <f t="shared" si="1"/>
        <v>95000</v>
      </c>
    </row>
    <row r="11" spans="1:11" ht="15.75" x14ac:dyDescent="0.25">
      <c r="A11" s="13"/>
      <c r="B11" s="14" t="s">
        <v>27</v>
      </c>
      <c r="C11" s="15" t="s">
        <v>28</v>
      </c>
      <c r="D11" s="16">
        <v>10</v>
      </c>
      <c r="E11" s="17"/>
      <c r="F11" s="18"/>
      <c r="G11" s="18"/>
      <c r="H11" s="18"/>
      <c r="I11" s="18"/>
      <c r="J11" s="18">
        <f t="shared" si="0"/>
        <v>10</v>
      </c>
      <c r="K11" s="19">
        <f t="shared" si="1"/>
        <v>10</v>
      </c>
    </row>
    <row r="12" spans="1:11" s="1" customFormat="1" ht="15.75" x14ac:dyDescent="0.25">
      <c r="A12" s="13" t="s">
        <v>29</v>
      </c>
      <c r="B12" s="14" t="s">
        <v>30</v>
      </c>
      <c r="C12" s="15" t="s">
        <v>31</v>
      </c>
      <c r="D12" s="16">
        <v>266000</v>
      </c>
      <c r="E12" s="17">
        <v>100000</v>
      </c>
      <c r="F12" s="18"/>
      <c r="G12" s="18"/>
      <c r="H12" s="18"/>
      <c r="I12" s="18"/>
      <c r="J12" s="18">
        <f t="shared" si="0"/>
        <v>166000</v>
      </c>
      <c r="K12" s="19">
        <f t="shared" si="1"/>
        <v>266000</v>
      </c>
    </row>
    <row r="13" spans="1:11" s="1" customFormat="1" ht="15.75" x14ac:dyDescent="0.25">
      <c r="A13" s="13"/>
      <c r="B13" s="14" t="s">
        <v>32</v>
      </c>
      <c r="C13" s="15" t="s">
        <v>33</v>
      </c>
      <c r="D13" s="16">
        <v>10</v>
      </c>
      <c r="E13" s="17"/>
      <c r="F13" s="18"/>
      <c r="G13" s="18"/>
      <c r="H13" s="18"/>
      <c r="I13" s="18"/>
      <c r="J13" s="18">
        <f t="shared" si="0"/>
        <v>10</v>
      </c>
      <c r="K13" s="19">
        <f t="shared" si="1"/>
        <v>10</v>
      </c>
    </row>
    <row r="14" spans="1:11" s="1" customFormat="1" ht="15.75" x14ac:dyDescent="0.25">
      <c r="A14" s="13"/>
      <c r="B14" s="14" t="s">
        <v>34</v>
      </c>
      <c r="C14" s="15" t="s">
        <v>35</v>
      </c>
      <c r="D14" s="16">
        <v>10</v>
      </c>
      <c r="E14" s="17"/>
      <c r="F14" s="18"/>
      <c r="G14" s="18"/>
      <c r="H14" s="18"/>
      <c r="I14" s="18"/>
      <c r="J14" s="18">
        <f t="shared" si="0"/>
        <v>10</v>
      </c>
      <c r="K14" s="19">
        <f t="shared" si="1"/>
        <v>10</v>
      </c>
    </row>
    <row r="15" spans="1:11" s="1" customFormat="1" ht="15.75" x14ac:dyDescent="0.25">
      <c r="A15" s="13" t="s">
        <v>36</v>
      </c>
      <c r="B15" s="14" t="s">
        <v>37</v>
      </c>
      <c r="C15" s="15" t="s">
        <v>38</v>
      </c>
      <c r="D15" s="16">
        <v>63272</v>
      </c>
      <c r="E15" s="17"/>
      <c r="F15" s="18"/>
      <c r="G15" s="18"/>
      <c r="H15" s="18"/>
      <c r="I15" s="18"/>
      <c r="J15" s="18">
        <f t="shared" si="0"/>
        <v>63272</v>
      </c>
      <c r="K15" s="19">
        <f t="shared" si="1"/>
        <v>63272</v>
      </c>
    </row>
    <row r="16" spans="1:11" s="1" customFormat="1" ht="15.75" x14ac:dyDescent="0.25">
      <c r="A16" s="13"/>
      <c r="B16" s="14" t="s">
        <v>39</v>
      </c>
      <c r="C16" s="15" t="s">
        <v>40</v>
      </c>
      <c r="D16" s="16">
        <v>10</v>
      </c>
      <c r="E16" s="17"/>
      <c r="F16" s="18"/>
      <c r="G16" s="18"/>
      <c r="H16" s="18"/>
      <c r="I16" s="18"/>
      <c r="J16" s="18">
        <f t="shared" si="0"/>
        <v>10</v>
      </c>
      <c r="K16" s="19">
        <f t="shared" si="1"/>
        <v>10</v>
      </c>
    </row>
    <row r="17" spans="1:11" s="1" customFormat="1" ht="31.5" x14ac:dyDescent="0.25">
      <c r="A17" s="13" t="s">
        <v>41</v>
      </c>
      <c r="B17" s="14" t="s">
        <v>42</v>
      </c>
      <c r="C17" s="15" t="s">
        <v>43</v>
      </c>
      <c r="D17" s="16">
        <v>14865</v>
      </c>
      <c r="E17" s="17"/>
      <c r="F17" s="18"/>
      <c r="G17" s="18"/>
      <c r="H17" s="18"/>
      <c r="I17" s="18"/>
      <c r="J17" s="18">
        <f t="shared" si="0"/>
        <v>14865</v>
      </c>
      <c r="K17" s="19">
        <f t="shared" si="1"/>
        <v>14865</v>
      </c>
    </row>
    <row r="18" spans="1:11" s="1" customFormat="1" ht="15.75" x14ac:dyDescent="0.25">
      <c r="A18" s="13" t="s">
        <v>41</v>
      </c>
      <c r="B18" s="14" t="s">
        <v>44</v>
      </c>
      <c r="C18" s="15" t="s">
        <v>45</v>
      </c>
      <c r="D18" s="16">
        <v>8280</v>
      </c>
      <c r="E18" s="17"/>
      <c r="F18" s="18"/>
      <c r="G18" s="18"/>
      <c r="H18" s="18"/>
      <c r="I18" s="18"/>
      <c r="J18" s="18">
        <f t="shared" si="0"/>
        <v>8280</v>
      </c>
      <c r="K18" s="19">
        <f t="shared" si="1"/>
        <v>8280</v>
      </c>
    </row>
    <row r="19" spans="1:11" s="1" customFormat="1" ht="15.75" x14ac:dyDescent="0.25">
      <c r="A19" s="13" t="s">
        <v>41</v>
      </c>
      <c r="B19" s="14" t="s">
        <v>46</v>
      </c>
      <c r="C19" s="15" t="s">
        <v>47</v>
      </c>
      <c r="D19" s="16">
        <v>13978</v>
      </c>
      <c r="E19" s="17"/>
      <c r="F19" s="18"/>
      <c r="G19" s="18"/>
      <c r="H19" s="18"/>
      <c r="I19" s="18"/>
      <c r="J19" s="18">
        <f t="shared" si="0"/>
        <v>13978</v>
      </c>
      <c r="K19" s="19">
        <f t="shared" si="1"/>
        <v>13978</v>
      </c>
    </row>
    <row r="20" spans="1:11" s="1" customFormat="1" ht="31.5" x14ac:dyDescent="0.25">
      <c r="A20" s="13" t="s">
        <v>41</v>
      </c>
      <c r="B20" s="14" t="s">
        <v>48</v>
      </c>
      <c r="C20" s="15" t="s">
        <v>49</v>
      </c>
      <c r="D20" s="16">
        <v>9215</v>
      </c>
      <c r="E20" s="17"/>
      <c r="F20" s="18"/>
      <c r="G20" s="18"/>
      <c r="H20" s="18"/>
      <c r="I20" s="18"/>
      <c r="J20" s="18">
        <f t="shared" si="0"/>
        <v>9215</v>
      </c>
      <c r="K20" s="19">
        <f t="shared" si="1"/>
        <v>9215</v>
      </c>
    </row>
    <row r="21" spans="1:11" s="1" customFormat="1" ht="15.75" x14ac:dyDescent="0.25">
      <c r="A21" s="13" t="s">
        <v>50</v>
      </c>
      <c r="B21" s="14" t="s">
        <v>51</v>
      </c>
      <c r="C21" s="15" t="s">
        <v>52</v>
      </c>
      <c r="D21" s="16">
        <v>24575</v>
      </c>
      <c r="E21" s="17"/>
      <c r="F21" s="18"/>
      <c r="G21" s="18"/>
      <c r="H21" s="18"/>
      <c r="I21" s="18"/>
      <c r="J21" s="18">
        <f t="shared" si="0"/>
        <v>24575</v>
      </c>
      <c r="K21" s="19">
        <f t="shared" si="1"/>
        <v>24575</v>
      </c>
    </row>
    <row r="22" spans="1:11" s="1" customFormat="1" ht="15.75" x14ac:dyDescent="0.25">
      <c r="A22" s="13"/>
      <c r="B22" s="14" t="s">
        <v>53</v>
      </c>
      <c r="C22" s="15" t="s">
        <v>54</v>
      </c>
      <c r="D22" s="16">
        <v>320000</v>
      </c>
      <c r="E22" s="17"/>
      <c r="F22" s="18"/>
      <c r="G22" s="18"/>
      <c r="H22" s="18"/>
      <c r="I22" s="18"/>
      <c r="J22" s="18">
        <f t="shared" si="0"/>
        <v>320000</v>
      </c>
      <c r="K22" s="19">
        <f t="shared" si="1"/>
        <v>320000</v>
      </c>
    </row>
    <row r="23" spans="1:11" s="1" customFormat="1" ht="15.75" x14ac:dyDescent="0.25">
      <c r="A23" s="13"/>
      <c r="B23" s="14" t="s">
        <v>55</v>
      </c>
      <c r="C23" s="15" t="s">
        <v>56</v>
      </c>
      <c r="D23" s="16">
        <v>10</v>
      </c>
      <c r="E23" s="17"/>
      <c r="F23" s="18"/>
      <c r="G23" s="18"/>
      <c r="H23" s="18"/>
      <c r="I23" s="18"/>
      <c r="J23" s="18">
        <f t="shared" si="0"/>
        <v>10</v>
      </c>
      <c r="K23" s="19">
        <f t="shared" si="1"/>
        <v>10</v>
      </c>
    </row>
    <row r="24" spans="1:11" s="1" customFormat="1" ht="15.75" x14ac:dyDescent="0.25">
      <c r="A24" s="13"/>
      <c r="B24" s="14" t="s">
        <v>57</v>
      </c>
      <c r="C24" s="15" t="s">
        <v>58</v>
      </c>
      <c r="D24" s="16">
        <v>10</v>
      </c>
      <c r="E24" s="17"/>
      <c r="F24" s="18"/>
      <c r="G24" s="18"/>
      <c r="H24" s="18"/>
      <c r="I24" s="18"/>
      <c r="J24" s="18">
        <f t="shared" si="0"/>
        <v>10</v>
      </c>
      <c r="K24" s="19">
        <f t="shared" si="1"/>
        <v>10</v>
      </c>
    </row>
    <row r="25" spans="1:11" s="1" customFormat="1" ht="15.75" x14ac:dyDescent="0.25">
      <c r="A25" s="13"/>
      <c r="B25" s="14" t="s">
        <v>59</v>
      </c>
      <c r="C25" s="15" t="s">
        <v>60</v>
      </c>
      <c r="D25" s="16">
        <v>50000</v>
      </c>
      <c r="E25" s="17"/>
      <c r="F25" s="18"/>
      <c r="G25" s="18"/>
      <c r="H25" s="18"/>
      <c r="I25" s="18"/>
      <c r="J25" s="18">
        <f t="shared" si="0"/>
        <v>50000</v>
      </c>
      <c r="K25" s="19">
        <f t="shared" si="1"/>
        <v>50000</v>
      </c>
    </row>
    <row r="26" spans="1:11" s="1" customFormat="1" ht="15.75" x14ac:dyDescent="0.25">
      <c r="A26" s="13"/>
      <c r="B26" s="14" t="s">
        <v>61</v>
      </c>
      <c r="C26" s="15" t="s">
        <v>62</v>
      </c>
      <c r="D26" s="16">
        <v>10</v>
      </c>
      <c r="E26" s="17"/>
      <c r="F26" s="18"/>
      <c r="G26" s="18"/>
      <c r="H26" s="18"/>
      <c r="I26" s="18"/>
      <c r="J26" s="18">
        <f t="shared" si="0"/>
        <v>10</v>
      </c>
      <c r="K26" s="19">
        <f t="shared" si="1"/>
        <v>10</v>
      </c>
    </row>
    <row r="27" spans="1:11" s="1" customFormat="1" ht="15.75" x14ac:dyDescent="0.25">
      <c r="A27" s="13"/>
      <c r="B27" s="14" t="s">
        <v>63</v>
      </c>
      <c r="C27" s="15" t="s">
        <v>64</v>
      </c>
      <c r="D27" s="16">
        <v>6000</v>
      </c>
      <c r="E27" s="17"/>
      <c r="F27" s="18"/>
      <c r="G27" s="18"/>
      <c r="H27" s="18"/>
      <c r="I27" s="18"/>
      <c r="J27" s="18">
        <f t="shared" si="0"/>
        <v>6000</v>
      </c>
      <c r="K27" s="19">
        <f t="shared" si="1"/>
        <v>6000</v>
      </c>
    </row>
    <row r="28" spans="1:11" s="1" customFormat="1" ht="15.75" x14ac:dyDescent="0.25">
      <c r="A28" s="13" t="s">
        <v>65</v>
      </c>
      <c r="B28" s="14" t="s">
        <v>66</v>
      </c>
      <c r="C28" s="15" t="s">
        <v>67</v>
      </c>
      <c r="D28" s="16">
        <v>220528</v>
      </c>
      <c r="E28" s="17"/>
      <c r="F28" s="18"/>
      <c r="G28" s="18"/>
      <c r="H28" s="18"/>
      <c r="I28" s="18"/>
      <c r="J28" s="18">
        <f t="shared" si="0"/>
        <v>220528</v>
      </c>
      <c r="K28" s="19">
        <f t="shared" si="1"/>
        <v>220528</v>
      </c>
    </row>
    <row r="29" spans="1:11" s="1" customFormat="1" ht="15.75" x14ac:dyDescent="0.25">
      <c r="A29" s="13"/>
      <c r="B29" s="14" t="s">
        <v>68</v>
      </c>
      <c r="C29" s="15" t="s">
        <v>69</v>
      </c>
      <c r="D29" s="16">
        <v>3500</v>
      </c>
      <c r="E29" s="17"/>
      <c r="F29" s="18"/>
      <c r="G29" s="18"/>
      <c r="H29" s="18"/>
      <c r="I29" s="18"/>
      <c r="J29" s="18">
        <f t="shared" si="0"/>
        <v>3500</v>
      </c>
      <c r="K29" s="19">
        <f t="shared" si="1"/>
        <v>3500</v>
      </c>
    </row>
    <row r="30" spans="1:11" s="1" customFormat="1" ht="15.75" x14ac:dyDescent="0.25">
      <c r="A30" s="13"/>
      <c r="B30" s="21" t="s">
        <v>70</v>
      </c>
      <c r="C30" s="15" t="s">
        <v>71</v>
      </c>
      <c r="D30" s="16">
        <v>3000</v>
      </c>
      <c r="E30" s="17"/>
      <c r="F30" s="18"/>
      <c r="G30" s="18"/>
      <c r="H30" s="18"/>
      <c r="I30" s="18"/>
      <c r="J30" s="18">
        <f t="shared" si="0"/>
        <v>3000</v>
      </c>
      <c r="K30" s="19">
        <f t="shared" si="1"/>
        <v>3000</v>
      </c>
    </row>
    <row r="31" spans="1:11" s="1" customFormat="1" ht="15.75" x14ac:dyDescent="0.25">
      <c r="A31" s="13"/>
      <c r="B31" s="14" t="s">
        <v>72</v>
      </c>
      <c r="C31" s="15" t="s">
        <v>73</v>
      </c>
      <c r="D31" s="16">
        <v>10</v>
      </c>
      <c r="E31" s="17"/>
      <c r="F31" s="18"/>
      <c r="G31" s="18"/>
      <c r="H31" s="18"/>
      <c r="I31" s="18"/>
      <c r="J31" s="18">
        <f t="shared" si="0"/>
        <v>10</v>
      </c>
      <c r="K31" s="19">
        <f t="shared" si="1"/>
        <v>10</v>
      </c>
    </row>
    <row r="32" spans="1:11" s="1" customFormat="1" ht="15.75" x14ac:dyDescent="0.25">
      <c r="A32" s="13"/>
      <c r="B32" s="14" t="s">
        <v>74</v>
      </c>
      <c r="C32" s="15" t="s">
        <v>75</v>
      </c>
      <c r="D32" s="16">
        <v>40000</v>
      </c>
      <c r="E32" s="17"/>
      <c r="F32" s="18"/>
      <c r="G32" s="18"/>
      <c r="H32" s="18"/>
      <c r="I32" s="18"/>
      <c r="J32" s="18">
        <f t="shared" si="0"/>
        <v>40000</v>
      </c>
      <c r="K32" s="19">
        <f t="shared" si="1"/>
        <v>40000</v>
      </c>
    </row>
    <row r="33" spans="1:11" s="1" customFormat="1" ht="15.75" x14ac:dyDescent="0.25">
      <c r="A33" s="13"/>
      <c r="B33" s="14" t="s">
        <v>76</v>
      </c>
      <c r="C33" s="15" t="s">
        <v>77</v>
      </c>
      <c r="D33" s="16">
        <v>100000</v>
      </c>
      <c r="E33" s="17"/>
      <c r="F33" s="18"/>
      <c r="G33" s="18"/>
      <c r="H33" s="18"/>
      <c r="I33" s="18"/>
      <c r="J33" s="18">
        <f t="shared" si="0"/>
        <v>100000</v>
      </c>
      <c r="K33" s="19">
        <f t="shared" si="1"/>
        <v>100000</v>
      </c>
    </row>
    <row r="34" spans="1:11" s="1" customFormat="1" ht="15.75" x14ac:dyDescent="0.25">
      <c r="A34" s="13"/>
      <c r="B34" s="14" t="s">
        <v>78</v>
      </c>
      <c r="C34" s="15" t="s">
        <v>79</v>
      </c>
      <c r="D34" s="16">
        <v>230000</v>
      </c>
      <c r="E34" s="17"/>
      <c r="F34" s="18"/>
      <c r="G34" s="18">
        <v>230000</v>
      </c>
      <c r="H34" s="18"/>
      <c r="I34" s="18"/>
      <c r="J34" s="18">
        <f t="shared" si="0"/>
        <v>0</v>
      </c>
      <c r="K34" s="19">
        <f t="shared" si="1"/>
        <v>230000</v>
      </c>
    </row>
    <row r="35" spans="1:11" s="1" customFormat="1" ht="15.75" x14ac:dyDescent="0.25">
      <c r="A35" s="13"/>
      <c r="B35" s="14" t="s">
        <v>80</v>
      </c>
      <c r="C35" s="15" t="s">
        <v>81</v>
      </c>
      <c r="D35" s="16">
        <v>50000</v>
      </c>
      <c r="E35" s="17"/>
      <c r="F35" s="18"/>
      <c r="G35" s="18"/>
      <c r="H35" s="18"/>
      <c r="I35" s="18"/>
      <c r="J35" s="18">
        <f t="shared" si="0"/>
        <v>50000</v>
      </c>
      <c r="K35" s="19">
        <f t="shared" si="1"/>
        <v>50000</v>
      </c>
    </row>
    <row r="36" spans="1:11" s="1" customFormat="1" ht="15.75" x14ac:dyDescent="0.25">
      <c r="A36" s="13" t="s">
        <v>82</v>
      </c>
      <c r="B36" s="14" t="s">
        <v>83</v>
      </c>
      <c r="C36" s="15" t="s">
        <v>84</v>
      </c>
      <c r="D36" s="16">
        <v>1604535</v>
      </c>
      <c r="E36" s="17">
        <v>1600000</v>
      </c>
      <c r="F36" s="18"/>
      <c r="G36" s="18"/>
      <c r="H36" s="18"/>
      <c r="I36" s="18"/>
      <c r="J36" s="18">
        <f t="shared" si="0"/>
        <v>4535</v>
      </c>
      <c r="K36" s="19">
        <f t="shared" si="1"/>
        <v>1604535</v>
      </c>
    </row>
    <row r="37" spans="1:11" s="1" customFormat="1" ht="15.75" x14ac:dyDescent="0.25">
      <c r="A37" s="13"/>
      <c r="B37" s="14" t="s">
        <v>85</v>
      </c>
      <c r="C37" s="15" t="s">
        <v>86</v>
      </c>
      <c r="D37" s="16">
        <v>10</v>
      </c>
      <c r="E37" s="17"/>
      <c r="F37" s="18"/>
      <c r="G37" s="18"/>
      <c r="H37" s="18"/>
      <c r="I37" s="18"/>
      <c r="J37" s="18">
        <f t="shared" si="0"/>
        <v>10</v>
      </c>
      <c r="K37" s="19">
        <f t="shared" si="1"/>
        <v>10</v>
      </c>
    </row>
    <row r="38" spans="1:11" s="1" customFormat="1" ht="15.75" x14ac:dyDescent="0.25">
      <c r="A38" s="13"/>
      <c r="B38" s="14" t="s">
        <v>87</v>
      </c>
      <c r="C38" s="15" t="s">
        <v>88</v>
      </c>
      <c r="D38" s="16">
        <v>36300</v>
      </c>
      <c r="E38" s="17"/>
      <c r="F38" s="18"/>
      <c r="G38" s="18"/>
      <c r="H38" s="18"/>
      <c r="I38" s="18"/>
      <c r="J38" s="18">
        <f t="shared" si="0"/>
        <v>36300</v>
      </c>
      <c r="K38" s="19">
        <f t="shared" si="1"/>
        <v>36300</v>
      </c>
    </row>
    <row r="39" spans="1:11" s="1" customFormat="1" ht="15.75" x14ac:dyDescent="0.25">
      <c r="A39" s="13"/>
      <c r="B39" s="14" t="s">
        <v>89</v>
      </c>
      <c r="C39" s="15" t="s">
        <v>90</v>
      </c>
      <c r="D39" s="16">
        <v>48400</v>
      </c>
      <c r="E39" s="17"/>
      <c r="F39" s="18"/>
      <c r="G39" s="18"/>
      <c r="H39" s="18"/>
      <c r="I39" s="18"/>
      <c r="J39" s="18">
        <f t="shared" si="0"/>
        <v>48400</v>
      </c>
      <c r="K39" s="19">
        <f t="shared" si="1"/>
        <v>48400</v>
      </c>
    </row>
    <row r="40" spans="1:11" s="1" customFormat="1" ht="15.75" x14ac:dyDescent="0.25">
      <c r="A40" s="13"/>
      <c r="B40" s="14" t="s">
        <v>91</v>
      </c>
      <c r="C40" s="15" t="s">
        <v>92</v>
      </c>
      <c r="D40" s="16">
        <v>100000</v>
      </c>
      <c r="E40" s="17"/>
      <c r="F40" s="18"/>
      <c r="G40" s="18"/>
      <c r="H40" s="18"/>
      <c r="I40" s="18"/>
      <c r="J40" s="18">
        <f t="shared" si="0"/>
        <v>100000</v>
      </c>
      <c r="K40" s="19">
        <f t="shared" si="1"/>
        <v>100000</v>
      </c>
    </row>
    <row r="41" spans="1:11" s="1" customFormat="1" ht="15.75" x14ac:dyDescent="0.25">
      <c r="A41" s="13"/>
      <c r="B41" s="22"/>
      <c r="C41" s="23" t="s">
        <v>93</v>
      </c>
      <c r="D41" s="24">
        <f t="shared" ref="D41:K41" si="2">SUM(D5:D40)</f>
        <v>3899425</v>
      </c>
      <c r="E41" s="25">
        <f t="shared" si="2"/>
        <v>1800000</v>
      </c>
      <c r="F41" s="26">
        <f t="shared" si="2"/>
        <v>0</v>
      </c>
      <c r="G41" s="26">
        <f t="shared" si="2"/>
        <v>230000</v>
      </c>
      <c r="H41" s="26">
        <f t="shared" si="2"/>
        <v>15000</v>
      </c>
      <c r="I41" s="26">
        <f t="shared" si="2"/>
        <v>0</v>
      </c>
      <c r="J41" s="26">
        <f t="shared" si="2"/>
        <v>1854425</v>
      </c>
      <c r="K41" s="27">
        <f t="shared" si="2"/>
        <v>3899425</v>
      </c>
    </row>
    <row r="42" spans="1:11" s="1" customFormat="1" ht="15.75" x14ac:dyDescent="0.25">
      <c r="A42" s="28"/>
      <c r="B42" s="14" t="s">
        <v>94</v>
      </c>
      <c r="C42" s="15" t="s">
        <v>95</v>
      </c>
      <c r="D42" s="16">
        <v>15000</v>
      </c>
      <c r="E42" s="17"/>
      <c r="F42" s="18"/>
      <c r="G42" s="18"/>
      <c r="H42" s="18"/>
      <c r="I42" s="18"/>
      <c r="J42" s="18">
        <f t="shared" ref="J42" si="3">+D42-SUM(E42:I42)</f>
        <v>15000</v>
      </c>
      <c r="K42" s="19">
        <f t="shared" ref="K42:K48" si="4">SUM(E42:J42)</f>
        <v>15000</v>
      </c>
    </row>
    <row r="43" spans="1:11" ht="15.75" x14ac:dyDescent="0.25">
      <c r="A43" s="13" t="s">
        <v>96</v>
      </c>
      <c r="B43" s="14" t="s">
        <v>97</v>
      </c>
      <c r="C43" s="15" t="s">
        <v>98</v>
      </c>
      <c r="D43" s="16">
        <v>45621</v>
      </c>
      <c r="E43" s="17"/>
      <c r="F43" s="18"/>
      <c r="G43" s="18"/>
      <c r="H43" s="18"/>
      <c r="I43" s="18">
        <v>45621</v>
      </c>
      <c r="J43" s="18">
        <f t="shared" ref="J43:J48" si="5">+D43-SUM(E43:I43)</f>
        <v>0</v>
      </c>
      <c r="K43" s="19">
        <f t="shared" si="4"/>
        <v>45621</v>
      </c>
    </row>
    <row r="44" spans="1:11" ht="15.75" x14ac:dyDescent="0.25">
      <c r="A44" s="13"/>
      <c r="B44" s="14" t="s">
        <v>99</v>
      </c>
      <c r="C44" s="15" t="s">
        <v>100</v>
      </c>
      <c r="D44" s="16">
        <v>512345</v>
      </c>
      <c r="E44" s="17"/>
      <c r="F44" s="18"/>
      <c r="G44" s="18"/>
      <c r="H44" s="18"/>
      <c r="I44" s="18"/>
      <c r="J44" s="18">
        <f t="shared" si="5"/>
        <v>512345</v>
      </c>
      <c r="K44" s="19">
        <f t="shared" si="4"/>
        <v>512345</v>
      </c>
    </row>
    <row r="45" spans="1:11" ht="15.75" x14ac:dyDescent="0.25">
      <c r="A45" s="13"/>
      <c r="B45" s="14" t="s">
        <v>101</v>
      </c>
      <c r="C45" s="15" t="s">
        <v>102</v>
      </c>
      <c r="D45" s="16">
        <v>10</v>
      </c>
      <c r="E45" s="17"/>
      <c r="F45" s="18"/>
      <c r="G45" s="18"/>
      <c r="H45" s="18"/>
      <c r="I45" s="18"/>
      <c r="J45" s="18">
        <f t="shared" si="5"/>
        <v>10</v>
      </c>
      <c r="K45" s="19">
        <f t="shared" si="4"/>
        <v>10</v>
      </c>
    </row>
    <row r="46" spans="1:11" s="1" customFormat="1" ht="15.75" x14ac:dyDescent="0.25">
      <c r="A46" s="13"/>
      <c r="B46" s="14" t="s">
        <v>103</v>
      </c>
      <c r="C46" s="15" t="s">
        <v>117</v>
      </c>
      <c r="D46" s="16">
        <v>632773</v>
      </c>
      <c r="E46" s="17"/>
      <c r="F46" s="18">
        <v>253109</v>
      </c>
      <c r="G46" s="18">
        <v>379664</v>
      </c>
      <c r="H46" s="18"/>
      <c r="I46" s="18"/>
      <c r="J46" s="18">
        <f t="shared" si="5"/>
        <v>0</v>
      </c>
      <c r="K46" s="19">
        <f t="shared" si="4"/>
        <v>632773</v>
      </c>
    </row>
    <row r="47" spans="1:11" s="1" customFormat="1" ht="15.75" x14ac:dyDescent="0.25">
      <c r="A47" s="13"/>
      <c r="B47" s="14" t="s">
        <v>105</v>
      </c>
      <c r="C47" s="15" t="s">
        <v>106</v>
      </c>
      <c r="D47" s="16">
        <v>36650</v>
      </c>
      <c r="E47" s="17"/>
      <c r="F47" s="18"/>
      <c r="G47" s="18"/>
      <c r="H47" s="18"/>
      <c r="I47" s="18"/>
      <c r="J47" s="18">
        <f t="shared" si="5"/>
        <v>36650</v>
      </c>
      <c r="K47" s="19">
        <f t="shared" si="4"/>
        <v>36650</v>
      </c>
    </row>
    <row r="48" spans="1:11" s="1" customFormat="1" ht="15.75" x14ac:dyDescent="0.25">
      <c r="A48" s="13"/>
      <c r="B48" s="14" t="s">
        <v>107</v>
      </c>
      <c r="C48" s="15" t="s">
        <v>108</v>
      </c>
      <c r="D48" s="16">
        <v>60000</v>
      </c>
      <c r="E48" s="17"/>
      <c r="F48" s="18"/>
      <c r="G48" s="18"/>
      <c r="H48" s="18"/>
      <c r="I48" s="18"/>
      <c r="J48" s="18">
        <f t="shared" si="5"/>
        <v>60000</v>
      </c>
      <c r="K48" s="19">
        <f t="shared" si="4"/>
        <v>60000</v>
      </c>
    </row>
    <row r="49" spans="1:11" s="1" customFormat="1" ht="15.75" x14ac:dyDescent="0.25">
      <c r="A49" s="13"/>
      <c r="B49" s="29"/>
      <c r="C49" s="23" t="s">
        <v>109</v>
      </c>
      <c r="D49" s="24">
        <f>SUM(D42:D48)</f>
        <v>1302399</v>
      </c>
      <c r="E49" s="25">
        <f>SUM(E42:E48)</f>
        <v>0</v>
      </c>
      <c r="F49" s="26">
        <f t="shared" ref="F49:K49" si="6">SUM(F42:F48)</f>
        <v>253109</v>
      </c>
      <c r="G49" s="26">
        <f t="shared" si="6"/>
        <v>379664</v>
      </c>
      <c r="H49" s="26">
        <f t="shared" si="6"/>
        <v>0</v>
      </c>
      <c r="I49" s="26">
        <f t="shared" si="6"/>
        <v>45621</v>
      </c>
      <c r="J49" s="26">
        <f t="shared" si="6"/>
        <v>624005</v>
      </c>
      <c r="K49" s="27">
        <f t="shared" si="6"/>
        <v>1302399</v>
      </c>
    </row>
    <row r="50" spans="1:11" s="1" customFormat="1" ht="19.5" thickBot="1" x14ac:dyDescent="0.3">
      <c r="A50" s="30"/>
      <c r="B50" s="31"/>
      <c r="C50" s="32" t="s">
        <v>110</v>
      </c>
      <c r="D50" s="33">
        <f>D41+D49</f>
        <v>5201824</v>
      </c>
      <c r="E50" s="25">
        <f>E41+E49</f>
        <v>1800000</v>
      </c>
      <c r="F50" s="26">
        <f t="shared" ref="F50:K50" si="7">F41+F49</f>
        <v>253109</v>
      </c>
      <c r="G50" s="26">
        <f t="shared" si="7"/>
        <v>609664</v>
      </c>
      <c r="H50" s="26">
        <f t="shared" si="7"/>
        <v>15000</v>
      </c>
      <c r="I50" s="26">
        <f t="shared" si="7"/>
        <v>45621</v>
      </c>
      <c r="J50" s="26">
        <f t="shared" si="7"/>
        <v>2478430</v>
      </c>
      <c r="K50" s="27">
        <f t="shared" si="7"/>
        <v>5201824</v>
      </c>
    </row>
    <row r="51" spans="1:11" s="1" customFormat="1" ht="16.5" thickBot="1" x14ac:dyDescent="0.3">
      <c r="A51" s="34"/>
      <c r="B51" s="35"/>
      <c r="C51" s="36"/>
      <c r="D51" s="37"/>
      <c r="E51" s="38" t="s">
        <v>111</v>
      </c>
      <c r="F51" s="39" t="s">
        <v>112</v>
      </c>
      <c r="G51" s="39" t="s">
        <v>113</v>
      </c>
      <c r="H51" s="39" t="s">
        <v>114</v>
      </c>
      <c r="I51" s="39" t="s">
        <v>115</v>
      </c>
      <c r="J51" s="40"/>
      <c r="K51" s="41"/>
    </row>
    <row r="52" spans="1:11" s="1" customFormat="1" ht="16.5" thickBot="1" x14ac:dyDescent="0.3">
      <c r="A52" s="34"/>
      <c r="B52" s="35"/>
      <c r="C52" s="42" t="s">
        <v>116</v>
      </c>
      <c r="D52" s="43"/>
      <c r="E52" s="43"/>
      <c r="F52" s="433">
        <f>SUM(F50:I50)</f>
        <v>923394</v>
      </c>
      <c r="G52" s="434"/>
      <c r="H52" s="434"/>
      <c r="I52" s="435"/>
      <c r="J52" s="43"/>
      <c r="K52" s="43"/>
    </row>
    <row r="53" spans="1:11" s="1" customFormat="1" x14ac:dyDescent="0.2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s="1" customFormat="1" x14ac:dyDescent="0.2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s="1" customFormat="1" x14ac:dyDescent="0.25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s="1" customFormat="1" x14ac:dyDescent="0.2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s="1" customFormat="1" x14ac:dyDescent="0.25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s="1" customFormat="1" x14ac:dyDescent="0.25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s="1" customFormat="1" x14ac:dyDescent="0.2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s="1" customFormat="1" x14ac:dyDescent="0.25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s="1" customFormat="1" x14ac:dyDescent="0.25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s="1" customFormat="1" x14ac:dyDescent="0.25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s="1" customFormat="1" x14ac:dyDescent="0.25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s="1" customFormat="1" x14ac:dyDescent="0.25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s="1" customFormat="1" x14ac:dyDescent="0.25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1" customFormat="1" x14ac:dyDescent="0.25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1" customFormat="1" x14ac:dyDescent="0.25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1" customFormat="1" x14ac:dyDescent="0.25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1" customFormat="1" x14ac:dyDescent="0.25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1" customFormat="1" x14ac:dyDescent="0.25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1" customFormat="1" x14ac:dyDescent="0.25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1" customFormat="1" x14ac:dyDescent="0.25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1" customFormat="1" x14ac:dyDescent="0.25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1" customFormat="1" x14ac:dyDescent="0.25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1" customFormat="1" x14ac:dyDescent="0.25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1" customFormat="1" x14ac:dyDescent="0.25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s="1" customFormat="1" x14ac:dyDescent="0.25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 s="1" customFormat="1" x14ac:dyDescent="0.25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 s="1" customFormat="1" x14ac:dyDescent="0.25">
      <c r="A79" s="34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 s="1" customFormat="1" x14ac:dyDescent="0.25">
      <c r="A80" s="34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 s="1" customFormat="1" x14ac:dyDescent="0.25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 s="1" customFormat="1" x14ac:dyDescent="0.25">
      <c r="A82" s="34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 s="1" customFormat="1" x14ac:dyDescent="0.25">
      <c r="A83" s="34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 s="1" customFormat="1" x14ac:dyDescent="0.25">
      <c r="A84" s="34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 s="1" customFormat="1" x14ac:dyDescent="0.25">
      <c r="A85" s="34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 s="1" customFormat="1" x14ac:dyDescent="0.25">
      <c r="A86" s="34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 s="1" customFormat="1" x14ac:dyDescent="0.25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 s="1" customFormat="1" x14ac:dyDescent="0.25">
      <c r="A88" s="34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 s="1" customFormat="1" x14ac:dyDescent="0.25">
      <c r="A89" s="34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 s="1" customFormat="1" x14ac:dyDescent="0.25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 s="1" customFormat="1" x14ac:dyDescent="0.25">
      <c r="A91" s="34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 s="1" customFormat="1" x14ac:dyDescent="0.25">
      <c r="A92" s="34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 s="1" customFormat="1" x14ac:dyDescent="0.25">
      <c r="A93" s="34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 s="1" customFormat="1" x14ac:dyDescent="0.25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 s="1" customFormat="1" x14ac:dyDescent="0.25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 s="1" customFormat="1" x14ac:dyDescent="0.25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s="1" customFormat="1" x14ac:dyDescent="0.25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 s="1" customFormat="1" x14ac:dyDescent="0.25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 s="1" customFormat="1" x14ac:dyDescent="0.25">
      <c r="A99" s="34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 s="1" customFormat="1" x14ac:dyDescent="0.25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 s="1" customFormat="1" x14ac:dyDescent="0.25">
      <c r="A101" s="34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 s="1" customFormat="1" x14ac:dyDescent="0.25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 s="1" customFormat="1" x14ac:dyDescent="0.25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 s="1" customFormat="1" x14ac:dyDescent="0.25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 s="1" customFormat="1" x14ac:dyDescent="0.25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 s="1" customFormat="1" x14ac:dyDescent="0.25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 s="1" customFormat="1" x14ac:dyDescent="0.25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 s="1" customFormat="1" x14ac:dyDescent="0.25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 s="1" customFormat="1" x14ac:dyDescent="0.25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 s="1" customFormat="1" x14ac:dyDescent="0.25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 s="1" customFormat="1" x14ac:dyDescent="0.25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 s="1" customFormat="1" x14ac:dyDescent="0.25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 s="1" customFormat="1" x14ac:dyDescent="0.25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 s="1" customFormat="1" x14ac:dyDescent="0.25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</sheetData>
  <mergeCells count="2">
    <mergeCell ref="E3:K3"/>
    <mergeCell ref="F52:I52"/>
  </mergeCells>
  <pageMargins left="0.9055118110236221" right="0.11811023622047245" top="0.15748031496062992" bottom="0.15748031496062992" header="0" footer="0"/>
  <pageSetup paperSize="9" scale="63" orientation="landscape" r:id="rId1"/>
  <colBreaks count="1" manualBreakCount="1">
    <brk id="4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43D5-7C91-4871-B373-B9481E982889}">
  <dimension ref="A1:BG191"/>
  <sheetViews>
    <sheetView topLeftCell="J1" zoomScaleNormal="100" workbookViewId="0">
      <pane ySplit="1" topLeftCell="A31" activePane="bottomLeft" state="frozen"/>
      <selection pane="bottomLeft" activeCell="L1" sqref="L1:L1048576"/>
    </sheetView>
  </sheetViews>
  <sheetFormatPr baseColWidth="10" defaultColWidth="8" defaultRowHeight="15" x14ac:dyDescent="0.25"/>
  <cols>
    <col min="1" max="3" width="2.42578125" style="117" customWidth="1"/>
    <col min="4" max="4" width="3.42578125" style="212" customWidth="1"/>
    <col min="5" max="5" width="3.85546875" style="353" bestFit="1" customWidth="1"/>
    <col min="6" max="6" width="4.42578125" style="270" customWidth="1"/>
    <col min="7" max="7" width="4.7109375" style="117" customWidth="1"/>
    <col min="8" max="8" width="4.42578125" style="117" bestFit="1" customWidth="1"/>
    <col min="9" max="9" width="3.42578125" style="235" customWidth="1"/>
    <col min="10" max="10" width="4.28515625" style="235" customWidth="1"/>
    <col min="11" max="11" width="16.140625" style="117" customWidth="1"/>
    <col min="12" max="12" width="25.42578125" style="117" customWidth="1"/>
    <col min="13" max="13" width="10.5703125" style="264" customWidth="1"/>
    <col min="14" max="14" width="2.42578125" style="298" customWidth="1"/>
    <col min="15" max="15" width="3.7109375" style="298" customWidth="1"/>
    <col min="16" max="16" width="11" style="264" customWidth="1"/>
    <col min="17" max="17" width="9.7109375" style="264" customWidth="1"/>
    <col min="18" max="18" width="10" style="291" customWidth="1"/>
    <col min="19" max="19" width="10.28515625" style="291" hidden="1" customWidth="1"/>
    <col min="20" max="20" width="10.140625" style="291" customWidth="1"/>
    <col min="21" max="21" width="12.42578125" style="292" customWidth="1"/>
    <col min="22" max="22" width="10.28515625" style="291" customWidth="1"/>
    <col min="23" max="24" width="9.85546875" style="291" customWidth="1"/>
    <col min="25" max="25" width="7" style="293" customWidth="1"/>
    <col min="26" max="26" width="16.5703125" style="157" customWidth="1"/>
    <col min="27" max="27" width="10.85546875" style="264" customWidth="1"/>
    <col min="28" max="29" width="10.42578125" style="264" customWidth="1"/>
    <col min="30" max="30" width="8.5703125" style="264" customWidth="1"/>
    <col min="31" max="31" width="10.85546875" style="264" customWidth="1"/>
    <col min="32" max="32" width="9.42578125" style="264" customWidth="1"/>
    <col min="33" max="34" width="9.28515625" style="264" customWidth="1"/>
    <col min="35" max="35" width="8.5703125" style="264" customWidth="1"/>
    <col min="36" max="36" width="10.28515625" style="264" customWidth="1"/>
    <col min="37" max="37" width="9.85546875" style="264" bestFit="1" customWidth="1"/>
    <col min="38" max="38" width="8.5703125" style="264" customWidth="1"/>
    <col min="39" max="39" width="25.42578125" style="264" customWidth="1"/>
    <col min="40" max="57" width="8.5703125" style="264" customWidth="1"/>
    <col min="58" max="59" width="5.140625" style="117" customWidth="1"/>
    <col min="60" max="16384" width="8" style="117"/>
  </cols>
  <sheetData>
    <row r="1" spans="1:59" s="85" customFormat="1" ht="42" customHeight="1" x14ac:dyDescent="0.25">
      <c r="A1" s="49" t="s">
        <v>119</v>
      </c>
      <c r="B1" s="49" t="s">
        <v>120</v>
      </c>
      <c r="C1" s="49" t="s">
        <v>121</v>
      </c>
      <c r="D1" s="50" t="s">
        <v>122</v>
      </c>
      <c r="E1" s="51" t="s">
        <v>123</v>
      </c>
      <c r="F1" s="52" t="s">
        <v>124</v>
      </c>
      <c r="G1" s="53" t="s">
        <v>125</v>
      </c>
      <c r="H1" s="54" t="s">
        <v>126</v>
      </c>
      <c r="I1" s="55" t="s">
        <v>127</v>
      </c>
      <c r="J1" s="55" t="s">
        <v>128</v>
      </c>
      <c r="K1" s="56" t="s">
        <v>129</v>
      </c>
      <c r="L1" s="57" t="s">
        <v>130</v>
      </c>
      <c r="M1" s="58" t="s">
        <v>131</v>
      </c>
      <c r="N1" s="59" t="s">
        <v>132</v>
      </c>
      <c r="O1" s="60" t="s">
        <v>133</v>
      </c>
      <c r="P1" s="61" t="s">
        <v>134</v>
      </c>
      <c r="Q1" s="62" t="s">
        <v>135</v>
      </c>
      <c r="R1" s="63" t="s">
        <v>136</v>
      </c>
      <c r="S1" s="64" t="s">
        <v>137</v>
      </c>
      <c r="T1" s="65" t="s">
        <v>138</v>
      </c>
      <c r="U1" s="66" t="s">
        <v>139</v>
      </c>
      <c r="V1" s="67" t="s">
        <v>140</v>
      </c>
      <c r="W1" s="68" t="s">
        <v>141</v>
      </c>
      <c r="X1" s="69" t="s">
        <v>142</v>
      </c>
      <c r="Y1" s="70" t="s">
        <v>143</v>
      </c>
      <c r="Z1" s="71" t="s">
        <v>144</v>
      </c>
      <c r="AA1" s="72" t="s">
        <v>145</v>
      </c>
      <c r="AB1" s="73" t="s">
        <v>146</v>
      </c>
      <c r="AC1" s="74" t="s">
        <v>147</v>
      </c>
      <c r="AD1" s="75"/>
      <c r="AE1" s="76" t="s">
        <v>8</v>
      </c>
      <c r="AF1" s="77" t="s">
        <v>148</v>
      </c>
      <c r="AG1" s="78" t="s">
        <v>10</v>
      </c>
      <c r="AH1" s="78" t="s">
        <v>11</v>
      </c>
      <c r="AI1" s="78" t="s">
        <v>12</v>
      </c>
      <c r="AJ1" s="79" t="s">
        <v>13</v>
      </c>
      <c r="AK1" s="80" t="s">
        <v>149</v>
      </c>
      <c r="AL1" s="81" t="s">
        <v>143</v>
      </c>
      <c r="AM1" s="82"/>
      <c r="AN1" s="51" t="s">
        <v>150</v>
      </c>
      <c r="AO1" s="51" t="s">
        <v>151</v>
      </c>
      <c r="AP1" s="51" t="s">
        <v>152</v>
      </c>
      <c r="AQ1" s="51" t="s">
        <v>153</v>
      </c>
      <c r="AR1" s="51" t="s">
        <v>154</v>
      </c>
      <c r="AS1" s="51" t="s">
        <v>155</v>
      </c>
      <c r="AT1" s="51" t="s">
        <v>156</v>
      </c>
      <c r="AU1" s="51" t="s">
        <v>157</v>
      </c>
      <c r="AV1" s="83" t="s">
        <v>158</v>
      </c>
      <c r="AW1" s="83" t="s">
        <v>159</v>
      </c>
      <c r="AX1" s="83" t="s">
        <v>160</v>
      </c>
      <c r="AY1" s="83" t="s">
        <v>161</v>
      </c>
      <c r="AZ1" s="83" t="s">
        <v>162</v>
      </c>
      <c r="BA1" s="83" t="s">
        <v>163</v>
      </c>
      <c r="BB1" s="83" t="s">
        <v>164</v>
      </c>
      <c r="BC1" s="83" t="s">
        <v>165</v>
      </c>
      <c r="BD1" s="83" t="s">
        <v>166</v>
      </c>
      <c r="BE1" s="83" t="s">
        <v>167</v>
      </c>
      <c r="BF1" s="84"/>
      <c r="BG1" s="84"/>
    </row>
    <row r="2" spans="1:59" x14ac:dyDescent="0.25">
      <c r="A2" s="86" t="str">
        <f t="shared" ref="A2:A70" si="0">MID(I2,1,5)</f>
        <v>10310</v>
      </c>
      <c r="B2" s="86" t="str">
        <f t="shared" ref="B2:B70" si="1">MID(I2,7,5)</f>
        <v>92040</v>
      </c>
      <c r="C2" s="86" t="str">
        <f t="shared" ref="C2:C70" si="2">MID(I2,13,5)</f>
        <v>62600</v>
      </c>
      <c r="D2" s="87" t="str">
        <f t="shared" ref="D2:D70" si="3">I2&amp;"("&amp;H2&amp;")"</f>
        <v>10310/92040/62600()</v>
      </c>
      <c r="E2" s="88" t="str">
        <f t="shared" ref="E2:E70" si="4">MID(I2,13,1)</f>
        <v>6</v>
      </c>
      <c r="F2" s="89">
        <v>0</v>
      </c>
      <c r="G2" s="90"/>
      <c r="H2" s="91"/>
      <c r="I2" s="92" t="s">
        <v>15</v>
      </c>
      <c r="J2" s="92" t="s">
        <v>16</v>
      </c>
      <c r="K2" s="93" t="s">
        <v>15</v>
      </c>
      <c r="L2" s="93" t="s">
        <v>16</v>
      </c>
      <c r="M2" s="94">
        <v>310000</v>
      </c>
      <c r="N2" s="95">
        <v>15390.08</v>
      </c>
      <c r="O2" s="95">
        <v>325390.08000000002</v>
      </c>
      <c r="P2" s="96">
        <f>M2</f>
        <v>310000</v>
      </c>
      <c r="Q2" s="97">
        <f>S2</f>
        <v>320387</v>
      </c>
      <c r="R2" s="98">
        <f>U2-M2</f>
        <v>-153113</v>
      </c>
      <c r="S2" s="99">
        <v>320387</v>
      </c>
      <c r="T2" s="100">
        <f>S2-P2</f>
        <v>10387</v>
      </c>
      <c r="U2" s="101">
        <v>156887</v>
      </c>
      <c r="V2" s="102">
        <v>68887</v>
      </c>
      <c r="W2" s="103">
        <f>'[2]Sist inf26'!D8+'[2]Sist inf26'!D10+'[2]Sist inf26'!D11+'[2]Sist inf26'!D9</f>
        <v>88000</v>
      </c>
      <c r="X2" s="104">
        <f>'[2]Sist inf26'!D14+'[2]Sist inf26'!D12+'[2]Sist inf26'!D15+'[2]Sist inf26'!D16+'[2]Sist inf26'!D17-'[2]Sist inf26'!D12+'[2]Sist inf26'!D12+'[2]Sist inf26'!D13</f>
        <v>163500</v>
      </c>
      <c r="Y2" s="105">
        <f>Q2-V2-W2-X2</f>
        <v>0</v>
      </c>
      <c r="Z2" s="106" t="s">
        <v>168</v>
      </c>
      <c r="AA2" s="107">
        <v>68886.5</v>
      </c>
      <c r="AB2" s="108">
        <f>M2-AA2</f>
        <v>241113.5</v>
      </c>
      <c r="AC2" s="108">
        <v>-12453</v>
      </c>
      <c r="AD2" s="109"/>
      <c r="AE2" s="110"/>
      <c r="AF2" s="111"/>
      <c r="AG2" s="111"/>
      <c r="AH2" s="111"/>
      <c r="AI2" s="111"/>
      <c r="AJ2" s="112">
        <f>U2-AE2-AF2-AG2-AH2-AI2</f>
        <v>156887</v>
      </c>
      <c r="AK2" s="113">
        <f t="shared" ref="AK2:AK65" si="5">SUM(AE2:AJ2)</f>
        <v>156887</v>
      </c>
      <c r="AL2" s="114">
        <f>AK2-U2</f>
        <v>0</v>
      </c>
      <c r="AM2" s="108"/>
      <c r="AN2" s="108">
        <f>ROUND(0,2)</f>
        <v>0</v>
      </c>
      <c r="AO2" s="108">
        <f>ROUND(0,2)</f>
        <v>0</v>
      </c>
      <c r="AP2" s="108">
        <f>ROUND(128107.48,2)</f>
        <v>128107.48</v>
      </c>
      <c r="AQ2" s="108">
        <f>ROUND(0,2)</f>
        <v>0</v>
      </c>
      <c r="AR2" s="108">
        <f>ROUND(128107.48,2)</f>
        <v>128107.48</v>
      </c>
      <c r="AS2" s="108">
        <f>ROUND(120450.6,2)</f>
        <v>120450.6</v>
      </c>
      <c r="AT2" s="108">
        <f>ROUND(7656.88,2)</f>
        <v>7656.88</v>
      </c>
      <c r="AU2" s="108">
        <f>ROUND(0,2)</f>
        <v>0</v>
      </c>
      <c r="AV2" s="108">
        <f>ROUND(7656.88,2)</f>
        <v>7656.88</v>
      </c>
      <c r="AW2" s="108">
        <f t="shared" ref="AW2:AX24" si="6">ROUND(0,2)</f>
        <v>0</v>
      </c>
      <c r="AX2" s="108">
        <f>ROUND(7656.88,2)</f>
        <v>7656.88</v>
      </c>
      <c r="AY2" s="108">
        <f t="shared" ref="AY2:AY70" si="7">ROUND(0,2)</f>
        <v>0</v>
      </c>
      <c r="AZ2" s="108">
        <f>ROUND(197282.6,2)</f>
        <v>197282.6</v>
      </c>
      <c r="BA2" s="108">
        <f>ROUND(317733.2,2)</f>
        <v>317733.2</v>
      </c>
      <c r="BB2" s="115">
        <v>60.629568055670291</v>
      </c>
      <c r="BC2" s="115">
        <v>39.370431944329709</v>
      </c>
      <c r="BD2" s="115">
        <v>2.353138731211474</v>
      </c>
      <c r="BE2" s="115">
        <v>100</v>
      </c>
      <c r="BF2" s="116"/>
      <c r="BG2" s="116"/>
    </row>
    <row r="3" spans="1:59" x14ac:dyDescent="0.25">
      <c r="A3" s="86" t="str">
        <f t="shared" si="0"/>
        <v>10310</v>
      </c>
      <c r="B3" s="86" t="str">
        <f t="shared" si="1"/>
        <v>92040</v>
      </c>
      <c r="C3" s="86" t="str">
        <f t="shared" si="2"/>
        <v>62600</v>
      </c>
      <c r="D3" s="87" t="str">
        <f t="shared" si="3"/>
        <v>10310/92040/62600(2024)</v>
      </c>
      <c r="E3" s="88" t="str">
        <f t="shared" si="4"/>
        <v>6</v>
      </c>
      <c r="F3" s="89" t="s">
        <v>169</v>
      </c>
      <c r="G3" s="90"/>
      <c r="H3" s="91" t="s">
        <v>170</v>
      </c>
      <c r="I3" s="92" t="s">
        <v>15</v>
      </c>
      <c r="J3" s="92" t="s">
        <v>16</v>
      </c>
      <c r="K3" s="93" t="s">
        <v>15</v>
      </c>
      <c r="L3" s="93" t="s">
        <v>16</v>
      </c>
      <c r="M3" s="94">
        <v>0</v>
      </c>
      <c r="N3" s="95">
        <v>293479.51</v>
      </c>
      <c r="O3" s="95">
        <v>293479.51</v>
      </c>
      <c r="P3" s="96"/>
      <c r="Q3" s="97"/>
      <c r="R3" s="98">
        <f t="shared" ref="R3:R66" si="8">U3-M3</f>
        <v>0</v>
      </c>
      <c r="S3" s="99"/>
      <c r="T3" s="100"/>
      <c r="U3" s="101"/>
      <c r="V3" s="102"/>
      <c r="W3" s="103"/>
      <c r="X3" s="103"/>
      <c r="Y3" s="105">
        <f t="shared" ref="Y3:Y72" si="9">Q3-V3-W3-X3</f>
        <v>0</v>
      </c>
      <c r="Z3" s="106"/>
      <c r="AA3" s="118"/>
      <c r="AB3" s="108"/>
      <c r="AC3" s="108"/>
      <c r="AD3" s="109"/>
      <c r="AE3" s="110"/>
      <c r="AF3" s="111"/>
      <c r="AG3" s="111"/>
      <c r="AH3" s="111"/>
      <c r="AI3" s="111"/>
      <c r="AJ3" s="112">
        <f t="shared" ref="AJ3:AJ66" si="10">U3-AE3-AF3-AG3-AH3-AI3</f>
        <v>0</v>
      </c>
      <c r="AK3" s="113">
        <f t="shared" si="5"/>
        <v>0</v>
      </c>
      <c r="AL3" s="114">
        <f t="shared" ref="AL3:AL66" si="11">AK3-U3</f>
        <v>0</v>
      </c>
      <c r="AM3" s="108"/>
      <c r="AN3" s="108">
        <f>ROUND(293479.51,2)</f>
        <v>293479.51</v>
      </c>
      <c r="AO3" s="108">
        <f t="shared" ref="AO3:AT37" si="12">ROUND(0,2)</f>
        <v>0</v>
      </c>
      <c r="AP3" s="108">
        <f>ROUND(260882.72,2)</f>
        <v>260882.72</v>
      </c>
      <c r="AQ3" s="108">
        <f>ROUND(33069.3,2)</f>
        <v>33069.300000000003</v>
      </c>
      <c r="AR3" s="108">
        <f>ROUND(227813.42,2)</f>
        <v>227813.42</v>
      </c>
      <c r="AS3" s="108">
        <f>ROUND(30540.4,2)</f>
        <v>30540.400000000001</v>
      </c>
      <c r="AT3" s="108">
        <f>ROUND(197273.02,2)</f>
        <v>197273.02</v>
      </c>
      <c r="AU3" s="108">
        <f>ROUND(197273.02,2)</f>
        <v>197273.02</v>
      </c>
      <c r="AV3" s="108">
        <f>ROUND(0,2)</f>
        <v>0</v>
      </c>
      <c r="AW3" s="108">
        <f t="shared" si="6"/>
        <v>0</v>
      </c>
      <c r="AX3" s="108">
        <f>ROUND(0,2)</f>
        <v>0</v>
      </c>
      <c r="AY3" s="108">
        <f t="shared" si="7"/>
        <v>0</v>
      </c>
      <c r="AZ3" s="108">
        <f>ROUND(32596.79,2)</f>
        <v>32596.79</v>
      </c>
      <c r="BA3" s="108">
        <f>ROUND(96206.49,2)</f>
        <v>96206.49</v>
      </c>
      <c r="BB3" s="115">
        <v>11.107007095657206</v>
      </c>
      <c r="BC3" s="115">
        <v>77.62498308655347</v>
      </c>
      <c r="BD3" s="115">
        <v>67.218668860391645</v>
      </c>
      <c r="BE3" s="115">
        <v>0</v>
      </c>
      <c r="BF3" s="116"/>
      <c r="BG3" s="116"/>
    </row>
    <row r="4" spans="1:59" x14ac:dyDescent="0.25">
      <c r="A4" s="86" t="str">
        <f t="shared" si="0"/>
        <v>11000</v>
      </c>
      <c r="B4" s="86" t="str">
        <f t="shared" si="1"/>
        <v>32600</v>
      </c>
      <c r="C4" s="86" t="str">
        <f t="shared" si="2"/>
        <v>78000</v>
      </c>
      <c r="D4" s="87" t="str">
        <f t="shared" si="3"/>
        <v>11000/32600/78000()</v>
      </c>
      <c r="E4" s="88" t="str">
        <f t="shared" si="4"/>
        <v>7</v>
      </c>
      <c r="F4" s="89">
        <v>0</v>
      </c>
      <c r="G4" s="90"/>
      <c r="H4" s="91"/>
      <c r="I4" s="92" t="s">
        <v>94</v>
      </c>
      <c r="J4" s="92" t="s">
        <v>95</v>
      </c>
      <c r="K4" s="93" t="s">
        <v>94</v>
      </c>
      <c r="L4" s="93" t="s">
        <v>95</v>
      </c>
      <c r="M4" s="94">
        <v>15000</v>
      </c>
      <c r="N4" s="95">
        <v>0</v>
      </c>
      <c r="O4" s="95">
        <v>15000</v>
      </c>
      <c r="P4" s="96">
        <v>15000</v>
      </c>
      <c r="Q4" s="97">
        <f>S4</f>
        <v>15000</v>
      </c>
      <c r="R4" s="98">
        <f t="shared" si="8"/>
        <v>0</v>
      </c>
      <c r="S4" s="99">
        <v>15000</v>
      </c>
      <c r="T4" s="100">
        <f>S4-P4</f>
        <v>0</v>
      </c>
      <c r="U4" s="101">
        <v>15000</v>
      </c>
      <c r="V4" s="102">
        <f>S4</f>
        <v>15000</v>
      </c>
      <c r="W4" s="103"/>
      <c r="X4" s="103"/>
      <c r="Y4" s="105">
        <f t="shared" si="9"/>
        <v>0</v>
      </c>
      <c r="Z4" s="106"/>
      <c r="AA4" s="118"/>
      <c r="AB4" s="108"/>
      <c r="AC4" s="108"/>
      <c r="AD4" s="109"/>
      <c r="AE4" s="110"/>
      <c r="AF4" s="111"/>
      <c r="AG4" s="111"/>
      <c r="AH4" s="111"/>
      <c r="AI4" s="111"/>
      <c r="AJ4" s="112">
        <f t="shared" si="10"/>
        <v>15000</v>
      </c>
      <c r="AK4" s="113">
        <f t="shared" si="5"/>
        <v>15000</v>
      </c>
      <c r="AL4" s="114">
        <f t="shared" si="11"/>
        <v>0</v>
      </c>
      <c r="AM4" s="108"/>
      <c r="AN4" s="108">
        <f>ROUND(0,2)</f>
        <v>0</v>
      </c>
      <c r="AO4" s="108">
        <f t="shared" si="12"/>
        <v>0</v>
      </c>
      <c r="AP4" s="108">
        <f>ROUND(15000,2)</f>
        <v>15000</v>
      </c>
      <c r="AQ4" s="108">
        <f>ROUND(0,2)</f>
        <v>0</v>
      </c>
      <c r="AR4" s="108">
        <f>ROUND(15000,2)</f>
        <v>15000</v>
      </c>
      <c r="AS4" s="108">
        <f>ROUND(0,2)</f>
        <v>0</v>
      </c>
      <c r="AT4" s="108">
        <f>ROUND(15000,2)</f>
        <v>15000</v>
      </c>
      <c r="AU4" s="108">
        <f>ROUND(3750,2)</f>
        <v>3750</v>
      </c>
      <c r="AV4" s="108">
        <f>ROUND(11250,2)</f>
        <v>11250</v>
      </c>
      <c r="AW4" s="108">
        <f t="shared" si="6"/>
        <v>0</v>
      </c>
      <c r="AX4" s="108">
        <f>ROUND(11250,2)</f>
        <v>11250</v>
      </c>
      <c r="AY4" s="108">
        <f t="shared" si="7"/>
        <v>0</v>
      </c>
      <c r="AZ4" s="108">
        <f>ROUND(0,2)</f>
        <v>0</v>
      </c>
      <c r="BA4" s="108">
        <f>ROUND(0,2)</f>
        <v>0</v>
      </c>
      <c r="BB4" s="115">
        <v>0</v>
      </c>
      <c r="BC4" s="115">
        <v>100</v>
      </c>
      <c r="BD4" s="115">
        <v>100</v>
      </c>
      <c r="BE4" s="115">
        <v>75</v>
      </c>
      <c r="BF4" s="116"/>
      <c r="BG4" s="116"/>
    </row>
    <row r="5" spans="1:59" x14ac:dyDescent="0.25">
      <c r="A5" s="86" t="str">
        <f t="shared" si="0"/>
        <v>11400</v>
      </c>
      <c r="B5" s="86" t="str">
        <f t="shared" si="1"/>
        <v>17200</v>
      </c>
      <c r="C5" s="86" t="str">
        <f t="shared" si="2"/>
        <v>61900</v>
      </c>
      <c r="D5" s="87" t="str">
        <f t="shared" si="3"/>
        <v>11400/17200/61900(2023)</v>
      </c>
      <c r="E5" s="88" t="str">
        <f t="shared" si="4"/>
        <v>6</v>
      </c>
      <c r="F5" s="89" t="s">
        <v>171</v>
      </c>
      <c r="G5" s="90"/>
      <c r="H5" s="91" t="s">
        <v>172</v>
      </c>
      <c r="I5" s="92" t="s">
        <v>173</v>
      </c>
      <c r="J5" s="92" t="s">
        <v>174</v>
      </c>
      <c r="K5" s="93" t="s">
        <v>173</v>
      </c>
      <c r="L5" s="93" t="s">
        <v>174</v>
      </c>
      <c r="M5" s="94">
        <v>0</v>
      </c>
      <c r="N5" s="95">
        <v>1000</v>
      </c>
      <c r="O5" s="95">
        <v>1000</v>
      </c>
      <c r="P5" s="96"/>
      <c r="Q5" s="97"/>
      <c r="R5" s="98">
        <f t="shared" si="8"/>
        <v>0</v>
      </c>
      <c r="S5" s="99"/>
      <c r="T5" s="100"/>
      <c r="U5" s="101"/>
      <c r="V5" s="102"/>
      <c r="W5" s="103"/>
      <c r="X5" s="103"/>
      <c r="Y5" s="105">
        <f t="shared" si="9"/>
        <v>0</v>
      </c>
      <c r="Z5" s="106"/>
      <c r="AA5" s="118"/>
      <c r="AB5" s="108"/>
      <c r="AC5" s="108"/>
      <c r="AD5" s="109"/>
      <c r="AE5" s="110"/>
      <c r="AF5" s="111"/>
      <c r="AG5" s="111"/>
      <c r="AH5" s="111"/>
      <c r="AI5" s="111"/>
      <c r="AJ5" s="112">
        <f t="shared" si="10"/>
        <v>0</v>
      </c>
      <c r="AK5" s="113">
        <f t="shared" si="5"/>
        <v>0</v>
      </c>
      <c r="AL5" s="114">
        <f t="shared" si="11"/>
        <v>0</v>
      </c>
      <c r="AM5" s="108"/>
      <c r="AN5" s="108">
        <f>ROUND(1000,2)</f>
        <v>1000</v>
      </c>
      <c r="AO5" s="108">
        <f t="shared" si="12"/>
        <v>0</v>
      </c>
      <c r="AP5" s="108">
        <f>ROUND(0,2)</f>
        <v>0</v>
      </c>
      <c r="AQ5" s="108">
        <f>ROUND(0,2)</f>
        <v>0</v>
      </c>
      <c r="AR5" s="108">
        <f>ROUND(0,2)</f>
        <v>0</v>
      </c>
      <c r="AS5" s="108">
        <f>ROUND(0,2)</f>
        <v>0</v>
      </c>
      <c r="AT5" s="108">
        <f t="shared" ref="AT5:AV10" si="13">ROUND(0,2)</f>
        <v>0</v>
      </c>
      <c r="AU5" s="108">
        <f t="shared" si="13"/>
        <v>0</v>
      </c>
      <c r="AV5" s="108">
        <f t="shared" si="13"/>
        <v>0</v>
      </c>
      <c r="AW5" s="108">
        <f t="shared" si="6"/>
        <v>0</v>
      </c>
      <c r="AX5" s="108">
        <f t="shared" si="6"/>
        <v>0</v>
      </c>
      <c r="AY5" s="108">
        <f t="shared" si="7"/>
        <v>0</v>
      </c>
      <c r="AZ5" s="108">
        <f>ROUND(1000,2)</f>
        <v>1000</v>
      </c>
      <c r="BA5" s="108">
        <f>ROUND(1000,2)</f>
        <v>1000</v>
      </c>
      <c r="BB5" s="115">
        <v>100</v>
      </c>
      <c r="BC5" s="115">
        <v>0</v>
      </c>
      <c r="BD5" s="115">
        <v>0</v>
      </c>
      <c r="BE5" s="115">
        <v>0</v>
      </c>
      <c r="BF5" s="116"/>
      <c r="BG5" s="116"/>
    </row>
    <row r="6" spans="1:59" x14ac:dyDescent="0.25">
      <c r="A6" s="86" t="str">
        <f t="shared" si="0"/>
        <v>11400</v>
      </c>
      <c r="B6" s="86" t="str">
        <f t="shared" si="1"/>
        <v>92500</v>
      </c>
      <c r="C6" s="86" t="str">
        <f t="shared" si="2"/>
        <v>62600</v>
      </c>
      <c r="D6" s="87" t="str">
        <f t="shared" si="3"/>
        <v>11400/92500/62600(2023)</v>
      </c>
      <c r="E6" s="88" t="str">
        <f t="shared" si="4"/>
        <v>6</v>
      </c>
      <c r="F6" s="89" t="s">
        <v>175</v>
      </c>
      <c r="G6" s="90"/>
      <c r="H6" s="91" t="s">
        <v>172</v>
      </c>
      <c r="I6" s="92" t="s">
        <v>176</v>
      </c>
      <c r="J6" s="92" t="s">
        <v>177</v>
      </c>
      <c r="K6" s="93" t="s">
        <v>176</v>
      </c>
      <c r="L6" s="93" t="s">
        <v>177</v>
      </c>
      <c r="M6" s="94">
        <v>0</v>
      </c>
      <c r="N6" s="95">
        <v>2000</v>
      </c>
      <c r="O6" s="95">
        <v>2000</v>
      </c>
      <c r="P6" s="96"/>
      <c r="Q6" s="97"/>
      <c r="R6" s="98">
        <f t="shared" si="8"/>
        <v>0</v>
      </c>
      <c r="S6" s="99"/>
      <c r="T6" s="100"/>
      <c r="U6" s="101"/>
      <c r="V6" s="102"/>
      <c r="W6" s="103"/>
      <c r="X6" s="103"/>
      <c r="Y6" s="105">
        <f t="shared" si="9"/>
        <v>0</v>
      </c>
      <c r="Z6" s="106"/>
      <c r="AA6" s="118"/>
      <c r="AB6" s="108"/>
      <c r="AC6" s="108"/>
      <c r="AD6" s="109"/>
      <c r="AE6" s="110"/>
      <c r="AF6" s="111"/>
      <c r="AG6" s="111"/>
      <c r="AH6" s="111"/>
      <c r="AI6" s="111"/>
      <c r="AJ6" s="112">
        <f t="shared" si="10"/>
        <v>0</v>
      </c>
      <c r="AK6" s="113">
        <f t="shared" si="5"/>
        <v>0</v>
      </c>
      <c r="AL6" s="114">
        <f t="shared" si="11"/>
        <v>0</v>
      </c>
      <c r="AM6" s="108"/>
      <c r="AN6" s="108">
        <f>ROUND(2000,2)</f>
        <v>2000</v>
      </c>
      <c r="AO6" s="108">
        <f t="shared" si="12"/>
        <v>0</v>
      </c>
      <c r="AP6" s="108">
        <f>ROUND(0,2)</f>
        <v>0</v>
      </c>
      <c r="AQ6" s="108">
        <f>ROUND(0,2)</f>
        <v>0</v>
      </c>
      <c r="AR6" s="108">
        <f>ROUND(0,2)</f>
        <v>0</v>
      </c>
      <c r="AS6" s="108">
        <f>ROUND(0,2)</f>
        <v>0</v>
      </c>
      <c r="AT6" s="108">
        <f t="shared" si="13"/>
        <v>0</v>
      </c>
      <c r="AU6" s="108">
        <f t="shared" si="13"/>
        <v>0</v>
      </c>
      <c r="AV6" s="108">
        <f t="shared" si="13"/>
        <v>0</v>
      </c>
      <c r="AW6" s="108">
        <f t="shared" si="6"/>
        <v>0</v>
      </c>
      <c r="AX6" s="108">
        <f t="shared" si="6"/>
        <v>0</v>
      </c>
      <c r="AY6" s="108">
        <f t="shared" si="7"/>
        <v>0</v>
      </c>
      <c r="AZ6" s="108">
        <f>ROUND(2000,2)</f>
        <v>2000</v>
      </c>
      <c r="BA6" s="108">
        <f>ROUND(2000,2)</f>
        <v>2000</v>
      </c>
      <c r="BB6" s="115">
        <v>100</v>
      </c>
      <c r="BC6" s="115">
        <v>0</v>
      </c>
      <c r="BD6" s="115">
        <v>0</v>
      </c>
      <c r="BE6" s="115">
        <v>0</v>
      </c>
      <c r="BF6" s="116"/>
      <c r="BG6" s="116"/>
    </row>
    <row r="7" spans="1:59" x14ac:dyDescent="0.25">
      <c r="A7" s="86" t="str">
        <f t="shared" si="0"/>
        <v>15000</v>
      </c>
      <c r="B7" s="86" t="str">
        <f t="shared" si="1"/>
        <v>92000</v>
      </c>
      <c r="C7" s="86" t="str">
        <f t="shared" si="2"/>
        <v>68200</v>
      </c>
      <c r="D7" s="87" t="str">
        <f t="shared" si="3"/>
        <v>15000/92000/68200()</v>
      </c>
      <c r="E7" s="88" t="str">
        <f t="shared" si="4"/>
        <v>6</v>
      </c>
      <c r="F7" s="89">
        <v>0</v>
      </c>
      <c r="G7" s="90"/>
      <c r="H7" s="91"/>
      <c r="I7" s="92" t="s">
        <v>178</v>
      </c>
      <c r="J7" s="92" t="s">
        <v>179</v>
      </c>
      <c r="K7" s="93" t="s">
        <v>178</v>
      </c>
      <c r="L7" s="93" t="s">
        <v>179</v>
      </c>
      <c r="M7" s="94">
        <v>0</v>
      </c>
      <c r="N7" s="95">
        <v>500000</v>
      </c>
      <c r="O7" s="95">
        <v>500000</v>
      </c>
      <c r="P7" s="96"/>
      <c r="Q7" s="97"/>
      <c r="R7" s="98">
        <f t="shared" si="8"/>
        <v>0</v>
      </c>
      <c r="S7" s="99"/>
      <c r="T7" s="100"/>
      <c r="U7" s="101"/>
      <c r="V7" s="102"/>
      <c r="W7" s="103"/>
      <c r="X7" s="103"/>
      <c r="Y7" s="105">
        <f t="shared" si="9"/>
        <v>0</v>
      </c>
      <c r="Z7" s="106"/>
      <c r="AA7" s="118"/>
      <c r="AB7" s="108"/>
      <c r="AC7" s="108"/>
      <c r="AD7" s="109"/>
      <c r="AE7" s="110"/>
      <c r="AF7" s="111"/>
      <c r="AG7" s="111"/>
      <c r="AH7" s="111"/>
      <c r="AI7" s="111"/>
      <c r="AJ7" s="112">
        <f t="shared" si="10"/>
        <v>0</v>
      </c>
      <c r="AK7" s="113">
        <f t="shared" si="5"/>
        <v>0</v>
      </c>
      <c r="AL7" s="114">
        <f t="shared" si="11"/>
        <v>0</v>
      </c>
      <c r="AM7" s="108"/>
      <c r="AN7" s="108">
        <f>ROUND(0,2)</f>
        <v>0</v>
      </c>
      <c r="AO7" s="108">
        <f t="shared" si="12"/>
        <v>0</v>
      </c>
      <c r="AP7" s="108">
        <f>ROUND(0,2)</f>
        <v>0</v>
      </c>
      <c r="AQ7" s="108">
        <f>ROUND(0,2)</f>
        <v>0</v>
      </c>
      <c r="AR7" s="108">
        <f>ROUND(0,2)</f>
        <v>0</v>
      </c>
      <c r="AS7" s="108">
        <f>ROUND(0,2)</f>
        <v>0</v>
      </c>
      <c r="AT7" s="108">
        <f t="shared" si="13"/>
        <v>0</v>
      </c>
      <c r="AU7" s="108">
        <f t="shared" si="13"/>
        <v>0</v>
      </c>
      <c r="AV7" s="108">
        <f t="shared" si="13"/>
        <v>0</v>
      </c>
      <c r="AW7" s="108">
        <f t="shared" si="6"/>
        <v>0</v>
      </c>
      <c r="AX7" s="108">
        <f t="shared" si="6"/>
        <v>0</v>
      </c>
      <c r="AY7" s="108">
        <f t="shared" si="7"/>
        <v>0</v>
      </c>
      <c r="AZ7" s="108">
        <f>ROUND(500000,2)</f>
        <v>500000</v>
      </c>
      <c r="BA7" s="108">
        <f>ROUND(500000,2)</f>
        <v>500000</v>
      </c>
      <c r="BB7" s="115">
        <v>100</v>
      </c>
      <c r="BC7" s="115">
        <v>0</v>
      </c>
      <c r="BD7" s="115">
        <v>0</v>
      </c>
      <c r="BE7" s="115">
        <v>0</v>
      </c>
      <c r="BF7" s="116"/>
      <c r="BG7" s="116"/>
    </row>
    <row r="8" spans="1:59" x14ac:dyDescent="0.25">
      <c r="A8" s="86" t="str">
        <f t="shared" si="0"/>
        <v>15030</v>
      </c>
      <c r="B8" s="86" t="str">
        <f t="shared" si="1"/>
        <v>17200</v>
      </c>
      <c r="C8" s="86" t="str">
        <f t="shared" si="2"/>
        <v>62604</v>
      </c>
      <c r="D8" s="87" t="str">
        <f t="shared" si="3"/>
        <v>15030/17200/62604(2022)</v>
      </c>
      <c r="E8" s="88" t="str">
        <f t="shared" si="4"/>
        <v>6</v>
      </c>
      <c r="F8" s="89" t="s">
        <v>180</v>
      </c>
      <c r="G8" s="90"/>
      <c r="H8" s="91" t="s">
        <v>181</v>
      </c>
      <c r="I8" s="92" t="s">
        <v>182</v>
      </c>
      <c r="J8" s="92" t="s">
        <v>183</v>
      </c>
      <c r="K8" s="93" t="s">
        <v>182</v>
      </c>
      <c r="L8" s="93" t="s">
        <v>183</v>
      </c>
      <c r="M8" s="94">
        <v>0</v>
      </c>
      <c r="N8" s="95">
        <v>394416.11</v>
      </c>
      <c r="O8" s="95">
        <v>394416.11</v>
      </c>
      <c r="P8" s="96"/>
      <c r="Q8" s="97"/>
      <c r="R8" s="98">
        <f t="shared" si="8"/>
        <v>0</v>
      </c>
      <c r="S8" s="99"/>
      <c r="T8" s="100"/>
      <c r="U8" s="101"/>
      <c r="V8" s="102"/>
      <c r="W8" s="103"/>
      <c r="X8" s="103"/>
      <c r="Y8" s="105">
        <f t="shared" si="9"/>
        <v>0</v>
      </c>
      <c r="Z8" s="106"/>
      <c r="AA8" s="119">
        <v>8712</v>
      </c>
      <c r="AB8" s="108"/>
      <c r="AC8" s="108"/>
      <c r="AD8" s="109"/>
      <c r="AE8" s="110"/>
      <c r="AF8" s="111"/>
      <c r="AG8" s="111"/>
      <c r="AH8" s="111"/>
      <c r="AI8" s="111"/>
      <c r="AJ8" s="112">
        <f t="shared" si="10"/>
        <v>0</v>
      </c>
      <c r="AK8" s="113">
        <f t="shared" si="5"/>
        <v>0</v>
      </c>
      <c r="AL8" s="114">
        <f t="shared" si="11"/>
        <v>0</v>
      </c>
      <c r="AM8" s="108"/>
      <c r="AN8" s="108">
        <f>ROUND(394416.11,2)</f>
        <v>394416.11</v>
      </c>
      <c r="AO8" s="108">
        <f t="shared" si="12"/>
        <v>0</v>
      </c>
      <c r="AP8" s="108">
        <f>ROUND(138411.9,2)</f>
        <v>138411.9</v>
      </c>
      <c r="AQ8" s="108">
        <f>ROUND(120987.9,2)</f>
        <v>120987.9</v>
      </c>
      <c r="AR8" s="108">
        <f>ROUND(17424,2)</f>
        <v>17424</v>
      </c>
      <c r="AS8" s="108">
        <f>ROUND(17424,2)</f>
        <v>17424</v>
      </c>
      <c r="AT8" s="108">
        <f t="shared" si="13"/>
        <v>0</v>
      </c>
      <c r="AU8" s="108">
        <f t="shared" si="13"/>
        <v>0</v>
      </c>
      <c r="AV8" s="108">
        <f t="shared" si="13"/>
        <v>0</v>
      </c>
      <c r="AW8" s="108">
        <f t="shared" si="6"/>
        <v>0</v>
      </c>
      <c r="AX8" s="108">
        <f t="shared" si="6"/>
        <v>0</v>
      </c>
      <c r="AY8" s="108">
        <f t="shared" si="7"/>
        <v>0</v>
      </c>
      <c r="AZ8" s="108">
        <f>ROUND(256004.21,2)</f>
        <v>256004.21</v>
      </c>
      <c r="BA8" s="108">
        <f>ROUND(394416.11,2)</f>
        <v>394416.11</v>
      </c>
      <c r="BB8" s="115">
        <v>64.90713830122202</v>
      </c>
      <c r="BC8" s="115">
        <v>4.4176694506722862</v>
      </c>
      <c r="BD8" s="115">
        <v>0</v>
      </c>
      <c r="BE8" s="115">
        <v>0</v>
      </c>
      <c r="BF8" s="116"/>
      <c r="BG8" s="116"/>
    </row>
    <row r="9" spans="1:59" x14ac:dyDescent="0.25">
      <c r="A9" s="86" t="str">
        <f t="shared" si="0"/>
        <v>15031</v>
      </c>
      <c r="B9" s="86" t="str">
        <f t="shared" si="1"/>
        <v>92040</v>
      </c>
      <c r="C9" s="86" t="str">
        <f t="shared" si="2"/>
        <v>62600</v>
      </c>
      <c r="D9" s="87" t="str">
        <f t="shared" si="3"/>
        <v>15031/92040/62600(2022)</v>
      </c>
      <c r="E9" s="88" t="str">
        <f t="shared" si="4"/>
        <v>6</v>
      </c>
      <c r="F9" s="89" t="s">
        <v>184</v>
      </c>
      <c r="G9" s="90"/>
      <c r="H9" s="91" t="s">
        <v>181</v>
      </c>
      <c r="I9" s="92" t="s">
        <v>185</v>
      </c>
      <c r="J9" s="92" t="s">
        <v>186</v>
      </c>
      <c r="K9" s="93" t="s">
        <v>185</v>
      </c>
      <c r="L9" s="93" t="s">
        <v>186</v>
      </c>
      <c r="M9" s="94">
        <v>0</v>
      </c>
      <c r="N9" s="95">
        <v>58617.5</v>
      </c>
      <c r="O9" s="95">
        <v>58617.5</v>
      </c>
      <c r="P9" s="96"/>
      <c r="Q9" s="97"/>
      <c r="R9" s="98">
        <f t="shared" si="8"/>
        <v>0</v>
      </c>
      <c r="S9" s="99"/>
      <c r="T9" s="100"/>
      <c r="U9" s="101"/>
      <c r="V9" s="102"/>
      <c r="W9" s="103"/>
      <c r="X9" s="103"/>
      <c r="Y9" s="105">
        <f t="shared" si="9"/>
        <v>0</v>
      </c>
      <c r="Z9" s="106"/>
      <c r="AA9" s="118"/>
      <c r="AB9" s="108"/>
      <c r="AC9" s="108"/>
      <c r="AD9" s="109"/>
      <c r="AE9" s="110"/>
      <c r="AF9" s="111"/>
      <c r="AG9" s="111"/>
      <c r="AH9" s="111"/>
      <c r="AI9" s="111"/>
      <c r="AJ9" s="112">
        <f t="shared" si="10"/>
        <v>0</v>
      </c>
      <c r="AK9" s="113">
        <f t="shared" si="5"/>
        <v>0</v>
      </c>
      <c r="AL9" s="114">
        <f t="shared" si="11"/>
        <v>0</v>
      </c>
      <c r="AM9" s="108"/>
      <c r="AN9" s="108">
        <f>ROUND(58617.5,2)</f>
        <v>58617.5</v>
      </c>
      <c r="AO9" s="108">
        <f t="shared" si="12"/>
        <v>0</v>
      </c>
      <c r="AP9" s="108">
        <f t="shared" si="12"/>
        <v>0</v>
      </c>
      <c r="AQ9" s="108">
        <f t="shared" si="12"/>
        <v>0</v>
      </c>
      <c r="AR9" s="108">
        <f t="shared" si="12"/>
        <v>0</v>
      </c>
      <c r="AS9" s="108">
        <f t="shared" si="12"/>
        <v>0</v>
      </c>
      <c r="AT9" s="108">
        <f t="shared" si="13"/>
        <v>0</v>
      </c>
      <c r="AU9" s="108">
        <f t="shared" si="13"/>
        <v>0</v>
      </c>
      <c r="AV9" s="108">
        <f t="shared" si="13"/>
        <v>0</v>
      </c>
      <c r="AW9" s="108">
        <f t="shared" si="6"/>
        <v>0</v>
      </c>
      <c r="AX9" s="108">
        <f t="shared" si="6"/>
        <v>0</v>
      </c>
      <c r="AY9" s="108">
        <f t="shared" si="7"/>
        <v>0</v>
      </c>
      <c r="AZ9" s="108">
        <f>ROUND(58617.5,2)</f>
        <v>58617.5</v>
      </c>
      <c r="BA9" s="108">
        <f>ROUND(58617.5,2)</f>
        <v>58617.5</v>
      </c>
      <c r="BB9" s="115">
        <v>100</v>
      </c>
      <c r="BC9" s="115">
        <v>0</v>
      </c>
      <c r="BD9" s="115">
        <v>0</v>
      </c>
      <c r="BE9" s="115">
        <v>0</v>
      </c>
      <c r="BF9" s="116"/>
      <c r="BG9" s="116"/>
    </row>
    <row r="10" spans="1:59" x14ac:dyDescent="0.25">
      <c r="A10" s="86" t="str">
        <f t="shared" si="0"/>
        <v>15060</v>
      </c>
      <c r="B10" s="86" t="str">
        <f t="shared" si="1"/>
        <v>13200</v>
      </c>
      <c r="C10" s="86" t="str">
        <f t="shared" si="2"/>
        <v>62400</v>
      </c>
      <c r="D10" s="87" t="str">
        <f t="shared" si="3"/>
        <v>15060/13200/62400()</v>
      </c>
      <c r="E10" s="88" t="str">
        <f t="shared" si="4"/>
        <v>6</v>
      </c>
      <c r="F10" s="89">
        <v>0</v>
      </c>
      <c r="G10" s="90"/>
      <c r="H10" s="91"/>
      <c r="I10" s="92" t="s">
        <v>17</v>
      </c>
      <c r="J10" s="92" t="s">
        <v>18</v>
      </c>
      <c r="K10" s="120" t="s">
        <v>17</v>
      </c>
      <c r="L10" s="121" t="s">
        <v>18</v>
      </c>
      <c r="M10" s="94">
        <v>50000</v>
      </c>
      <c r="N10" s="95">
        <v>177000</v>
      </c>
      <c r="O10" s="95">
        <v>227000</v>
      </c>
      <c r="P10" s="96">
        <v>50000</v>
      </c>
      <c r="Q10" s="97">
        <f>S10</f>
        <v>96000</v>
      </c>
      <c r="R10" s="98">
        <f t="shared" si="8"/>
        <v>0</v>
      </c>
      <c r="S10" s="99">
        <f>60000+36000</f>
        <v>96000</v>
      </c>
      <c r="T10" s="100">
        <f>S10-P10</f>
        <v>46000</v>
      </c>
      <c r="U10" s="101">
        <v>50000</v>
      </c>
      <c r="V10" s="102">
        <v>60000</v>
      </c>
      <c r="W10" s="103">
        <v>0</v>
      </c>
      <c r="X10" s="104">
        <v>36000</v>
      </c>
      <c r="Y10" s="105">
        <f>Q10-V10-W10-X10</f>
        <v>0</v>
      </c>
      <c r="Z10" s="106" t="s">
        <v>187</v>
      </c>
      <c r="AA10" s="118"/>
      <c r="AB10" s="108"/>
      <c r="AC10" s="108"/>
      <c r="AD10" s="109"/>
      <c r="AE10" s="110"/>
      <c r="AF10" s="111"/>
      <c r="AG10" s="111"/>
      <c r="AH10" s="111"/>
      <c r="AI10" s="111"/>
      <c r="AJ10" s="112">
        <f t="shared" si="10"/>
        <v>50000</v>
      </c>
      <c r="AK10" s="113">
        <f t="shared" si="5"/>
        <v>50000</v>
      </c>
      <c r="AL10" s="114">
        <f t="shared" si="11"/>
        <v>0</v>
      </c>
      <c r="AM10" s="108"/>
      <c r="AN10" s="108">
        <f>ROUND(0,2)</f>
        <v>0</v>
      </c>
      <c r="AO10" s="108">
        <f t="shared" si="12"/>
        <v>0</v>
      </c>
      <c r="AP10" s="108">
        <f t="shared" si="12"/>
        <v>0</v>
      </c>
      <c r="AQ10" s="108">
        <f t="shared" si="12"/>
        <v>0</v>
      </c>
      <c r="AR10" s="108">
        <f t="shared" si="12"/>
        <v>0</v>
      </c>
      <c r="AS10" s="108">
        <f t="shared" si="12"/>
        <v>0</v>
      </c>
      <c r="AT10" s="108">
        <f t="shared" si="13"/>
        <v>0</v>
      </c>
      <c r="AU10" s="108">
        <f t="shared" si="13"/>
        <v>0</v>
      </c>
      <c r="AV10" s="108">
        <f t="shared" si="13"/>
        <v>0</v>
      </c>
      <c r="AW10" s="108">
        <f t="shared" si="6"/>
        <v>0</v>
      </c>
      <c r="AX10" s="108">
        <f t="shared" si="6"/>
        <v>0</v>
      </c>
      <c r="AY10" s="108">
        <f t="shared" si="7"/>
        <v>0</v>
      </c>
      <c r="AZ10" s="108">
        <f>ROUND(227000,2)</f>
        <v>227000</v>
      </c>
      <c r="BA10" s="108">
        <f>ROUND(227000,2)</f>
        <v>227000</v>
      </c>
      <c r="BB10" s="115">
        <v>100</v>
      </c>
      <c r="BC10" s="115">
        <v>0</v>
      </c>
      <c r="BD10" s="115">
        <v>0</v>
      </c>
      <c r="BE10" s="115">
        <v>0</v>
      </c>
      <c r="BF10" s="116"/>
      <c r="BG10" s="116"/>
    </row>
    <row r="11" spans="1:59" x14ac:dyDescent="0.25">
      <c r="A11" s="86" t="str">
        <f t="shared" si="0"/>
        <v>15060</v>
      </c>
      <c r="B11" s="86" t="str">
        <f t="shared" si="1"/>
        <v>13200</v>
      </c>
      <c r="C11" s="86" t="str">
        <f t="shared" si="2"/>
        <v>62400</v>
      </c>
      <c r="D11" s="87" t="str">
        <f t="shared" si="3"/>
        <v>15060/13200/62400(2024)</v>
      </c>
      <c r="E11" s="88" t="str">
        <f t="shared" si="4"/>
        <v>6</v>
      </c>
      <c r="F11" s="89">
        <v>0</v>
      </c>
      <c r="G11" s="90"/>
      <c r="H11" s="91" t="s">
        <v>170</v>
      </c>
      <c r="I11" s="92" t="s">
        <v>17</v>
      </c>
      <c r="J11" s="92" t="s">
        <v>18</v>
      </c>
      <c r="K11" s="93" t="s">
        <v>17</v>
      </c>
      <c r="L11" s="93" t="s">
        <v>18</v>
      </c>
      <c r="M11" s="94">
        <v>0</v>
      </c>
      <c r="N11" s="95">
        <v>289611.34000000003</v>
      </c>
      <c r="O11" s="95">
        <v>289611.34000000003</v>
      </c>
      <c r="P11" s="96"/>
      <c r="Q11" s="97"/>
      <c r="R11" s="98">
        <f t="shared" si="8"/>
        <v>0</v>
      </c>
      <c r="S11" s="99"/>
      <c r="T11" s="100"/>
      <c r="U11" s="101"/>
      <c r="V11" s="102"/>
      <c r="W11" s="103"/>
      <c r="X11" s="103"/>
      <c r="Y11" s="105">
        <f t="shared" si="9"/>
        <v>0</v>
      </c>
      <c r="Z11" s="106"/>
      <c r="AA11" s="118"/>
      <c r="AB11" s="108"/>
      <c r="AC11" s="108"/>
      <c r="AD11" s="109"/>
      <c r="AE11" s="110"/>
      <c r="AF11" s="111"/>
      <c r="AG11" s="111"/>
      <c r="AH11" s="111"/>
      <c r="AI11" s="111"/>
      <c r="AJ11" s="112">
        <f t="shared" si="10"/>
        <v>0</v>
      </c>
      <c r="AK11" s="113">
        <f t="shared" si="5"/>
        <v>0</v>
      </c>
      <c r="AL11" s="114">
        <f t="shared" si="11"/>
        <v>0</v>
      </c>
      <c r="AM11" s="108"/>
      <c r="AN11" s="108">
        <f>ROUND(289611.34,2)</f>
        <v>289611.34000000003</v>
      </c>
      <c r="AO11" s="108">
        <f t="shared" si="12"/>
        <v>0</v>
      </c>
      <c r="AP11" s="108">
        <f>ROUND(214158.86,2)</f>
        <v>214158.86</v>
      </c>
      <c r="AQ11" s="108">
        <f t="shared" si="12"/>
        <v>0</v>
      </c>
      <c r="AR11" s="108">
        <f>ROUND(214158.86,2)</f>
        <v>214158.86</v>
      </c>
      <c r="AS11" s="108">
        <f>ROUND(51036.84,2)</f>
        <v>51036.84</v>
      </c>
      <c r="AT11" s="108">
        <f>ROUND(163122.02,2)</f>
        <v>163122.01999999999</v>
      </c>
      <c r="AU11" s="108">
        <f>ROUND(0,2)</f>
        <v>0</v>
      </c>
      <c r="AV11" s="108">
        <f>ROUND(163122.02,2)</f>
        <v>163122.01999999999</v>
      </c>
      <c r="AW11" s="108">
        <f t="shared" si="6"/>
        <v>0</v>
      </c>
      <c r="AX11" s="108">
        <f>ROUND(163122.02,2)</f>
        <v>163122.01999999999</v>
      </c>
      <c r="AY11" s="108">
        <f t="shared" si="7"/>
        <v>0</v>
      </c>
      <c r="AZ11" s="108">
        <f>ROUND(75452.48,2)</f>
        <v>75452.479999999996</v>
      </c>
      <c r="BA11" s="108">
        <f>ROUND(126489.32,2)</f>
        <v>126489.32</v>
      </c>
      <c r="BB11" s="115">
        <v>26.053012979395074</v>
      </c>
      <c r="BC11" s="115">
        <v>73.946987020604922</v>
      </c>
      <c r="BD11" s="115">
        <v>56.324458841977652</v>
      </c>
      <c r="BE11" s="115">
        <v>100</v>
      </c>
      <c r="BF11" s="116"/>
      <c r="BG11" s="116"/>
    </row>
    <row r="12" spans="1:59" x14ac:dyDescent="0.25">
      <c r="A12" s="86" t="str">
        <f t="shared" si="0"/>
        <v>15060</v>
      </c>
      <c r="B12" s="86" t="str">
        <f t="shared" si="1"/>
        <v>92000</v>
      </c>
      <c r="C12" s="86" t="str">
        <f t="shared" si="2"/>
        <v>62500</v>
      </c>
      <c r="D12" s="87" t="str">
        <f t="shared" si="3"/>
        <v>15060/92000/62500()</v>
      </c>
      <c r="E12" s="88" t="str">
        <f t="shared" si="4"/>
        <v>6</v>
      </c>
      <c r="F12" s="89">
        <v>0</v>
      </c>
      <c r="G12" s="90"/>
      <c r="H12" s="91"/>
      <c r="I12" s="92" t="s">
        <v>19</v>
      </c>
      <c r="J12" s="92" t="s">
        <v>20</v>
      </c>
      <c r="K12" s="93" t="s">
        <v>19</v>
      </c>
      <c r="L12" s="93" t="s">
        <v>20</v>
      </c>
      <c r="M12" s="94">
        <v>50000</v>
      </c>
      <c r="N12" s="95">
        <v>25000</v>
      </c>
      <c r="O12" s="95">
        <v>75000</v>
      </c>
      <c r="P12" s="96">
        <f>M12</f>
        <v>50000</v>
      </c>
      <c r="Q12" s="97">
        <v>50000</v>
      </c>
      <c r="R12" s="98">
        <f t="shared" si="8"/>
        <v>0</v>
      </c>
      <c r="S12" s="99"/>
      <c r="T12" s="100"/>
      <c r="U12" s="101">
        <v>50000</v>
      </c>
      <c r="V12" s="102">
        <f>P12</f>
        <v>50000</v>
      </c>
      <c r="W12" s="103"/>
      <c r="X12" s="103"/>
      <c r="Y12" s="105">
        <f t="shared" si="9"/>
        <v>0</v>
      </c>
      <c r="Z12" s="106" t="s">
        <v>188</v>
      </c>
      <c r="AA12" s="107">
        <v>13963.48</v>
      </c>
      <c r="AB12" s="108">
        <f>M12-AA12</f>
        <v>36036.520000000004</v>
      </c>
      <c r="AC12" s="108"/>
      <c r="AD12" s="109"/>
      <c r="AE12" s="110"/>
      <c r="AF12" s="111"/>
      <c r="AG12" s="111"/>
      <c r="AH12" s="111"/>
      <c r="AI12" s="111"/>
      <c r="AJ12" s="112">
        <f t="shared" si="10"/>
        <v>50000</v>
      </c>
      <c r="AK12" s="113">
        <f t="shared" si="5"/>
        <v>50000</v>
      </c>
      <c r="AL12" s="114">
        <f t="shared" si="11"/>
        <v>0</v>
      </c>
      <c r="AM12" s="108"/>
      <c r="AN12" s="108">
        <f>ROUND(0,2)</f>
        <v>0</v>
      </c>
      <c r="AO12" s="108">
        <f t="shared" si="12"/>
        <v>0</v>
      </c>
      <c r="AP12" s="108">
        <f>ROUND(48097.54,2)</f>
        <v>48097.54</v>
      </c>
      <c r="AQ12" s="108">
        <f t="shared" si="12"/>
        <v>0</v>
      </c>
      <c r="AR12" s="108">
        <f>ROUND(48097.54,2)</f>
        <v>48097.54</v>
      </c>
      <c r="AS12" s="108">
        <f>ROUND(32801.69,2)</f>
        <v>32801.69</v>
      </c>
      <c r="AT12" s="108">
        <f>ROUND(15295.85,2)</f>
        <v>15295.85</v>
      </c>
      <c r="AU12" s="108">
        <f>ROUND(0,2)</f>
        <v>0</v>
      </c>
      <c r="AV12" s="108">
        <f>ROUND(15295.85,2)</f>
        <v>15295.85</v>
      </c>
      <c r="AW12" s="108">
        <f t="shared" si="6"/>
        <v>0</v>
      </c>
      <c r="AX12" s="108">
        <f>ROUND(15295.85,2)</f>
        <v>15295.85</v>
      </c>
      <c r="AY12" s="108">
        <f t="shared" si="7"/>
        <v>0</v>
      </c>
      <c r="AZ12" s="108">
        <f>ROUND(26902.46,2)</f>
        <v>26902.46</v>
      </c>
      <c r="BA12" s="108">
        <f>ROUND(59704.15,2)</f>
        <v>59704.15</v>
      </c>
      <c r="BB12" s="115">
        <v>35.869946666666664</v>
      </c>
      <c r="BC12" s="115">
        <v>64.130053333333336</v>
      </c>
      <c r="BD12" s="115">
        <v>20.394466666666666</v>
      </c>
      <c r="BE12" s="115">
        <v>100</v>
      </c>
      <c r="BF12" s="116"/>
      <c r="BG12" s="116"/>
    </row>
    <row r="13" spans="1:59" x14ac:dyDescent="0.25">
      <c r="A13" s="86" t="str">
        <f t="shared" si="0"/>
        <v>15060</v>
      </c>
      <c r="B13" s="86" t="str">
        <f t="shared" si="1"/>
        <v>92000</v>
      </c>
      <c r="C13" s="86" t="str">
        <f t="shared" si="2"/>
        <v>62500</v>
      </c>
      <c r="D13" s="87" t="str">
        <f t="shared" si="3"/>
        <v>15060/92000/62500(2024)</v>
      </c>
      <c r="E13" s="88" t="str">
        <f t="shared" si="4"/>
        <v>6</v>
      </c>
      <c r="F13" s="89">
        <v>0</v>
      </c>
      <c r="G13" s="90"/>
      <c r="H13" s="91" t="s">
        <v>170</v>
      </c>
      <c r="I13" s="92" t="s">
        <v>19</v>
      </c>
      <c r="J13" s="92" t="s">
        <v>20</v>
      </c>
      <c r="K13" s="93" t="s">
        <v>19</v>
      </c>
      <c r="L13" s="93" t="s">
        <v>20</v>
      </c>
      <c r="M13" s="94">
        <v>0</v>
      </c>
      <c r="N13" s="95">
        <v>25617.34</v>
      </c>
      <c r="O13" s="95">
        <v>25617.34</v>
      </c>
      <c r="P13" s="96"/>
      <c r="Q13" s="97"/>
      <c r="R13" s="98">
        <f t="shared" si="8"/>
        <v>0</v>
      </c>
      <c r="S13" s="99"/>
      <c r="T13" s="100"/>
      <c r="U13" s="101"/>
      <c r="V13" s="102"/>
      <c r="W13" s="103"/>
      <c r="X13" s="103"/>
      <c r="Y13" s="105">
        <f t="shared" si="9"/>
        <v>0</v>
      </c>
      <c r="Z13" s="106"/>
      <c r="AA13" s="118"/>
      <c r="AB13" s="108"/>
      <c r="AC13" s="108"/>
      <c r="AD13" s="109"/>
      <c r="AE13" s="110"/>
      <c r="AF13" s="111"/>
      <c r="AG13" s="111"/>
      <c r="AH13" s="111"/>
      <c r="AI13" s="111"/>
      <c r="AJ13" s="112">
        <f t="shared" si="10"/>
        <v>0</v>
      </c>
      <c r="AK13" s="113">
        <f t="shared" si="5"/>
        <v>0</v>
      </c>
      <c r="AL13" s="114">
        <f t="shared" si="11"/>
        <v>0</v>
      </c>
      <c r="AM13" s="108"/>
      <c r="AN13" s="108">
        <f>ROUND(25617.34,2)</f>
        <v>25617.34</v>
      </c>
      <c r="AO13" s="108">
        <f t="shared" si="12"/>
        <v>0</v>
      </c>
      <c r="AP13" s="108">
        <f>ROUND(19567.23,2)</f>
        <v>19567.23</v>
      </c>
      <c r="AQ13" s="108">
        <f t="shared" si="12"/>
        <v>0</v>
      </c>
      <c r="AR13" s="108">
        <f>ROUND(19567.23,2)</f>
        <v>19567.23</v>
      </c>
      <c r="AS13" s="108">
        <f>ROUND(3101.01,2)</f>
        <v>3101.01</v>
      </c>
      <c r="AT13" s="108">
        <f>ROUND(16466.22,2)</f>
        <v>16466.22</v>
      </c>
      <c r="AU13" s="108">
        <f>ROUND(7678.91,2)</f>
        <v>7678.91</v>
      </c>
      <c r="AV13" s="108">
        <f>ROUND(8787.31,2)</f>
        <v>8787.31</v>
      </c>
      <c r="AW13" s="108">
        <f t="shared" si="6"/>
        <v>0</v>
      </c>
      <c r="AX13" s="108">
        <f>ROUND(8787.31,2)</f>
        <v>8787.31</v>
      </c>
      <c r="AY13" s="108">
        <f t="shared" si="7"/>
        <v>0</v>
      </c>
      <c r="AZ13" s="108">
        <f>ROUND(6050.11,2)</f>
        <v>6050.11</v>
      </c>
      <c r="BA13" s="108">
        <f>ROUND(9151.12,2)</f>
        <v>9151.1200000000008</v>
      </c>
      <c r="BB13" s="115">
        <v>23.617245194075572</v>
      </c>
      <c r="BC13" s="115">
        <v>76.382754805924421</v>
      </c>
      <c r="BD13" s="115">
        <v>64.277633821466239</v>
      </c>
      <c r="BE13" s="115">
        <v>53.365678340262669</v>
      </c>
      <c r="BF13" s="116"/>
      <c r="BG13" s="116"/>
    </row>
    <row r="14" spans="1:59" x14ac:dyDescent="0.25">
      <c r="A14" s="86" t="str">
        <f t="shared" si="0"/>
        <v>15130</v>
      </c>
      <c r="B14" s="86" t="str">
        <f t="shared" si="1"/>
        <v>13401</v>
      </c>
      <c r="C14" s="86" t="str">
        <f t="shared" si="2"/>
        <v>62600</v>
      </c>
      <c r="D14" s="87" t="str">
        <f t="shared" si="3"/>
        <v>15130/13401/62600(2023)</v>
      </c>
      <c r="E14" s="88" t="str">
        <f t="shared" si="4"/>
        <v>6</v>
      </c>
      <c r="F14" s="89" t="s">
        <v>189</v>
      </c>
      <c r="G14" s="90"/>
      <c r="H14" s="91" t="s">
        <v>172</v>
      </c>
      <c r="I14" s="92" t="s">
        <v>190</v>
      </c>
      <c r="J14" s="92" t="s">
        <v>191</v>
      </c>
      <c r="K14" s="93" t="s">
        <v>190</v>
      </c>
      <c r="L14" s="93" t="s">
        <v>191</v>
      </c>
      <c r="M14" s="94">
        <v>0</v>
      </c>
      <c r="N14" s="95">
        <v>364210</v>
      </c>
      <c r="O14" s="95">
        <v>364210</v>
      </c>
      <c r="P14" s="96"/>
      <c r="Q14" s="97"/>
      <c r="R14" s="98">
        <f t="shared" si="8"/>
        <v>0</v>
      </c>
      <c r="S14" s="99"/>
      <c r="T14" s="100"/>
      <c r="U14" s="101"/>
      <c r="V14" s="102"/>
      <c r="W14" s="103"/>
      <c r="X14" s="103"/>
      <c r="Y14" s="105">
        <f t="shared" si="9"/>
        <v>0</v>
      </c>
      <c r="Z14" s="106"/>
      <c r="AA14" s="118"/>
      <c r="AB14" s="108"/>
      <c r="AC14" s="108"/>
      <c r="AD14" s="109"/>
      <c r="AE14" s="110"/>
      <c r="AF14" s="111"/>
      <c r="AG14" s="111"/>
      <c r="AH14" s="111"/>
      <c r="AI14" s="111"/>
      <c r="AJ14" s="112">
        <f t="shared" si="10"/>
        <v>0</v>
      </c>
      <c r="AK14" s="113">
        <f t="shared" si="5"/>
        <v>0</v>
      </c>
      <c r="AL14" s="114">
        <f t="shared" si="11"/>
        <v>0</v>
      </c>
      <c r="AM14" s="108"/>
      <c r="AN14" s="108">
        <f>ROUND(364210,2)</f>
        <v>364210</v>
      </c>
      <c r="AO14" s="108">
        <f t="shared" si="12"/>
        <v>0</v>
      </c>
      <c r="AP14" s="108">
        <f>ROUND(216227.05,2)</f>
        <v>216227.05</v>
      </c>
      <c r="AQ14" s="108">
        <f t="shared" si="12"/>
        <v>0</v>
      </c>
      <c r="AR14" s="108">
        <f>ROUND(216227.05,2)</f>
        <v>216227.05</v>
      </c>
      <c r="AS14" s="108">
        <f>ROUND(133783.16,2)</f>
        <v>133783.16</v>
      </c>
      <c r="AT14" s="108">
        <f>ROUND(82443.89,2)</f>
        <v>82443.89</v>
      </c>
      <c r="AU14" s="108">
        <f t="shared" ref="AU14:AV24" si="14">ROUND(0,2)</f>
        <v>0</v>
      </c>
      <c r="AV14" s="108">
        <f>ROUND(82443.89,2)</f>
        <v>82443.89</v>
      </c>
      <c r="AW14" s="108">
        <f t="shared" si="6"/>
        <v>0</v>
      </c>
      <c r="AX14" s="108">
        <f>ROUND(82443.89,2)</f>
        <v>82443.89</v>
      </c>
      <c r="AY14" s="108">
        <f t="shared" si="7"/>
        <v>0</v>
      </c>
      <c r="AZ14" s="108">
        <f>ROUND(147982.95,2)</f>
        <v>147982.95000000001</v>
      </c>
      <c r="BA14" s="108">
        <f>ROUND(281766.11,2)</f>
        <v>281766.11</v>
      </c>
      <c r="BB14" s="115">
        <v>40.631215507536865</v>
      </c>
      <c r="BC14" s="115">
        <v>59.368784492463135</v>
      </c>
      <c r="BD14" s="115">
        <v>22.636360890694927</v>
      </c>
      <c r="BE14" s="115">
        <v>100</v>
      </c>
      <c r="BF14" s="116"/>
      <c r="BG14" s="116"/>
    </row>
    <row r="15" spans="1:59" x14ac:dyDescent="0.25">
      <c r="A15" s="86" t="str">
        <f t="shared" si="0"/>
        <v>20202</v>
      </c>
      <c r="B15" s="86" t="str">
        <f t="shared" si="1"/>
        <v>92040</v>
      </c>
      <c r="C15" s="86" t="str">
        <f t="shared" si="2"/>
        <v>62600</v>
      </c>
      <c r="D15" s="87" t="str">
        <f t="shared" si="3"/>
        <v>20202/92040/62600(2022)</v>
      </c>
      <c r="E15" s="88" t="str">
        <f t="shared" si="4"/>
        <v>6</v>
      </c>
      <c r="F15" s="89" t="s">
        <v>184</v>
      </c>
      <c r="G15" s="90"/>
      <c r="H15" s="91" t="s">
        <v>181</v>
      </c>
      <c r="I15" s="92" t="s">
        <v>192</v>
      </c>
      <c r="J15" s="92" t="s">
        <v>193</v>
      </c>
      <c r="K15" s="93" t="s">
        <v>192</v>
      </c>
      <c r="L15" s="93" t="s">
        <v>193</v>
      </c>
      <c r="M15" s="94">
        <v>0</v>
      </c>
      <c r="N15" s="95">
        <v>3000</v>
      </c>
      <c r="O15" s="95">
        <v>3000</v>
      </c>
      <c r="P15" s="96"/>
      <c r="Q15" s="97"/>
      <c r="R15" s="98">
        <f t="shared" si="8"/>
        <v>0</v>
      </c>
      <c r="S15" s="99"/>
      <c r="T15" s="100"/>
      <c r="U15" s="101"/>
      <c r="V15" s="102"/>
      <c r="W15" s="103"/>
      <c r="X15" s="103"/>
      <c r="Y15" s="105">
        <f t="shared" si="9"/>
        <v>0</v>
      </c>
      <c r="Z15" s="106"/>
      <c r="AA15" s="118"/>
      <c r="AB15" s="108"/>
      <c r="AC15" s="108"/>
      <c r="AD15" s="109"/>
      <c r="AE15" s="110"/>
      <c r="AF15" s="111"/>
      <c r="AG15" s="111"/>
      <c r="AH15" s="111"/>
      <c r="AI15" s="111"/>
      <c r="AJ15" s="112">
        <f t="shared" si="10"/>
        <v>0</v>
      </c>
      <c r="AK15" s="113">
        <f t="shared" si="5"/>
        <v>0</v>
      </c>
      <c r="AL15" s="114">
        <f t="shared" si="11"/>
        <v>0</v>
      </c>
      <c r="AM15" s="108"/>
      <c r="AN15" s="108">
        <f>ROUND(3000,2)</f>
        <v>3000</v>
      </c>
      <c r="AO15" s="108">
        <f t="shared" si="12"/>
        <v>0</v>
      </c>
      <c r="AP15" s="108">
        <f>ROUND(0,2)</f>
        <v>0</v>
      </c>
      <c r="AQ15" s="108">
        <f t="shared" si="12"/>
        <v>0</v>
      </c>
      <c r="AR15" s="108">
        <f t="shared" si="12"/>
        <v>0</v>
      </c>
      <c r="AS15" s="108">
        <f t="shared" si="12"/>
        <v>0</v>
      </c>
      <c r="AT15" s="108">
        <f t="shared" si="12"/>
        <v>0</v>
      </c>
      <c r="AU15" s="108">
        <f t="shared" si="14"/>
        <v>0</v>
      </c>
      <c r="AV15" s="108">
        <f t="shared" si="14"/>
        <v>0</v>
      </c>
      <c r="AW15" s="108">
        <f t="shared" si="6"/>
        <v>0</v>
      </c>
      <c r="AX15" s="108">
        <f t="shared" si="6"/>
        <v>0</v>
      </c>
      <c r="AY15" s="108">
        <f t="shared" si="7"/>
        <v>0</v>
      </c>
      <c r="AZ15" s="108">
        <f>ROUND(3000,2)</f>
        <v>3000</v>
      </c>
      <c r="BA15" s="108">
        <f>ROUND(3000,2)</f>
        <v>3000</v>
      </c>
      <c r="BB15" s="115">
        <v>100</v>
      </c>
      <c r="BC15" s="115">
        <v>0</v>
      </c>
      <c r="BD15" s="115">
        <v>0</v>
      </c>
      <c r="BE15" s="115">
        <v>0</v>
      </c>
      <c r="BF15" s="116"/>
      <c r="BG15" s="116"/>
    </row>
    <row r="16" spans="1:59" x14ac:dyDescent="0.25">
      <c r="A16" s="86" t="str">
        <f t="shared" si="0"/>
        <v>20202</v>
      </c>
      <c r="B16" s="86" t="str">
        <f t="shared" si="1"/>
        <v>93300</v>
      </c>
      <c r="C16" s="86" t="str">
        <f t="shared" si="2"/>
        <v>63201</v>
      </c>
      <c r="D16" s="87" t="str">
        <f t="shared" si="3"/>
        <v>20202/93300/63201(2022)</v>
      </c>
      <c r="E16" s="88" t="str">
        <f t="shared" si="4"/>
        <v>6</v>
      </c>
      <c r="F16" s="89" t="s">
        <v>184</v>
      </c>
      <c r="G16" s="90"/>
      <c r="H16" s="91" t="s">
        <v>181</v>
      </c>
      <c r="I16" s="92" t="s">
        <v>194</v>
      </c>
      <c r="J16" s="92" t="s">
        <v>195</v>
      </c>
      <c r="K16" s="93" t="s">
        <v>194</v>
      </c>
      <c r="L16" s="93" t="s">
        <v>195</v>
      </c>
      <c r="M16" s="94">
        <v>0</v>
      </c>
      <c r="N16" s="95">
        <v>26123.37</v>
      </c>
      <c r="O16" s="95">
        <v>26123.37</v>
      </c>
      <c r="P16" s="96"/>
      <c r="Q16" s="97"/>
      <c r="R16" s="98">
        <f t="shared" si="8"/>
        <v>0</v>
      </c>
      <c r="S16" s="99"/>
      <c r="T16" s="100"/>
      <c r="U16" s="101"/>
      <c r="V16" s="102"/>
      <c r="W16" s="103"/>
      <c r="X16" s="103"/>
      <c r="Y16" s="105">
        <f t="shared" si="9"/>
        <v>0</v>
      </c>
      <c r="Z16" s="106"/>
      <c r="AA16" s="118"/>
      <c r="AB16" s="108"/>
      <c r="AC16" s="108"/>
      <c r="AD16" s="109"/>
      <c r="AE16" s="110"/>
      <c r="AF16" s="111"/>
      <c r="AG16" s="111"/>
      <c r="AH16" s="111"/>
      <c r="AI16" s="111"/>
      <c r="AJ16" s="112">
        <f t="shared" si="10"/>
        <v>0</v>
      </c>
      <c r="AK16" s="113">
        <f t="shared" si="5"/>
        <v>0</v>
      </c>
      <c r="AL16" s="114">
        <f t="shared" si="11"/>
        <v>0</v>
      </c>
      <c r="AM16" s="108"/>
      <c r="AN16" s="108">
        <f>ROUND(26123.37,2)</f>
        <v>26123.37</v>
      </c>
      <c r="AO16" s="108">
        <f t="shared" si="12"/>
        <v>0</v>
      </c>
      <c r="AP16" s="108">
        <f>ROUND(0,2)</f>
        <v>0</v>
      </c>
      <c r="AQ16" s="108">
        <f t="shared" si="12"/>
        <v>0</v>
      </c>
      <c r="AR16" s="108">
        <f t="shared" si="12"/>
        <v>0</v>
      </c>
      <c r="AS16" s="108">
        <f t="shared" si="12"/>
        <v>0</v>
      </c>
      <c r="AT16" s="108">
        <f t="shared" si="12"/>
        <v>0</v>
      </c>
      <c r="AU16" s="108">
        <f t="shared" si="14"/>
        <v>0</v>
      </c>
      <c r="AV16" s="108">
        <f t="shared" si="14"/>
        <v>0</v>
      </c>
      <c r="AW16" s="108">
        <f t="shared" si="6"/>
        <v>0</v>
      </c>
      <c r="AX16" s="108">
        <f t="shared" si="6"/>
        <v>0</v>
      </c>
      <c r="AY16" s="108">
        <f t="shared" si="7"/>
        <v>0</v>
      </c>
      <c r="AZ16" s="108">
        <f>ROUND(26123.37,2)</f>
        <v>26123.37</v>
      </c>
      <c r="BA16" s="108">
        <f>ROUND(26123.37,2)</f>
        <v>26123.37</v>
      </c>
      <c r="BB16" s="115">
        <v>100</v>
      </c>
      <c r="BC16" s="115">
        <v>0</v>
      </c>
      <c r="BD16" s="115">
        <v>0</v>
      </c>
      <c r="BE16" s="115">
        <v>0</v>
      </c>
      <c r="BF16" s="116"/>
      <c r="BG16" s="116"/>
    </row>
    <row r="17" spans="1:59" x14ac:dyDescent="0.25">
      <c r="A17" s="86" t="str">
        <f t="shared" si="0"/>
        <v>21000</v>
      </c>
      <c r="B17" s="86" t="str">
        <f t="shared" si="1"/>
        <v>15301</v>
      </c>
      <c r="C17" s="86" t="str">
        <f t="shared" si="2"/>
        <v>61900</v>
      </c>
      <c r="D17" s="87" t="str">
        <f t="shared" si="3"/>
        <v>21000/15301/61900(2020)</v>
      </c>
      <c r="E17" s="88" t="str">
        <f t="shared" si="4"/>
        <v>6</v>
      </c>
      <c r="F17" s="89" t="s">
        <v>196</v>
      </c>
      <c r="G17" s="90"/>
      <c r="H17" s="91" t="s">
        <v>197</v>
      </c>
      <c r="I17" s="92" t="s">
        <v>198</v>
      </c>
      <c r="J17" s="92" t="s">
        <v>199</v>
      </c>
      <c r="K17" s="93" t="s">
        <v>198</v>
      </c>
      <c r="L17" s="93" t="s">
        <v>199</v>
      </c>
      <c r="M17" s="94">
        <v>0</v>
      </c>
      <c r="N17" s="95">
        <v>664911.85</v>
      </c>
      <c r="O17" s="95">
        <v>664911.85</v>
      </c>
      <c r="P17" s="96"/>
      <c r="Q17" s="97"/>
      <c r="R17" s="98">
        <f t="shared" si="8"/>
        <v>0</v>
      </c>
      <c r="S17" s="99"/>
      <c r="T17" s="100"/>
      <c r="U17" s="101"/>
      <c r="V17" s="102"/>
      <c r="W17" s="103"/>
      <c r="X17" s="103"/>
      <c r="Y17" s="105">
        <f t="shared" si="9"/>
        <v>0</v>
      </c>
      <c r="Z17" s="106"/>
      <c r="AA17" s="118"/>
      <c r="AB17" s="108"/>
      <c r="AC17" s="108"/>
      <c r="AD17" s="109"/>
      <c r="AE17" s="110"/>
      <c r="AF17" s="111"/>
      <c r="AG17" s="111"/>
      <c r="AH17" s="111"/>
      <c r="AI17" s="111"/>
      <c r="AJ17" s="112">
        <f t="shared" si="10"/>
        <v>0</v>
      </c>
      <c r="AK17" s="113">
        <f t="shared" si="5"/>
        <v>0</v>
      </c>
      <c r="AL17" s="114">
        <f t="shared" si="11"/>
        <v>0</v>
      </c>
      <c r="AM17" s="108"/>
      <c r="AN17" s="108">
        <f>ROUND(664911.85,2)</f>
        <v>664911.85</v>
      </c>
      <c r="AO17" s="108">
        <f t="shared" si="12"/>
        <v>0</v>
      </c>
      <c r="AP17" s="108">
        <f>ROUND(390005.62,2)</f>
        <v>390005.62</v>
      </c>
      <c r="AQ17" s="108">
        <f t="shared" si="12"/>
        <v>0</v>
      </c>
      <c r="AR17" s="108">
        <f>ROUND(390005.62,2)</f>
        <v>390005.62</v>
      </c>
      <c r="AS17" s="108">
        <f>ROUND(390005.62,2)</f>
        <v>390005.62</v>
      </c>
      <c r="AT17" s="108">
        <f>ROUND(0,2)</f>
        <v>0</v>
      </c>
      <c r="AU17" s="108">
        <f t="shared" si="14"/>
        <v>0</v>
      </c>
      <c r="AV17" s="108">
        <f t="shared" si="14"/>
        <v>0</v>
      </c>
      <c r="AW17" s="108">
        <f t="shared" si="6"/>
        <v>0</v>
      </c>
      <c r="AX17" s="108">
        <f t="shared" si="6"/>
        <v>0</v>
      </c>
      <c r="AY17" s="108">
        <f t="shared" si="7"/>
        <v>0</v>
      </c>
      <c r="AZ17" s="108">
        <f>ROUND(274906.23,2)</f>
        <v>274906.23</v>
      </c>
      <c r="BA17" s="108">
        <f>ROUND(664911.85,2)</f>
        <v>664911.85</v>
      </c>
      <c r="BB17" s="115">
        <v>41.344763219365092</v>
      </c>
      <c r="BC17" s="115">
        <v>58.655236780634908</v>
      </c>
      <c r="BD17" s="115">
        <v>0</v>
      </c>
      <c r="BE17" s="115">
        <v>0</v>
      </c>
      <c r="BF17" s="116"/>
      <c r="BG17" s="116"/>
    </row>
    <row r="18" spans="1:59" x14ac:dyDescent="0.25">
      <c r="A18" s="86" t="str">
        <f t="shared" si="0"/>
        <v>21000</v>
      </c>
      <c r="B18" s="86" t="str">
        <f t="shared" si="1"/>
        <v>16000</v>
      </c>
      <c r="C18" s="86" t="str">
        <f t="shared" si="2"/>
        <v>61900</v>
      </c>
      <c r="D18" s="87" t="str">
        <f t="shared" si="3"/>
        <v>21000/16000/61900()</v>
      </c>
      <c r="E18" s="88" t="str">
        <f t="shared" si="4"/>
        <v>6</v>
      </c>
      <c r="F18" s="89">
        <v>0</v>
      </c>
      <c r="G18" s="90"/>
      <c r="H18" s="91"/>
      <c r="I18" s="92" t="s">
        <v>21</v>
      </c>
      <c r="J18" s="92" t="s">
        <v>22</v>
      </c>
      <c r="K18" s="93" t="s">
        <v>21</v>
      </c>
      <c r="L18" s="93" t="s">
        <v>22</v>
      </c>
      <c r="M18" s="94">
        <v>50</v>
      </c>
      <c r="N18" s="95">
        <v>0</v>
      </c>
      <c r="O18" s="95">
        <v>50</v>
      </c>
      <c r="P18" s="96">
        <v>50</v>
      </c>
      <c r="Q18" s="97">
        <f>S18</f>
        <v>300000</v>
      </c>
      <c r="R18" s="98">
        <f t="shared" si="8"/>
        <v>199950</v>
      </c>
      <c r="S18" s="99">
        <v>300000</v>
      </c>
      <c r="T18" s="100">
        <f>S18-P18</f>
        <v>299950</v>
      </c>
      <c r="U18" s="101">
        <v>200000</v>
      </c>
      <c r="V18" s="102"/>
      <c r="W18" s="103">
        <f>S18</f>
        <v>300000</v>
      </c>
      <c r="X18" s="103"/>
      <c r="Y18" s="105">
        <f t="shared" si="9"/>
        <v>0</v>
      </c>
      <c r="Z18" s="122" t="s">
        <v>200</v>
      </c>
      <c r="AA18" s="118"/>
      <c r="AB18" s="108"/>
      <c r="AC18" s="108">
        <v>-99950</v>
      </c>
      <c r="AD18" s="109"/>
      <c r="AE18" s="110"/>
      <c r="AF18" s="111"/>
      <c r="AG18" s="111"/>
      <c r="AH18" s="111"/>
      <c r="AI18" s="111"/>
      <c r="AJ18" s="112">
        <f t="shared" si="10"/>
        <v>200000</v>
      </c>
      <c r="AK18" s="113">
        <f t="shared" si="5"/>
        <v>200000</v>
      </c>
      <c r="AL18" s="114">
        <f t="shared" si="11"/>
        <v>0</v>
      </c>
      <c r="AM18" s="108"/>
      <c r="AN18" s="108">
        <f>ROUND(0,2)</f>
        <v>0</v>
      </c>
      <c r="AO18" s="108">
        <f t="shared" si="12"/>
        <v>0</v>
      </c>
      <c r="AP18" s="108">
        <f>ROUND(0,2)</f>
        <v>0</v>
      </c>
      <c r="AQ18" s="108">
        <f t="shared" si="12"/>
        <v>0</v>
      </c>
      <c r="AR18" s="108">
        <f>ROUND(0,2)</f>
        <v>0</v>
      </c>
      <c r="AS18" s="108">
        <f>ROUND(0,2)</f>
        <v>0</v>
      </c>
      <c r="AT18" s="108">
        <f>ROUND(0,2)</f>
        <v>0</v>
      </c>
      <c r="AU18" s="108">
        <f t="shared" si="14"/>
        <v>0</v>
      </c>
      <c r="AV18" s="108">
        <f t="shared" si="14"/>
        <v>0</v>
      </c>
      <c r="AW18" s="108">
        <f t="shared" si="6"/>
        <v>0</v>
      </c>
      <c r="AX18" s="108">
        <f t="shared" si="6"/>
        <v>0</v>
      </c>
      <c r="AY18" s="108">
        <f t="shared" si="7"/>
        <v>0</v>
      </c>
      <c r="AZ18" s="108">
        <f>ROUND(50,2)</f>
        <v>50</v>
      </c>
      <c r="BA18" s="108">
        <f>ROUND(50,2)</f>
        <v>50</v>
      </c>
      <c r="BB18" s="115">
        <v>100</v>
      </c>
      <c r="BC18" s="115">
        <v>0</v>
      </c>
      <c r="BD18" s="115">
        <v>0</v>
      </c>
      <c r="BE18" s="115">
        <v>0</v>
      </c>
      <c r="BF18" s="116"/>
      <c r="BG18" s="116"/>
    </row>
    <row r="19" spans="1:59" x14ac:dyDescent="0.25">
      <c r="A19" s="86"/>
      <c r="B19" s="86"/>
      <c r="C19" s="86"/>
      <c r="D19" s="87"/>
      <c r="E19" s="88"/>
      <c r="F19" s="89"/>
      <c r="G19" s="90"/>
      <c r="H19" s="91"/>
      <c r="I19" s="92"/>
      <c r="J19" s="92"/>
      <c r="K19" s="92" t="s">
        <v>21</v>
      </c>
      <c r="L19" s="123" t="s">
        <v>200</v>
      </c>
      <c r="M19" s="124"/>
      <c r="N19" s="125"/>
      <c r="O19" s="95"/>
      <c r="P19" s="96"/>
      <c r="Q19" s="97"/>
      <c r="R19" s="98">
        <f t="shared" si="8"/>
        <v>0</v>
      </c>
      <c r="S19" s="99"/>
      <c r="T19" s="100"/>
      <c r="U19" s="101"/>
      <c r="V19" s="102"/>
      <c r="W19" s="103"/>
      <c r="X19" s="103"/>
      <c r="Y19" s="105">
        <f t="shared" si="9"/>
        <v>0</v>
      </c>
      <c r="Z19" s="106"/>
      <c r="AA19" s="118"/>
      <c r="AB19" s="108"/>
      <c r="AC19" s="108"/>
      <c r="AD19" s="109"/>
      <c r="AE19" s="110"/>
      <c r="AF19" s="111"/>
      <c r="AG19" s="111"/>
      <c r="AH19" s="111"/>
      <c r="AI19" s="111"/>
      <c r="AJ19" s="112">
        <f t="shared" si="10"/>
        <v>0</v>
      </c>
      <c r="AK19" s="113">
        <f t="shared" si="5"/>
        <v>0</v>
      </c>
      <c r="AL19" s="114">
        <f t="shared" si="11"/>
        <v>0</v>
      </c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15"/>
      <c r="BC19" s="115"/>
      <c r="BD19" s="115"/>
      <c r="BE19" s="115"/>
      <c r="BF19" s="116"/>
      <c r="BG19" s="116"/>
    </row>
    <row r="20" spans="1:59" x14ac:dyDescent="0.25">
      <c r="A20" s="86"/>
      <c r="B20" s="86"/>
      <c r="C20" s="86"/>
      <c r="D20" s="87"/>
      <c r="E20" s="88">
        <v>6</v>
      </c>
      <c r="F20" s="89"/>
      <c r="G20" s="90"/>
      <c r="H20" s="91"/>
      <c r="I20" s="92"/>
      <c r="J20" s="126" t="s">
        <v>201</v>
      </c>
      <c r="K20" s="92" t="s">
        <v>21</v>
      </c>
      <c r="L20" s="127" t="s">
        <v>202</v>
      </c>
      <c r="M20" s="94"/>
      <c r="N20" s="95"/>
      <c r="O20" s="95"/>
      <c r="P20" s="96"/>
      <c r="Q20" s="97">
        <f>S20</f>
        <v>180000</v>
      </c>
      <c r="R20" s="98">
        <f t="shared" si="8"/>
        <v>0</v>
      </c>
      <c r="S20" s="99">
        <v>180000</v>
      </c>
      <c r="T20" s="100"/>
      <c r="U20" s="101">
        <v>0</v>
      </c>
      <c r="V20" s="102"/>
      <c r="W20" s="103"/>
      <c r="X20" s="104">
        <f>S20</f>
        <v>180000</v>
      </c>
      <c r="Y20" s="105">
        <f t="shared" si="9"/>
        <v>0</v>
      </c>
      <c r="Z20" s="117" t="s">
        <v>203</v>
      </c>
      <c r="AA20" s="118"/>
      <c r="AB20" s="108"/>
      <c r="AC20" s="108"/>
      <c r="AD20" s="109"/>
      <c r="AE20" s="110"/>
      <c r="AF20" s="111"/>
      <c r="AG20" s="111"/>
      <c r="AH20" s="111"/>
      <c r="AI20" s="111"/>
      <c r="AJ20" s="112">
        <f t="shared" si="10"/>
        <v>0</v>
      </c>
      <c r="AK20" s="113">
        <f t="shared" si="5"/>
        <v>0</v>
      </c>
      <c r="AL20" s="114">
        <f t="shared" si="11"/>
        <v>0</v>
      </c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15"/>
      <c r="BC20" s="115"/>
      <c r="BD20" s="115"/>
      <c r="BE20" s="115"/>
      <c r="BF20" s="116"/>
      <c r="BG20" s="116"/>
    </row>
    <row r="21" spans="1:59" x14ac:dyDescent="0.25">
      <c r="A21" s="86"/>
      <c r="B21" s="86"/>
      <c r="C21" s="86"/>
      <c r="D21" s="87"/>
      <c r="E21" s="88">
        <v>6</v>
      </c>
      <c r="F21" s="89"/>
      <c r="G21" s="90"/>
      <c r="H21" s="91"/>
      <c r="I21" s="92"/>
      <c r="J21" s="126" t="s">
        <v>201</v>
      </c>
      <c r="K21" s="93" t="s">
        <v>204</v>
      </c>
      <c r="L21" s="127" t="s">
        <v>205</v>
      </c>
      <c r="M21" s="94"/>
      <c r="N21" s="95"/>
      <c r="O21" s="95"/>
      <c r="P21" s="96"/>
      <c r="Q21" s="97">
        <f>S21</f>
        <v>170000</v>
      </c>
      <c r="R21" s="98">
        <f t="shared" si="8"/>
        <v>0</v>
      </c>
      <c r="S21" s="99">
        <v>170000</v>
      </c>
      <c r="T21" s="100"/>
      <c r="U21" s="101">
        <v>0</v>
      </c>
      <c r="V21" s="102"/>
      <c r="W21" s="103"/>
      <c r="X21" s="104">
        <f>S21</f>
        <v>170000</v>
      </c>
      <c r="Y21" s="105">
        <f t="shared" si="9"/>
        <v>0</v>
      </c>
      <c r="Z21" s="106"/>
      <c r="AA21" s="118"/>
      <c r="AB21" s="108"/>
      <c r="AC21" s="108"/>
      <c r="AD21" s="109"/>
      <c r="AE21" s="110"/>
      <c r="AF21" s="111"/>
      <c r="AG21" s="111"/>
      <c r="AH21" s="111"/>
      <c r="AI21" s="111"/>
      <c r="AJ21" s="112">
        <f t="shared" si="10"/>
        <v>0</v>
      </c>
      <c r="AK21" s="113">
        <f t="shared" si="5"/>
        <v>0</v>
      </c>
      <c r="AL21" s="114">
        <f t="shared" si="11"/>
        <v>0</v>
      </c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15"/>
      <c r="BC21" s="115"/>
      <c r="BD21" s="115"/>
      <c r="BE21" s="115"/>
      <c r="BF21" s="116"/>
      <c r="BG21" s="116"/>
    </row>
    <row r="22" spans="1:59" x14ac:dyDescent="0.25">
      <c r="A22" s="86" t="str">
        <f t="shared" si="0"/>
        <v>21000</v>
      </c>
      <c r="B22" s="86" t="str">
        <f t="shared" si="1"/>
        <v>16000</v>
      </c>
      <c r="C22" s="86" t="str">
        <f t="shared" si="2"/>
        <v>61900</v>
      </c>
      <c r="D22" s="87" t="str">
        <f t="shared" si="3"/>
        <v>21000/16000/61900(2024)</v>
      </c>
      <c r="E22" s="88" t="str">
        <f t="shared" si="4"/>
        <v>6</v>
      </c>
      <c r="F22" s="89" t="s">
        <v>206</v>
      </c>
      <c r="G22" s="90"/>
      <c r="H22" s="91" t="s">
        <v>170</v>
      </c>
      <c r="I22" s="92" t="s">
        <v>21</v>
      </c>
      <c r="J22" s="92" t="s">
        <v>22</v>
      </c>
      <c r="K22" s="93" t="s">
        <v>21</v>
      </c>
      <c r="L22" s="93" t="s">
        <v>22</v>
      </c>
      <c r="M22" s="94">
        <v>0</v>
      </c>
      <c r="N22" s="95">
        <v>100000</v>
      </c>
      <c r="O22" s="95">
        <v>100000</v>
      </c>
      <c r="P22" s="96"/>
      <c r="Q22" s="97"/>
      <c r="R22" s="98">
        <f t="shared" si="8"/>
        <v>0</v>
      </c>
      <c r="S22" s="99"/>
      <c r="T22" s="100"/>
      <c r="U22" s="101"/>
      <c r="V22" s="102"/>
      <c r="W22" s="103"/>
      <c r="X22" s="103"/>
      <c r="Y22" s="105">
        <f t="shared" si="9"/>
        <v>0</v>
      </c>
      <c r="Z22" s="106"/>
      <c r="AA22" s="118"/>
      <c r="AB22" s="108"/>
      <c r="AC22" s="108"/>
      <c r="AD22" s="109"/>
      <c r="AE22" s="110"/>
      <c r="AF22" s="111"/>
      <c r="AG22" s="111"/>
      <c r="AH22" s="111"/>
      <c r="AI22" s="111"/>
      <c r="AJ22" s="112">
        <f t="shared" si="10"/>
        <v>0</v>
      </c>
      <c r="AK22" s="113">
        <f t="shared" si="5"/>
        <v>0</v>
      </c>
      <c r="AL22" s="114">
        <f t="shared" si="11"/>
        <v>0</v>
      </c>
      <c r="AM22" s="108"/>
      <c r="AN22" s="108">
        <f>ROUND(100000,2)</f>
        <v>100000</v>
      </c>
      <c r="AO22" s="108">
        <f t="shared" si="12"/>
        <v>0</v>
      </c>
      <c r="AP22" s="108">
        <f>ROUND(87479.84,2)</f>
        <v>87479.84</v>
      </c>
      <c r="AQ22" s="108">
        <f t="shared" si="12"/>
        <v>0</v>
      </c>
      <c r="AR22" s="108">
        <f>ROUND(87479.84,2)</f>
        <v>87479.84</v>
      </c>
      <c r="AS22" s="108">
        <f>ROUND(87479.84,2)</f>
        <v>87479.84</v>
      </c>
      <c r="AT22" s="108">
        <f>ROUND(0,2)</f>
        <v>0</v>
      </c>
      <c r="AU22" s="108">
        <f t="shared" si="14"/>
        <v>0</v>
      </c>
      <c r="AV22" s="108">
        <f t="shared" si="14"/>
        <v>0</v>
      </c>
      <c r="AW22" s="108">
        <f t="shared" si="6"/>
        <v>0</v>
      </c>
      <c r="AX22" s="108">
        <f t="shared" si="6"/>
        <v>0</v>
      </c>
      <c r="AY22" s="108">
        <f t="shared" si="7"/>
        <v>0</v>
      </c>
      <c r="AZ22" s="108">
        <f>ROUND(12520.16,2)</f>
        <v>12520.16</v>
      </c>
      <c r="BA22" s="108">
        <f>ROUND(100000,2)</f>
        <v>100000</v>
      </c>
      <c r="BB22" s="115">
        <v>12.520159999999999</v>
      </c>
      <c r="BC22" s="115">
        <v>87.479839999999996</v>
      </c>
      <c r="BD22" s="115">
        <v>0</v>
      </c>
      <c r="BE22" s="115">
        <v>0</v>
      </c>
      <c r="BF22" s="116"/>
      <c r="BG22" s="116"/>
    </row>
    <row r="23" spans="1:59" x14ac:dyDescent="0.25">
      <c r="A23" s="86" t="str">
        <f t="shared" si="0"/>
        <v>21000</v>
      </c>
      <c r="B23" s="86" t="str">
        <f t="shared" si="1"/>
        <v>17100</v>
      </c>
      <c r="C23" s="86" t="str">
        <f t="shared" si="2"/>
        <v>61900</v>
      </c>
      <c r="D23" s="87" t="str">
        <f t="shared" si="3"/>
        <v>21000/17100/61900(2024)</v>
      </c>
      <c r="E23" s="88" t="str">
        <f t="shared" si="4"/>
        <v>6</v>
      </c>
      <c r="F23" s="89" t="s">
        <v>207</v>
      </c>
      <c r="G23" s="90"/>
      <c r="H23" s="91" t="s">
        <v>170</v>
      </c>
      <c r="I23" s="92" t="s">
        <v>204</v>
      </c>
      <c r="J23" s="92" t="s">
        <v>208</v>
      </c>
      <c r="K23" s="93" t="s">
        <v>204</v>
      </c>
      <c r="L23" s="93" t="s">
        <v>208</v>
      </c>
      <c r="M23" s="94">
        <v>0</v>
      </c>
      <c r="N23" s="95">
        <v>376000</v>
      </c>
      <c r="O23" s="95">
        <v>376000</v>
      </c>
      <c r="P23" s="96"/>
      <c r="Q23" s="97"/>
      <c r="R23" s="98">
        <f t="shared" si="8"/>
        <v>0</v>
      </c>
      <c r="S23" s="99"/>
      <c r="T23" s="100"/>
      <c r="U23" s="101"/>
      <c r="V23" s="102"/>
      <c r="W23" s="103"/>
      <c r="X23" s="103"/>
      <c r="Y23" s="105">
        <f t="shared" si="9"/>
        <v>0</v>
      </c>
      <c r="Z23" s="106"/>
      <c r="AA23" s="118"/>
      <c r="AB23" s="108"/>
      <c r="AC23" s="108"/>
      <c r="AD23" s="109"/>
      <c r="AE23" s="110"/>
      <c r="AF23" s="111"/>
      <c r="AG23" s="111"/>
      <c r="AH23" s="111"/>
      <c r="AI23" s="111"/>
      <c r="AJ23" s="112">
        <f t="shared" si="10"/>
        <v>0</v>
      </c>
      <c r="AK23" s="113">
        <f t="shared" si="5"/>
        <v>0</v>
      </c>
      <c r="AL23" s="114">
        <f t="shared" si="11"/>
        <v>0</v>
      </c>
      <c r="AM23" s="108"/>
      <c r="AN23" s="108">
        <f>ROUND(376000,2)</f>
        <v>376000</v>
      </c>
      <c r="AO23" s="108">
        <f t="shared" si="12"/>
        <v>0</v>
      </c>
      <c r="AP23" s="108">
        <f>ROUND(330472.71,2)</f>
        <v>330472.71000000002</v>
      </c>
      <c r="AQ23" s="108">
        <f t="shared" si="12"/>
        <v>0</v>
      </c>
      <c r="AR23" s="108">
        <f>ROUND(330472.71,2)</f>
        <v>330472.71000000002</v>
      </c>
      <c r="AS23" s="108">
        <f>ROUND(330472.71,2)</f>
        <v>330472.71000000002</v>
      </c>
      <c r="AT23" s="108">
        <f>ROUND(0,2)</f>
        <v>0</v>
      </c>
      <c r="AU23" s="108">
        <f t="shared" si="14"/>
        <v>0</v>
      </c>
      <c r="AV23" s="108">
        <f t="shared" si="14"/>
        <v>0</v>
      </c>
      <c r="AW23" s="108">
        <f t="shared" si="6"/>
        <v>0</v>
      </c>
      <c r="AX23" s="108">
        <f t="shared" si="6"/>
        <v>0</v>
      </c>
      <c r="AY23" s="108">
        <f t="shared" si="7"/>
        <v>0</v>
      </c>
      <c r="AZ23" s="108">
        <f>ROUND(45527.29,2)</f>
        <v>45527.29</v>
      </c>
      <c r="BA23" s="108">
        <f>ROUND(376000,2)</f>
        <v>376000</v>
      </c>
      <c r="BB23" s="115">
        <v>12.108321808510638</v>
      </c>
      <c r="BC23" s="115">
        <v>87.891678191489362</v>
      </c>
      <c r="BD23" s="115">
        <v>0</v>
      </c>
      <c r="BE23" s="115">
        <v>0</v>
      </c>
      <c r="BF23" s="116"/>
      <c r="BG23" s="116"/>
    </row>
    <row r="24" spans="1:59" x14ac:dyDescent="0.25">
      <c r="A24" s="86" t="str">
        <f t="shared" si="0"/>
        <v>21000</v>
      </c>
      <c r="B24" s="86" t="str">
        <f t="shared" si="1"/>
        <v>92000</v>
      </c>
      <c r="C24" s="86" t="str">
        <f t="shared" si="2"/>
        <v>63200</v>
      </c>
      <c r="D24" s="87" t="str">
        <f t="shared" si="3"/>
        <v>21000/92000/63200(2022)</v>
      </c>
      <c r="E24" s="88" t="str">
        <f t="shared" si="4"/>
        <v>6</v>
      </c>
      <c r="F24" s="89">
        <v>0</v>
      </c>
      <c r="G24" s="90"/>
      <c r="H24" s="91" t="s">
        <v>181</v>
      </c>
      <c r="I24" s="92" t="s">
        <v>209</v>
      </c>
      <c r="J24" s="92" t="s">
        <v>210</v>
      </c>
      <c r="K24" s="93" t="s">
        <v>209</v>
      </c>
      <c r="L24" s="93" t="s">
        <v>210</v>
      </c>
      <c r="M24" s="94">
        <v>0</v>
      </c>
      <c r="N24" s="95">
        <v>250823.5</v>
      </c>
      <c r="O24" s="95">
        <v>250823.5</v>
      </c>
      <c r="P24" s="96"/>
      <c r="Q24" s="97"/>
      <c r="R24" s="98">
        <f t="shared" si="8"/>
        <v>0</v>
      </c>
      <c r="S24" s="99"/>
      <c r="T24" s="100"/>
      <c r="U24" s="101"/>
      <c r="V24" s="102"/>
      <c r="W24" s="103"/>
      <c r="X24" s="103"/>
      <c r="Y24" s="105">
        <f t="shared" si="9"/>
        <v>0</v>
      </c>
      <c r="Z24" s="106"/>
      <c r="AA24" s="118"/>
      <c r="AB24" s="108"/>
      <c r="AC24" s="108"/>
      <c r="AD24" s="109"/>
      <c r="AE24" s="110"/>
      <c r="AF24" s="111"/>
      <c r="AG24" s="111"/>
      <c r="AH24" s="111"/>
      <c r="AI24" s="111"/>
      <c r="AJ24" s="112">
        <f t="shared" si="10"/>
        <v>0</v>
      </c>
      <c r="AK24" s="113">
        <f t="shared" si="5"/>
        <v>0</v>
      </c>
      <c r="AL24" s="114">
        <f t="shared" si="11"/>
        <v>0</v>
      </c>
      <c r="AM24" s="108"/>
      <c r="AN24" s="108">
        <f>ROUND(250823.5,2)</f>
        <v>250823.5</v>
      </c>
      <c r="AO24" s="108">
        <f t="shared" si="12"/>
        <v>0</v>
      </c>
      <c r="AP24" s="108">
        <f>ROUND(0,2)</f>
        <v>0</v>
      </c>
      <c r="AQ24" s="108">
        <f t="shared" si="12"/>
        <v>0</v>
      </c>
      <c r="AR24" s="108">
        <f>ROUND(0,2)</f>
        <v>0</v>
      </c>
      <c r="AS24" s="108">
        <f>ROUND(0,2)</f>
        <v>0</v>
      </c>
      <c r="AT24" s="108">
        <f>ROUND(0,2)</f>
        <v>0</v>
      </c>
      <c r="AU24" s="108">
        <f t="shared" si="14"/>
        <v>0</v>
      </c>
      <c r="AV24" s="108">
        <f t="shared" si="14"/>
        <v>0</v>
      </c>
      <c r="AW24" s="108">
        <f t="shared" si="6"/>
        <v>0</v>
      </c>
      <c r="AX24" s="108">
        <f t="shared" si="6"/>
        <v>0</v>
      </c>
      <c r="AY24" s="108">
        <f t="shared" si="7"/>
        <v>0</v>
      </c>
      <c r="AZ24" s="108">
        <f>ROUND(250823.5,2)</f>
        <v>250823.5</v>
      </c>
      <c r="BA24" s="108">
        <f>ROUND(250823.5,2)</f>
        <v>250823.5</v>
      </c>
      <c r="BB24" s="115">
        <v>100</v>
      </c>
      <c r="BC24" s="115">
        <v>0</v>
      </c>
      <c r="BD24" s="115">
        <v>0</v>
      </c>
      <c r="BE24" s="115">
        <v>0</v>
      </c>
      <c r="BF24" s="116"/>
      <c r="BG24" s="116"/>
    </row>
    <row r="25" spans="1:59" x14ac:dyDescent="0.25">
      <c r="A25" s="86" t="str">
        <f t="shared" si="0"/>
        <v>21000</v>
      </c>
      <c r="B25" s="86" t="str">
        <f t="shared" si="1"/>
        <v>15100</v>
      </c>
      <c r="C25" s="86" t="str">
        <f t="shared" si="2"/>
        <v>74002</v>
      </c>
      <c r="D25" s="87" t="str">
        <f t="shared" si="3"/>
        <v>21000/15100/74002()</v>
      </c>
      <c r="E25" s="88" t="str">
        <f t="shared" si="4"/>
        <v>7</v>
      </c>
      <c r="F25" s="89" t="s">
        <v>211</v>
      </c>
      <c r="G25" s="128" t="s">
        <v>96</v>
      </c>
      <c r="H25" s="91"/>
      <c r="I25" s="92" t="s">
        <v>97</v>
      </c>
      <c r="J25" s="92" t="s">
        <v>98</v>
      </c>
      <c r="K25" s="93" t="s">
        <v>97</v>
      </c>
      <c r="L25" s="93" t="s">
        <v>98</v>
      </c>
      <c r="M25" s="94">
        <v>44503</v>
      </c>
      <c r="N25" s="95">
        <v>0</v>
      </c>
      <c r="O25" s="95">
        <v>44503</v>
      </c>
      <c r="P25" s="96">
        <v>45393</v>
      </c>
      <c r="Q25" s="97">
        <v>47752</v>
      </c>
      <c r="R25" s="98">
        <f t="shared" si="8"/>
        <v>1118</v>
      </c>
      <c r="S25" s="99">
        <v>47750.415300000001</v>
      </c>
      <c r="T25" s="100">
        <f>S25-P25</f>
        <v>2357.4153000000006</v>
      </c>
      <c r="U25" s="101">
        <v>45621</v>
      </c>
      <c r="V25" s="102">
        <v>45621</v>
      </c>
      <c r="W25" s="103"/>
      <c r="X25" s="104">
        <v>2131</v>
      </c>
      <c r="Y25" s="105">
        <f t="shared" si="9"/>
        <v>0</v>
      </c>
      <c r="Z25" s="106" t="s">
        <v>212</v>
      </c>
      <c r="AA25" s="118"/>
      <c r="AB25" s="108"/>
      <c r="AC25" s="108"/>
      <c r="AD25" s="109"/>
      <c r="AE25" s="110"/>
      <c r="AF25" s="111"/>
      <c r="AG25" s="111"/>
      <c r="AH25" s="111"/>
      <c r="AI25" s="111">
        <f>V25</f>
        <v>45621</v>
      </c>
      <c r="AJ25" s="112">
        <f t="shared" si="10"/>
        <v>0</v>
      </c>
      <c r="AK25" s="113">
        <f t="shared" si="5"/>
        <v>45621</v>
      </c>
      <c r="AL25" s="114">
        <f t="shared" si="11"/>
        <v>0</v>
      </c>
      <c r="AM25" s="108"/>
      <c r="AN25" s="108">
        <f>ROUND(0,2)</f>
        <v>0</v>
      </c>
      <c r="AO25" s="108">
        <f t="shared" si="12"/>
        <v>0</v>
      </c>
      <c r="AP25" s="108">
        <f>ROUND(44503,2)</f>
        <v>44503</v>
      </c>
      <c r="AQ25" s="108">
        <f t="shared" si="12"/>
        <v>0</v>
      </c>
      <c r="AR25" s="108">
        <f>ROUND(44503,2)</f>
        <v>44503</v>
      </c>
      <c r="AS25" s="108">
        <f>ROUND(0,2)</f>
        <v>0</v>
      </c>
      <c r="AT25" s="108">
        <f>ROUND(44503,2)</f>
        <v>44503</v>
      </c>
      <c r="AU25" s="108">
        <f>ROUND(11125.75,2)</f>
        <v>11125.75</v>
      </c>
      <c r="AV25" s="108">
        <f>ROUND(33377.25,2)</f>
        <v>33377.25</v>
      </c>
      <c r="AW25" s="108">
        <f>ROUND(4702.59,2)</f>
        <v>4702.59</v>
      </c>
      <c r="AX25" s="108">
        <f>ROUND(28674.66,2)</f>
        <v>28674.66</v>
      </c>
      <c r="AY25" s="108">
        <f t="shared" si="7"/>
        <v>0</v>
      </c>
      <c r="AZ25" s="108">
        <f>ROUND(0,2)</f>
        <v>0</v>
      </c>
      <c r="BA25" s="108">
        <f>ROUND(0,2)</f>
        <v>0</v>
      </c>
      <c r="BB25" s="115">
        <v>0</v>
      </c>
      <c r="BC25" s="115">
        <v>100</v>
      </c>
      <c r="BD25" s="115">
        <v>100</v>
      </c>
      <c r="BE25" s="115">
        <v>64.433094398130464</v>
      </c>
      <c r="BF25" s="116"/>
      <c r="BG25" s="116"/>
    </row>
    <row r="26" spans="1:59" x14ac:dyDescent="0.25">
      <c r="A26" s="86" t="str">
        <f t="shared" si="0"/>
        <v>21000</v>
      </c>
      <c r="B26" s="86" t="str">
        <f t="shared" si="1"/>
        <v>15102</v>
      </c>
      <c r="C26" s="86" t="str">
        <f t="shared" si="2"/>
        <v>74002</v>
      </c>
      <c r="D26" s="87" t="str">
        <f t="shared" si="3"/>
        <v>21000/15102/74002(2024)</v>
      </c>
      <c r="E26" s="88" t="str">
        <f t="shared" si="4"/>
        <v>7</v>
      </c>
      <c r="F26" s="89">
        <v>0</v>
      </c>
      <c r="G26" s="90"/>
      <c r="H26" s="91" t="s">
        <v>170</v>
      </c>
      <c r="I26" s="92" t="s">
        <v>213</v>
      </c>
      <c r="J26" s="92" t="s">
        <v>214</v>
      </c>
      <c r="K26" s="93" t="s">
        <v>213</v>
      </c>
      <c r="L26" s="93" t="s">
        <v>214</v>
      </c>
      <c r="M26" s="94">
        <v>0</v>
      </c>
      <c r="N26" s="95">
        <v>1000</v>
      </c>
      <c r="O26" s="95">
        <v>1000</v>
      </c>
      <c r="P26" s="96"/>
      <c r="Q26" s="97"/>
      <c r="R26" s="98">
        <f t="shared" si="8"/>
        <v>0</v>
      </c>
      <c r="S26" s="99"/>
      <c r="T26" s="100"/>
      <c r="U26" s="101">
        <v>0</v>
      </c>
      <c r="V26" s="102"/>
      <c r="W26" s="103"/>
      <c r="X26" s="103"/>
      <c r="Y26" s="105">
        <f t="shared" si="9"/>
        <v>0</v>
      </c>
      <c r="Z26" s="106"/>
      <c r="AA26" s="118"/>
      <c r="AB26" s="108"/>
      <c r="AC26" s="108"/>
      <c r="AD26" s="109"/>
      <c r="AE26" s="110"/>
      <c r="AF26" s="111"/>
      <c r="AG26" s="111"/>
      <c r="AH26" s="111"/>
      <c r="AI26" s="111"/>
      <c r="AJ26" s="112">
        <f t="shared" si="10"/>
        <v>0</v>
      </c>
      <c r="AK26" s="113">
        <f t="shared" si="5"/>
        <v>0</v>
      </c>
      <c r="AL26" s="114">
        <f t="shared" si="11"/>
        <v>0</v>
      </c>
      <c r="AM26" s="108"/>
      <c r="AN26" s="108">
        <f>ROUND(1000,2)</f>
        <v>1000</v>
      </c>
      <c r="AO26" s="108">
        <f t="shared" si="12"/>
        <v>0</v>
      </c>
      <c r="AP26" s="108">
        <f>ROUND(0,2)</f>
        <v>0</v>
      </c>
      <c r="AQ26" s="108">
        <f t="shared" si="12"/>
        <v>0</v>
      </c>
      <c r="AR26" s="108">
        <f>ROUND(0,2)</f>
        <v>0</v>
      </c>
      <c r="AS26" s="108">
        <f>ROUND(0,2)</f>
        <v>0</v>
      </c>
      <c r="AT26" s="108">
        <f>ROUND(0,2)</f>
        <v>0</v>
      </c>
      <c r="AU26" s="108">
        <f>ROUND(0,2)</f>
        <v>0</v>
      </c>
      <c r="AV26" s="108">
        <f>ROUND(0,2)</f>
        <v>0</v>
      </c>
      <c r="AW26" s="108">
        <f>ROUND(0,2)</f>
        <v>0</v>
      </c>
      <c r="AX26" s="108">
        <f>ROUND(0,2)</f>
        <v>0</v>
      </c>
      <c r="AY26" s="108">
        <f t="shared" si="7"/>
        <v>0</v>
      </c>
      <c r="AZ26" s="108">
        <f>ROUND(1000,2)</f>
        <v>1000</v>
      </c>
      <c r="BA26" s="108">
        <f>ROUND(1000,2)</f>
        <v>1000</v>
      </c>
      <c r="BB26" s="115">
        <v>100</v>
      </c>
      <c r="BC26" s="115">
        <v>0</v>
      </c>
      <c r="BD26" s="115">
        <v>0</v>
      </c>
      <c r="BE26" s="115">
        <v>0</v>
      </c>
      <c r="BF26" s="116"/>
      <c r="BG26" s="116"/>
    </row>
    <row r="27" spans="1:59" x14ac:dyDescent="0.25">
      <c r="A27" s="86" t="str">
        <f t="shared" si="0"/>
        <v>21000</v>
      </c>
      <c r="B27" s="86" t="str">
        <f t="shared" si="1"/>
        <v>15101</v>
      </c>
      <c r="C27" s="86" t="str">
        <f t="shared" si="2"/>
        <v>74003</v>
      </c>
      <c r="D27" s="87" t="str">
        <f t="shared" si="3"/>
        <v>21000/15101/74003()</v>
      </c>
      <c r="E27" s="88" t="str">
        <f t="shared" si="4"/>
        <v>7</v>
      </c>
      <c r="F27" s="89">
        <v>0</v>
      </c>
      <c r="G27" s="90"/>
      <c r="H27" s="91"/>
      <c r="I27" s="92" t="s">
        <v>99</v>
      </c>
      <c r="J27" s="92" t="s">
        <v>100</v>
      </c>
      <c r="K27" s="93" t="s">
        <v>99</v>
      </c>
      <c r="L27" s="93" t="s">
        <v>100</v>
      </c>
      <c r="M27" s="94">
        <v>499800</v>
      </c>
      <c r="N27" s="95">
        <v>0</v>
      </c>
      <c r="O27" s="95">
        <v>499800</v>
      </c>
      <c r="P27" s="96">
        <f>M27*1.02</f>
        <v>509796</v>
      </c>
      <c r="Q27" s="97">
        <v>747663</v>
      </c>
      <c r="R27" s="98">
        <f t="shared" si="8"/>
        <v>12545</v>
      </c>
      <c r="S27" s="99">
        <v>747661.86</v>
      </c>
      <c r="T27" s="100">
        <f>S27-P27</f>
        <v>237865.86</v>
      </c>
      <c r="U27" s="101">
        <v>512345</v>
      </c>
      <c r="V27" s="102">
        <v>512345</v>
      </c>
      <c r="W27" s="103"/>
      <c r="X27" s="104">
        <v>235318</v>
      </c>
      <c r="Y27" s="105">
        <f t="shared" si="9"/>
        <v>0</v>
      </c>
      <c r="Z27" s="106" t="s">
        <v>215</v>
      </c>
      <c r="AA27" s="118"/>
      <c r="AB27" s="108"/>
      <c r="AC27" s="108"/>
      <c r="AD27" s="109"/>
      <c r="AE27" s="110"/>
      <c r="AF27" s="111"/>
      <c r="AG27" s="111"/>
      <c r="AH27" s="111"/>
      <c r="AI27" s="111"/>
      <c r="AJ27" s="112">
        <f t="shared" si="10"/>
        <v>512345</v>
      </c>
      <c r="AK27" s="113">
        <f t="shared" si="5"/>
        <v>512345</v>
      </c>
      <c r="AL27" s="114">
        <f t="shared" si="11"/>
        <v>0</v>
      </c>
      <c r="AM27" s="108"/>
      <c r="AN27" s="108">
        <f>ROUND(0,2)</f>
        <v>0</v>
      </c>
      <c r="AO27" s="108">
        <f t="shared" si="12"/>
        <v>0</v>
      </c>
      <c r="AP27" s="108">
        <f>ROUND(499800,2)</f>
        <v>499800</v>
      </c>
      <c r="AQ27" s="108">
        <f t="shared" si="12"/>
        <v>0</v>
      </c>
      <c r="AR27" s="108">
        <f>ROUND(499800,2)</f>
        <v>499800</v>
      </c>
      <c r="AS27" s="108">
        <f>ROUND(0,2)</f>
        <v>0</v>
      </c>
      <c r="AT27" s="108">
        <f>ROUND(499800,2)</f>
        <v>499800</v>
      </c>
      <c r="AU27" s="108">
        <f>ROUND(124950,2)</f>
        <v>124950</v>
      </c>
      <c r="AV27" s="108">
        <f>ROUND(374850,2)</f>
        <v>374850</v>
      </c>
      <c r="AW27" s="108">
        <f t="shared" ref="AW27:AX61" si="15">ROUND(0,2)</f>
        <v>0</v>
      </c>
      <c r="AX27" s="108">
        <f>ROUND(374850,2)</f>
        <v>374850</v>
      </c>
      <c r="AY27" s="108">
        <f t="shared" si="7"/>
        <v>0</v>
      </c>
      <c r="AZ27" s="108">
        <f>ROUND(0,2)</f>
        <v>0</v>
      </c>
      <c r="BA27" s="108">
        <f>ROUND(0,2)</f>
        <v>0</v>
      </c>
      <c r="BB27" s="115">
        <v>0</v>
      </c>
      <c r="BC27" s="115">
        <v>100</v>
      </c>
      <c r="BD27" s="115">
        <v>100</v>
      </c>
      <c r="BE27" s="115">
        <v>75</v>
      </c>
      <c r="BF27" s="116"/>
      <c r="BG27" s="116"/>
    </row>
    <row r="28" spans="1:59" x14ac:dyDescent="0.25">
      <c r="A28" s="86" t="str">
        <f t="shared" si="0"/>
        <v>21000</v>
      </c>
      <c r="B28" s="86" t="str">
        <f t="shared" si="1"/>
        <v>16100</v>
      </c>
      <c r="C28" s="86" t="str">
        <f t="shared" si="2"/>
        <v>76400</v>
      </c>
      <c r="D28" s="87" t="str">
        <f t="shared" si="3"/>
        <v>21000/16100/76400(2024)</v>
      </c>
      <c r="E28" s="88" t="str">
        <f t="shared" si="4"/>
        <v>7</v>
      </c>
      <c r="F28" s="89" t="s">
        <v>207</v>
      </c>
      <c r="G28" s="90"/>
      <c r="H28" s="91" t="s">
        <v>170</v>
      </c>
      <c r="I28" s="92" t="s">
        <v>216</v>
      </c>
      <c r="J28" s="92" t="s">
        <v>217</v>
      </c>
      <c r="K28" s="93" t="s">
        <v>216</v>
      </c>
      <c r="L28" s="93" t="s">
        <v>217</v>
      </c>
      <c r="M28" s="94">
        <v>0</v>
      </c>
      <c r="N28" s="95">
        <v>175000</v>
      </c>
      <c r="O28" s="95">
        <v>175000</v>
      </c>
      <c r="P28" s="96"/>
      <c r="Q28" s="97"/>
      <c r="R28" s="98">
        <f t="shared" si="8"/>
        <v>0</v>
      </c>
      <c r="S28" s="99"/>
      <c r="T28" s="100"/>
      <c r="U28" s="101"/>
      <c r="V28" s="102"/>
      <c r="W28" s="103"/>
      <c r="X28" s="103"/>
      <c r="Y28" s="105">
        <f t="shared" si="9"/>
        <v>0</v>
      </c>
      <c r="Z28" s="106"/>
      <c r="AA28" s="118"/>
      <c r="AB28" s="108"/>
      <c r="AC28" s="108"/>
      <c r="AD28" s="109"/>
      <c r="AE28" s="110"/>
      <c r="AF28" s="111"/>
      <c r="AG28" s="111"/>
      <c r="AH28" s="111"/>
      <c r="AI28" s="111"/>
      <c r="AJ28" s="112">
        <f t="shared" si="10"/>
        <v>0</v>
      </c>
      <c r="AK28" s="113">
        <f t="shared" si="5"/>
        <v>0</v>
      </c>
      <c r="AL28" s="114">
        <f t="shared" si="11"/>
        <v>0</v>
      </c>
      <c r="AM28" s="108"/>
      <c r="AN28" s="108">
        <f>ROUND(175000,2)</f>
        <v>175000</v>
      </c>
      <c r="AO28" s="108">
        <f t="shared" si="12"/>
        <v>0</v>
      </c>
      <c r="AP28" s="108">
        <f>ROUND(0,2)</f>
        <v>0</v>
      </c>
      <c r="AQ28" s="108">
        <f t="shared" si="12"/>
        <v>0</v>
      </c>
      <c r="AR28" s="108">
        <f>ROUND(0,2)</f>
        <v>0</v>
      </c>
      <c r="AS28" s="108">
        <f>ROUND(0,2)</f>
        <v>0</v>
      </c>
      <c r="AT28" s="108">
        <f t="shared" ref="AT28:AV42" si="16">ROUND(0,2)</f>
        <v>0</v>
      </c>
      <c r="AU28" s="108">
        <f t="shared" si="16"/>
        <v>0</v>
      </c>
      <c r="AV28" s="108">
        <f t="shared" si="16"/>
        <v>0</v>
      </c>
      <c r="AW28" s="108">
        <f t="shared" si="15"/>
        <v>0</v>
      </c>
      <c r="AX28" s="108">
        <f>ROUND(0,2)</f>
        <v>0</v>
      </c>
      <c r="AY28" s="108">
        <f t="shared" si="7"/>
        <v>0</v>
      </c>
      <c r="AZ28" s="108">
        <f>ROUND(175000,2)</f>
        <v>175000</v>
      </c>
      <c r="BA28" s="108">
        <f>ROUND(175000,2)</f>
        <v>175000</v>
      </c>
      <c r="BB28" s="115">
        <v>100</v>
      </c>
      <c r="BC28" s="115">
        <v>0</v>
      </c>
      <c r="BD28" s="115">
        <v>0</v>
      </c>
      <c r="BE28" s="115">
        <v>0</v>
      </c>
      <c r="BF28" s="116"/>
      <c r="BG28" s="116"/>
    </row>
    <row r="29" spans="1:59" x14ac:dyDescent="0.25">
      <c r="A29" s="86" t="str">
        <f t="shared" si="0"/>
        <v>21000</v>
      </c>
      <c r="B29" s="86" t="str">
        <f t="shared" si="1"/>
        <v>34200</v>
      </c>
      <c r="C29" s="86" t="str">
        <f t="shared" si="2"/>
        <v>76400</v>
      </c>
      <c r="D29" s="87" t="str">
        <f t="shared" si="3"/>
        <v>21000/34200/76400(2024)</v>
      </c>
      <c r="E29" s="88" t="str">
        <f t="shared" si="4"/>
        <v>7</v>
      </c>
      <c r="F29" s="89">
        <v>0</v>
      </c>
      <c r="G29" s="90"/>
      <c r="H29" s="91" t="s">
        <v>170</v>
      </c>
      <c r="I29" s="92" t="s">
        <v>218</v>
      </c>
      <c r="J29" s="92" t="s">
        <v>219</v>
      </c>
      <c r="K29" s="93" t="s">
        <v>218</v>
      </c>
      <c r="L29" s="93" t="s">
        <v>219</v>
      </c>
      <c r="M29" s="94">
        <v>0</v>
      </c>
      <c r="N29" s="95">
        <v>1416860.87</v>
      </c>
      <c r="O29" s="95">
        <v>1416860.87</v>
      </c>
      <c r="P29" s="96"/>
      <c r="Q29" s="97"/>
      <c r="R29" s="98">
        <f t="shared" si="8"/>
        <v>0</v>
      </c>
      <c r="S29" s="99"/>
      <c r="T29" s="100"/>
      <c r="U29" s="101"/>
      <c r="V29" s="102"/>
      <c r="W29" s="103"/>
      <c r="X29" s="103"/>
      <c r="Y29" s="105">
        <f t="shared" si="9"/>
        <v>0</v>
      </c>
      <c r="Z29" s="106"/>
      <c r="AA29" s="118"/>
      <c r="AB29" s="108"/>
      <c r="AC29" s="108"/>
      <c r="AD29" s="109"/>
      <c r="AE29" s="110"/>
      <c r="AF29" s="111"/>
      <c r="AG29" s="111"/>
      <c r="AH29" s="111"/>
      <c r="AI29" s="111"/>
      <c r="AJ29" s="112">
        <f t="shared" si="10"/>
        <v>0</v>
      </c>
      <c r="AK29" s="113">
        <f t="shared" si="5"/>
        <v>0</v>
      </c>
      <c r="AL29" s="114">
        <f t="shared" si="11"/>
        <v>0</v>
      </c>
      <c r="AM29" s="108"/>
      <c r="AN29" s="108">
        <f>ROUND(1416860.87,2)</f>
        <v>1416860.87</v>
      </c>
      <c r="AO29" s="108">
        <f t="shared" si="12"/>
        <v>0</v>
      </c>
      <c r="AP29" s="108">
        <f>ROUND(1416860.87,2)</f>
        <v>1416860.87</v>
      </c>
      <c r="AQ29" s="108">
        <f t="shared" si="12"/>
        <v>0</v>
      </c>
      <c r="AR29" s="108">
        <f>ROUND(1416860.87,2)</f>
        <v>1416860.87</v>
      </c>
      <c r="AS29" s="108">
        <f>ROUND(1416860.87,2)</f>
        <v>1416860.87</v>
      </c>
      <c r="AT29" s="108">
        <f t="shared" si="16"/>
        <v>0</v>
      </c>
      <c r="AU29" s="108">
        <f t="shared" si="16"/>
        <v>0</v>
      </c>
      <c r="AV29" s="108">
        <f t="shared" si="16"/>
        <v>0</v>
      </c>
      <c r="AW29" s="108">
        <f t="shared" si="15"/>
        <v>0</v>
      </c>
      <c r="AX29" s="108">
        <f>ROUND(0,2)</f>
        <v>0</v>
      </c>
      <c r="AY29" s="108">
        <f t="shared" si="7"/>
        <v>0</v>
      </c>
      <c r="AZ29" s="108">
        <f>ROUND(0,2)</f>
        <v>0</v>
      </c>
      <c r="BA29" s="108">
        <f>ROUND(1416860.87,2)</f>
        <v>1416860.87</v>
      </c>
      <c r="BB29" s="115">
        <v>0</v>
      </c>
      <c r="BC29" s="115">
        <v>100</v>
      </c>
      <c r="BD29" s="115">
        <v>0</v>
      </c>
      <c r="BE29" s="115">
        <v>0</v>
      </c>
      <c r="BF29" s="116"/>
      <c r="BG29" s="116"/>
    </row>
    <row r="30" spans="1:59" x14ac:dyDescent="0.25">
      <c r="A30" s="86" t="str">
        <f t="shared" si="0"/>
        <v>21010</v>
      </c>
      <c r="B30" s="86" t="str">
        <f t="shared" si="1"/>
        <v>15101</v>
      </c>
      <c r="C30" s="86" t="str">
        <f t="shared" si="2"/>
        <v>60900</v>
      </c>
      <c r="D30" s="87" t="str">
        <f t="shared" si="3"/>
        <v>21010/15101/60900()</v>
      </c>
      <c r="E30" s="88" t="str">
        <f t="shared" si="4"/>
        <v>6</v>
      </c>
      <c r="F30" s="89" t="s">
        <v>220</v>
      </c>
      <c r="G30" s="90"/>
      <c r="H30" s="91"/>
      <c r="I30" s="92" t="s">
        <v>221</v>
      </c>
      <c r="J30" s="92" t="s">
        <v>222</v>
      </c>
      <c r="K30" s="93" t="s">
        <v>221</v>
      </c>
      <c r="L30" s="93" t="s">
        <v>222</v>
      </c>
      <c r="M30" s="94">
        <f>ROUND(235014,2)</f>
        <v>235014</v>
      </c>
      <c r="N30" s="95">
        <f>ROUND(0,2)</f>
        <v>0</v>
      </c>
      <c r="O30" s="95">
        <f>ROUND(235014,2)</f>
        <v>235014</v>
      </c>
      <c r="P30" s="129">
        <v>0</v>
      </c>
      <c r="Q30" s="130"/>
      <c r="R30" s="98">
        <f t="shared" si="8"/>
        <v>-235014</v>
      </c>
      <c r="S30" s="99"/>
      <c r="T30" s="100"/>
      <c r="U30" s="101"/>
      <c r="V30" s="102"/>
      <c r="W30" s="103"/>
      <c r="X30" s="103"/>
      <c r="Y30" s="105">
        <f t="shared" si="9"/>
        <v>0</v>
      </c>
      <c r="Z30" s="106"/>
      <c r="AA30" s="118"/>
      <c r="AB30" s="108"/>
      <c r="AC30" s="108"/>
      <c r="AD30" s="109"/>
      <c r="AE30" s="110"/>
      <c r="AF30" s="111"/>
      <c r="AG30" s="111"/>
      <c r="AH30" s="111"/>
      <c r="AI30" s="111"/>
      <c r="AJ30" s="112">
        <f t="shared" si="10"/>
        <v>0</v>
      </c>
      <c r="AK30" s="113">
        <f t="shared" si="5"/>
        <v>0</v>
      </c>
      <c r="AL30" s="114">
        <f t="shared" si="11"/>
        <v>0</v>
      </c>
      <c r="AM30" s="108"/>
      <c r="AN30" s="108">
        <f>ROUND(0,2)</f>
        <v>0</v>
      </c>
      <c r="AO30" s="108">
        <f t="shared" si="12"/>
        <v>0</v>
      </c>
      <c r="AP30" s="108">
        <f>ROUND(186803.71,2)</f>
        <v>186803.71</v>
      </c>
      <c r="AQ30" s="108">
        <f t="shared" si="12"/>
        <v>0</v>
      </c>
      <c r="AR30" s="108">
        <f>ROUND(186803.71,2)</f>
        <v>186803.71</v>
      </c>
      <c r="AS30" s="108">
        <f>ROUND(186803.71,2)</f>
        <v>186803.71</v>
      </c>
      <c r="AT30" s="108">
        <f t="shared" si="16"/>
        <v>0</v>
      </c>
      <c r="AU30" s="108">
        <f t="shared" si="16"/>
        <v>0</v>
      </c>
      <c r="AV30" s="108">
        <f t="shared" si="16"/>
        <v>0</v>
      </c>
      <c r="AW30" s="108">
        <f t="shared" si="15"/>
        <v>0</v>
      </c>
      <c r="AX30" s="108">
        <f>ROUND(0,2)</f>
        <v>0</v>
      </c>
      <c r="AY30" s="108">
        <f t="shared" si="7"/>
        <v>0</v>
      </c>
      <c r="AZ30" s="108">
        <f>ROUND(48210.29,2)</f>
        <v>48210.29</v>
      </c>
      <c r="BA30" s="108">
        <f>ROUND(235014,2)</f>
        <v>235014</v>
      </c>
      <c r="BB30" s="115">
        <v>20.513794922855659</v>
      </c>
      <c r="BC30" s="115">
        <v>79.486205077144334</v>
      </c>
      <c r="BD30" s="115">
        <v>0</v>
      </c>
      <c r="BE30" s="115">
        <v>0</v>
      </c>
      <c r="BF30" s="116"/>
      <c r="BG30" s="116"/>
    </row>
    <row r="31" spans="1:59" x14ac:dyDescent="0.25">
      <c r="A31" s="86" t="str">
        <f t="shared" si="0"/>
        <v>21010</v>
      </c>
      <c r="B31" s="86" t="str">
        <f t="shared" si="1"/>
        <v>15101</v>
      </c>
      <c r="C31" s="86" t="str">
        <f t="shared" si="2"/>
        <v>60900</v>
      </c>
      <c r="D31" s="87" t="str">
        <f t="shared" si="3"/>
        <v>21010/15101/60900(2023)</v>
      </c>
      <c r="E31" s="88" t="str">
        <f t="shared" si="4"/>
        <v>6</v>
      </c>
      <c r="F31" s="89" t="s">
        <v>220</v>
      </c>
      <c r="G31" s="90"/>
      <c r="H31" s="91" t="s">
        <v>172</v>
      </c>
      <c r="I31" s="92" t="s">
        <v>221</v>
      </c>
      <c r="J31" s="92" t="s">
        <v>222</v>
      </c>
      <c r="K31" s="93" t="s">
        <v>221</v>
      </c>
      <c r="L31" s="93" t="s">
        <v>222</v>
      </c>
      <c r="M31" s="94">
        <f>ROUND(0,2)</f>
        <v>0</v>
      </c>
      <c r="N31" s="95">
        <f>ROUND(1772472,2)</f>
        <v>1772472</v>
      </c>
      <c r="O31" s="95">
        <f>ROUND(1772472,2)</f>
        <v>1772472</v>
      </c>
      <c r="P31" s="96"/>
      <c r="Q31" s="97"/>
      <c r="R31" s="98">
        <f t="shared" si="8"/>
        <v>0</v>
      </c>
      <c r="S31" s="99"/>
      <c r="T31" s="100"/>
      <c r="U31" s="101"/>
      <c r="V31" s="102"/>
      <c r="W31" s="103"/>
      <c r="X31" s="103"/>
      <c r="Y31" s="105">
        <f t="shared" si="9"/>
        <v>0</v>
      </c>
      <c r="Z31" s="106"/>
      <c r="AA31" s="118"/>
      <c r="AB31" s="108"/>
      <c r="AC31" s="108"/>
      <c r="AD31" s="109"/>
      <c r="AE31" s="110"/>
      <c r="AF31" s="111"/>
      <c r="AG31" s="111"/>
      <c r="AH31" s="111"/>
      <c r="AI31" s="111"/>
      <c r="AJ31" s="112">
        <f t="shared" si="10"/>
        <v>0</v>
      </c>
      <c r="AK31" s="113">
        <f t="shared" si="5"/>
        <v>0</v>
      </c>
      <c r="AL31" s="114">
        <f t="shared" si="11"/>
        <v>0</v>
      </c>
      <c r="AM31" s="108"/>
      <c r="AN31" s="108">
        <f>ROUND(1772472,2)</f>
        <v>1772472</v>
      </c>
      <c r="AO31" s="108">
        <f t="shared" si="12"/>
        <v>0</v>
      </c>
      <c r="AP31" s="108">
        <f>ROUND(1772472,2)</f>
        <v>1772472</v>
      </c>
      <c r="AQ31" s="108">
        <f t="shared" si="12"/>
        <v>0</v>
      </c>
      <c r="AR31" s="108">
        <f>ROUND(1772472,2)</f>
        <v>1772472</v>
      </c>
      <c r="AS31" s="108">
        <f>ROUND(1772472,2)</f>
        <v>1772472</v>
      </c>
      <c r="AT31" s="108">
        <f t="shared" si="16"/>
        <v>0</v>
      </c>
      <c r="AU31" s="108">
        <f t="shared" si="16"/>
        <v>0</v>
      </c>
      <c r="AV31" s="108">
        <f t="shared" si="16"/>
        <v>0</v>
      </c>
      <c r="AW31" s="108">
        <f t="shared" si="15"/>
        <v>0</v>
      </c>
      <c r="AX31" s="108">
        <f>ROUND(0,2)</f>
        <v>0</v>
      </c>
      <c r="AY31" s="108">
        <f t="shared" si="7"/>
        <v>0</v>
      </c>
      <c r="AZ31" s="108">
        <f>ROUND(0,2)</f>
        <v>0</v>
      </c>
      <c r="BA31" s="108">
        <f>ROUND(1772472,2)</f>
        <v>1772472</v>
      </c>
      <c r="BB31" s="115">
        <v>0</v>
      </c>
      <c r="BC31" s="115">
        <v>100</v>
      </c>
      <c r="BD31" s="115">
        <v>0</v>
      </c>
      <c r="BE31" s="115">
        <v>0</v>
      </c>
      <c r="BF31" s="116"/>
      <c r="BG31" s="116"/>
    </row>
    <row r="32" spans="1:59" x14ac:dyDescent="0.25">
      <c r="A32" s="86" t="str">
        <f t="shared" si="0"/>
        <v>21010</v>
      </c>
      <c r="B32" s="86" t="str">
        <f t="shared" si="1"/>
        <v>15101</v>
      </c>
      <c r="C32" s="86" t="str">
        <f t="shared" si="2"/>
        <v>60900</v>
      </c>
      <c r="D32" s="87" t="str">
        <f t="shared" si="3"/>
        <v>21010/15101/60900(2024)</v>
      </c>
      <c r="E32" s="88" t="str">
        <f t="shared" si="4"/>
        <v>6</v>
      </c>
      <c r="F32" s="89" t="s">
        <v>220</v>
      </c>
      <c r="G32" s="90"/>
      <c r="H32" s="91" t="s">
        <v>170</v>
      </c>
      <c r="I32" s="92" t="s">
        <v>221</v>
      </c>
      <c r="J32" s="92" t="s">
        <v>222</v>
      </c>
      <c r="K32" s="93" t="s">
        <v>221</v>
      </c>
      <c r="L32" s="93" t="s">
        <v>222</v>
      </c>
      <c r="M32" s="94">
        <f>ROUND(0,2)</f>
        <v>0</v>
      </c>
      <c r="N32" s="95">
        <f>ROUND(299813.61,2)</f>
        <v>299813.61</v>
      </c>
      <c r="O32" s="95">
        <f>ROUND(299813.61,2)</f>
        <v>299813.61</v>
      </c>
      <c r="P32" s="96"/>
      <c r="Q32" s="97"/>
      <c r="R32" s="98">
        <f t="shared" si="8"/>
        <v>0</v>
      </c>
      <c r="S32" s="99"/>
      <c r="T32" s="100"/>
      <c r="U32" s="101"/>
      <c r="V32" s="102"/>
      <c r="W32" s="103"/>
      <c r="X32" s="103"/>
      <c r="Y32" s="105">
        <f t="shared" si="9"/>
        <v>0</v>
      </c>
      <c r="Z32" s="106"/>
      <c r="AA32" s="118"/>
      <c r="AB32" s="108"/>
      <c r="AC32" s="108"/>
      <c r="AD32" s="109"/>
      <c r="AE32" s="110"/>
      <c r="AF32" s="111"/>
      <c r="AG32" s="111"/>
      <c r="AH32" s="111"/>
      <c r="AI32" s="111"/>
      <c r="AJ32" s="112">
        <f t="shared" si="10"/>
        <v>0</v>
      </c>
      <c r="AK32" s="113">
        <f t="shared" si="5"/>
        <v>0</v>
      </c>
      <c r="AL32" s="114">
        <f t="shared" si="11"/>
        <v>0</v>
      </c>
      <c r="AM32" s="108"/>
      <c r="AN32" s="108">
        <f>ROUND(299813.61,2)</f>
        <v>299813.61</v>
      </c>
      <c r="AO32" s="108">
        <f t="shared" si="12"/>
        <v>0</v>
      </c>
      <c r="AP32" s="108">
        <f>ROUND(299813.61,2)</f>
        <v>299813.61</v>
      </c>
      <c r="AQ32" s="108">
        <f t="shared" si="12"/>
        <v>0</v>
      </c>
      <c r="AR32" s="108">
        <f>ROUND(299813.61,2)</f>
        <v>299813.61</v>
      </c>
      <c r="AS32" s="108">
        <f>ROUND(294807.65,2)</f>
        <v>294807.65000000002</v>
      </c>
      <c r="AT32" s="108">
        <f>ROUND(5005.96,2)</f>
        <v>5005.96</v>
      </c>
      <c r="AU32" s="108">
        <f t="shared" si="16"/>
        <v>0</v>
      </c>
      <c r="AV32" s="108">
        <f>ROUND(5005.96,2)</f>
        <v>5005.96</v>
      </c>
      <c r="AW32" s="108">
        <f t="shared" si="15"/>
        <v>0</v>
      </c>
      <c r="AX32" s="108">
        <f>ROUND(5005.96,2)</f>
        <v>5005.96</v>
      </c>
      <c r="AY32" s="108">
        <f t="shared" si="7"/>
        <v>0</v>
      </c>
      <c r="AZ32" s="108">
        <f>ROUND(0,2)</f>
        <v>0</v>
      </c>
      <c r="BA32" s="108">
        <f>ROUND(294807.65,2)</f>
        <v>294807.65000000002</v>
      </c>
      <c r="BB32" s="115">
        <v>0</v>
      </c>
      <c r="BC32" s="115">
        <v>100</v>
      </c>
      <c r="BD32" s="115">
        <v>1.6696907121728066</v>
      </c>
      <c r="BE32" s="115">
        <v>100</v>
      </c>
      <c r="BF32" s="116"/>
      <c r="BG32" s="116"/>
    </row>
    <row r="33" spans="1:59" x14ac:dyDescent="0.25">
      <c r="A33" s="86" t="str">
        <f t="shared" si="0"/>
        <v>21010</v>
      </c>
      <c r="B33" s="86" t="str">
        <f t="shared" si="1"/>
        <v>15300</v>
      </c>
      <c r="C33" s="86" t="str">
        <f t="shared" si="2"/>
        <v>60900</v>
      </c>
      <c r="D33" s="87" t="str">
        <f t="shared" si="3"/>
        <v>21010/15300/60900(2024)</v>
      </c>
      <c r="E33" s="88" t="str">
        <f t="shared" si="4"/>
        <v>6</v>
      </c>
      <c r="F33" s="89">
        <v>0</v>
      </c>
      <c r="G33" s="90"/>
      <c r="H33" s="91" t="s">
        <v>170</v>
      </c>
      <c r="I33" s="92" t="s">
        <v>223</v>
      </c>
      <c r="J33" s="92" t="s">
        <v>224</v>
      </c>
      <c r="K33" s="93" t="s">
        <v>223</v>
      </c>
      <c r="L33" s="93" t="s">
        <v>224</v>
      </c>
      <c r="M33" s="94">
        <f>ROUND(0,2)</f>
        <v>0</v>
      </c>
      <c r="N33" s="95">
        <f>ROUND(8881,2)</f>
        <v>8881</v>
      </c>
      <c r="O33" s="95">
        <f>ROUND(8881,2)</f>
        <v>8881</v>
      </c>
      <c r="P33" s="96"/>
      <c r="Q33" s="97"/>
      <c r="R33" s="98">
        <f t="shared" si="8"/>
        <v>0</v>
      </c>
      <c r="S33" s="99"/>
      <c r="T33" s="100"/>
      <c r="U33" s="101"/>
      <c r="V33" s="102"/>
      <c r="W33" s="103"/>
      <c r="X33" s="103"/>
      <c r="Y33" s="105">
        <f t="shared" si="9"/>
        <v>0</v>
      </c>
      <c r="Z33" s="106"/>
      <c r="AA33" s="118"/>
      <c r="AB33" s="108"/>
      <c r="AC33" s="108"/>
      <c r="AD33" s="109"/>
      <c r="AE33" s="110"/>
      <c r="AF33" s="111"/>
      <c r="AG33" s="111"/>
      <c r="AH33" s="111"/>
      <c r="AI33" s="111"/>
      <c r="AJ33" s="112">
        <f t="shared" si="10"/>
        <v>0</v>
      </c>
      <c r="AK33" s="113">
        <f t="shared" si="5"/>
        <v>0</v>
      </c>
      <c r="AL33" s="114">
        <f t="shared" si="11"/>
        <v>0</v>
      </c>
      <c r="AM33" s="108"/>
      <c r="AN33" s="108">
        <f>ROUND(8881,2)</f>
        <v>8881</v>
      </c>
      <c r="AO33" s="108">
        <f t="shared" si="12"/>
        <v>0</v>
      </c>
      <c r="AP33" s="108">
        <f>ROUND(0,2)</f>
        <v>0</v>
      </c>
      <c r="AQ33" s="108">
        <f t="shared" si="12"/>
        <v>0</v>
      </c>
      <c r="AR33" s="108">
        <f>ROUND(0,2)</f>
        <v>0</v>
      </c>
      <c r="AS33" s="108">
        <f>ROUND(0,2)</f>
        <v>0</v>
      </c>
      <c r="AT33" s="108">
        <f>ROUND(0,2)</f>
        <v>0</v>
      </c>
      <c r="AU33" s="108">
        <f t="shared" si="16"/>
        <v>0</v>
      </c>
      <c r="AV33" s="108">
        <f>ROUND(0,2)</f>
        <v>0</v>
      </c>
      <c r="AW33" s="108">
        <f t="shared" si="15"/>
        <v>0</v>
      </c>
      <c r="AX33" s="108">
        <f>ROUND(0,2)</f>
        <v>0</v>
      </c>
      <c r="AY33" s="108">
        <f t="shared" si="7"/>
        <v>0</v>
      </c>
      <c r="AZ33" s="108">
        <f>ROUND(8881,2)</f>
        <v>8881</v>
      </c>
      <c r="BA33" s="108">
        <f>ROUND(8881,2)</f>
        <v>8881</v>
      </c>
      <c r="BB33" s="115">
        <v>100</v>
      </c>
      <c r="BC33" s="115">
        <v>0</v>
      </c>
      <c r="BD33" s="115">
        <v>0</v>
      </c>
      <c r="BE33" s="115">
        <v>0</v>
      </c>
      <c r="BF33" s="116"/>
      <c r="BG33" s="116"/>
    </row>
    <row r="34" spans="1:59" x14ac:dyDescent="0.25">
      <c r="A34" s="86" t="str">
        <f t="shared" si="0"/>
        <v>21010</v>
      </c>
      <c r="B34" s="86" t="str">
        <f t="shared" si="1"/>
        <v>15100</v>
      </c>
      <c r="C34" s="86" t="str">
        <f t="shared" si="2"/>
        <v>61900</v>
      </c>
      <c r="D34" s="87" t="str">
        <f t="shared" si="3"/>
        <v>21010/15100/61900()</v>
      </c>
      <c r="E34" s="88" t="str">
        <f t="shared" si="4"/>
        <v>6</v>
      </c>
      <c r="F34" s="89">
        <v>0</v>
      </c>
      <c r="G34" s="90"/>
      <c r="H34" s="91"/>
      <c r="I34" s="92" t="s">
        <v>23</v>
      </c>
      <c r="J34" s="92" t="s">
        <v>24</v>
      </c>
      <c r="K34" s="93" t="s">
        <v>23</v>
      </c>
      <c r="L34" s="93" t="s">
        <v>24</v>
      </c>
      <c r="M34" s="94">
        <v>110000</v>
      </c>
      <c r="N34" s="95">
        <v>12100</v>
      </c>
      <c r="O34" s="95">
        <v>122100</v>
      </c>
      <c r="P34" s="129">
        <v>125000</v>
      </c>
      <c r="Q34" s="97">
        <f>S34</f>
        <v>150000</v>
      </c>
      <c r="R34" s="98">
        <f t="shared" si="8"/>
        <v>25000</v>
      </c>
      <c r="S34" s="99">
        <v>150000</v>
      </c>
      <c r="T34" s="100">
        <f>S34-P34</f>
        <v>25000</v>
      </c>
      <c r="U34" s="101">
        <v>135000</v>
      </c>
      <c r="V34" s="102">
        <v>135000</v>
      </c>
      <c r="W34" s="103"/>
      <c r="X34" s="104">
        <v>15000</v>
      </c>
      <c r="Y34" s="105">
        <f t="shared" si="9"/>
        <v>0</v>
      </c>
      <c r="Z34" s="131" t="s">
        <v>225</v>
      </c>
      <c r="AA34" s="132">
        <v>93863.09</v>
      </c>
      <c r="AB34" s="108">
        <f>M34-AA34</f>
        <v>16136.910000000003</v>
      </c>
      <c r="AC34" s="108">
        <v>-15000</v>
      </c>
      <c r="AD34" s="109"/>
      <c r="AE34" s="110"/>
      <c r="AF34" s="111"/>
      <c r="AG34" s="111"/>
      <c r="AH34" s="111"/>
      <c r="AI34" s="111"/>
      <c r="AJ34" s="112">
        <f t="shared" si="10"/>
        <v>135000</v>
      </c>
      <c r="AK34" s="113">
        <f t="shared" si="5"/>
        <v>135000</v>
      </c>
      <c r="AL34" s="114">
        <f t="shared" si="11"/>
        <v>0</v>
      </c>
      <c r="AM34" s="108"/>
      <c r="AN34" s="108">
        <f>ROUND(0,2)</f>
        <v>0</v>
      </c>
      <c r="AO34" s="108">
        <f t="shared" si="12"/>
        <v>0</v>
      </c>
      <c r="AP34" s="108">
        <f>ROUND(28652.44,2)</f>
        <v>28652.44</v>
      </c>
      <c r="AQ34" s="108">
        <f t="shared" si="12"/>
        <v>0</v>
      </c>
      <c r="AR34" s="108">
        <f>ROUND(28652.44,2)</f>
        <v>28652.44</v>
      </c>
      <c r="AS34" s="108">
        <f>ROUND(23557.37,2)</f>
        <v>23557.37</v>
      </c>
      <c r="AT34" s="108">
        <f>ROUND(5095.07,2)</f>
        <v>5095.07</v>
      </c>
      <c r="AU34" s="108">
        <f t="shared" si="16"/>
        <v>0</v>
      </c>
      <c r="AV34" s="108">
        <f>ROUND(5095.07,2)</f>
        <v>5095.07</v>
      </c>
      <c r="AW34" s="108">
        <f t="shared" si="15"/>
        <v>0</v>
      </c>
      <c r="AX34" s="108">
        <f>ROUND(5095.07,2)</f>
        <v>5095.07</v>
      </c>
      <c r="AY34" s="108">
        <f t="shared" si="7"/>
        <v>0</v>
      </c>
      <c r="AZ34" s="108">
        <f>ROUND(93447.56,2)</f>
        <v>93447.56</v>
      </c>
      <c r="BA34" s="108">
        <f>ROUND(117004.93,2)</f>
        <v>117004.93</v>
      </c>
      <c r="BB34" s="115">
        <v>76.533628173628173</v>
      </c>
      <c r="BC34" s="115">
        <v>23.466371826371827</v>
      </c>
      <c r="BD34" s="115">
        <v>4.1728665028665031</v>
      </c>
      <c r="BE34" s="115">
        <v>100</v>
      </c>
      <c r="BF34" s="116"/>
      <c r="BG34" s="116"/>
    </row>
    <row r="35" spans="1:59" x14ac:dyDescent="0.25">
      <c r="A35" s="86" t="str">
        <f t="shared" si="0"/>
        <v>21010</v>
      </c>
      <c r="B35" s="86" t="str">
        <f t="shared" si="1"/>
        <v>15100</v>
      </c>
      <c r="C35" s="86" t="str">
        <f t="shared" si="2"/>
        <v>61900</v>
      </c>
      <c r="D35" s="87" t="str">
        <f t="shared" si="3"/>
        <v>21010/15100/61900(2024)</v>
      </c>
      <c r="E35" s="88" t="str">
        <f t="shared" si="4"/>
        <v>6</v>
      </c>
      <c r="F35" s="89">
        <v>0</v>
      </c>
      <c r="G35" s="90"/>
      <c r="H35" s="91" t="s">
        <v>170</v>
      </c>
      <c r="I35" s="92" t="s">
        <v>23</v>
      </c>
      <c r="J35" s="92" t="s">
        <v>24</v>
      </c>
      <c r="K35" s="93" t="s">
        <v>23</v>
      </c>
      <c r="L35" s="93" t="s">
        <v>24</v>
      </c>
      <c r="M35" s="94">
        <v>0</v>
      </c>
      <c r="N35" s="95">
        <v>302342.24</v>
      </c>
      <c r="O35" s="95">
        <v>302342.24</v>
      </c>
      <c r="P35" s="96"/>
      <c r="Q35" s="97"/>
      <c r="R35" s="98">
        <f t="shared" si="8"/>
        <v>0</v>
      </c>
      <c r="S35" s="99"/>
      <c r="T35" s="100"/>
      <c r="U35" s="101"/>
      <c r="V35" s="102"/>
      <c r="W35" s="103"/>
      <c r="X35" s="103"/>
      <c r="Y35" s="105">
        <f t="shared" si="9"/>
        <v>0</v>
      </c>
      <c r="Z35" s="106"/>
      <c r="AA35" s="118"/>
      <c r="AB35" s="108"/>
      <c r="AC35" s="108"/>
      <c r="AD35" s="109"/>
      <c r="AE35" s="110"/>
      <c r="AF35" s="111"/>
      <c r="AG35" s="111"/>
      <c r="AH35" s="111"/>
      <c r="AI35" s="111"/>
      <c r="AJ35" s="112">
        <f t="shared" si="10"/>
        <v>0</v>
      </c>
      <c r="AK35" s="113">
        <f t="shared" si="5"/>
        <v>0</v>
      </c>
      <c r="AL35" s="114">
        <f t="shared" si="11"/>
        <v>0</v>
      </c>
      <c r="AM35" s="108"/>
      <c r="AN35" s="108">
        <f>ROUND(302342.24,2)</f>
        <v>302342.24</v>
      </c>
      <c r="AO35" s="108">
        <f t="shared" si="12"/>
        <v>0</v>
      </c>
      <c r="AP35" s="108">
        <f>ROUND(167699.05,2)</f>
        <v>167699.04999999999</v>
      </c>
      <c r="AQ35" s="108">
        <f t="shared" si="12"/>
        <v>0</v>
      </c>
      <c r="AR35" s="108">
        <f>ROUND(167699.05,2)</f>
        <v>167699.04999999999</v>
      </c>
      <c r="AS35" s="108">
        <f>ROUND(127870.12,2)</f>
        <v>127870.12</v>
      </c>
      <c r="AT35" s="108">
        <f>ROUND(39828.93,2)</f>
        <v>39828.93</v>
      </c>
      <c r="AU35" s="108">
        <f t="shared" si="16"/>
        <v>0</v>
      </c>
      <c r="AV35" s="108">
        <f>ROUND(39828.93,2)</f>
        <v>39828.93</v>
      </c>
      <c r="AW35" s="108">
        <f t="shared" si="15"/>
        <v>0</v>
      </c>
      <c r="AX35" s="108">
        <f>ROUND(39828.93,2)</f>
        <v>39828.93</v>
      </c>
      <c r="AY35" s="108">
        <f t="shared" si="7"/>
        <v>0</v>
      </c>
      <c r="AZ35" s="108">
        <f>ROUND(134643.19,2)</f>
        <v>134643.19</v>
      </c>
      <c r="BA35" s="108">
        <f>ROUND(262513.31,2)</f>
        <v>262513.31</v>
      </c>
      <c r="BB35" s="115">
        <v>44.533370527386452</v>
      </c>
      <c r="BC35" s="115">
        <v>55.466629472613548</v>
      </c>
      <c r="BD35" s="115">
        <v>13.173458660622478</v>
      </c>
      <c r="BE35" s="115">
        <v>100</v>
      </c>
      <c r="BF35" s="116"/>
      <c r="BG35" s="116"/>
    </row>
    <row r="36" spans="1:59" x14ac:dyDescent="0.25">
      <c r="A36" s="86" t="str">
        <f t="shared" si="0"/>
        <v>21010</v>
      </c>
      <c r="B36" s="86" t="str">
        <f t="shared" si="1"/>
        <v>15100</v>
      </c>
      <c r="C36" s="86" t="str">
        <f t="shared" si="2"/>
        <v>61900</v>
      </c>
      <c r="D36" s="87" t="str">
        <f t="shared" si="3"/>
        <v>21010/15100/61900(2023)</v>
      </c>
      <c r="E36" s="88" t="str">
        <f t="shared" si="4"/>
        <v>6</v>
      </c>
      <c r="F36" s="89" t="s">
        <v>226</v>
      </c>
      <c r="G36" s="90"/>
      <c r="H36" s="91" t="s">
        <v>172</v>
      </c>
      <c r="I36" s="92" t="s">
        <v>23</v>
      </c>
      <c r="J36" s="92" t="s">
        <v>24</v>
      </c>
      <c r="K36" s="93" t="s">
        <v>23</v>
      </c>
      <c r="L36" s="93" t="s">
        <v>24</v>
      </c>
      <c r="M36" s="94">
        <v>0</v>
      </c>
      <c r="N36" s="95">
        <v>88923.56</v>
      </c>
      <c r="O36" s="95">
        <v>88923.56</v>
      </c>
      <c r="P36" s="96"/>
      <c r="Q36" s="97"/>
      <c r="R36" s="98">
        <f t="shared" si="8"/>
        <v>0</v>
      </c>
      <c r="S36" s="99"/>
      <c r="T36" s="100"/>
      <c r="U36" s="101"/>
      <c r="V36" s="102"/>
      <c r="W36" s="103"/>
      <c r="X36" s="103"/>
      <c r="Y36" s="105">
        <f t="shared" si="9"/>
        <v>0</v>
      </c>
      <c r="Z36" s="106"/>
      <c r="AA36" s="118"/>
      <c r="AB36" s="108"/>
      <c r="AC36" s="108"/>
      <c r="AD36" s="109"/>
      <c r="AE36" s="110"/>
      <c r="AF36" s="111"/>
      <c r="AG36" s="111"/>
      <c r="AH36" s="111"/>
      <c r="AI36" s="111"/>
      <c r="AJ36" s="112">
        <f t="shared" si="10"/>
        <v>0</v>
      </c>
      <c r="AK36" s="113">
        <f t="shared" si="5"/>
        <v>0</v>
      </c>
      <c r="AL36" s="114">
        <f t="shared" si="11"/>
        <v>0</v>
      </c>
      <c r="AM36" s="108"/>
      <c r="AN36" s="108">
        <f>ROUND(88923.56,2)</f>
        <v>88923.56</v>
      </c>
      <c r="AO36" s="108">
        <f t="shared" si="12"/>
        <v>0</v>
      </c>
      <c r="AP36" s="108">
        <f>ROUND(86423.56,2)</f>
        <v>86423.56</v>
      </c>
      <c r="AQ36" s="108">
        <f t="shared" si="12"/>
        <v>0</v>
      </c>
      <c r="AR36" s="108">
        <f>ROUND(86423.56,2)</f>
        <v>86423.56</v>
      </c>
      <c r="AS36" s="108">
        <f>ROUND(86423.56,2)</f>
        <v>86423.56</v>
      </c>
      <c r="AT36" s="108">
        <f>ROUND(0,2)</f>
        <v>0</v>
      </c>
      <c r="AU36" s="108">
        <f t="shared" si="16"/>
        <v>0</v>
      </c>
      <c r="AV36" s="108">
        <f>ROUND(0,2)</f>
        <v>0</v>
      </c>
      <c r="AW36" s="108">
        <f t="shared" si="15"/>
        <v>0</v>
      </c>
      <c r="AX36" s="108">
        <f>ROUND(0,2)</f>
        <v>0</v>
      </c>
      <c r="AY36" s="108">
        <f t="shared" si="7"/>
        <v>0</v>
      </c>
      <c r="AZ36" s="108">
        <f>ROUND(2500,2)</f>
        <v>2500</v>
      </c>
      <c r="BA36" s="108">
        <f>ROUND(88923.56,2)</f>
        <v>88923.56</v>
      </c>
      <c r="BB36" s="115">
        <v>2.8114034120991107</v>
      </c>
      <c r="BC36" s="115">
        <v>97.188596587900889</v>
      </c>
      <c r="BD36" s="115">
        <v>0</v>
      </c>
      <c r="BE36" s="115">
        <v>0</v>
      </c>
      <c r="BF36" s="116"/>
      <c r="BG36" s="116"/>
    </row>
    <row r="37" spans="1:59" x14ac:dyDescent="0.25">
      <c r="A37" s="86" t="str">
        <f t="shared" si="0"/>
        <v>21010</v>
      </c>
      <c r="B37" s="86" t="str">
        <f t="shared" si="1"/>
        <v>17110</v>
      </c>
      <c r="C37" s="86" t="str">
        <f t="shared" si="2"/>
        <v>76400</v>
      </c>
      <c r="D37" s="87" t="str">
        <f t="shared" si="3"/>
        <v>21010/17110/76400(2022)</v>
      </c>
      <c r="E37" s="88" t="str">
        <f t="shared" si="4"/>
        <v>7</v>
      </c>
      <c r="F37" s="89" t="s">
        <v>227</v>
      </c>
      <c r="G37" s="90"/>
      <c r="H37" s="91" t="s">
        <v>181</v>
      </c>
      <c r="I37" s="92" t="s">
        <v>228</v>
      </c>
      <c r="J37" s="92" t="s">
        <v>229</v>
      </c>
      <c r="K37" s="93" t="s">
        <v>228</v>
      </c>
      <c r="L37" s="93" t="s">
        <v>229</v>
      </c>
      <c r="M37" s="94">
        <v>0</v>
      </c>
      <c r="N37" s="95">
        <v>123500</v>
      </c>
      <c r="O37" s="95">
        <v>123500</v>
      </c>
      <c r="P37" s="96"/>
      <c r="Q37" s="97"/>
      <c r="R37" s="98">
        <f t="shared" si="8"/>
        <v>0</v>
      </c>
      <c r="S37" s="99"/>
      <c r="T37" s="100"/>
      <c r="U37" s="101"/>
      <c r="V37" s="102"/>
      <c r="W37" s="103"/>
      <c r="X37" s="103"/>
      <c r="Y37" s="105">
        <f t="shared" si="9"/>
        <v>0</v>
      </c>
      <c r="Z37" s="106"/>
      <c r="AA37" s="118"/>
      <c r="AB37" s="108"/>
      <c r="AC37" s="108"/>
      <c r="AD37" s="109"/>
      <c r="AE37" s="110"/>
      <c r="AF37" s="111"/>
      <c r="AG37" s="111"/>
      <c r="AH37" s="111"/>
      <c r="AI37" s="111"/>
      <c r="AJ37" s="112">
        <f t="shared" si="10"/>
        <v>0</v>
      </c>
      <c r="AK37" s="113">
        <f t="shared" si="5"/>
        <v>0</v>
      </c>
      <c r="AL37" s="114">
        <f t="shared" si="11"/>
        <v>0</v>
      </c>
      <c r="AM37" s="108"/>
      <c r="AN37" s="108">
        <f>ROUND(123500,2)</f>
        <v>123500</v>
      </c>
      <c r="AO37" s="108">
        <f t="shared" si="12"/>
        <v>0</v>
      </c>
      <c r="AP37" s="108">
        <f>ROUND(89069.43,2)</f>
        <v>89069.43</v>
      </c>
      <c r="AQ37" s="108">
        <f t="shared" si="12"/>
        <v>0</v>
      </c>
      <c r="AR37" s="108">
        <f>ROUND(89069.43,2)</f>
        <v>89069.43</v>
      </c>
      <c r="AS37" s="108">
        <f>ROUND(89069.43,2)</f>
        <v>89069.43</v>
      </c>
      <c r="AT37" s="108">
        <f>ROUND(0,2)</f>
        <v>0</v>
      </c>
      <c r="AU37" s="108">
        <f t="shared" si="16"/>
        <v>0</v>
      </c>
      <c r="AV37" s="108">
        <f>ROUND(0,2)</f>
        <v>0</v>
      </c>
      <c r="AW37" s="108">
        <f t="shared" si="15"/>
        <v>0</v>
      </c>
      <c r="AX37" s="108">
        <f>ROUND(0,2)</f>
        <v>0</v>
      </c>
      <c r="AY37" s="108">
        <f t="shared" si="7"/>
        <v>0</v>
      </c>
      <c r="AZ37" s="108">
        <f>ROUND(34430.57,2)</f>
        <v>34430.57</v>
      </c>
      <c r="BA37" s="108">
        <f>ROUND(123500,2)</f>
        <v>123500</v>
      </c>
      <c r="BB37" s="115">
        <v>27.879004048582996</v>
      </c>
      <c r="BC37" s="115">
        <v>72.120995951417001</v>
      </c>
      <c r="BD37" s="115">
        <v>0</v>
      </c>
      <c r="BE37" s="115">
        <v>0</v>
      </c>
      <c r="BF37" s="116"/>
      <c r="BG37" s="116"/>
    </row>
    <row r="38" spans="1:59" x14ac:dyDescent="0.25">
      <c r="A38" s="86" t="str">
        <f t="shared" si="0"/>
        <v xml:space="preserve">NOVA </v>
      </c>
      <c r="B38" s="86" t="str">
        <f t="shared" si="1"/>
        <v>ARTID</v>
      </c>
      <c r="C38" s="86" t="str">
        <f t="shared" si="2"/>
        <v xml:space="preserve"> 2026</v>
      </c>
      <c r="D38" s="87"/>
      <c r="E38" s="88">
        <v>7</v>
      </c>
      <c r="F38" s="133"/>
      <c r="G38" s="134"/>
      <c r="H38" s="135"/>
      <c r="I38" s="136" t="s">
        <v>230</v>
      </c>
      <c r="J38" s="92"/>
      <c r="K38" s="120" t="s">
        <v>103</v>
      </c>
      <c r="L38" s="120" t="s">
        <v>104</v>
      </c>
      <c r="M38" s="94">
        <v>0</v>
      </c>
      <c r="N38" s="95"/>
      <c r="O38" s="95"/>
      <c r="P38" s="96">
        <v>632773</v>
      </c>
      <c r="Q38" s="97">
        <f>P38</f>
        <v>632773</v>
      </c>
      <c r="R38" s="98">
        <f t="shared" si="8"/>
        <v>632773</v>
      </c>
      <c r="S38" s="99"/>
      <c r="T38" s="100"/>
      <c r="U38" s="101">
        <v>632773</v>
      </c>
      <c r="V38" s="102">
        <f>P38</f>
        <v>632773</v>
      </c>
      <c r="W38" s="103"/>
      <c r="X38" s="103"/>
      <c r="Y38" s="105">
        <f t="shared" si="9"/>
        <v>0</v>
      </c>
      <c r="Z38" s="137" t="s">
        <v>231</v>
      </c>
      <c r="AA38" s="107">
        <v>632772.98</v>
      </c>
      <c r="AB38" s="138">
        <f>M38-AA38</f>
        <v>-632772.98</v>
      </c>
      <c r="AC38" s="108"/>
      <c r="AD38" s="109"/>
      <c r="AE38" s="110"/>
      <c r="AF38" s="139">
        <f>ROUND(AA38*0.4,0)</f>
        <v>253109</v>
      </c>
      <c r="AG38" s="140">
        <f>U38-AF38</f>
        <v>379664</v>
      </c>
      <c r="AH38" s="140"/>
      <c r="AI38" s="111"/>
      <c r="AJ38" s="112">
        <f t="shared" si="10"/>
        <v>0</v>
      </c>
      <c r="AK38" s="113">
        <f t="shared" si="5"/>
        <v>632773</v>
      </c>
      <c r="AL38" s="114">
        <f t="shared" si="11"/>
        <v>0</v>
      </c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15"/>
      <c r="BC38" s="115"/>
      <c r="BD38" s="115"/>
      <c r="BE38" s="115"/>
      <c r="BF38" s="116"/>
      <c r="BG38" s="116"/>
    </row>
    <row r="39" spans="1:59" x14ac:dyDescent="0.25">
      <c r="A39" s="86" t="str">
        <f t="shared" si="0"/>
        <v>21020</v>
      </c>
      <c r="B39" s="86" t="str">
        <f t="shared" si="1"/>
        <v>15100</v>
      </c>
      <c r="C39" s="86" t="str">
        <f t="shared" si="2"/>
        <v>60900</v>
      </c>
      <c r="D39" s="87" t="str">
        <f t="shared" si="3"/>
        <v>21020/15100/60900(2019)</v>
      </c>
      <c r="E39" s="88" t="str">
        <f t="shared" si="4"/>
        <v>6</v>
      </c>
      <c r="F39" s="89" t="s">
        <v>232</v>
      </c>
      <c r="G39" s="90"/>
      <c r="H39" s="91" t="s">
        <v>233</v>
      </c>
      <c r="I39" s="92" t="s">
        <v>234</v>
      </c>
      <c r="J39" s="92" t="s">
        <v>235</v>
      </c>
      <c r="K39" s="93" t="s">
        <v>234</v>
      </c>
      <c r="L39" s="93" t="s">
        <v>235</v>
      </c>
      <c r="M39" s="94">
        <f>ROUND(0,2)</f>
        <v>0</v>
      </c>
      <c r="N39" s="95">
        <f>ROUND(939810.03,2)</f>
        <v>939810.03</v>
      </c>
      <c r="O39" s="95">
        <f>ROUND(939810.03,2)</f>
        <v>939810.03</v>
      </c>
      <c r="P39" s="96"/>
      <c r="Q39" s="97"/>
      <c r="R39" s="98">
        <f t="shared" si="8"/>
        <v>0</v>
      </c>
      <c r="S39" s="99"/>
      <c r="T39" s="100"/>
      <c r="U39" s="101"/>
      <c r="V39" s="102"/>
      <c r="W39" s="103"/>
      <c r="X39" s="103"/>
      <c r="Y39" s="105">
        <f t="shared" si="9"/>
        <v>0</v>
      </c>
      <c r="Z39" s="106"/>
      <c r="AA39" s="118"/>
      <c r="AB39" s="108"/>
      <c r="AC39" s="108"/>
      <c r="AD39" s="109"/>
      <c r="AE39" s="110"/>
      <c r="AF39" s="111"/>
      <c r="AG39" s="111"/>
      <c r="AH39" s="111"/>
      <c r="AI39" s="111"/>
      <c r="AJ39" s="112">
        <f t="shared" si="10"/>
        <v>0</v>
      </c>
      <c r="AK39" s="113">
        <f t="shared" si="5"/>
        <v>0</v>
      </c>
      <c r="AL39" s="114">
        <f t="shared" si="11"/>
        <v>0</v>
      </c>
      <c r="AM39" s="108"/>
      <c r="AN39" s="108">
        <f>ROUND(939810.03,2)</f>
        <v>939810.03</v>
      </c>
      <c r="AO39" s="108">
        <f t="shared" ref="AO39:AO75" si="17">ROUND(0,2)</f>
        <v>0</v>
      </c>
      <c r="AP39" s="108">
        <f>ROUND(851906.83,2)</f>
        <v>851906.83</v>
      </c>
      <c r="AQ39" s="108">
        <f t="shared" ref="AQ39:AQ40" si="18">ROUND(0,2)</f>
        <v>0</v>
      </c>
      <c r="AR39" s="108">
        <f>ROUND(851906.83,2)</f>
        <v>851906.83</v>
      </c>
      <c r="AS39" s="108">
        <f>ROUND(851906.83,2)</f>
        <v>851906.83</v>
      </c>
      <c r="AT39" s="108">
        <f>ROUND(0,2)</f>
        <v>0</v>
      </c>
      <c r="AU39" s="108">
        <f t="shared" si="16"/>
        <v>0</v>
      </c>
      <c r="AV39" s="108">
        <f>ROUND(0,2)</f>
        <v>0</v>
      </c>
      <c r="AW39" s="108">
        <f t="shared" si="15"/>
        <v>0</v>
      </c>
      <c r="AX39" s="108">
        <f>ROUND(0,2)</f>
        <v>0</v>
      </c>
      <c r="AY39" s="108">
        <f t="shared" si="7"/>
        <v>0</v>
      </c>
      <c r="AZ39" s="108">
        <f>ROUND(87903.2,2)</f>
        <v>87903.2</v>
      </c>
      <c r="BA39" s="108">
        <f>ROUND(939810.03,2)</f>
        <v>939810.03</v>
      </c>
      <c r="BB39" s="115">
        <v>9.3532945163396466</v>
      </c>
      <c r="BC39" s="115">
        <v>90.646705483660355</v>
      </c>
      <c r="BD39" s="115">
        <v>0</v>
      </c>
      <c r="BE39" s="115">
        <v>0</v>
      </c>
      <c r="BF39" s="116"/>
      <c r="BG39" s="116"/>
    </row>
    <row r="40" spans="1:59" x14ac:dyDescent="0.25">
      <c r="A40" s="86" t="str">
        <f t="shared" si="0"/>
        <v>21020</v>
      </c>
      <c r="B40" s="86" t="str">
        <f t="shared" si="1"/>
        <v>15100</v>
      </c>
      <c r="C40" s="86" t="str">
        <f t="shared" si="2"/>
        <v>60901</v>
      </c>
      <c r="D40" s="87" t="str">
        <f t="shared" si="3"/>
        <v>21020/15100/60901()</v>
      </c>
      <c r="E40" s="88" t="str">
        <f t="shared" si="4"/>
        <v>6</v>
      </c>
      <c r="F40" s="89">
        <v>0</v>
      </c>
      <c r="G40" s="90"/>
      <c r="H40" s="91"/>
      <c r="I40" s="92" t="s">
        <v>32</v>
      </c>
      <c r="J40" s="92" t="s">
        <v>33</v>
      </c>
      <c r="K40" s="93" t="s">
        <v>32</v>
      </c>
      <c r="L40" s="93" t="s">
        <v>33</v>
      </c>
      <c r="M40" s="94">
        <v>50</v>
      </c>
      <c r="N40" s="95">
        <v>0</v>
      </c>
      <c r="O40" s="95">
        <v>50</v>
      </c>
      <c r="P40" s="96">
        <v>50</v>
      </c>
      <c r="Q40" s="97">
        <v>10</v>
      </c>
      <c r="R40" s="98">
        <f t="shared" si="8"/>
        <v>-40</v>
      </c>
      <c r="S40" s="99"/>
      <c r="T40" s="100"/>
      <c r="U40" s="101">
        <v>10</v>
      </c>
      <c r="V40" s="102">
        <v>10</v>
      </c>
      <c r="W40" s="103"/>
      <c r="X40" s="103"/>
      <c r="Y40" s="105">
        <f t="shared" si="9"/>
        <v>0</v>
      </c>
      <c r="Z40" s="106" t="s">
        <v>236</v>
      </c>
      <c r="AA40" s="118"/>
      <c r="AB40" s="108"/>
      <c r="AC40" s="108">
        <v>-49950</v>
      </c>
      <c r="AD40" s="109"/>
      <c r="AE40" s="110"/>
      <c r="AF40" s="111"/>
      <c r="AG40" s="111"/>
      <c r="AH40" s="111"/>
      <c r="AI40" s="111"/>
      <c r="AJ40" s="112">
        <f t="shared" si="10"/>
        <v>10</v>
      </c>
      <c r="AK40" s="113">
        <f t="shared" si="5"/>
        <v>10</v>
      </c>
      <c r="AL40" s="114">
        <f t="shared" si="11"/>
        <v>0</v>
      </c>
      <c r="AM40" s="108"/>
      <c r="AN40" s="108">
        <f>ROUND(0,2)</f>
        <v>0</v>
      </c>
      <c r="AO40" s="108">
        <f t="shared" si="17"/>
        <v>0</v>
      </c>
      <c r="AP40" s="108">
        <f>ROUND(0,2)</f>
        <v>0</v>
      </c>
      <c r="AQ40" s="108">
        <f t="shared" si="18"/>
        <v>0</v>
      </c>
      <c r="AR40" s="108">
        <f>ROUND(0,2)</f>
        <v>0</v>
      </c>
      <c r="AS40" s="108">
        <f>ROUND(0,2)</f>
        <v>0</v>
      </c>
      <c r="AT40" s="108">
        <f>ROUND(0,2)</f>
        <v>0</v>
      </c>
      <c r="AU40" s="108">
        <f t="shared" si="16"/>
        <v>0</v>
      </c>
      <c r="AV40" s="108">
        <f>ROUND(0,2)</f>
        <v>0</v>
      </c>
      <c r="AW40" s="108">
        <f t="shared" si="15"/>
        <v>0</v>
      </c>
      <c r="AX40" s="108">
        <f>ROUND(0,2)</f>
        <v>0</v>
      </c>
      <c r="AY40" s="108">
        <f t="shared" si="7"/>
        <v>0</v>
      </c>
      <c r="AZ40" s="108">
        <f>ROUND(50,2)</f>
        <v>50</v>
      </c>
      <c r="BA40" s="108">
        <f>ROUND(50,2)</f>
        <v>50</v>
      </c>
      <c r="BB40" s="115">
        <v>100</v>
      </c>
      <c r="BC40" s="115">
        <v>0</v>
      </c>
      <c r="BD40" s="115">
        <v>0</v>
      </c>
      <c r="BE40" s="115">
        <v>0</v>
      </c>
      <c r="BF40" s="116"/>
      <c r="BG40" s="116"/>
    </row>
    <row r="41" spans="1:59" x14ac:dyDescent="0.25">
      <c r="A41" s="86" t="str">
        <f t="shared" si="0"/>
        <v>21020</v>
      </c>
      <c r="B41" s="86" t="str">
        <f t="shared" si="1"/>
        <v>15100</v>
      </c>
      <c r="C41" s="86" t="str">
        <f t="shared" si="2"/>
        <v>60901</v>
      </c>
      <c r="D41" s="87" t="str">
        <f t="shared" si="3"/>
        <v>21020/15100/60901(2024)</v>
      </c>
      <c r="E41" s="88" t="str">
        <f t="shared" si="4"/>
        <v>6</v>
      </c>
      <c r="F41" s="89">
        <v>0</v>
      </c>
      <c r="G41" s="90"/>
      <c r="H41" s="91" t="s">
        <v>170</v>
      </c>
      <c r="I41" s="92" t="s">
        <v>32</v>
      </c>
      <c r="J41" s="92" t="s">
        <v>33</v>
      </c>
      <c r="K41" s="93" t="s">
        <v>32</v>
      </c>
      <c r="L41" s="93" t="s">
        <v>33</v>
      </c>
      <c r="M41" s="94">
        <v>0</v>
      </c>
      <c r="N41" s="95">
        <v>50000</v>
      </c>
      <c r="O41" s="95">
        <v>50000</v>
      </c>
      <c r="P41" s="96"/>
      <c r="Q41" s="97"/>
      <c r="R41" s="98">
        <f t="shared" si="8"/>
        <v>0</v>
      </c>
      <c r="S41" s="99"/>
      <c r="T41" s="100"/>
      <c r="U41" s="101"/>
      <c r="V41" s="102"/>
      <c r="W41" s="103"/>
      <c r="X41" s="103"/>
      <c r="Y41" s="105">
        <f t="shared" si="9"/>
        <v>0</v>
      </c>
      <c r="Z41" s="106"/>
      <c r="AA41" s="118"/>
      <c r="AB41" s="108"/>
      <c r="AC41" s="108"/>
      <c r="AD41" s="109"/>
      <c r="AE41" s="110"/>
      <c r="AF41" s="111"/>
      <c r="AG41" s="111"/>
      <c r="AH41" s="111"/>
      <c r="AI41" s="111"/>
      <c r="AJ41" s="112">
        <f t="shared" si="10"/>
        <v>0</v>
      </c>
      <c r="AK41" s="113">
        <f t="shared" si="5"/>
        <v>0</v>
      </c>
      <c r="AL41" s="114">
        <f t="shared" si="11"/>
        <v>0</v>
      </c>
      <c r="AM41" s="108"/>
      <c r="AN41" s="108">
        <f>ROUND(50000,2)</f>
        <v>50000</v>
      </c>
      <c r="AO41" s="108">
        <f t="shared" si="17"/>
        <v>0</v>
      </c>
      <c r="AP41" s="108">
        <f>ROUND(36900.7,2)</f>
        <v>36900.699999999997</v>
      </c>
      <c r="AQ41" s="108">
        <f>ROUND(36900.7,2)</f>
        <v>36900.699999999997</v>
      </c>
      <c r="AR41" s="108">
        <f>ROUND(0,2)</f>
        <v>0</v>
      </c>
      <c r="AS41" s="108">
        <f>ROUND(0,2)</f>
        <v>0</v>
      </c>
      <c r="AT41" s="108">
        <f>ROUND(0,2)</f>
        <v>0</v>
      </c>
      <c r="AU41" s="108">
        <f t="shared" si="16"/>
        <v>0</v>
      </c>
      <c r="AV41" s="108">
        <f>ROUND(0,2)</f>
        <v>0</v>
      </c>
      <c r="AW41" s="108">
        <f t="shared" si="15"/>
        <v>0</v>
      </c>
      <c r="AX41" s="108">
        <f>ROUND(0,2)</f>
        <v>0</v>
      </c>
      <c r="AY41" s="108">
        <f t="shared" si="7"/>
        <v>0</v>
      </c>
      <c r="AZ41" s="108">
        <f>ROUND(13099.3,2)</f>
        <v>13099.3</v>
      </c>
      <c r="BA41" s="108">
        <f>ROUND(50000,2)</f>
        <v>50000</v>
      </c>
      <c r="BB41" s="115">
        <v>26.198599999999999</v>
      </c>
      <c r="BC41" s="115">
        <v>0</v>
      </c>
      <c r="BD41" s="115">
        <v>0</v>
      </c>
      <c r="BE41" s="115">
        <v>0</v>
      </c>
      <c r="BF41" s="116"/>
      <c r="BG41" s="116"/>
    </row>
    <row r="42" spans="1:59" x14ac:dyDescent="0.25">
      <c r="A42" s="86" t="str">
        <f t="shared" si="0"/>
        <v>21020</v>
      </c>
      <c r="B42" s="86" t="str">
        <f t="shared" si="1"/>
        <v>15100</v>
      </c>
      <c r="C42" s="86" t="str">
        <f t="shared" si="2"/>
        <v>61900</v>
      </c>
      <c r="D42" s="87" t="str">
        <f t="shared" si="3"/>
        <v>21020/15100/61900(2022)</v>
      </c>
      <c r="E42" s="88" t="str">
        <f t="shared" si="4"/>
        <v>6</v>
      </c>
      <c r="F42" s="89" t="s">
        <v>237</v>
      </c>
      <c r="G42" s="90"/>
      <c r="H42" s="91" t="s">
        <v>181</v>
      </c>
      <c r="I42" s="92" t="s">
        <v>238</v>
      </c>
      <c r="J42" s="92" t="s">
        <v>239</v>
      </c>
      <c r="K42" s="93" t="s">
        <v>238</v>
      </c>
      <c r="L42" s="93" t="s">
        <v>239</v>
      </c>
      <c r="M42" s="94">
        <v>0</v>
      </c>
      <c r="N42" s="95">
        <v>996733.69</v>
      </c>
      <c r="O42" s="95">
        <v>996733.69</v>
      </c>
      <c r="P42" s="96"/>
      <c r="Q42" s="97"/>
      <c r="R42" s="98">
        <f t="shared" si="8"/>
        <v>0</v>
      </c>
      <c r="S42" s="99"/>
      <c r="T42" s="100"/>
      <c r="U42" s="101"/>
      <c r="V42" s="102"/>
      <c r="W42" s="103"/>
      <c r="X42" s="103"/>
      <c r="Y42" s="105">
        <f t="shared" si="9"/>
        <v>0</v>
      </c>
      <c r="Z42" s="106"/>
      <c r="AA42" s="118"/>
      <c r="AB42" s="108"/>
      <c r="AC42" s="108"/>
      <c r="AD42" s="109"/>
      <c r="AE42" s="110"/>
      <c r="AF42" s="111"/>
      <c r="AG42" s="111"/>
      <c r="AH42" s="111"/>
      <c r="AI42" s="111"/>
      <c r="AJ42" s="112">
        <f t="shared" si="10"/>
        <v>0</v>
      </c>
      <c r="AK42" s="113">
        <f t="shared" si="5"/>
        <v>0</v>
      </c>
      <c r="AL42" s="114">
        <f t="shared" si="11"/>
        <v>0</v>
      </c>
      <c r="AM42" s="108"/>
      <c r="AN42" s="108">
        <f>ROUND(678733.69,2)</f>
        <v>678733.69</v>
      </c>
      <c r="AO42" s="108">
        <f t="shared" si="17"/>
        <v>0</v>
      </c>
      <c r="AP42" s="108">
        <f>ROUND(678233.41,2)</f>
        <v>678233.41</v>
      </c>
      <c r="AQ42" s="108">
        <f t="shared" ref="AQ42:AS88" si="19">ROUND(0,2)</f>
        <v>0</v>
      </c>
      <c r="AR42" s="108">
        <f>ROUND(678233.41,2)</f>
        <v>678233.41</v>
      </c>
      <c r="AS42" s="108">
        <f>ROUND(166678.31,2)</f>
        <v>166678.31</v>
      </c>
      <c r="AT42" s="108">
        <f>ROUND(511555.1,2)</f>
        <v>511555.1</v>
      </c>
      <c r="AU42" s="108">
        <f t="shared" si="16"/>
        <v>0</v>
      </c>
      <c r="AV42" s="108">
        <f>ROUND(511555.1,2)</f>
        <v>511555.1</v>
      </c>
      <c r="AW42" s="108">
        <f t="shared" si="15"/>
        <v>0</v>
      </c>
      <c r="AX42" s="108">
        <f>ROUND(511555.1,2)</f>
        <v>511555.1</v>
      </c>
      <c r="AY42" s="108">
        <f t="shared" si="7"/>
        <v>0</v>
      </c>
      <c r="AZ42" s="108">
        <f>ROUND(318500.28,2)</f>
        <v>318500.28000000003</v>
      </c>
      <c r="BA42" s="108">
        <f>ROUND(485178.59,2)</f>
        <v>485178.59</v>
      </c>
      <c r="BB42" s="115">
        <v>31.954400979463237</v>
      </c>
      <c r="BC42" s="115">
        <v>68.04559902053677</v>
      </c>
      <c r="BD42" s="115">
        <v>51.323147309287798</v>
      </c>
      <c r="BE42" s="115">
        <v>100</v>
      </c>
      <c r="BF42" s="116"/>
      <c r="BG42" s="116"/>
    </row>
    <row r="43" spans="1:59" x14ac:dyDescent="0.25">
      <c r="A43" s="86" t="str">
        <f t="shared" si="0"/>
        <v>21020</v>
      </c>
      <c r="B43" s="86" t="str">
        <f t="shared" si="1"/>
        <v>15104</v>
      </c>
      <c r="C43" s="86" t="str">
        <f t="shared" si="2"/>
        <v>61900</v>
      </c>
      <c r="D43" s="87" t="str">
        <f t="shared" si="3"/>
        <v>21020/15104/61900()</v>
      </c>
      <c r="E43" s="88" t="str">
        <f t="shared" si="4"/>
        <v>6</v>
      </c>
      <c r="F43" s="89" t="s">
        <v>240</v>
      </c>
      <c r="G43" s="90"/>
      <c r="H43" s="91"/>
      <c r="I43" s="92" t="s">
        <v>241</v>
      </c>
      <c r="J43" s="92" t="s">
        <v>242</v>
      </c>
      <c r="K43" s="93" t="s">
        <v>241</v>
      </c>
      <c r="L43" s="93" t="s">
        <v>242</v>
      </c>
      <c r="M43" s="94">
        <v>1850083</v>
      </c>
      <c r="N43" s="95">
        <v>0</v>
      </c>
      <c r="O43" s="95">
        <v>1850083</v>
      </c>
      <c r="P43" s="96">
        <v>0</v>
      </c>
      <c r="Q43" s="97"/>
      <c r="R43" s="98">
        <f t="shared" si="8"/>
        <v>-1850083</v>
      </c>
      <c r="S43" s="99"/>
      <c r="T43" s="100"/>
      <c r="U43" s="101">
        <v>0</v>
      </c>
      <c r="V43" s="102">
        <v>0</v>
      </c>
      <c r="W43" s="103"/>
      <c r="X43" s="103"/>
      <c r="Y43" s="105">
        <f t="shared" si="9"/>
        <v>0</v>
      </c>
      <c r="Z43" s="141" t="s">
        <v>243</v>
      </c>
      <c r="AA43" s="107">
        <v>21754.1</v>
      </c>
      <c r="AB43" s="138">
        <f>M43-AA43</f>
        <v>1828328.9</v>
      </c>
      <c r="AC43" s="108">
        <v>975433</v>
      </c>
      <c r="AD43" s="109"/>
      <c r="AE43" s="110"/>
      <c r="AF43" s="111"/>
      <c r="AG43" s="111"/>
      <c r="AH43" s="111"/>
      <c r="AI43" s="111"/>
      <c r="AJ43" s="112">
        <f t="shared" si="10"/>
        <v>0</v>
      </c>
      <c r="AK43" s="113">
        <f t="shared" si="5"/>
        <v>0</v>
      </c>
      <c r="AL43" s="114">
        <f t="shared" si="11"/>
        <v>0</v>
      </c>
      <c r="AM43" s="108"/>
      <c r="AN43" s="108">
        <f>ROUND(0,2)</f>
        <v>0</v>
      </c>
      <c r="AO43" s="108">
        <f t="shared" si="17"/>
        <v>0</v>
      </c>
      <c r="AP43" s="108">
        <f>ROUND(2438674.22,2)</f>
        <v>2438674.2200000002</v>
      </c>
      <c r="AQ43" s="108">
        <f t="shared" si="19"/>
        <v>0</v>
      </c>
      <c r="AR43" s="108">
        <f>ROUND(2438674.22,2)</f>
        <v>2438674.2200000002</v>
      </c>
      <c r="AS43" s="108">
        <f>ROUND(2131925.59,2)</f>
        <v>2131925.59</v>
      </c>
      <c r="AT43" s="108">
        <f>ROUND(306748.63,2)</f>
        <v>306748.63</v>
      </c>
      <c r="AU43" s="108">
        <f>ROUND(977.080000000016,2)</f>
        <v>977.08</v>
      </c>
      <c r="AV43" s="108">
        <f>ROUND(305771.55,2)</f>
        <v>305771.55</v>
      </c>
      <c r="AW43" s="108">
        <f t="shared" si="15"/>
        <v>0</v>
      </c>
      <c r="AX43" s="108">
        <f>ROUND(305771.55,2)</f>
        <v>305771.55</v>
      </c>
      <c r="AY43" s="108">
        <f t="shared" si="7"/>
        <v>0</v>
      </c>
      <c r="AZ43" s="108">
        <f>ROUND(-588591.22,2)</f>
        <v>-588591.22</v>
      </c>
      <c r="BA43" s="108">
        <f>ROUND(1543334.37,2)</f>
        <v>1543334.37</v>
      </c>
      <c r="BB43" s="115">
        <v>-31.814314276710824</v>
      </c>
      <c r="BC43" s="115">
        <v>131.81431427671083</v>
      </c>
      <c r="BD43" s="115">
        <v>16.58026315576112</v>
      </c>
      <c r="BE43" s="115">
        <v>99.681472090030184</v>
      </c>
      <c r="BF43" s="116"/>
      <c r="BG43" s="116"/>
    </row>
    <row r="44" spans="1:59" x14ac:dyDescent="0.25">
      <c r="A44" s="86"/>
      <c r="B44" s="86"/>
      <c r="C44" s="86"/>
      <c r="D44" s="87"/>
      <c r="E44" s="88">
        <v>6</v>
      </c>
      <c r="F44" s="89"/>
      <c r="G44" s="90"/>
      <c r="H44" s="91"/>
      <c r="I44" s="92"/>
      <c r="J44" s="126" t="s">
        <v>201</v>
      </c>
      <c r="K44" s="93" t="s">
        <v>241</v>
      </c>
      <c r="L44" s="127" t="s">
        <v>244</v>
      </c>
      <c r="M44" s="94"/>
      <c r="N44" s="95"/>
      <c r="O44" s="95"/>
      <c r="P44" s="96"/>
      <c r="Q44" s="97">
        <f>S44</f>
        <v>107000</v>
      </c>
      <c r="R44" s="98">
        <f t="shared" si="8"/>
        <v>0</v>
      </c>
      <c r="S44" s="99">
        <v>107000</v>
      </c>
      <c r="T44" s="100"/>
      <c r="U44" s="101">
        <v>0</v>
      </c>
      <c r="V44" s="102"/>
      <c r="W44" s="103"/>
      <c r="X44" s="104">
        <f>S44</f>
        <v>107000</v>
      </c>
      <c r="Y44" s="105">
        <f t="shared" si="9"/>
        <v>0</v>
      </c>
      <c r="Z44" s="141"/>
      <c r="AA44" s="107"/>
      <c r="AB44" s="138"/>
      <c r="AC44" s="108"/>
      <c r="AD44" s="109"/>
      <c r="AE44" s="110"/>
      <c r="AF44" s="111"/>
      <c r="AG44" s="111"/>
      <c r="AH44" s="111"/>
      <c r="AI44" s="111"/>
      <c r="AJ44" s="112">
        <f t="shared" si="10"/>
        <v>0</v>
      </c>
      <c r="AK44" s="113">
        <f t="shared" si="5"/>
        <v>0</v>
      </c>
      <c r="AL44" s="114">
        <f t="shared" si="11"/>
        <v>0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15"/>
      <c r="BC44" s="115"/>
      <c r="BD44" s="115"/>
      <c r="BE44" s="115"/>
      <c r="BF44" s="116"/>
      <c r="BG44" s="116"/>
    </row>
    <row r="45" spans="1:59" x14ac:dyDescent="0.25">
      <c r="A45" s="86" t="str">
        <f t="shared" si="0"/>
        <v>21020</v>
      </c>
      <c r="B45" s="86" t="str">
        <f t="shared" si="1"/>
        <v>15104</v>
      </c>
      <c r="C45" s="86" t="str">
        <f t="shared" si="2"/>
        <v>61900</v>
      </c>
      <c r="D45" s="87" t="str">
        <f t="shared" si="3"/>
        <v>21020/15104/61900(2024)</v>
      </c>
      <c r="E45" s="88" t="str">
        <f t="shared" si="4"/>
        <v>6</v>
      </c>
      <c r="F45" s="89" t="s">
        <v>240</v>
      </c>
      <c r="G45" s="90"/>
      <c r="H45" s="91" t="s">
        <v>170</v>
      </c>
      <c r="I45" s="92" t="s">
        <v>241</v>
      </c>
      <c r="J45" s="92" t="s">
        <v>242</v>
      </c>
      <c r="K45" s="93" t="s">
        <v>241</v>
      </c>
      <c r="L45" s="93" t="s">
        <v>242</v>
      </c>
      <c r="M45" s="94">
        <v>0</v>
      </c>
      <c r="N45" s="95">
        <v>1380304.62</v>
      </c>
      <c r="O45" s="95">
        <v>1380304.62</v>
      </c>
      <c r="P45" s="96"/>
      <c r="Q45" s="97"/>
      <c r="R45" s="98">
        <f t="shared" si="8"/>
        <v>0</v>
      </c>
      <c r="S45" s="99"/>
      <c r="T45" s="100"/>
      <c r="U45" s="101"/>
      <c r="V45" s="102"/>
      <c r="W45" s="103"/>
      <c r="X45" s="103"/>
      <c r="Y45" s="105">
        <f t="shared" si="9"/>
        <v>0</v>
      </c>
      <c r="Z45" s="106"/>
      <c r="AA45" s="118"/>
      <c r="AB45" s="108"/>
      <c r="AC45" s="108"/>
      <c r="AD45" s="109"/>
      <c r="AE45" s="110"/>
      <c r="AF45" s="111"/>
      <c r="AG45" s="111"/>
      <c r="AH45" s="111"/>
      <c r="AI45" s="111"/>
      <c r="AJ45" s="112">
        <f t="shared" si="10"/>
        <v>0</v>
      </c>
      <c r="AK45" s="113">
        <f t="shared" si="5"/>
        <v>0</v>
      </c>
      <c r="AL45" s="114">
        <f t="shared" si="11"/>
        <v>0</v>
      </c>
      <c r="AM45" s="108"/>
      <c r="AN45" s="108">
        <f>ROUND(1380304.62,2)</f>
        <v>1380304.62</v>
      </c>
      <c r="AO45" s="108">
        <f t="shared" si="17"/>
        <v>0</v>
      </c>
      <c r="AP45" s="108">
        <f>ROUND(788773.77,2)</f>
        <v>788773.77</v>
      </c>
      <c r="AQ45" s="108">
        <f t="shared" si="19"/>
        <v>0</v>
      </c>
      <c r="AR45" s="108">
        <f>ROUND(788773.77,2)</f>
        <v>788773.77</v>
      </c>
      <c r="AS45" s="108">
        <f>ROUND(788773.77,2)</f>
        <v>788773.77</v>
      </c>
      <c r="AT45" s="108">
        <f t="shared" ref="AT45:AV61" si="20">ROUND(0,2)</f>
        <v>0</v>
      </c>
      <c r="AU45" s="108">
        <f t="shared" si="20"/>
        <v>0</v>
      </c>
      <c r="AV45" s="108">
        <f t="shared" si="20"/>
        <v>0</v>
      </c>
      <c r="AW45" s="108">
        <f t="shared" si="15"/>
        <v>0</v>
      </c>
      <c r="AX45" s="108">
        <f t="shared" si="15"/>
        <v>0</v>
      </c>
      <c r="AY45" s="108">
        <f t="shared" si="7"/>
        <v>0</v>
      </c>
      <c r="AZ45" s="108">
        <f>ROUND(591530.85,2)</f>
        <v>591530.85</v>
      </c>
      <c r="BA45" s="108">
        <f>ROUND(1380304.62,2)</f>
        <v>1380304.62</v>
      </c>
      <c r="BB45" s="115">
        <v>42.855094551520082</v>
      </c>
      <c r="BC45" s="115">
        <v>57.144905448479911</v>
      </c>
      <c r="BD45" s="115">
        <v>0</v>
      </c>
      <c r="BE45" s="115">
        <v>0</v>
      </c>
      <c r="BF45" s="116"/>
      <c r="BG45" s="116"/>
    </row>
    <row r="46" spans="1:59" x14ac:dyDescent="0.25">
      <c r="A46" s="86" t="str">
        <f t="shared" si="0"/>
        <v>21020</v>
      </c>
      <c r="B46" s="86" t="str">
        <f t="shared" si="1"/>
        <v>15300</v>
      </c>
      <c r="C46" s="86" t="str">
        <f t="shared" si="2"/>
        <v>61903</v>
      </c>
      <c r="D46" s="87" t="str">
        <f t="shared" si="3"/>
        <v>21020/15300/61903(2022)</v>
      </c>
      <c r="E46" s="88" t="str">
        <f t="shared" si="4"/>
        <v>6</v>
      </c>
      <c r="F46" s="89" t="s">
        <v>245</v>
      </c>
      <c r="G46" s="90"/>
      <c r="H46" s="91" t="s">
        <v>181</v>
      </c>
      <c r="I46" s="92" t="s">
        <v>246</v>
      </c>
      <c r="J46" s="92" t="s">
        <v>247</v>
      </c>
      <c r="K46" s="93" t="s">
        <v>246</v>
      </c>
      <c r="L46" s="93" t="s">
        <v>247</v>
      </c>
      <c r="M46" s="94">
        <v>0</v>
      </c>
      <c r="N46" s="95">
        <v>657388.6</v>
      </c>
      <c r="O46" s="95">
        <v>657388.6</v>
      </c>
      <c r="P46" s="96"/>
      <c r="Q46" s="97"/>
      <c r="R46" s="98">
        <f t="shared" si="8"/>
        <v>0</v>
      </c>
      <c r="S46" s="99"/>
      <c r="T46" s="100"/>
      <c r="U46" s="101"/>
      <c r="V46" s="102"/>
      <c r="W46" s="103"/>
      <c r="X46" s="103"/>
      <c r="Y46" s="105">
        <f t="shared" si="9"/>
        <v>0</v>
      </c>
      <c r="Z46" s="106"/>
      <c r="AA46" s="118"/>
      <c r="AB46" s="108"/>
      <c r="AC46" s="108"/>
      <c r="AD46" s="109"/>
      <c r="AE46" s="110"/>
      <c r="AF46" s="111"/>
      <c r="AG46" s="111"/>
      <c r="AH46" s="111"/>
      <c r="AI46" s="111"/>
      <c r="AJ46" s="112">
        <f t="shared" si="10"/>
        <v>0</v>
      </c>
      <c r="AK46" s="113">
        <f t="shared" si="5"/>
        <v>0</v>
      </c>
      <c r="AL46" s="114">
        <f t="shared" si="11"/>
        <v>0</v>
      </c>
      <c r="AM46" s="108"/>
      <c r="AN46" s="108">
        <f>ROUND(657388.6,2)</f>
        <v>657388.6</v>
      </c>
      <c r="AO46" s="108">
        <f t="shared" si="17"/>
        <v>0</v>
      </c>
      <c r="AP46" s="108">
        <f>ROUND(0,2)</f>
        <v>0</v>
      </c>
      <c r="AQ46" s="108">
        <f t="shared" si="19"/>
        <v>0</v>
      </c>
      <c r="AR46" s="108">
        <f>ROUND(0,2)</f>
        <v>0</v>
      </c>
      <c r="AS46" s="108">
        <f>ROUND(0,2)</f>
        <v>0</v>
      </c>
      <c r="AT46" s="108">
        <f t="shared" si="20"/>
        <v>0</v>
      </c>
      <c r="AU46" s="108">
        <f t="shared" si="20"/>
        <v>0</v>
      </c>
      <c r="AV46" s="108">
        <f t="shared" si="20"/>
        <v>0</v>
      </c>
      <c r="AW46" s="108">
        <f t="shared" si="15"/>
        <v>0</v>
      </c>
      <c r="AX46" s="108">
        <f t="shared" si="15"/>
        <v>0</v>
      </c>
      <c r="AY46" s="108">
        <f t="shared" si="7"/>
        <v>0</v>
      </c>
      <c r="AZ46" s="108">
        <f>ROUND(657388.6,2)</f>
        <v>657388.6</v>
      </c>
      <c r="BA46" s="108">
        <f>ROUND(657388.6,2)</f>
        <v>657388.6</v>
      </c>
      <c r="BB46" s="115">
        <v>100</v>
      </c>
      <c r="BC46" s="115">
        <v>0</v>
      </c>
      <c r="BD46" s="115">
        <v>0</v>
      </c>
      <c r="BE46" s="115">
        <v>0</v>
      </c>
      <c r="BF46" s="116"/>
      <c r="BG46" s="116"/>
    </row>
    <row r="47" spans="1:59" x14ac:dyDescent="0.25">
      <c r="A47" s="86" t="str">
        <f t="shared" si="0"/>
        <v>21020</v>
      </c>
      <c r="B47" s="86" t="str">
        <f t="shared" si="1"/>
        <v>34200</v>
      </c>
      <c r="C47" s="86" t="str">
        <f t="shared" si="2"/>
        <v>62100</v>
      </c>
      <c r="D47" s="87" t="str">
        <f t="shared" si="3"/>
        <v>21020/34200/62100(2018)</v>
      </c>
      <c r="E47" s="88" t="str">
        <f t="shared" si="4"/>
        <v>6</v>
      </c>
      <c r="F47" s="89" t="s">
        <v>248</v>
      </c>
      <c r="G47" s="90"/>
      <c r="H47" s="91" t="s">
        <v>249</v>
      </c>
      <c r="I47" s="92" t="s">
        <v>250</v>
      </c>
      <c r="J47" s="92" t="s">
        <v>251</v>
      </c>
      <c r="K47" s="93" t="s">
        <v>250</v>
      </c>
      <c r="L47" s="93" t="s">
        <v>251</v>
      </c>
      <c r="M47" s="94">
        <v>0</v>
      </c>
      <c r="N47" s="95">
        <v>160000</v>
      </c>
      <c r="O47" s="95">
        <v>160000</v>
      </c>
      <c r="P47" s="96"/>
      <c r="Q47" s="97"/>
      <c r="R47" s="98">
        <f t="shared" si="8"/>
        <v>0</v>
      </c>
      <c r="S47" s="99"/>
      <c r="T47" s="100"/>
      <c r="U47" s="101"/>
      <c r="V47" s="102"/>
      <c r="W47" s="103"/>
      <c r="X47" s="103"/>
      <c r="Y47" s="105">
        <f t="shared" si="9"/>
        <v>0</v>
      </c>
      <c r="Z47" s="106"/>
      <c r="AA47" s="118"/>
      <c r="AB47" s="108"/>
      <c r="AC47" s="108"/>
      <c r="AD47" s="109"/>
      <c r="AE47" s="110"/>
      <c r="AF47" s="111"/>
      <c r="AG47" s="111"/>
      <c r="AH47" s="111"/>
      <c r="AI47" s="111"/>
      <c r="AJ47" s="112">
        <f t="shared" si="10"/>
        <v>0</v>
      </c>
      <c r="AK47" s="113">
        <f t="shared" si="5"/>
        <v>0</v>
      </c>
      <c r="AL47" s="114">
        <f t="shared" si="11"/>
        <v>0</v>
      </c>
      <c r="AM47" s="108"/>
      <c r="AN47" s="108">
        <f>ROUND(160000,2)</f>
        <v>160000</v>
      </c>
      <c r="AO47" s="108">
        <f t="shared" si="17"/>
        <v>0</v>
      </c>
      <c r="AP47" s="108">
        <f>ROUND(0,2)</f>
        <v>0</v>
      </c>
      <c r="AQ47" s="108">
        <f t="shared" si="19"/>
        <v>0</v>
      </c>
      <c r="AR47" s="108">
        <f>ROUND(0,2)</f>
        <v>0</v>
      </c>
      <c r="AS47" s="108">
        <f>ROUND(0,2)</f>
        <v>0</v>
      </c>
      <c r="AT47" s="108">
        <f t="shared" si="20"/>
        <v>0</v>
      </c>
      <c r="AU47" s="108">
        <f t="shared" si="20"/>
        <v>0</v>
      </c>
      <c r="AV47" s="108">
        <f t="shared" si="20"/>
        <v>0</v>
      </c>
      <c r="AW47" s="108">
        <f t="shared" si="15"/>
        <v>0</v>
      </c>
      <c r="AX47" s="108">
        <f t="shared" si="15"/>
        <v>0</v>
      </c>
      <c r="AY47" s="108">
        <f t="shared" si="7"/>
        <v>0</v>
      </c>
      <c r="AZ47" s="108">
        <f>ROUND(160000,2)</f>
        <v>160000</v>
      </c>
      <c r="BA47" s="108">
        <f>ROUND(160000,2)</f>
        <v>160000</v>
      </c>
      <c r="BB47" s="115">
        <v>100</v>
      </c>
      <c r="BC47" s="115">
        <v>0</v>
      </c>
      <c r="BD47" s="115">
        <v>0</v>
      </c>
      <c r="BE47" s="115">
        <v>0</v>
      </c>
      <c r="BF47" s="116"/>
      <c r="BG47" s="116"/>
    </row>
    <row r="48" spans="1:59" x14ac:dyDescent="0.25">
      <c r="A48" s="86" t="str">
        <f t="shared" si="0"/>
        <v>21020</v>
      </c>
      <c r="B48" s="86" t="str">
        <f t="shared" si="1"/>
        <v>15100</v>
      </c>
      <c r="C48" s="86" t="str">
        <f t="shared" si="2"/>
        <v>74002</v>
      </c>
      <c r="D48" s="87" t="str">
        <f t="shared" si="3"/>
        <v>21020/15100/74002(2022)</v>
      </c>
      <c r="E48" s="88" t="str">
        <f t="shared" si="4"/>
        <v>7</v>
      </c>
      <c r="F48" s="89" t="s">
        <v>237</v>
      </c>
      <c r="G48" s="90"/>
      <c r="H48" s="91" t="s">
        <v>181</v>
      </c>
      <c r="I48" s="92" t="s">
        <v>252</v>
      </c>
      <c r="J48" s="92" t="s">
        <v>253</v>
      </c>
      <c r="K48" s="93" t="s">
        <v>252</v>
      </c>
      <c r="L48" s="93" t="s">
        <v>253</v>
      </c>
      <c r="M48" s="94">
        <v>0</v>
      </c>
      <c r="N48" s="95">
        <v>197080</v>
      </c>
      <c r="O48" s="95">
        <v>197080</v>
      </c>
      <c r="P48" s="96"/>
      <c r="Q48" s="97"/>
      <c r="R48" s="98">
        <f t="shared" si="8"/>
        <v>0</v>
      </c>
      <c r="S48" s="99"/>
      <c r="T48" s="100"/>
      <c r="U48" s="101"/>
      <c r="V48" s="102"/>
      <c r="W48" s="103"/>
      <c r="X48" s="103"/>
      <c r="Y48" s="105">
        <f t="shared" si="9"/>
        <v>0</v>
      </c>
      <c r="Z48" s="106"/>
      <c r="AA48" s="118"/>
      <c r="AB48" s="108"/>
      <c r="AC48" s="108"/>
      <c r="AD48" s="109"/>
      <c r="AE48" s="110"/>
      <c r="AF48" s="111"/>
      <c r="AG48" s="111"/>
      <c r="AH48" s="111"/>
      <c r="AI48" s="111"/>
      <c r="AJ48" s="112">
        <f t="shared" si="10"/>
        <v>0</v>
      </c>
      <c r="AK48" s="113">
        <f t="shared" si="5"/>
        <v>0</v>
      </c>
      <c r="AL48" s="114">
        <f t="shared" si="11"/>
        <v>0</v>
      </c>
      <c r="AM48" s="108"/>
      <c r="AN48" s="108">
        <f>ROUND(197080,2)</f>
        <v>197080</v>
      </c>
      <c r="AO48" s="108">
        <f t="shared" si="17"/>
        <v>0</v>
      </c>
      <c r="AP48" s="108">
        <f>ROUND(197080,2)</f>
        <v>197080</v>
      </c>
      <c r="AQ48" s="108">
        <f t="shared" si="19"/>
        <v>0</v>
      </c>
      <c r="AR48" s="108">
        <f>ROUND(197080,2)</f>
        <v>197080</v>
      </c>
      <c r="AS48" s="108">
        <f>ROUND(197080,2)</f>
        <v>197080</v>
      </c>
      <c r="AT48" s="108">
        <f t="shared" si="20"/>
        <v>0</v>
      </c>
      <c r="AU48" s="108">
        <f t="shared" si="20"/>
        <v>0</v>
      </c>
      <c r="AV48" s="108">
        <f t="shared" si="20"/>
        <v>0</v>
      </c>
      <c r="AW48" s="108">
        <f t="shared" si="15"/>
        <v>0</v>
      </c>
      <c r="AX48" s="108">
        <f t="shared" si="15"/>
        <v>0</v>
      </c>
      <c r="AY48" s="108">
        <f t="shared" si="7"/>
        <v>0</v>
      </c>
      <c r="AZ48" s="108">
        <f>ROUND(0,2)</f>
        <v>0</v>
      </c>
      <c r="BA48" s="108">
        <f>ROUND(197080,2)</f>
        <v>197080</v>
      </c>
      <c r="BB48" s="115">
        <v>0</v>
      </c>
      <c r="BC48" s="115">
        <v>100</v>
      </c>
      <c r="BD48" s="115">
        <v>0</v>
      </c>
      <c r="BE48" s="115">
        <v>0</v>
      </c>
      <c r="BF48" s="116"/>
      <c r="BG48" s="116"/>
    </row>
    <row r="49" spans="1:59" x14ac:dyDescent="0.25">
      <c r="A49" s="86" t="str">
        <f t="shared" si="0"/>
        <v>21030</v>
      </c>
      <c r="B49" s="86" t="str">
        <f t="shared" si="1"/>
        <v>15100</v>
      </c>
      <c r="C49" s="86" t="str">
        <f t="shared" si="2"/>
        <v>60900</v>
      </c>
      <c r="D49" s="87" t="str">
        <f t="shared" si="3"/>
        <v>21030/15100/60900(2019)</v>
      </c>
      <c r="E49" s="88" t="str">
        <f t="shared" si="4"/>
        <v>6</v>
      </c>
      <c r="F49" s="89" t="s">
        <v>254</v>
      </c>
      <c r="G49" s="90"/>
      <c r="H49" s="91" t="s">
        <v>233</v>
      </c>
      <c r="I49" s="92" t="s">
        <v>255</v>
      </c>
      <c r="J49" s="92" t="s">
        <v>256</v>
      </c>
      <c r="K49" s="93" t="s">
        <v>255</v>
      </c>
      <c r="L49" s="93" t="s">
        <v>256</v>
      </c>
      <c r="M49" s="94">
        <f>ROUND(0,2)</f>
        <v>0</v>
      </c>
      <c r="N49" s="95">
        <f>ROUND(1237756.43,2)</f>
        <v>1237756.43</v>
      </c>
      <c r="O49" s="95">
        <f>ROUND(1237756.43,2)</f>
        <v>1237756.43</v>
      </c>
      <c r="P49" s="96"/>
      <c r="Q49" s="97"/>
      <c r="R49" s="98">
        <f t="shared" si="8"/>
        <v>0</v>
      </c>
      <c r="S49" s="99"/>
      <c r="T49" s="100"/>
      <c r="U49" s="101"/>
      <c r="V49" s="102"/>
      <c r="W49" s="103"/>
      <c r="X49" s="103"/>
      <c r="Y49" s="105">
        <f t="shared" si="9"/>
        <v>0</v>
      </c>
      <c r="Z49" s="106"/>
      <c r="AA49" s="118"/>
      <c r="AB49" s="108"/>
      <c r="AC49" s="108"/>
      <c r="AD49" s="109"/>
      <c r="AE49" s="110"/>
      <c r="AF49" s="111"/>
      <c r="AG49" s="111"/>
      <c r="AH49" s="111"/>
      <c r="AI49" s="111"/>
      <c r="AJ49" s="112">
        <f t="shared" si="10"/>
        <v>0</v>
      </c>
      <c r="AK49" s="113">
        <f t="shared" si="5"/>
        <v>0</v>
      </c>
      <c r="AL49" s="114">
        <f t="shared" si="11"/>
        <v>0</v>
      </c>
      <c r="AM49" s="108"/>
      <c r="AN49" s="108">
        <f>ROUND(1237756.43,2)</f>
        <v>1237756.43</v>
      </c>
      <c r="AO49" s="108">
        <f t="shared" si="17"/>
        <v>0</v>
      </c>
      <c r="AP49" s="108">
        <f>ROUND(10342.11,2)</f>
        <v>10342.11</v>
      </c>
      <c r="AQ49" s="108">
        <f t="shared" si="19"/>
        <v>0</v>
      </c>
      <c r="AR49" s="108">
        <f>ROUND(10342.11,2)</f>
        <v>10342.11</v>
      </c>
      <c r="AS49" s="108">
        <f>ROUND(10342.11,2)</f>
        <v>10342.11</v>
      </c>
      <c r="AT49" s="108">
        <f t="shared" si="20"/>
        <v>0</v>
      </c>
      <c r="AU49" s="108">
        <f t="shared" si="20"/>
        <v>0</v>
      </c>
      <c r="AV49" s="108">
        <f t="shared" si="20"/>
        <v>0</v>
      </c>
      <c r="AW49" s="108">
        <f t="shared" si="15"/>
        <v>0</v>
      </c>
      <c r="AX49" s="108">
        <f t="shared" si="15"/>
        <v>0</v>
      </c>
      <c r="AY49" s="108">
        <f t="shared" si="7"/>
        <v>0</v>
      </c>
      <c r="AZ49" s="108">
        <f>ROUND(1227414.32,2)</f>
        <v>1227414.32</v>
      </c>
      <c r="BA49" s="108">
        <f>ROUND(1237756.43,2)</f>
        <v>1237756.43</v>
      </c>
      <c r="BB49" s="115">
        <v>99.164447079462974</v>
      </c>
      <c r="BC49" s="115">
        <v>0.83555292053703978</v>
      </c>
      <c r="BD49" s="115">
        <v>0</v>
      </c>
      <c r="BE49" s="115">
        <v>0</v>
      </c>
      <c r="BF49" s="116"/>
      <c r="BG49" s="116"/>
    </row>
    <row r="50" spans="1:59" x14ac:dyDescent="0.25">
      <c r="A50" s="86" t="str">
        <f t="shared" si="0"/>
        <v>21030</v>
      </c>
      <c r="B50" s="86" t="str">
        <f t="shared" si="1"/>
        <v>15310</v>
      </c>
      <c r="C50" s="86" t="str">
        <f t="shared" si="2"/>
        <v>61900</v>
      </c>
      <c r="D50" s="87" t="str">
        <f t="shared" si="3"/>
        <v>21030/15310/61900()</v>
      </c>
      <c r="E50" s="88" t="str">
        <f t="shared" si="4"/>
        <v>6</v>
      </c>
      <c r="F50" s="89">
        <v>0</v>
      </c>
      <c r="G50" s="90"/>
      <c r="H50" s="91"/>
      <c r="I50" s="92" t="s">
        <v>257</v>
      </c>
      <c r="J50" s="92" t="s">
        <v>258</v>
      </c>
      <c r="K50" s="121" t="s">
        <v>257</v>
      </c>
      <c r="L50" s="121" t="s">
        <v>258</v>
      </c>
      <c r="M50" s="94">
        <v>50000</v>
      </c>
      <c r="N50" s="95">
        <v>0</v>
      </c>
      <c r="O50" s="95">
        <v>50000</v>
      </c>
      <c r="P50" s="142">
        <v>0</v>
      </c>
      <c r="Q50" s="97"/>
      <c r="R50" s="98">
        <f t="shared" si="8"/>
        <v>-50000</v>
      </c>
      <c r="S50" s="99"/>
      <c r="T50" s="100"/>
      <c r="U50" s="101">
        <v>0</v>
      </c>
      <c r="V50" s="102">
        <v>0</v>
      </c>
      <c r="W50" s="103"/>
      <c r="X50" s="103"/>
      <c r="Y50" s="105">
        <f t="shared" si="9"/>
        <v>0</v>
      </c>
      <c r="Z50" s="143" t="s">
        <v>259</v>
      </c>
      <c r="AA50" s="118"/>
      <c r="AB50" s="108"/>
      <c r="AC50" s="108">
        <v>50000</v>
      </c>
      <c r="AD50" s="109"/>
      <c r="AE50" s="110"/>
      <c r="AF50" s="111"/>
      <c r="AG50" s="111"/>
      <c r="AH50" s="111"/>
      <c r="AI50" s="111"/>
      <c r="AJ50" s="112">
        <f t="shared" si="10"/>
        <v>0</v>
      </c>
      <c r="AK50" s="113">
        <f t="shared" si="5"/>
        <v>0</v>
      </c>
      <c r="AL50" s="114">
        <f t="shared" si="11"/>
        <v>0</v>
      </c>
      <c r="AM50" s="108"/>
      <c r="AN50" s="108">
        <f>ROUND(0,2)</f>
        <v>0</v>
      </c>
      <c r="AO50" s="108">
        <f t="shared" si="17"/>
        <v>0</v>
      </c>
      <c r="AP50" s="108">
        <f>ROUND(0,2)</f>
        <v>0</v>
      </c>
      <c r="AQ50" s="108">
        <f t="shared" si="19"/>
        <v>0</v>
      </c>
      <c r="AR50" s="108">
        <f t="shared" si="19"/>
        <v>0</v>
      </c>
      <c r="AS50" s="108">
        <f t="shared" si="19"/>
        <v>0</v>
      </c>
      <c r="AT50" s="108">
        <f t="shared" si="20"/>
        <v>0</v>
      </c>
      <c r="AU50" s="108">
        <f t="shared" si="20"/>
        <v>0</v>
      </c>
      <c r="AV50" s="108">
        <f t="shared" si="20"/>
        <v>0</v>
      </c>
      <c r="AW50" s="108">
        <f t="shared" si="15"/>
        <v>0</v>
      </c>
      <c r="AX50" s="108">
        <f t="shared" si="15"/>
        <v>0</v>
      </c>
      <c r="AY50" s="108">
        <f t="shared" si="7"/>
        <v>0</v>
      </c>
      <c r="AZ50" s="108">
        <f>ROUND(50000,2)</f>
        <v>50000</v>
      </c>
      <c r="BA50" s="108">
        <f>ROUND(50000,2)</f>
        <v>50000</v>
      </c>
      <c r="BB50" s="115">
        <v>100</v>
      </c>
      <c r="BC50" s="115">
        <v>0</v>
      </c>
      <c r="BD50" s="115">
        <v>0</v>
      </c>
      <c r="BE50" s="115">
        <v>0</v>
      </c>
      <c r="BF50" s="116"/>
      <c r="BG50" s="116"/>
    </row>
    <row r="51" spans="1:59" x14ac:dyDescent="0.25">
      <c r="A51" s="86" t="str">
        <f t="shared" si="0"/>
        <v>21030</v>
      </c>
      <c r="B51" s="86" t="str">
        <f t="shared" si="1"/>
        <v>15100</v>
      </c>
      <c r="C51" s="86" t="str">
        <f t="shared" si="2"/>
        <v>61901</v>
      </c>
      <c r="D51" s="87" t="str">
        <f t="shared" si="3"/>
        <v>21030/15100/61901()</v>
      </c>
      <c r="E51" s="88" t="str">
        <f t="shared" si="4"/>
        <v>6</v>
      </c>
      <c r="F51" s="89">
        <v>0</v>
      </c>
      <c r="G51" s="90"/>
      <c r="H51" s="91"/>
      <c r="I51" s="92" t="s">
        <v>34</v>
      </c>
      <c r="J51" s="92" t="s">
        <v>35</v>
      </c>
      <c r="K51" s="93" t="s">
        <v>34</v>
      </c>
      <c r="L51" s="93" t="s">
        <v>35</v>
      </c>
      <c r="M51" s="94">
        <v>50</v>
      </c>
      <c r="N51" s="95">
        <v>0</v>
      </c>
      <c r="O51" s="95">
        <v>50</v>
      </c>
      <c r="P51" s="96">
        <v>50</v>
      </c>
      <c r="Q51" s="97">
        <v>10</v>
      </c>
      <c r="R51" s="98">
        <f t="shared" si="8"/>
        <v>-40</v>
      </c>
      <c r="S51" s="99"/>
      <c r="T51" s="100"/>
      <c r="U51" s="101">
        <v>10</v>
      </c>
      <c r="V51" s="102">
        <v>10</v>
      </c>
      <c r="W51" s="103"/>
      <c r="X51" s="103"/>
      <c r="Y51" s="105">
        <f t="shared" si="9"/>
        <v>0</v>
      </c>
      <c r="Z51" s="106" t="s">
        <v>236</v>
      </c>
      <c r="AA51" s="118"/>
      <c r="AB51" s="108"/>
      <c r="AC51" s="108"/>
      <c r="AD51" s="109"/>
      <c r="AE51" s="110"/>
      <c r="AF51" s="111"/>
      <c r="AG51" s="111"/>
      <c r="AH51" s="111"/>
      <c r="AI51" s="111"/>
      <c r="AJ51" s="112">
        <f t="shared" si="10"/>
        <v>10</v>
      </c>
      <c r="AK51" s="113">
        <f t="shared" si="5"/>
        <v>10</v>
      </c>
      <c r="AL51" s="114">
        <f t="shared" si="11"/>
        <v>0</v>
      </c>
      <c r="AM51" s="108"/>
      <c r="AN51" s="108">
        <f>ROUND(0,2)</f>
        <v>0</v>
      </c>
      <c r="AO51" s="108">
        <f t="shared" si="17"/>
        <v>0</v>
      </c>
      <c r="AP51" s="108">
        <f>ROUND(0,2)</f>
        <v>0</v>
      </c>
      <c r="AQ51" s="108">
        <f t="shared" si="19"/>
        <v>0</v>
      </c>
      <c r="AR51" s="108">
        <f t="shared" si="19"/>
        <v>0</v>
      </c>
      <c r="AS51" s="108">
        <f t="shared" si="19"/>
        <v>0</v>
      </c>
      <c r="AT51" s="108">
        <f t="shared" si="20"/>
        <v>0</v>
      </c>
      <c r="AU51" s="108">
        <f t="shared" si="20"/>
        <v>0</v>
      </c>
      <c r="AV51" s="108">
        <f t="shared" si="20"/>
        <v>0</v>
      </c>
      <c r="AW51" s="108">
        <f t="shared" si="15"/>
        <v>0</v>
      </c>
      <c r="AX51" s="108">
        <f t="shared" si="15"/>
        <v>0</v>
      </c>
      <c r="AY51" s="108">
        <f t="shared" si="7"/>
        <v>0</v>
      </c>
      <c r="AZ51" s="108">
        <f>ROUND(50,2)</f>
        <v>50</v>
      </c>
      <c r="BA51" s="108">
        <f>ROUND(50,2)</f>
        <v>50</v>
      </c>
      <c r="BB51" s="115">
        <v>100</v>
      </c>
      <c r="BC51" s="115">
        <v>0</v>
      </c>
      <c r="BD51" s="115">
        <v>0</v>
      </c>
      <c r="BE51" s="115">
        <v>0</v>
      </c>
      <c r="BF51" s="116"/>
      <c r="BG51" s="116"/>
    </row>
    <row r="52" spans="1:59" x14ac:dyDescent="0.25">
      <c r="A52" s="86" t="str">
        <f t="shared" si="0"/>
        <v>21030</v>
      </c>
      <c r="B52" s="86" t="str">
        <f t="shared" si="1"/>
        <v>15100</v>
      </c>
      <c r="C52" s="86" t="str">
        <f t="shared" si="2"/>
        <v>61901</v>
      </c>
      <c r="D52" s="87" t="str">
        <f t="shared" si="3"/>
        <v>21030/15100/61901(2018)</v>
      </c>
      <c r="E52" s="88" t="str">
        <f t="shared" si="4"/>
        <v>6</v>
      </c>
      <c r="F52" s="89" t="s">
        <v>260</v>
      </c>
      <c r="G52" s="90"/>
      <c r="H52" s="91" t="s">
        <v>249</v>
      </c>
      <c r="I52" s="92" t="s">
        <v>34</v>
      </c>
      <c r="J52" s="92" t="s">
        <v>261</v>
      </c>
      <c r="K52" s="93" t="s">
        <v>34</v>
      </c>
      <c r="L52" s="93" t="s">
        <v>261</v>
      </c>
      <c r="M52" s="94">
        <v>0</v>
      </c>
      <c r="N52" s="95">
        <v>168775.56</v>
      </c>
      <c r="O52" s="95">
        <v>168775.56</v>
      </c>
      <c r="P52" s="142">
        <v>0</v>
      </c>
      <c r="Q52" s="97"/>
      <c r="R52" s="98">
        <f t="shared" si="8"/>
        <v>0</v>
      </c>
      <c r="S52" s="99"/>
      <c r="T52" s="100"/>
      <c r="U52" s="101"/>
      <c r="V52" s="102"/>
      <c r="W52" s="103"/>
      <c r="X52" s="103"/>
      <c r="Y52" s="105">
        <f t="shared" si="9"/>
        <v>0</v>
      </c>
      <c r="Z52" s="106"/>
      <c r="AA52" s="118"/>
      <c r="AB52" s="108"/>
      <c r="AC52" s="108"/>
      <c r="AD52" s="109"/>
      <c r="AE52" s="110"/>
      <c r="AF52" s="111"/>
      <c r="AG52" s="111"/>
      <c r="AH52" s="111"/>
      <c r="AI52" s="111"/>
      <c r="AJ52" s="112">
        <f t="shared" si="10"/>
        <v>0</v>
      </c>
      <c r="AK52" s="113">
        <f t="shared" si="5"/>
        <v>0</v>
      </c>
      <c r="AL52" s="114">
        <f t="shared" si="11"/>
        <v>0</v>
      </c>
      <c r="AM52" s="108"/>
      <c r="AN52" s="108">
        <f>ROUND(168775.56,2)</f>
        <v>168775.56</v>
      </c>
      <c r="AO52" s="108">
        <f t="shared" si="17"/>
        <v>0</v>
      </c>
      <c r="AP52" s="108">
        <f>ROUND(0,2)</f>
        <v>0</v>
      </c>
      <c r="AQ52" s="108">
        <f t="shared" si="19"/>
        <v>0</v>
      </c>
      <c r="AR52" s="108">
        <f t="shared" si="19"/>
        <v>0</v>
      </c>
      <c r="AS52" s="108">
        <f t="shared" si="19"/>
        <v>0</v>
      </c>
      <c r="AT52" s="108">
        <f t="shared" si="20"/>
        <v>0</v>
      </c>
      <c r="AU52" s="108">
        <f t="shared" si="20"/>
        <v>0</v>
      </c>
      <c r="AV52" s="108">
        <f t="shared" si="20"/>
        <v>0</v>
      </c>
      <c r="AW52" s="108">
        <f t="shared" si="15"/>
        <v>0</v>
      </c>
      <c r="AX52" s="108">
        <f t="shared" si="15"/>
        <v>0</v>
      </c>
      <c r="AY52" s="108">
        <f t="shared" si="7"/>
        <v>0</v>
      </c>
      <c r="AZ52" s="108">
        <f>ROUND(168775.56,2)</f>
        <v>168775.56</v>
      </c>
      <c r="BA52" s="108">
        <f>ROUND(168775.56,2)</f>
        <v>168775.56</v>
      </c>
      <c r="BB52" s="115">
        <v>100</v>
      </c>
      <c r="BC52" s="115">
        <v>0</v>
      </c>
      <c r="BD52" s="115">
        <v>0</v>
      </c>
      <c r="BE52" s="115">
        <v>0</v>
      </c>
      <c r="BF52" s="116"/>
      <c r="BG52" s="116"/>
    </row>
    <row r="53" spans="1:59" x14ac:dyDescent="0.25">
      <c r="A53" s="86" t="str">
        <f t="shared" si="0"/>
        <v/>
      </c>
      <c r="B53" s="86" t="str">
        <f t="shared" si="1"/>
        <v/>
      </c>
      <c r="C53" s="86" t="str">
        <f t="shared" si="2"/>
        <v/>
      </c>
      <c r="D53" s="87" t="str">
        <f t="shared" si="3"/>
        <v>()</v>
      </c>
      <c r="E53" s="144">
        <v>7</v>
      </c>
      <c r="F53" s="89" t="s">
        <v>260</v>
      </c>
      <c r="G53" s="90"/>
      <c r="H53" s="91"/>
      <c r="I53" s="145"/>
      <c r="J53" s="145"/>
      <c r="K53" s="120" t="s">
        <v>262</v>
      </c>
      <c r="L53" s="120" t="s">
        <v>263</v>
      </c>
      <c r="M53" s="94"/>
      <c r="N53" s="95"/>
      <c r="O53" s="95"/>
      <c r="P53" s="146"/>
      <c r="Q53" s="97"/>
      <c r="R53" s="98">
        <f t="shared" si="8"/>
        <v>0</v>
      </c>
      <c r="S53" s="99"/>
      <c r="T53" s="100"/>
      <c r="U53" s="101">
        <v>0</v>
      </c>
      <c r="V53" s="102"/>
      <c r="W53" s="103"/>
      <c r="X53" s="103"/>
      <c r="Y53" s="105">
        <f t="shared" si="9"/>
        <v>0</v>
      </c>
      <c r="Z53" s="131" t="s">
        <v>264</v>
      </c>
      <c r="AA53" s="118"/>
      <c r="AB53" s="108"/>
      <c r="AC53" s="108"/>
      <c r="AD53" s="109"/>
      <c r="AE53" s="110"/>
      <c r="AF53" s="111"/>
      <c r="AG53" s="111"/>
      <c r="AH53" s="111"/>
      <c r="AI53" s="111"/>
      <c r="AJ53" s="112">
        <f t="shared" si="10"/>
        <v>0</v>
      </c>
      <c r="AK53" s="113">
        <f t="shared" si="5"/>
        <v>0</v>
      </c>
      <c r="AL53" s="114">
        <f t="shared" si="11"/>
        <v>0</v>
      </c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15"/>
      <c r="BC53" s="115"/>
      <c r="BD53" s="115"/>
      <c r="BE53" s="115"/>
      <c r="BF53" s="116"/>
      <c r="BG53" s="116"/>
    </row>
    <row r="54" spans="1:59" x14ac:dyDescent="0.25">
      <c r="A54" s="86" t="str">
        <f t="shared" si="0"/>
        <v>21030</v>
      </c>
      <c r="B54" s="86" t="str">
        <f t="shared" si="1"/>
        <v>93300</v>
      </c>
      <c r="C54" s="86" t="str">
        <f t="shared" si="2"/>
        <v>62200</v>
      </c>
      <c r="D54" s="87" t="str">
        <f t="shared" si="3"/>
        <v>21030/93300/62200(2024)</v>
      </c>
      <c r="E54" s="88" t="str">
        <f t="shared" si="4"/>
        <v>6</v>
      </c>
      <c r="F54" s="89">
        <v>0</v>
      </c>
      <c r="G54" s="90"/>
      <c r="H54" s="91" t="s">
        <v>170</v>
      </c>
      <c r="I54" s="92" t="s">
        <v>53</v>
      </c>
      <c r="J54" s="92" t="s">
        <v>54</v>
      </c>
      <c r="K54" s="93" t="s">
        <v>53</v>
      </c>
      <c r="L54" s="147" t="s">
        <v>54</v>
      </c>
      <c r="M54" s="94">
        <v>0</v>
      </c>
      <c r="N54" s="95">
        <v>470000</v>
      </c>
      <c r="O54" s="95">
        <v>470000</v>
      </c>
      <c r="P54" s="142"/>
      <c r="Q54" s="97">
        <v>320000</v>
      </c>
      <c r="R54" s="98">
        <f t="shared" si="8"/>
        <v>320000</v>
      </c>
      <c r="S54" s="99">
        <v>320000</v>
      </c>
      <c r="T54" s="100">
        <f>S54-P54</f>
        <v>320000</v>
      </c>
      <c r="U54" s="101">
        <v>320000</v>
      </c>
      <c r="V54" s="102"/>
      <c r="W54" s="103">
        <f>S54</f>
        <v>320000</v>
      </c>
      <c r="X54" s="103"/>
      <c r="Y54" s="105">
        <f t="shared" si="9"/>
        <v>0</v>
      </c>
      <c r="Z54" s="122" t="s">
        <v>265</v>
      </c>
      <c r="AA54" s="118"/>
      <c r="AB54" s="108"/>
      <c r="AC54" s="108"/>
      <c r="AD54" s="109"/>
      <c r="AE54" s="110"/>
      <c r="AF54" s="111"/>
      <c r="AG54" s="111"/>
      <c r="AH54" s="111"/>
      <c r="AI54" s="111"/>
      <c r="AJ54" s="112">
        <f t="shared" si="10"/>
        <v>320000</v>
      </c>
      <c r="AK54" s="113">
        <f t="shared" si="5"/>
        <v>320000</v>
      </c>
      <c r="AL54" s="114">
        <f t="shared" si="11"/>
        <v>0</v>
      </c>
      <c r="AM54" s="108"/>
      <c r="AN54" s="108">
        <f>ROUND(470000,2)</f>
        <v>470000</v>
      </c>
      <c r="AO54" s="108">
        <f t="shared" si="17"/>
        <v>0</v>
      </c>
      <c r="AP54" s="108">
        <f>ROUND(48562.98,2)</f>
        <v>48562.98</v>
      </c>
      <c r="AQ54" s="108">
        <f t="shared" si="19"/>
        <v>0</v>
      </c>
      <c r="AR54" s="108">
        <f>ROUND(48562.98,2)</f>
        <v>48562.98</v>
      </c>
      <c r="AS54" s="108">
        <f>ROUND(45249.52,2)</f>
        <v>45249.52</v>
      </c>
      <c r="AT54" s="108">
        <f>ROUND(3313.46,2)</f>
        <v>3313.46</v>
      </c>
      <c r="AU54" s="108">
        <f t="shared" si="20"/>
        <v>0</v>
      </c>
      <c r="AV54" s="108">
        <f>ROUND(3313.46,2)</f>
        <v>3313.46</v>
      </c>
      <c r="AW54" s="108">
        <f t="shared" si="15"/>
        <v>0</v>
      </c>
      <c r="AX54" s="108">
        <f>ROUND(3313.46,2)</f>
        <v>3313.46</v>
      </c>
      <c r="AY54" s="108">
        <f t="shared" si="7"/>
        <v>0</v>
      </c>
      <c r="AZ54" s="108">
        <f>ROUND(421437.02,2)</f>
        <v>421437.02</v>
      </c>
      <c r="BA54" s="108">
        <f>ROUND(466686.54,2)</f>
        <v>466686.54</v>
      </c>
      <c r="BB54" s="115">
        <v>89.667451063829802</v>
      </c>
      <c r="BC54" s="115">
        <v>10.332548936170213</v>
      </c>
      <c r="BD54" s="115">
        <v>0.70499148936170219</v>
      </c>
      <c r="BE54" s="115">
        <v>100</v>
      </c>
      <c r="BF54" s="116"/>
      <c r="BG54" s="116"/>
    </row>
    <row r="55" spans="1:59" x14ac:dyDescent="0.25">
      <c r="A55" s="86" t="str">
        <f t="shared" si="0"/>
        <v>21030</v>
      </c>
      <c r="B55" s="86" t="str">
        <f t="shared" si="1"/>
        <v>42500</v>
      </c>
      <c r="C55" s="86" t="str">
        <f t="shared" si="2"/>
        <v>62301</v>
      </c>
      <c r="D55" s="87" t="str">
        <f t="shared" si="3"/>
        <v>21030/42500/62301(2021)</v>
      </c>
      <c r="E55" s="88" t="str">
        <f t="shared" si="4"/>
        <v>6</v>
      </c>
      <c r="F55" s="89" t="s">
        <v>266</v>
      </c>
      <c r="G55" s="90"/>
      <c r="H55" s="91" t="s">
        <v>267</v>
      </c>
      <c r="I55" s="92" t="s">
        <v>268</v>
      </c>
      <c r="J55" s="92" t="s">
        <v>269</v>
      </c>
      <c r="K55" s="93" t="s">
        <v>268</v>
      </c>
      <c r="L55" s="93" t="s">
        <v>269</v>
      </c>
      <c r="M55" s="94">
        <v>0</v>
      </c>
      <c r="N55" s="95">
        <v>612334.12</v>
      </c>
      <c r="O55" s="95">
        <v>612334.12</v>
      </c>
      <c r="P55" s="96"/>
      <c r="Q55" s="97"/>
      <c r="R55" s="98">
        <f t="shared" si="8"/>
        <v>0</v>
      </c>
      <c r="S55" s="99"/>
      <c r="T55" s="100"/>
      <c r="U55" s="101"/>
      <c r="V55" s="102"/>
      <c r="W55" s="103"/>
      <c r="X55" s="103"/>
      <c r="Y55" s="105">
        <f t="shared" si="9"/>
        <v>0</v>
      </c>
      <c r="Z55" s="106"/>
      <c r="AA55" s="118"/>
      <c r="AB55" s="108"/>
      <c r="AC55" s="108"/>
      <c r="AD55" s="109"/>
      <c r="AE55" s="110"/>
      <c r="AF55" s="111"/>
      <c r="AG55" s="111"/>
      <c r="AH55" s="111"/>
      <c r="AI55" s="111"/>
      <c r="AJ55" s="112">
        <f t="shared" si="10"/>
        <v>0</v>
      </c>
      <c r="AK55" s="113">
        <f t="shared" si="5"/>
        <v>0</v>
      </c>
      <c r="AL55" s="114">
        <f t="shared" si="11"/>
        <v>0</v>
      </c>
      <c r="AM55" s="108"/>
      <c r="AN55" s="108">
        <f>ROUND(612334.12,2)</f>
        <v>612334.12</v>
      </c>
      <c r="AO55" s="108">
        <f t="shared" si="17"/>
        <v>0</v>
      </c>
      <c r="AP55" s="108">
        <f>ROUND(612334.11,2)</f>
        <v>612334.11</v>
      </c>
      <c r="AQ55" s="108">
        <f t="shared" si="19"/>
        <v>0</v>
      </c>
      <c r="AR55" s="108">
        <f>ROUND(612334.11,2)</f>
        <v>612334.11</v>
      </c>
      <c r="AS55" s="108">
        <f>ROUND(610633.41,2)</f>
        <v>610633.41</v>
      </c>
      <c r="AT55" s="108">
        <f>ROUND(1700.7,2)</f>
        <v>1700.7</v>
      </c>
      <c r="AU55" s="108">
        <f t="shared" si="20"/>
        <v>0</v>
      </c>
      <c r="AV55" s="108">
        <f>ROUND(1700.7,2)</f>
        <v>1700.7</v>
      </c>
      <c r="AW55" s="108">
        <f t="shared" si="15"/>
        <v>0</v>
      </c>
      <c r="AX55" s="108">
        <f>ROUND(1700.7,2)</f>
        <v>1700.7</v>
      </c>
      <c r="AY55" s="108">
        <f t="shared" si="7"/>
        <v>0</v>
      </c>
      <c r="AZ55" s="108">
        <f>ROUND(0.01,2)</f>
        <v>0.01</v>
      </c>
      <c r="BA55" s="108">
        <f>ROUND(610633.42,2)</f>
        <v>610633.42000000004</v>
      </c>
      <c r="BB55" s="115">
        <v>1.6330953434376645E-6</v>
      </c>
      <c r="BC55" s="115">
        <v>99.999998366904649</v>
      </c>
      <c r="BD55" s="115">
        <v>0.2777405250584436</v>
      </c>
      <c r="BE55" s="115">
        <v>100</v>
      </c>
      <c r="BF55" s="116"/>
      <c r="BG55" s="116"/>
    </row>
    <row r="56" spans="1:59" x14ac:dyDescent="0.25">
      <c r="A56" s="86" t="str">
        <f t="shared" si="0"/>
        <v>21030</v>
      </c>
      <c r="B56" s="86" t="str">
        <f t="shared" si="1"/>
        <v>42500</v>
      </c>
      <c r="C56" s="86" t="str">
        <f t="shared" si="2"/>
        <v>62302</v>
      </c>
      <c r="D56" s="87" t="str">
        <f t="shared" si="3"/>
        <v>21030/42500/62302()</v>
      </c>
      <c r="E56" s="88" t="str">
        <f t="shared" si="4"/>
        <v>6</v>
      </c>
      <c r="F56" s="89">
        <v>0</v>
      </c>
      <c r="G56" s="90"/>
      <c r="H56" s="91"/>
      <c r="I56" s="92" t="s">
        <v>39</v>
      </c>
      <c r="J56" s="92" t="s">
        <v>40</v>
      </c>
      <c r="K56" s="93" t="s">
        <v>39</v>
      </c>
      <c r="L56" s="93" t="s">
        <v>40</v>
      </c>
      <c r="M56" s="94">
        <v>321500</v>
      </c>
      <c r="N56" s="95">
        <v>-321500</v>
      </c>
      <c r="O56" s="95">
        <v>0</v>
      </c>
      <c r="P56" s="142">
        <v>50</v>
      </c>
      <c r="Q56" s="97">
        <v>10</v>
      </c>
      <c r="R56" s="98">
        <f t="shared" si="8"/>
        <v>-321490</v>
      </c>
      <c r="S56" s="99"/>
      <c r="T56" s="100"/>
      <c r="U56" s="101">
        <v>10</v>
      </c>
      <c r="V56" s="102">
        <v>10</v>
      </c>
      <c r="W56" s="103"/>
      <c r="X56" s="103"/>
      <c r="Y56" s="105">
        <f t="shared" si="9"/>
        <v>0</v>
      </c>
      <c r="Z56" s="106"/>
      <c r="AA56" s="118"/>
      <c r="AB56" s="108"/>
      <c r="AC56" s="108">
        <v>321450</v>
      </c>
      <c r="AD56" s="109"/>
      <c r="AE56" s="110"/>
      <c r="AF56" s="111"/>
      <c r="AG56" s="111"/>
      <c r="AH56" s="111"/>
      <c r="AI56" s="111"/>
      <c r="AJ56" s="112">
        <f t="shared" si="10"/>
        <v>10</v>
      </c>
      <c r="AK56" s="113">
        <f t="shared" si="5"/>
        <v>10</v>
      </c>
      <c r="AL56" s="114">
        <f t="shared" si="11"/>
        <v>0</v>
      </c>
      <c r="AM56" s="108"/>
      <c r="AN56" s="108">
        <f>ROUND(0,2)</f>
        <v>0</v>
      </c>
      <c r="AO56" s="108">
        <f t="shared" si="17"/>
        <v>0</v>
      </c>
      <c r="AP56" s="108">
        <f>ROUND(0,2)</f>
        <v>0</v>
      </c>
      <c r="AQ56" s="108">
        <f t="shared" si="19"/>
        <v>0</v>
      </c>
      <c r="AR56" s="108">
        <f>ROUND(0,2)</f>
        <v>0</v>
      </c>
      <c r="AS56" s="108">
        <f>ROUND(0,2)</f>
        <v>0</v>
      </c>
      <c r="AT56" s="108">
        <f>ROUND(0,2)</f>
        <v>0</v>
      </c>
      <c r="AU56" s="108">
        <f t="shared" si="20"/>
        <v>0</v>
      </c>
      <c r="AV56" s="108">
        <f t="shared" si="20"/>
        <v>0</v>
      </c>
      <c r="AW56" s="108">
        <f t="shared" si="15"/>
        <v>0</v>
      </c>
      <c r="AX56" s="108">
        <f t="shared" si="15"/>
        <v>0</v>
      </c>
      <c r="AY56" s="108">
        <f t="shared" si="7"/>
        <v>0</v>
      </c>
      <c r="AZ56" s="108">
        <f>ROUND(0,2)</f>
        <v>0</v>
      </c>
      <c r="BA56" s="108">
        <f>ROUND(0,2)</f>
        <v>0</v>
      </c>
      <c r="BB56" s="115">
        <v>0</v>
      </c>
      <c r="BC56" s="115">
        <v>0</v>
      </c>
      <c r="BD56" s="115">
        <v>0</v>
      </c>
      <c r="BE56" s="115">
        <v>0</v>
      </c>
      <c r="BF56" s="116"/>
      <c r="BG56" s="116"/>
    </row>
    <row r="57" spans="1:59" x14ac:dyDescent="0.25">
      <c r="A57" s="86" t="str">
        <f t="shared" si="0"/>
        <v>21030</v>
      </c>
      <c r="B57" s="86" t="str">
        <f t="shared" si="1"/>
        <v>42500</v>
      </c>
      <c r="C57" s="86" t="str">
        <f t="shared" si="2"/>
        <v>62302</v>
      </c>
      <c r="D57" s="87" t="str">
        <f t="shared" si="3"/>
        <v>21030/42500/62302(2023)</v>
      </c>
      <c r="E57" s="88" t="str">
        <f t="shared" si="4"/>
        <v>6</v>
      </c>
      <c r="F57" s="89" t="s">
        <v>270</v>
      </c>
      <c r="G57" s="90"/>
      <c r="H57" s="91" t="s">
        <v>172</v>
      </c>
      <c r="I57" s="92" t="s">
        <v>39</v>
      </c>
      <c r="J57" s="92" t="s">
        <v>40</v>
      </c>
      <c r="K57" s="93" t="s">
        <v>39</v>
      </c>
      <c r="L57" s="93" t="s">
        <v>40</v>
      </c>
      <c r="M57" s="94">
        <v>0</v>
      </c>
      <c r="N57" s="95">
        <v>100000</v>
      </c>
      <c r="O57" s="95">
        <v>100000</v>
      </c>
      <c r="P57" s="96"/>
      <c r="Q57" s="97"/>
      <c r="R57" s="98">
        <f t="shared" si="8"/>
        <v>0</v>
      </c>
      <c r="S57" s="99"/>
      <c r="T57" s="100"/>
      <c r="U57" s="101"/>
      <c r="V57" s="102"/>
      <c r="W57" s="103"/>
      <c r="X57" s="103"/>
      <c r="Y57" s="105">
        <f t="shared" si="9"/>
        <v>0</v>
      </c>
      <c r="Z57" s="106"/>
      <c r="AA57" s="118"/>
      <c r="AB57" s="108"/>
      <c r="AC57" s="108"/>
      <c r="AD57" s="109"/>
      <c r="AE57" s="110"/>
      <c r="AF57" s="111"/>
      <c r="AG57" s="111"/>
      <c r="AH57" s="111"/>
      <c r="AI57" s="111"/>
      <c r="AJ57" s="112">
        <f t="shared" si="10"/>
        <v>0</v>
      </c>
      <c r="AK57" s="113">
        <f t="shared" si="5"/>
        <v>0</v>
      </c>
      <c r="AL57" s="114">
        <f t="shared" si="11"/>
        <v>0</v>
      </c>
      <c r="AM57" s="108"/>
      <c r="AN57" s="108">
        <f>ROUND(100000,2)</f>
        <v>100000</v>
      </c>
      <c r="AO57" s="108">
        <f t="shared" si="17"/>
        <v>0</v>
      </c>
      <c r="AP57" s="108">
        <f>ROUND(2617.23,2)</f>
        <v>2617.23</v>
      </c>
      <c r="AQ57" s="108">
        <f t="shared" si="19"/>
        <v>0</v>
      </c>
      <c r="AR57" s="108">
        <f>ROUND(2617.23,2)</f>
        <v>2617.23</v>
      </c>
      <c r="AS57" s="108">
        <f>ROUND(2617.23,2)</f>
        <v>2617.23</v>
      </c>
      <c r="AT57" s="108">
        <f t="shared" ref="AT57:AX74" si="21">ROUND(0,2)</f>
        <v>0</v>
      </c>
      <c r="AU57" s="108">
        <f t="shared" si="20"/>
        <v>0</v>
      </c>
      <c r="AV57" s="108">
        <f t="shared" si="20"/>
        <v>0</v>
      </c>
      <c r="AW57" s="108">
        <f t="shared" si="15"/>
        <v>0</v>
      </c>
      <c r="AX57" s="108">
        <f t="shared" si="15"/>
        <v>0</v>
      </c>
      <c r="AY57" s="108">
        <f t="shared" si="7"/>
        <v>0</v>
      </c>
      <c r="AZ57" s="108">
        <f>ROUND(97382.77,2)</f>
        <v>97382.77</v>
      </c>
      <c r="BA57" s="108">
        <f>ROUND(100000,2)</f>
        <v>100000</v>
      </c>
      <c r="BB57" s="115">
        <v>97.382770000000008</v>
      </c>
      <c r="BC57" s="115">
        <v>2.6172299999999997</v>
      </c>
      <c r="BD57" s="115">
        <v>0</v>
      </c>
      <c r="BE57" s="115">
        <v>0</v>
      </c>
      <c r="BF57" s="116"/>
      <c r="BG57" s="116"/>
    </row>
    <row r="58" spans="1:59" x14ac:dyDescent="0.25">
      <c r="A58" s="86" t="str">
        <f t="shared" si="0"/>
        <v>21030</v>
      </c>
      <c r="B58" s="86" t="str">
        <f t="shared" si="1"/>
        <v>42500</v>
      </c>
      <c r="C58" s="86" t="str">
        <f t="shared" si="2"/>
        <v>62303</v>
      </c>
      <c r="D58" s="87" t="str">
        <f t="shared" si="3"/>
        <v>21030/42500/62303()</v>
      </c>
      <c r="E58" s="88" t="str">
        <f t="shared" si="4"/>
        <v>6</v>
      </c>
      <c r="F58" s="89" t="s">
        <v>41</v>
      </c>
      <c r="G58" s="89" t="s">
        <v>41</v>
      </c>
      <c r="H58" s="91"/>
      <c r="I58" s="148" t="s">
        <v>42</v>
      </c>
      <c r="J58" s="148" t="s">
        <v>43</v>
      </c>
      <c r="K58" s="149" t="s">
        <v>42</v>
      </c>
      <c r="L58" s="149" t="s">
        <v>43</v>
      </c>
      <c r="M58" s="94">
        <v>0</v>
      </c>
      <c r="N58" s="95">
        <v>406638.2</v>
      </c>
      <c r="O58" s="95">
        <v>406638.2</v>
      </c>
      <c r="P58" s="142">
        <v>14865</v>
      </c>
      <c r="Q58" s="97">
        <f>P58</f>
        <v>14865</v>
      </c>
      <c r="R58" s="98">
        <f t="shared" si="8"/>
        <v>14865</v>
      </c>
      <c r="S58" s="99"/>
      <c r="T58" s="100"/>
      <c r="U58" s="101">
        <v>14865</v>
      </c>
      <c r="V58" s="102">
        <f>P58</f>
        <v>14865</v>
      </c>
      <c r="W58" s="103"/>
      <c r="X58" s="103"/>
      <c r="Y58" s="105">
        <f t="shared" si="9"/>
        <v>0</v>
      </c>
      <c r="Z58" s="106" t="s">
        <v>271</v>
      </c>
      <c r="AA58" s="150">
        <v>14864.26</v>
      </c>
      <c r="AB58" s="138">
        <f>M58-AA58</f>
        <v>-14864.26</v>
      </c>
      <c r="AC58" s="108"/>
      <c r="AD58" s="109"/>
      <c r="AE58" s="110"/>
      <c r="AF58" s="111"/>
      <c r="AG58" s="111"/>
      <c r="AH58" s="111"/>
      <c r="AI58" s="111"/>
      <c r="AJ58" s="112">
        <f t="shared" si="10"/>
        <v>14865</v>
      </c>
      <c r="AK58" s="113">
        <f t="shared" si="5"/>
        <v>14865</v>
      </c>
      <c r="AL58" s="114">
        <f t="shared" si="11"/>
        <v>0</v>
      </c>
      <c r="AM58" s="108"/>
      <c r="AN58" s="108">
        <f>ROUND(0,2)</f>
        <v>0</v>
      </c>
      <c r="AO58" s="108">
        <f t="shared" si="17"/>
        <v>0</v>
      </c>
      <c r="AP58" s="108">
        <f>ROUND(0,2)</f>
        <v>0</v>
      </c>
      <c r="AQ58" s="108">
        <f t="shared" si="19"/>
        <v>0</v>
      </c>
      <c r="AR58" s="108">
        <f t="shared" si="19"/>
        <v>0</v>
      </c>
      <c r="AS58" s="108">
        <f t="shared" si="19"/>
        <v>0</v>
      </c>
      <c r="AT58" s="108">
        <f t="shared" si="21"/>
        <v>0</v>
      </c>
      <c r="AU58" s="108">
        <f t="shared" si="20"/>
        <v>0</v>
      </c>
      <c r="AV58" s="108">
        <f t="shared" si="20"/>
        <v>0</v>
      </c>
      <c r="AW58" s="108">
        <f t="shared" si="15"/>
        <v>0</v>
      </c>
      <c r="AX58" s="108">
        <f t="shared" si="15"/>
        <v>0</v>
      </c>
      <c r="AY58" s="108">
        <f t="shared" si="7"/>
        <v>0</v>
      </c>
      <c r="AZ58" s="108">
        <f>ROUND(406638.2,2)</f>
        <v>406638.2</v>
      </c>
      <c r="BA58" s="108">
        <f>ROUND(406638.2,2)</f>
        <v>406638.2</v>
      </c>
      <c r="BB58" s="115">
        <v>100</v>
      </c>
      <c r="BC58" s="115">
        <v>0</v>
      </c>
      <c r="BD58" s="115">
        <v>0</v>
      </c>
      <c r="BE58" s="115">
        <v>0</v>
      </c>
      <c r="BF58" s="116"/>
      <c r="BG58" s="116"/>
    </row>
    <row r="59" spans="1:59" x14ac:dyDescent="0.25">
      <c r="A59" s="86" t="str">
        <f t="shared" si="0"/>
        <v>21030</v>
      </c>
      <c r="B59" s="86" t="str">
        <f t="shared" si="1"/>
        <v>42500</v>
      </c>
      <c r="C59" s="86" t="str">
        <f t="shared" si="2"/>
        <v>62304</v>
      </c>
      <c r="D59" s="87" t="str">
        <f t="shared" si="3"/>
        <v>21030/42500/62304()</v>
      </c>
      <c r="E59" s="88" t="str">
        <f t="shared" si="4"/>
        <v>6</v>
      </c>
      <c r="F59" s="89" t="s">
        <v>41</v>
      </c>
      <c r="G59" s="89" t="s">
        <v>41</v>
      </c>
      <c r="H59" s="91"/>
      <c r="I59" s="148" t="s">
        <v>44</v>
      </c>
      <c r="J59" s="148" t="s">
        <v>45</v>
      </c>
      <c r="K59" s="149" t="s">
        <v>44</v>
      </c>
      <c r="L59" s="149" t="s">
        <v>45</v>
      </c>
      <c r="M59" s="94">
        <v>0</v>
      </c>
      <c r="N59" s="95">
        <v>226504.25</v>
      </c>
      <c r="O59" s="95">
        <v>226504.25</v>
      </c>
      <c r="P59" s="142">
        <v>8280</v>
      </c>
      <c r="Q59" s="97">
        <f t="shared" ref="Q59:Q61" si="22">P59</f>
        <v>8280</v>
      </c>
      <c r="R59" s="98">
        <f t="shared" si="8"/>
        <v>8280</v>
      </c>
      <c r="S59" s="99"/>
      <c r="T59" s="100"/>
      <c r="U59" s="101">
        <v>8280</v>
      </c>
      <c r="V59" s="102">
        <f t="shared" ref="V59:V61" si="23">P59</f>
        <v>8280</v>
      </c>
      <c r="W59" s="103"/>
      <c r="X59" s="103"/>
      <c r="Y59" s="105">
        <f t="shared" si="9"/>
        <v>0</v>
      </c>
      <c r="Z59" s="106" t="s">
        <v>271</v>
      </c>
      <c r="AA59" s="150">
        <v>8279.69</v>
      </c>
      <c r="AB59" s="138">
        <f>M59-AA59</f>
        <v>-8279.69</v>
      </c>
      <c r="AC59" s="108"/>
      <c r="AD59" s="109"/>
      <c r="AE59" s="110"/>
      <c r="AF59" s="111"/>
      <c r="AG59" s="111"/>
      <c r="AH59" s="111"/>
      <c r="AI59" s="111"/>
      <c r="AJ59" s="112">
        <f t="shared" si="10"/>
        <v>8280</v>
      </c>
      <c r="AK59" s="113">
        <f t="shared" si="5"/>
        <v>8280</v>
      </c>
      <c r="AL59" s="114">
        <f t="shared" si="11"/>
        <v>0</v>
      </c>
      <c r="AM59" s="108"/>
      <c r="AN59" s="108">
        <f>ROUND(0,2)</f>
        <v>0</v>
      </c>
      <c r="AO59" s="108">
        <f t="shared" si="17"/>
        <v>0</v>
      </c>
      <c r="AP59" s="108">
        <f>ROUND(0,2)</f>
        <v>0</v>
      </c>
      <c r="AQ59" s="108">
        <f t="shared" si="19"/>
        <v>0</v>
      </c>
      <c r="AR59" s="108">
        <f t="shared" si="19"/>
        <v>0</v>
      </c>
      <c r="AS59" s="108">
        <f t="shared" si="19"/>
        <v>0</v>
      </c>
      <c r="AT59" s="108">
        <f t="shared" si="21"/>
        <v>0</v>
      </c>
      <c r="AU59" s="108">
        <f t="shared" si="20"/>
        <v>0</v>
      </c>
      <c r="AV59" s="108">
        <f t="shared" si="20"/>
        <v>0</v>
      </c>
      <c r="AW59" s="108">
        <f t="shared" si="15"/>
        <v>0</v>
      </c>
      <c r="AX59" s="108">
        <f t="shared" si="15"/>
        <v>0</v>
      </c>
      <c r="AY59" s="108">
        <f t="shared" si="7"/>
        <v>0</v>
      </c>
      <c r="AZ59" s="108">
        <f>ROUND(226504.25,2)</f>
        <v>226504.25</v>
      </c>
      <c r="BA59" s="108">
        <f>ROUND(226504.25,2)</f>
        <v>226504.25</v>
      </c>
      <c r="BB59" s="115">
        <v>100</v>
      </c>
      <c r="BC59" s="115">
        <v>0</v>
      </c>
      <c r="BD59" s="115">
        <v>0</v>
      </c>
      <c r="BE59" s="115">
        <v>0</v>
      </c>
      <c r="BF59" s="116"/>
      <c r="BG59" s="116"/>
    </row>
    <row r="60" spans="1:59" x14ac:dyDescent="0.25">
      <c r="A60" s="86" t="str">
        <f t="shared" si="0"/>
        <v>21030</v>
      </c>
      <c r="B60" s="86" t="str">
        <f t="shared" si="1"/>
        <v>42500</v>
      </c>
      <c r="C60" s="86" t="str">
        <f t="shared" si="2"/>
        <v>62305</v>
      </c>
      <c r="D60" s="87" t="str">
        <f t="shared" si="3"/>
        <v>21030/42500/62305()</v>
      </c>
      <c r="E60" s="88" t="str">
        <f t="shared" si="4"/>
        <v>6</v>
      </c>
      <c r="F60" s="89" t="s">
        <v>41</v>
      </c>
      <c r="G60" s="89" t="s">
        <v>41</v>
      </c>
      <c r="H60" s="91"/>
      <c r="I60" s="148" t="s">
        <v>46</v>
      </c>
      <c r="J60" s="148" t="s">
        <v>47</v>
      </c>
      <c r="K60" s="149" t="s">
        <v>46</v>
      </c>
      <c r="L60" s="149" t="s">
        <v>47</v>
      </c>
      <c r="M60" s="94">
        <v>0</v>
      </c>
      <c r="N60" s="95">
        <v>382370.83</v>
      </c>
      <c r="O60" s="95">
        <v>382370.83</v>
      </c>
      <c r="P60" s="142">
        <v>13978</v>
      </c>
      <c r="Q60" s="97">
        <f t="shared" si="22"/>
        <v>13978</v>
      </c>
      <c r="R60" s="98">
        <f t="shared" si="8"/>
        <v>13978</v>
      </c>
      <c r="S60" s="99"/>
      <c r="T60" s="100"/>
      <c r="U60" s="101">
        <v>13978</v>
      </c>
      <c r="V60" s="102">
        <f t="shared" si="23"/>
        <v>13978</v>
      </c>
      <c r="W60" s="103"/>
      <c r="X60" s="103"/>
      <c r="Y60" s="105">
        <f t="shared" si="9"/>
        <v>0</v>
      </c>
      <c r="Z60" s="106" t="s">
        <v>271</v>
      </c>
      <c r="AA60" s="150">
        <v>13977.18</v>
      </c>
      <c r="AB60" s="138">
        <f>M60-AA60</f>
        <v>-13977.18</v>
      </c>
      <c r="AC60" s="108"/>
      <c r="AD60" s="109"/>
      <c r="AE60" s="110"/>
      <c r="AF60" s="111"/>
      <c r="AG60" s="111"/>
      <c r="AH60" s="111"/>
      <c r="AI60" s="111"/>
      <c r="AJ60" s="112">
        <f t="shared" si="10"/>
        <v>13978</v>
      </c>
      <c r="AK60" s="113">
        <f t="shared" si="5"/>
        <v>13978</v>
      </c>
      <c r="AL60" s="114">
        <f t="shared" si="11"/>
        <v>0</v>
      </c>
      <c r="AM60" s="108"/>
      <c r="AN60" s="108">
        <f>ROUND(0,2)</f>
        <v>0</v>
      </c>
      <c r="AO60" s="108">
        <f t="shared" si="17"/>
        <v>0</v>
      </c>
      <c r="AP60" s="108">
        <f>ROUND(0,2)</f>
        <v>0</v>
      </c>
      <c r="AQ60" s="108">
        <f t="shared" si="19"/>
        <v>0</v>
      </c>
      <c r="AR60" s="108">
        <f t="shared" si="19"/>
        <v>0</v>
      </c>
      <c r="AS60" s="108">
        <f t="shared" si="19"/>
        <v>0</v>
      </c>
      <c r="AT60" s="108">
        <f t="shared" si="21"/>
        <v>0</v>
      </c>
      <c r="AU60" s="108">
        <f t="shared" si="20"/>
        <v>0</v>
      </c>
      <c r="AV60" s="108">
        <f t="shared" si="20"/>
        <v>0</v>
      </c>
      <c r="AW60" s="108">
        <f t="shared" si="15"/>
        <v>0</v>
      </c>
      <c r="AX60" s="108">
        <f t="shared" si="15"/>
        <v>0</v>
      </c>
      <c r="AY60" s="108">
        <f t="shared" si="7"/>
        <v>0</v>
      </c>
      <c r="AZ60" s="108">
        <f>ROUND(382370.83,2)</f>
        <v>382370.83</v>
      </c>
      <c r="BA60" s="108">
        <f>ROUND(382370.83,2)</f>
        <v>382370.83</v>
      </c>
      <c r="BB60" s="115">
        <v>100</v>
      </c>
      <c r="BC60" s="115">
        <v>0</v>
      </c>
      <c r="BD60" s="115">
        <v>0</v>
      </c>
      <c r="BE60" s="115">
        <v>0</v>
      </c>
      <c r="BF60" s="116"/>
      <c r="BG60" s="116"/>
    </row>
    <row r="61" spans="1:59" x14ac:dyDescent="0.25">
      <c r="A61" s="86" t="str">
        <f t="shared" si="0"/>
        <v>21030</v>
      </c>
      <c r="B61" s="86" t="str">
        <f t="shared" si="1"/>
        <v>42500</v>
      </c>
      <c r="C61" s="86" t="str">
        <f t="shared" si="2"/>
        <v>62306</v>
      </c>
      <c r="D61" s="87" t="str">
        <f t="shared" si="3"/>
        <v>21030/42500/62306()</v>
      </c>
      <c r="E61" s="88" t="str">
        <f t="shared" si="4"/>
        <v>6</v>
      </c>
      <c r="F61" s="89" t="s">
        <v>41</v>
      </c>
      <c r="G61" s="89" t="s">
        <v>41</v>
      </c>
      <c r="H61" s="91"/>
      <c r="I61" s="148" t="s">
        <v>48</v>
      </c>
      <c r="J61" s="148" t="s">
        <v>49</v>
      </c>
      <c r="K61" s="149" t="s">
        <v>48</v>
      </c>
      <c r="L61" s="149" t="s">
        <v>49</v>
      </c>
      <c r="M61" s="94">
        <v>0</v>
      </c>
      <c r="N61" s="95">
        <v>252065.06</v>
      </c>
      <c r="O61" s="95">
        <v>252065.06</v>
      </c>
      <c r="P61" s="142">
        <v>9215</v>
      </c>
      <c r="Q61" s="97">
        <f t="shared" si="22"/>
        <v>9215</v>
      </c>
      <c r="R61" s="98">
        <f t="shared" si="8"/>
        <v>9215</v>
      </c>
      <c r="S61" s="99"/>
      <c r="T61" s="100"/>
      <c r="U61" s="101">
        <v>9215</v>
      </c>
      <c r="V61" s="102">
        <f t="shared" si="23"/>
        <v>9215</v>
      </c>
      <c r="W61" s="103"/>
      <c r="X61" s="103"/>
      <c r="Y61" s="105">
        <f t="shared" si="9"/>
        <v>0</v>
      </c>
      <c r="Z61" s="106" t="s">
        <v>271</v>
      </c>
      <c r="AA61" s="150">
        <v>9214.14</v>
      </c>
      <c r="AB61" s="138">
        <f>M61-AA61</f>
        <v>-9214.14</v>
      </c>
      <c r="AC61" s="108"/>
      <c r="AD61" s="109"/>
      <c r="AE61" s="110"/>
      <c r="AF61" s="111"/>
      <c r="AG61" s="111"/>
      <c r="AH61" s="111"/>
      <c r="AI61" s="111"/>
      <c r="AJ61" s="112">
        <f t="shared" si="10"/>
        <v>9215</v>
      </c>
      <c r="AK61" s="113">
        <f t="shared" si="5"/>
        <v>9215</v>
      </c>
      <c r="AL61" s="114">
        <f t="shared" si="11"/>
        <v>0</v>
      </c>
      <c r="AM61" s="108"/>
      <c r="AN61" s="108">
        <f>ROUND(0,2)</f>
        <v>0</v>
      </c>
      <c r="AO61" s="108">
        <f t="shared" si="17"/>
        <v>0</v>
      </c>
      <c r="AP61" s="108">
        <f>ROUND(0,2)</f>
        <v>0</v>
      </c>
      <c r="AQ61" s="108">
        <f t="shared" si="19"/>
        <v>0</v>
      </c>
      <c r="AR61" s="108">
        <f t="shared" si="19"/>
        <v>0</v>
      </c>
      <c r="AS61" s="108">
        <f t="shared" si="19"/>
        <v>0</v>
      </c>
      <c r="AT61" s="108">
        <f t="shared" si="21"/>
        <v>0</v>
      </c>
      <c r="AU61" s="108">
        <f t="shared" si="20"/>
        <v>0</v>
      </c>
      <c r="AV61" s="108">
        <f t="shared" si="20"/>
        <v>0</v>
      </c>
      <c r="AW61" s="108">
        <f t="shared" si="15"/>
        <v>0</v>
      </c>
      <c r="AX61" s="108">
        <f t="shared" si="15"/>
        <v>0</v>
      </c>
      <c r="AY61" s="108">
        <f t="shared" si="7"/>
        <v>0</v>
      </c>
      <c r="AZ61" s="108">
        <f>ROUND(252065.06,2)</f>
        <v>252065.06</v>
      </c>
      <c r="BA61" s="108">
        <f>ROUND(252065.06,2)</f>
        <v>252065.06</v>
      </c>
      <c r="BB61" s="115">
        <v>100</v>
      </c>
      <c r="BC61" s="115">
        <v>0</v>
      </c>
      <c r="BD61" s="115">
        <v>0</v>
      </c>
      <c r="BE61" s="115">
        <v>0</v>
      </c>
      <c r="BF61" s="116"/>
      <c r="BG61" s="116"/>
    </row>
    <row r="62" spans="1:59" x14ac:dyDescent="0.25">
      <c r="A62" s="86" t="str">
        <f t="shared" si="0"/>
        <v>21030</v>
      </c>
      <c r="B62" s="86" t="str">
        <f t="shared" si="1"/>
        <v>92000</v>
      </c>
      <c r="C62" s="86" t="str">
        <f t="shared" si="2"/>
        <v>62500</v>
      </c>
      <c r="D62" s="87" t="str">
        <f t="shared" si="3"/>
        <v>21030/92000/62500(2024)</v>
      </c>
      <c r="E62" s="88" t="str">
        <f t="shared" si="4"/>
        <v>6</v>
      </c>
      <c r="F62" s="89" t="s">
        <v>50</v>
      </c>
      <c r="G62" s="89" t="s">
        <v>50</v>
      </c>
      <c r="H62" s="91" t="s">
        <v>170</v>
      </c>
      <c r="I62" s="92" t="s">
        <v>51</v>
      </c>
      <c r="J62" s="92" t="s">
        <v>52</v>
      </c>
      <c r="K62" s="93" t="s">
        <v>51</v>
      </c>
      <c r="L62" s="149" t="s">
        <v>52</v>
      </c>
      <c r="M62" s="94">
        <v>0</v>
      </c>
      <c r="N62" s="95">
        <v>400000</v>
      </c>
      <c r="O62" s="95">
        <v>400000</v>
      </c>
      <c r="P62" s="96"/>
      <c r="Q62" s="97">
        <f>S62</f>
        <v>24575</v>
      </c>
      <c r="R62" s="98">
        <f t="shared" si="8"/>
        <v>24575</v>
      </c>
      <c r="S62" s="99">
        <v>24575</v>
      </c>
      <c r="T62" s="100">
        <f>S62-P62</f>
        <v>24575</v>
      </c>
      <c r="U62" s="101">
        <v>24575</v>
      </c>
      <c r="V62" s="102">
        <f>S62</f>
        <v>24575</v>
      </c>
      <c r="W62" s="103"/>
      <c r="X62" s="103"/>
      <c r="Y62" s="105">
        <f t="shared" si="9"/>
        <v>0</v>
      </c>
      <c r="Z62" s="122" t="s">
        <v>272</v>
      </c>
      <c r="AA62" s="118"/>
      <c r="AB62" s="108"/>
      <c r="AC62" s="108"/>
      <c r="AD62" s="109"/>
      <c r="AE62" s="110"/>
      <c r="AF62" s="111"/>
      <c r="AG62" s="111"/>
      <c r="AH62" s="111"/>
      <c r="AI62" s="111"/>
      <c r="AJ62" s="112">
        <f t="shared" si="10"/>
        <v>24575</v>
      </c>
      <c r="AK62" s="113">
        <f t="shared" si="5"/>
        <v>24575</v>
      </c>
      <c r="AL62" s="114">
        <f t="shared" si="11"/>
        <v>0</v>
      </c>
      <c r="AM62" s="108"/>
      <c r="AN62" s="108">
        <f>ROUND(400000,2)</f>
        <v>400000</v>
      </c>
      <c r="AO62" s="108">
        <f t="shared" si="17"/>
        <v>0</v>
      </c>
      <c r="AP62" s="108">
        <f>ROUND(289602.26,2)</f>
        <v>289602.26</v>
      </c>
      <c r="AQ62" s="108">
        <f t="shared" si="19"/>
        <v>0</v>
      </c>
      <c r="AR62" s="108">
        <f>ROUND(289602.26,2)</f>
        <v>289602.26</v>
      </c>
      <c r="AS62" s="108">
        <f>ROUND(289602.26,2)</f>
        <v>289602.26</v>
      </c>
      <c r="AT62" s="108">
        <f t="shared" si="21"/>
        <v>0</v>
      </c>
      <c r="AU62" s="108">
        <f t="shared" si="21"/>
        <v>0</v>
      </c>
      <c r="AV62" s="108">
        <f t="shared" si="21"/>
        <v>0</v>
      </c>
      <c r="AW62" s="108">
        <f t="shared" si="21"/>
        <v>0</v>
      </c>
      <c r="AX62" s="108">
        <f t="shared" si="21"/>
        <v>0</v>
      </c>
      <c r="AY62" s="108">
        <f t="shared" si="7"/>
        <v>0</v>
      </c>
      <c r="AZ62" s="108">
        <f>ROUND(110397.74,2)</f>
        <v>110397.74</v>
      </c>
      <c r="BA62" s="108">
        <f>ROUND(400000,2)</f>
        <v>400000</v>
      </c>
      <c r="BB62" s="115">
        <v>27.599435</v>
      </c>
      <c r="BC62" s="115">
        <v>72.400565</v>
      </c>
      <c r="BD62" s="115">
        <v>0</v>
      </c>
      <c r="BE62" s="115">
        <v>0</v>
      </c>
      <c r="BF62" s="116"/>
      <c r="BG62" s="116"/>
    </row>
    <row r="63" spans="1:59" x14ac:dyDescent="0.25">
      <c r="A63" s="86" t="str">
        <f t="shared" si="0"/>
        <v>21030</v>
      </c>
      <c r="B63" s="86" t="str">
        <f t="shared" si="1"/>
        <v>32600</v>
      </c>
      <c r="C63" s="86" t="str">
        <f t="shared" si="2"/>
        <v>63200</v>
      </c>
      <c r="D63" s="87" t="str">
        <f t="shared" si="3"/>
        <v>21030/32600/63200(2023)</v>
      </c>
      <c r="E63" s="88" t="str">
        <f t="shared" si="4"/>
        <v>6</v>
      </c>
      <c r="F63" s="89" t="s">
        <v>273</v>
      </c>
      <c r="G63" s="90"/>
      <c r="H63" s="91" t="s">
        <v>172</v>
      </c>
      <c r="I63" s="92" t="s">
        <v>274</v>
      </c>
      <c r="J63" s="92" t="s">
        <v>275</v>
      </c>
      <c r="K63" s="93" t="s">
        <v>274</v>
      </c>
      <c r="L63" s="93" t="s">
        <v>275</v>
      </c>
      <c r="M63" s="94">
        <v>0</v>
      </c>
      <c r="N63" s="95">
        <v>2080159.18</v>
      </c>
      <c r="O63" s="95">
        <v>2080159.18</v>
      </c>
      <c r="P63" s="96"/>
      <c r="Q63" s="97"/>
      <c r="R63" s="98">
        <f t="shared" si="8"/>
        <v>0</v>
      </c>
      <c r="S63" s="99"/>
      <c r="T63" s="100"/>
      <c r="U63" s="101"/>
      <c r="V63" s="102"/>
      <c r="W63" s="103"/>
      <c r="X63" s="103"/>
      <c r="Y63" s="105">
        <f t="shared" si="9"/>
        <v>0</v>
      </c>
      <c r="Z63" s="106"/>
      <c r="AA63" s="118"/>
      <c r="AB63" s="108"/>
      <c r="AC63" s="108"/>
      <c r="AD63" s="109"/>
      <c r="AE63" s="110"/>
      <c r="AF63" s="111"/>
      <c r="AG63" s="111"/>
      <c r="AH63" s="111"/>
      <c r="AI63" s="111"/>
      <c r="AJ63" s="112">
        <f t="shared" si="10"/>
        <v>0</v>
      </c>
      <c r="AK63" s="113">
        <f t="shared" si="5"/>
        <v>0</v>
      </c>
      <c r="AL63" s="114">
        <f t="shared" si="11"/>
        <v>0</v>
      </c>
      <c r="AM63" s="108"/>
      <c r="AN63" s="108">
        <f>ROUND(2080159.18,2)</f>
        <v>2080159.18</v>
      </c>
      <c r="AO63" s="108">
        <f t="shared" si="17"/>
        <v>0</v>
      </c>
      <c r="AP63" s="108">
        <f>ROUND(2314001.11,2)</f>
        <v>2314001.11</v>
      </c>
      <c r="AQ63" s="108">
        <f t="shared" si="19"/>
        <v>0</v>
      </c>
      <c r="AR63" s="108">
        <f>ROUND(2314001.11,2)</f>
        <v>2314001.11</v>
      </c>
      <c r="AS63" s="108">
        <f>ROUND(1597733.08,2)</f>
        <v>1597733.08</v>
      </c>
      <c r="AT63" s="108">
        <f>ROUND(716268.03,2)</f>
        <v>716268.03</v>
      </c>
      <c r="AU63" s="108">
        <f>ROUND(114347.71,2)</f>
        <v>114347.71</v>
      </c>
      <c r="AV63" s="108">
        <f>ROUND(601920.32,2)</f>
        <v>601920.31999999995</v>
      </c>
      <c r="AW63" s="108">
        <f t="shared" si="21"/>
        <v>0</v>
      </c>
      <c r="AX63" s="108">
        <f>ROUND(601920.32,2)</f>
        <v>601920.31999999995</v>
      </c>
      <c r="AY63" s="108">
        <f t="shared" si="7"/>
        <v>0</v>
      </c>
      <c r="AZ63" s="108">
        <f>ROUND(-233841.93,2)</f>
        <v>-233841.93</v>
      </c>
      <c r="BA63" s="108">
        <f>ROUND(1363891.15,2)</f>
        <v>1363891.15</v>
      </c>
      <c r="BB63" s="115">
        <v>-11.241540178670364</v>
      </c>
      <c r="BC63" s="115">
        <v>111.24154017867036</v>
      </c>
      <c r="BD63" s="115">
        <v>34.433327837920558</v>
      </c>
      <c r="BE63" s="115">
        <v>84.035625602332118</v>
      </c>
      <c r="BF63" s="116"/>
      <c r="BG63" s="116"/>
    </row>
    <row r="64" spans="1:59" x14ac:dyDescent="0.25">
      <c r="A64" s="86" t="str">
        <f t="shared" si="0"/>
        <v>21030</v>
      </c>
      <c r="B64" s="86" t="str">
        <f t="shared" si="1"/>
        <v>32600</v>
      </c>
      <c r="C64" s="86" t="str">
        <f t="shared" si="2"/>
        <v>63200</v>
      </c>
      <c r="D64" s="87" t="str">
        <f t="shared" si="3"/>
        <v>21030/32600/63200()</v>
      </c>
      <c r="E64" s="88" t="str">
        <f t="shared" si="4"/>
        <v>6</v>
      </c>
      <c r="F64" s="89" t="s">
        <v>273</v>
      </c>
      <c r="G64" s="90"/>
      <c r="H64" s="91"/>
      <c r="I64" s="92" t="s">
        <v>274</v>
      </c>
      <c r="J64" s="92" t="s">
        <v>275</v>
      </c>
      <c r="K64" s="93" t="s">
        <v>274</v>
      </c>
      <c r="L64" s="93" t="s">
        <v>275</v>
      </c>
      <c r="M64" s="94">
        <v>442000</v>
      </c>
      <c r="N64" s="95">
        <v>0</v>
      </c>
      <c r="O64" s="95">
        <v>442000</v>
      </c>
      <c r="P64" s="142">
        <v>0</v>
      </c>
      <c r="Q64" s="97">
        <f>S64</f>
        <v>0</v>
      </c>
      <c r="R64" s="98">
        <f t="shared" si="8"/>
        <v>-442000</v>
      </c>
      <c r="S64" s="151">
        <v>0</v>
      </c>
      <c r="T64" s="100">
        <f>S64-P64</f>
        <v>0</v>
      </c>
      <c r="U64" s="101"/>
      <c r="V64" s="152">
        <f>S64</f>
        <v>0</v>
      </c>
      <c r="W64" s="103"/>
      <c r="X64" s="103"/>
      <c r="Y64" s="105">
        <f t="shared" si="9"/>
        <v>0</v>
      </c>
      <c r="Z64" s="141" t="s">
        <v>276</v>
      </c>
      <c r="AA64" s="118"/>
      <c r="AB64" s="108"/>
      <c r="AC64" s="108">
        <v>-91822</v>
      </c>
      <c r="AD64" s="109"/>
      <c r="AE64" s="110"/>
      <c r="AF64" s="111"/>
      <c r="AG64" s="111"/>
      <c r="AH64" s="111"/>
      <c r="AI64" s="111"/>
      <c r="AJ64" s="112">
        <f t="shared" si="10"/>
        <v>0</v>
      </c>
      <c r="AK64" s="113">
        <f t="shared" si="5"/>
        <v>0</v>
      </c>
      <c r="AL64" s="114">
        <f t="shared" si="11"/>
        <v>0</v>
      </c>
      <c r="AM64" s="108"/>
      <c r="AN64" s="108">
        <f>ROUND(0,2)</f>
        <v>0</v>
      </c>
      <c r="AO64" s="108">
        <f t="shared" si="17"/>
        <v>0</v>
      </c>
      <c r="AP64" s="108">
        <f>ROUND(0,2)</f>
        <v>0</v>
      </c>
      <c r="AQ64" s="108">
        <f t="shared" si="19"/>
        <v>0</v>
      </c>
      <c r="AR64" s="108">
        <f>ROUND(0,2)</f>
        <v>0</v>
      </c>
      <c r="AS64" s="108">
        <f>ROUND(0,2)</f>
        <v>0</v>
      </c>
      <c r="AT64" s="108">
        <f>ROUND(0,2)</f>
        <v>0</v>
      </c>
      <c r="AU64" s="108">
        <f>ROUND(0,2)</f>
        <v>0</v>
      </c>
      <c r="AV64" s="108">
        <f>ROUND(0,2)</f>
        <v>0</v>
      </c>
      <c r="AW64" s="108">
        <f t="shared" si="21"/>
        <v>0</v>
      </c>
      <c r="AX64" s="108">
        <f>ROUND(0,2)</f>
        <v>0</v>
      </c>
      <c r="AY64" s="108">
        <f t="shared" si="7"/>
        <v>0</v>
      </c>
      <c r="AZ64" s="108">
        <f>ROUND(442000,2)</f>
        <v>442000</v>
      </c>
      <c r="BA64" s="108">
        <f>ROUND(442000,2)</f>
        <v>442000</v>
      </c>
      <c r="BB64" s="115">
        <v>100</v>
      </c>
      <c r="BC64" s="115">
        <v>0</v>
      </c>
      <c r="BD64" s="115">
        <v>0</v>
      </c>
      <c r="BE64" s="115">
        <v>0</v>
      </c>
      <c r="BF64" s="116"/>
      <c r="BG64" s="116"/>
    </row>
    <row r="65" spans="1:59" x14ac:dyDescent="0.25">
      <c r="A65" s="86" t="str">
        <f t="shared" si="0"/>
        <v>21030</v>
      </c>
      <c r="B65" s="86" t="str">
        <f t="shared" si="1"/>
        <v>34200</v>
      </c>
      <c r="C65" s="86" t="str">
        <f t="shared" si="2"/>
        <v>63200</v>
      </c>
      <c r="D65" s="87" t="str">
        <f t="shared" si="3"/>
        <v>21030/34200/63200(2024)</v>
      </c>
      <c r="E65" s="88" t="str">
        <f t="shared" si="4"/>
        <v>6</v>
      </c>
      <c r="F65" s="89" t="s">
        <v>36</v>
      </c>
      <c r="G65" s="90"/>
      <c r="H65" s="91" t="s">
        <v>170</v>
      </c>
      <c r="I65" s="92" t="s">
        <v>37</v>
      </c>
      <c r="J65" s="92" t="s">
        <v>38</v>
      </c>
      <c r="K65" s="93" t="s">
        <v>37</v>
      </c>
      <c r="L65" s="93" t="s">
        <v>38</v>
      </c>
      <c r="M65" s="94">
        <v>0</v>
      </c>
      <c r="N65" s="95">
        <v>2010209.6</v>
      </c>
      <c r="O65" s="95">
        <v>2010209.6</v>
      </c>
      <c r="P65" s="96"/>
      <c r="Q65" s="97"/>
      <c r="R65" s="98">
        <f t="shared" si="8"/>
        <v>0</v>
      </c>
      <c r="S65" s="99"/>
      <c r="T65" s="100"/>
      <c r="U65" s="101"/>
      <c r="V65" s="102"/>
      <c r="W65" s="103"/>
      <c r="X65" s="103"/>
      <c r="Y65" s="105">
        <f t="shared" si="9"/>
        <v>0</v>
      </c>
      <c r="Z65" s="106"/>
      <c r="AA65" s="118"/>
      <c r="AB65" s="108"/>
      <c r="AC65" s="108"/>
      <c r="AD65" s="109"/>
      <c r="AE65" s="110"/>
      <c r="AF65" s="111"/>
      <c r="AG65" s="111"/>
      <c r="AH65" s="111"/>
      <c r="AI65" s="111"/>
      <c r="AJ65" s="112">
        <f t="shared" si="10"/>
        <v>0</v>
      </c>
      <c r="AK65" s="113">
        <f t="shared" si="5"/>
        <v>0</v>
      </c>
      <c r="AL65" s="114">
        <f t="shared" si="11"/>
        <v>0</v>
      </c>
      <c r="AM65" s="108"/>
      <c r="AN65" s="108">
        <f>ROUND(2010209.6,2)</f>
        <v>2010209.6</v>
      </c>
      <c r="AO65" s="108">
        <f t="shared" si="17"/>
        <v>0</v>
      </c>
      <c r="AP65" s="108">
        <f>ROUND(1907943.59,2)</f>
        <v>1907943.59</v>
      </c>
      <c r="AQ65" s="108">
        <f t="shared" si="19"/>
        <v>0</v>
      </c>
      <c r="AR65" s="108">
        <f>ROUND(1907943.59,2)</f>
        <v>1907943.59</v>
      </c>
      <c r="AS65" s="108">
        <f>ROUND(1907943.59,2)</f>
        <v>1907943.59</v>
      </c>
      <c r="AT65" s="108">
        <f t="shared" ref="AT65:AV88" si="24">ROUND(0,2)</f>
        <v>0</v>
      </c>
      <c r="AU65" s="108">
        <f t="shared" si="24"/>
        <v>0</v>
      </c>
      <c r="AV65" s="108">
        <f t="shared" si="24"/>
        <v>0</v>
      </c>
      <c r="AW65" s="108">
        <f t="shared" si="21"/>
        <v>0</v>
      </c>
      <c r="AX65" s="108">
        <f>ROUND(0,2)</f>
        <v>0</v>
      </c>
      <c r="AY65" s="108">
        <f t="shared" si="7"/>
        <v>0</v>
      </c>
      <c r="AZ65" s="108">
        <f>ROUND(102266.01,2)</f>
        <v>102266.01</v>
      </c>
      <c r="BA65" s="108">
        <f>ROUND(2010209.6,2)</f>
        <v>2010209.6</v>
      </c>
      <c r="BB65" s="115">
        <v>5.0873306942718806</v>
      </c>
      <c r="BC65" s="115">
        <v>94.912669305728116</v>
      </c>
      <c r="BD65" s="115">
        <v>0</v>
      </c>
      <c r="BE65" s="115">
        <v>0</v>
      </c>
      <c r="BF65" s="116"/>
      <c r="BG65" s="116"/>
    </row>
    <row r="66" spans="1:59" x14ac:dyDescent="0.25">
      <c r="A66" s="86" t="str">
        <f t="shared" si="0"/>
        <v>21030</v>
      </c>
      <c r="B66" s="86" t="str">
        <f t="shared" si="1"/>
        <v>34200</v>
      </c>
      <c r="C66" s="86" t="str">
        <f t="shared" si="2"/>
        <v>63200</v>
      </c>
      <c r="D66" s="87" t="str">
        <f t="shared" si="3"/>
        <v>21030/34200/63200()</v>
      </c>
      <c r="E66" s="88" t="str">
        <f t="shared" si="4"/>
        <v>6</v>
      </c>
      <c r="F66" s="89" t="s">
        <v>36</v>
      </c>
      <c r="G66" s="89" t="s">
        <v>36</v>
      </c>
      <c r="H66" s="91"/>
      <c r="I66" s="92" t="s">
        <v>37</v>
      </c>
      <c r="J66" s="92" t="s">
        <v>38</v>
      </c>
      <c r="K66" s="93" t="s">
        <v>37</v>
      </c>
      <c r="L66" s="121" t="s">
        <v>38</v>
      </c>
      <c r="M66" s="94">
        <v>2479502</v>
      </c>
      <c r="N66" s="95">
        <v>0</v>
      </c>
      <c r="O66" s="95">
        <v>2479502</v>
      </c>
      <c r="P66" s="146">
        <v>63272</v>
      </c>
      <c r="Q66" s="97">
        <v>63272</v>
      </c>
      <c r="R66" s="98">
        <f t="shared" si="8"/>
        <v>-2416230</v>
      </c>
      <c r="S66" s="99"/>
      <c r="T66" s="100"/>
      <c r="U66" s="101">
        <v>63272</v>
      </c>
      <c r="V66" s="102">
        <v>63272</v>
      </c>
      <c r="W66" s="103"/>
      <c r="X66" s="103"/>
      <c r="Y66" s="105">
        <f t="shared" si="9"/>
        <v>0</v>
      </c>
      <c r="Z66" s="143" t="s">
        <v>277</v>
      </c>
      <c r="AA66" s="153">
        <v>63271.340000000004</v>
      </c>
      <c r="AB66" s="138">
        <f>M66-AA66</f>
        <v>2416230.66</v>
      </c>
      <c r="AC66" s="108">
        <v>2479502</v>
      </c>
      <c r="AD66" s="109"/>
      <c r="AE66" s="110"/>
      <c r="AF66" s="111"/>
      <c r="AG66" s="111"/>
      <c r="AH66" s="111"/>
      <c r="AI66" s="111"/>
      <c r="AJ66" s="112">
        <f t="shared" si="10"/>
        <v>63272</v>
      </c>
      <c r="AK66" s="113">
        <f t="shared" ref="AK66:AK130" si="25">SUM(AE66:AJ66)</f>
        <v>63272</v>
      </c>
      <c r="AL66" s="114">
        <f t="shared" si="11"/>
        <v>0</v>
      </c>
      <c r="AM66" s="108"/>
      <c r="AN66" s="108">
        <f>ROUND(0,2)</f>
        <v>0</v>
      </c>
      <c r="AO66" s="108">
        <f t="shared" si="17"/>
        <v>0</v>
      </c>
      <c r="AP66" s="108">
        <f>ROUND(2556048.45,2)</f>
        <v>2556048.4500000002</v>
      </c>
      <c r="AQ66" s="108">
        <f t="shared" si="19"/>
        <v>0</v>
      </c>
      <c r="AR66" s="108">
        <f>ROUND(2556048.45,2)</f>
        <v>2556048.4500000002</v>
      </c>
      <c r="AS66" s="108">
        <f>ROUND(2556048.45,2)</f>
        <v>2556048.4500000002</v>
      </c>
      <c r="AT66" s="108">
        <f t="shared" si="24"/>
        <v>0</v>
      </c>
      <c r="AU66" s="108">
        <f t="shared" si="24"/>
        <v>0</v>
      </c>
      <c r="AV66" s="108">
        <f t="shared" si="24"/>
        <v>0</v>
      </c>
      <c r="AW66" s="108">
        <f t="shared" si="21"/>
        <v>0</v>
      </c>
      <c r="AX66" s="108">
        <f>ROUND(0,2)</f>
        <v>0</v>
      </c>
      <c r="AY66" s="108">
        <f t="shared" si="7"/>
        <v>0</v>
      </c>
      <c r="AZ66" s="108">
        <f>ROUND(-76546.45,2)</f>
        <v>-76546.45</v>
      </c>
      <c r="BA66" s="108">
        <f>ROUND(2479502,2)</f>
        <v>2479502</v>
      </c>
      <c r="BB66" s="115">
        <v>-3.0871703269446846</v>
      </c>
      <c r="BC66" s="115">
        <v>103.0871703269447</v>
      </c>
      <c r="BD66" s="115">
        <v>0</v>
      </c>
      <c r="BE66" s="115">
        <v>0</v>
      </c>
      <c r="BF66" s="116"/>
      <c r="BG66" s="116"/>
    </row>
    <row r="67" spans="1:59" x14ac:dyDescent="0.25">
      <c r="A67" s="86" t="str">
        <f t="shared" si="0"/>
        <v>21030</v>
      </c>
      <c r="B67" s="86" t="str">
        <f t="shared" si="1"/>
        <v>92000</v>
      </c>
      <c r="C67" s="86" t="str">
        <f t="shared" si="2"/>
        <v>63200</v>
      </c>
      <c r="D67" s="87" t="str">
        <f t="shared" si="3"/>
        <v>21030/92000/63200(2018)</v>
      </c>
      <c r="E67" s="88" t="str">
        <f t="shared" si="4"/>
        <v>6</v>
      </c>
      <c r="F67" s="89" t="s">
        <v>278</v>
      </c>
      <c r="G67" s="90"/>
      <c r="H67" s="91" t="s">
        <v>249</v>
      </c>
      <c r="I67" s="92" t="s">
        <v>279</v>
      </c>
      <c r="J67" s="92" t="s">
        <v>280</v>
      </c>
      <c r="K67" s="93" t="s">
        <v>279</v>
      </c>
      <c r="L67" s="93" t="s">
        <v>280</v>
      </c>
      <c r="M67" s="94">
        <v>0</v>
      </c>
      <c r="N67" s="95">
        <v>1420257.53</v>
      </c>
      <c r="O67" s="95">
        <v>1420257.53</v>
      </c>
      <c r="P67" s="96"/>
      <c r="Q67" s="97"/>
      <c r="R67" s="98">
        <f t="shared" ref="R67:R130" si="26">U67-M67</f>
        <v>0</v>
      </c>
      <c r="S67" s="99"/>
      <c r="T67" s="100"/>
      <c r="U67" s="101"/>
      <c r="V67" s="102"/>
      <c r="W67" s="103"/>
      <c r="X67" s="103"/>
      <c r="Y67" s="105">
        <f t="shared" si="9"/>
        <v>0</v>
      </c>
      <c r="Z67" s="106"/>
      <c r="AA67" s="118"/>
      <c r="AB67" s="108"/>
      <c r="AC67" s="108"/>
      <c r="AD67" s="109"/>
      <c r="AE67" s="110"/>
      <c r="AF67" s="111"/>
      <c r="AG67" s="111"/>
      <c r="AH67" s="111"/>
      <c r="AI67" s="111"/>
      <c r="AJ67" s="112">
        <f t="shared" ref="AJ67:AJ130" si="27">U67-AE67-AF67-AG67-AH67-AI67</f>
        <v>0</v>
      </c>
      <c r="AK67" s="113">
        <f t="shared" si="25"/>
        <v>0</v>
      </c>
      <c r="AL67" s="114">
        <f t="shared" ref="AL67:AL129" si="28">AK67-U67</f>
        <v>0</v>
      </c>
      <c r="AM67" s="108"/>
      <c r="AN67" s="108">
        <f>ROUND(1420257.53,2)</f>
        <v>1420257.53</v>
      </c>
      <c r="AO67" s="108">
        <f t="shared" si="17"/>
        <v>0</v>
      </c>
      <c r="AP67" s="108">
        <f>ROUND(1243327.72,2)</f>
        <v>1243327.72</v>
      </c>
      <c r="AQ67" s="108">
        <f t="shared" si="19"/>
        <v>0</v>
      </c>
      <c r="AR67" s="108">
        <f>ROUND(1243327.72,2)</f>
        <v>1243327.72</v>
      </c>
      <c r="AS67" s="108">
        <f>ROUND(545067.83,2)</f>
        <v>545067.82999999996</v>
      </c>
      <c r="AT67" s="108">
        <f>ROUND(698259.89,2)</f>
        <v>698259.89</v>
      </c>
      <c r="AU67" s="108">
        <f t="shared" si="24"/>
        <v>0</v>
      </c>
      <c r="AV67" s="108">
        <f>ROUND(698259.89,2)</f>
        <v>698259.89</v>
      </c>
      <c r="AW67" s="108">
        <f t="shared" si="21"/>
        <v>0</v>
      </c>
      <c r="AX67" s="108">
        <f>ROUND(698259.89,2)</f>
        <v>698259.89</v>
      </c>
      <c r="AY67" s="108">
        <f t="shared" si="7"/>
        <v>0</v>
      </c>
      <c r="AZ67" s="108">
        <f>ROUND(176929.81,2)</f>
        <v>176929.81</v>
      </c>
      <c r="BA67" s="108">
        <f>ROUND(721997.64,2)</f>
        <v>721997.64</v>
      </c>
      <c r="BB67" s="115">
        <v>12.457586477291903</v>
      </c>
      <c r="BC67" s="115">
        <v>87.542413522708102</v>
      </c>
      <c r="BD67" s="115">
        <v>49.164315291466892</v>
      </c>
      <c r="BE67" s="115">
        <v>100</v>
      </c>
      <c r="BF67" s="116"/>
      <c r="BG67" s="116"/>
    </row>
    <row r="68" spans="1:59" x14ac:dyDescent="0.25">
      <c r="A68" s="86" t="str">
        <f t="shared" si="0"/>
        <v>21030</v>
      </c>
      <c r="B68" s="86" t="str">
        <f t="shared" si="1"/>
        <v>34200</v>
      </c>
      <c r="C68" s="86" t="str">
        <f t="shared" si="2"/>
        <v>63206</v>
      </c>
      <c r="D68" s="87" t="str">
        <f t="shared" si="3"/>
        <v>21030/34200/63206(2022)</v>
      </c>
      <c r="E68" s="88" t="str">
        <f t="shared" si="4"/>
        <v>6</v>
      </c>
      <c r="F68" s="89" t="s">
        <v>281</v>
      </c>
      <c r="G68" s="90"/>
      <c r="H68" s="91" t="s">
        <v>181</v>
      </c>
      <c r="I68" s="92" t="s">
        <v>282</v>
      </c>
      <c r="J68" s="92" t="s">
        <v>283</v>
      </c>
      <c r="K68" s="93" t="s">
        <v>282</v>
      </c>
      <c r="L68" s="93" t="s">
        <v>283</v>
      </c>
      <c r="M68" s="94">
        <v>0</v>
      </c>
      <c r="N68" s="95">
        <v>108228.54</v>
      </c>
      <c r="O68" s="95">
        <v>108228.54</v>
      </c>
      <c r="P68" s="96"/>
      <c r="Q68" s="97"/>
      <c r="R68" s="98">
        <f t="shared" si="26"/>
        <v>0</v>
      </c>
      <c r="S68" s="99"/>
      <c r="T68" s="100"/>
      <c r="U68" s="101"/>
      <c r="V68" s="102"/>
      <c r="W68" s="103"/>
      <c r="X68" s="103"/>
      <c r="Y68" s="105">
        <f t="shared" si="9"/>
        <v>0</v>
      </c>
      <c r="Z68" s="106"/>
      <c r="AA68" s="118"/>
      <c r="AB68" s="108"/>
      <c r="AC68" s="108"/>
      <c r="AD68" s="109"/>
      <c r="AE68" s="110"/>
      <c r="AF68" s="111"/>
      <c r="AG68" s="111"/>
      <c r="AH68" s="111"/>
      <c r="AI68" s="111"/>
      <c r="AJ68" s="112">
        <f t="shared" si="27"/>
        <v>0</v>
      </c>
      <c r="AK68" s="113">
        <f t="shared" si="25"/>
        <v>0</v>
      </c>
      <c r="AL68" s="114">
        <f t="shared" si="28"/>
        <v>0</v>
      </c>
      <c r="AM68" s="108"/>
      <c r="AN68" s="108">
        <f>ROUND(108228.54,2)</f>
        <v>108228.54</v>
      </c>
      <c r="AO68" s="108">
        <f t="shared" si="17"/>
        <v>0</v>
      </c>
      <c r="AP68" s="108">
        <f>ROUND(30600.22,2)</f>
        <v>30600.22</v>
      </c>
      <c r="AQ68" s="108">
        <f t="shared" si="19"/>
        <v>0</v>
      </c>
      <c r="AR68" s="108">
        <f>ROUND(30600.22,2)</f>
        <v>30600.22</v>
      </c>
      <c r="AS68" s="108">
        <f>ROUND(30600.22,2)</f>
        <v>30600.22</v>
      </c>
      <c r="AT68" s="108">
        <f>ROUND(0,2)</f>
        <v>0</v>
      </c>
      <c r="AU68" s="108">
        <f t="shared" si="24"/>
        <v>0</v>
      </c>
      <c r="AV68" s="108">
        <f>ROUND(0,2)</f>
        <v>0</v>
      </c>
      <c r="AW68" s="108">
        <f t="shared" si="21"/>
        <v>0</v>
      </c>
      <c r="AX68" s="108">
        <f>ROUND(0,2)</f>
        <v>0</v>
      </c>
      <c r="AY68" s="108">
        <f t="shared" si="7"/>
        <v>0</v>
      </c>
      <c r="AZ68" s="108">
        <f>ROUND(77628.32,2)</f>
        <v>77628.320000000007</v>
      </c>
      <c r="BA68" s="108">
        <f>ROUND(108228.54,2)</f>
        <v>108228.54</v>
      </c>
      <c r="BB68" s="115">
        <v>71.726293267931013</v>
      </c>
      <c r="BC68" s="115">
        <v>28.273706732069009</v>
      </c>
      <c r="BD68" s="115">
        <v>0</v>
      </c>
      <c r="BE68" s="115">
        <v>0</v>
      </c>
      <c r="BF68" s="116"/>
      <c r="BG68" s="116"/>
    </row>
    <row r="69" spans="1:59" x14ac:dyDescent="0.25">
      <c r="A69" s="86" t="str">
        <f t="shared" si="0"/>
        <v>21030</v>
      </c>
      <c r="B69" s="86" t="str">
        <f t="shared" si="1"/>
        <v>34200</v>
      </c>
      <c r="C69" s="86" t="str">
        <f t="shared" si="2"/>
        <v>63300</v>
      </c>
      <c r="D69" s="87" t="str">
        <f t="shared" si="3"/>
        <v>21030/34200/63300(2024)</v>
      </c>
      <c r="E69" s="88" t="str">
        <f t="shared" si="4"/>
        <v>6</v>
      </c>
      <c r="F69" s="89">
        <v>0</v>
      </c>
      <c r="G69" s="90"/>
      <c r="H69" s="91" t="s">
        <v>170</v>
      </c>
      <c r="I69" s="92" t="s">
        <v>284</v>
      </c>
      <c r="J69" s="92" t="s">
        <v>285</v>
      </c>
      <c r="K69" s="93" t="s">
        <v>284</v>
      </c>
      <c r="L69" s="93" t="s">
        <v>285</v>
      </c>
      <c r="M69" s="94">
        <v>0</v>
      </c>
      <c r="N69" s="95">
        <v>345000</v>
      </c>
      <c r="O69" s="95">
        <v>345000</v>
      </c>
      <c r="P69" s="96"/>
      <c r="Q69" s="97"/>
      <c r="R69" s="98">
        <f t="shared" si="26"/>
        <v>0</v>
      </c>
      <c r="S69" s="99"/>
      <c r="T69" s="100"/>
      <c r="U69" s="101"/>
      <c r="V69" s="102"/>
      <c r="W69" s="103"/>
      <c r="X69" s="103"/>
      <c r="Y69" s="105">
        <f t="shared" si="9"/>
        <v>0</v>
      </c>
      <c r="Z69" s="106"/>
      <c r="AA69" s="118"/>
      <c r="AB69" s="108"/>
      <c r="AC69" s="108"/>
      <c r="AD69" s="109"/>
      <c r="AE69" s="110"/>
      <c r="AF69" s="111"/>
      <c r="AG69" s="111"/>
      <c r="AH69" s="111"/>
      <c r="AI69" s="111"/>
      <c r="AJ69" s="112">
        <f t="shared" si="27"/>
        <v>0</v>
      </c>
      <c r="AK69" s="113">
        <f t="shared" si="25"/>
        <v>0</v>
      </c>
      <c r="AL69" s="114">
        <f t="shared" si="28"/>
        <v>0</v>
      </c>
      <c r="AM69" s="108"/>
      <c r="AN69" s="108">
        <f>ROUND(345000,2)</f>
        <v>345000</v>
      </c>
      <c r="AO69" s="108">
        <f t="shared" si="17"/>
        <v>0</v>
      </c>
      <c r="AP69" s="108">
        <f>ROUND(345000,2)</f>
        <v>345000</v>
      </c>
      <c r="AQ69" s="108">
        <f t="shared" si="19"/>
        <v>0</v>
      </c>
      <c r="AR69" s="108">
        <f>ROUND(345000,2)</f>
        <v>345000</v>
      </c>
      <c r="AS69" s="108">
        <f>ROUND(79546.79,2)</f>
        <v>79546.789999999994</v>
      </c>
      <c r="AT69" s="108">
        <f>ROUND(265453.21,2)</f>
        <v>265453.21000000002</v>
      </c>
      <c r="AU69" s="108">
        <f t="shared" si="24"/>
        <v>0</v>
      </c>
      <c r="AV69" s="108">
        <f>ROUND(265453.21,2)</f>
        <v>265453.21000000002</v>
      </c>
      <c r="AW69" s="108">
        <f t="shared" si="21"/>
        <v>0</v>
      </c>
      <c r="AX69" s="108">
        <f>ROUND(265453.21,2)</f>
        <v>265453.21000000002</v>
      </c>
      <c r="AY69" s="108">
        <f t="shared" si="7"/>
        <v>0</v>
      </c>
      <c r="AZ69" s="108">
        <f>ROUND(0,2)</f>
        <v>0</v>
      </c>
      <c r="BA69" s="108">
        <f>ROUND(79546.79,2)</f>
        <v>79546.789999999994</v>
      </c>
      <c r="BB69" s="115">
        <v>0</v>
      </c>
      <c r="BC69" s="115">
        <v>100</v>
      </c>
      <c r="BD69" s="115">
        <v>76.942959420289853</v>
      </c>
      <c r="BE69" s="115">
        <v>100</v>
      </c>
      <c r="BF69" s="116"/>
      <c r="BG69" s="116"/>
    </row>
    <row r="70" spans="1:59" ht="15.75" thickBot="1" x14ac:dyDescent="0.3">
      <c r="A70" s="86" t="str">
        <f t="shared" si="0"/>
        <v>21031</v>
      </c>
      <c r="B70" s="86" t="str">
        <f t="shared" si="1"/>
        <v>93320</v>
      </c>
      <c r="C70" s="86" t="str">
        <f t="shared" si="2"/>
        <v>63200</v>
      </c>
      <c r="D70" s="87" t="str">
        <f t="shared" si="3"/>
        <v>21031/93320/63200(2024)</v>
      </c>
      <c r="E70" s="88" t="str">
        <f t="shared" si="4"/>
        <v>6</v>
      </c>
      <c r="F70" s="89">
        <v>0</v>
      </c>
      <c r="G70" s="90"/>
      <c r="H70" s="91" t="s">
        <v>170</v>
      </c>
      <c r="I70" s="92" t="s">
        <v>286</v>
      </c>
      <c r="J70" s="92" t="s">
        <v>31</v>
      </c>
      <c r="K70" s="93" t="s">
        <v>286</v>
      </c>
      <c r="L70" s="93" t="s">
        <v>31</v>
      </c>
      <c r="M70" s="94">
        <v>0</v>
      </c>
      <c r="N70" s="95">
        <v>125873.63</v>
      </c>
      <c r="O70" s="95">
        <v>125873.63</v>
      </c>
      <c r="P70" s="96"/>
      <c r="Q70" s="97"/>
      <c r="R70" s="98">
        <f t="shared" si="26"/>
        <v>0</v>
      </c>
      <c r="S70" s="99"/>
      <c r="T70" s="100"/>
      <c r="U70" s="154"/>
      <c r="V70" s="102"/>
      <c r="W70" s="103"/>
      <c r="X70" s="103"/>
      <c r="Y70" s="105">
        <f t="shared" si="9"/>
        <v>0</v>
      </c>
      <c r="Z70" s="106"/>
      <c r="AA70" s="118"/>
      <c r="AB70" s="108"/>
      <c r="AC70" s="108"/>
      <c r="AD70" s="109"/>
      <c r="AE70" s="110"/>
      <c r="AF70" s="111"/>
      <c r="AG70" s="111"/>
      <c r="AH70" s="111"/>
      <c r="AI70" s="111"/>
      <c r="AJ70" s="112">
        <f t="shared" si="27"/>
        <v>0</v>
      </c>
      <c r="AK70" s="113">
        <f t="shared" si="25"/>
        <v>0</v>
      </c>
      <c r="AL70" s="114">
        <f t="shared" si="28"/>
        <v>0</v>
      </c>
      <c r="AM70" s="108"/>
      <c r="AN70" s="108">
        <f>ROUND(125873.63,2)</f>
        <v>125873.63</v>
      </c>
      <c r="AO70" s="108">
        <f t="shared" si="17"/>
        <v>0</v>
      </c>
      <c r="AP70" s="108">
        <f>ROUND(109.46,2)</f>
        <v>109.46</v>
      </c>
      <c r="AQ70" s="108">
        <f t="shared" si="19"/>
        <v>0</v>
      </c>
      <c r="AR70" s="108">
        <f>ROUND(109.46,2)</f>
        <v>109.46</v>
      </c>
      <c r="AS70" s="108">
        <f>ROUND(109.46,2)</f>
        <v>109.46</v>
      </c>
      <c r="AT70" s="108">
        <f>ROUND(0,2)</f>
        <v>0</v>
      </c>
      <c r="AU70" s="108">
        <f t="shared" si="24"/>
        <v>0</v>
      </c>
      <c r="AV70" s="108">
        <f>ROUND(0,2)</f>
        <v>0</v>
      </c>
      <c r="AW70" s="108">
        <f t="shared" si="21"/>
        <v>0</v>
      </c>
      <c r="AX70" s="108">
        <f>ROUND(0,2)</f>
        <v>0</v>
      </c>
      <c r="AY70" s="108">
        <f t="shared" si="7"/>
        <v>0</v>
      </c>
      <c r="AZ70" s="108">
        <f>ROUND(125764.17,2)</f>
        <v>125764.17</v>
      </c>
      <c r="BA70" s="108">
        <f>ROUND(125873.63,2)</f>
        <v>125873.63</v>
      </c>
      <c r="BB70" s="115">
        <v>99.913039768536109</v>
      </c>
      <c r="BC70" s="115">
        <v>8.6960231463889606E-2</v>
      </c>
      <c r="BD70" s="115">
        <v>0</v>
      </c>
      <c r="BE70" s="115">
        <v>0</v>
      </c>
      <c r="BF70" s="116"/>
      <c r="BG70" s="116"/>
    </row>
    <row r="71" spans="1:59" x14ac:dyDescent="0.25">
      <c r="A71" s="86" t="str">
        <f t="shared" ref="A71:A130" si="29">MID(I71,1,5)</f>
        <v>21031</v>
      </c>
      <c r="B71" s="86" t="str">
        <f t="shared" ref="B71:B130" si="30">MID(I71,7,5)</f>
        <v>93320</v>
      </c>
      <c r="C71" s="86" t="str">
        <f t="shared" ref="C71:C130" si="31">MID(I71,13,5)</f>
        <v>63200</v>
      </c>
      <c r="D71" s="87" t="str">
        <f t="shared" ref="D71:D129" si="32">I71&amp;"("&amp;H71&amp;")"</f>
        <v>21031/93320/63200()</v>
      </c>
      <c r="E71" s="88" t="str">
        <f t="shared" ref="E71:E129" si="33">MID(I71,13,1)</f>
        <v>6</v>
      </c>
      <c r="F71" s="89">
        <v>0</v>
      </c>
      <c r="G71" s="128" t="s">
        <v>29</v>
      </c>
      <c r="H71" s="91"/>
      <c r="I71" s="92" t="s">
        <v>286</v>
      </c>
      <c r="J71" s="92" t="s">
        <v>31</v>
      </c>
      <c r="K71" s="123" t="s">
        <v>30</v>
      </c>
      <c r="L71" s="121" t="s">
        <v>31</v>
      </c>
      <c r="M71" s="94">
        <v>150000</v>
      </c>
      <c r="N71" s="95">
        <v>0</v>
      </c>
      <c r="O71" s="95">
        <v>150000</v>
      </c>
      <c r="P71" s="96">
        <v>150000</v>
      </c>
      <c r="Q71" s="97">
        <f>S71</f>
        <v>166000</v>
      </c>
      <c r="R71" s="98">
        <f t="shared" si="26"/>
        <v>16000</v>
      </c>
      <c r="S71" s="99">
        <v>166000</v>
      </c>
      <c r="T71" s="100">
        <f>S71-P71</f>
        <v>16000</v>
      </c>
      <c r="U71" s="155">
        <v>166000</v>
      </c>
      <c r="V71" s="102">
        <f>S71</f>
        <v>166000</v>
      </c>
      <c r="W71" s="103"/>
      <c r="X71" s="103"/>
      <c r="Y71" s="105">
        <f t="shared" si="9"/>
        <v>0</v>
      </c>
      <c r="Z71" s="122" t="s">
        <v>287</v>
      </c>
      <c r="AA71" s="118"/>
      <c r="AB71" s="108"/>
      <c r="AC71" s="108">
        <v>100000</v>
      </c>
      <c r="AD71" s="109"/>
      <c r="AE71" s="110"/>
      <c r="AF71" s="111"/>
      <c r="AG71" s="111"/>
      <c r="AH71" s="111"/>
      <c r="AI71" s="111"/>
      <c r="AJ71" s="112">
        <f t="shared" si="27"/>
        <v>166000</v>
      </c>
      <c r="AK71" s="113">
        <f t="shared" si="25"/>
        <v>166000</v>
      </c>
      <c r="AL71" s="114">
        <f t="shared" si="28"/>
        <v>0</v>
      </c>
      <c r="AM71" s="156" t="s">
        <v>288</v>
      </c>
      <c r="AN71" s="108">
        <f>ROUND(0,2)</f>
        <v>0</v>
      </c>
      <c r="AO71" s="108">
        <f t="shared" si="17"/>
        <v>0</v>
      </c>
      <c r="AP71" s="108">
        <f>ROUND(111345.57,2)</f>
        <v>111345.57</v>
      </c>
      <c r="AQ71" s="108">
        <f t="shared" si="19"/>
        <v>0</v>
      </c>
      <c r="AR71" s="108">
        <f>ROUND(111345.57,2)</f>
        <v>111345.57</v>
      </c>
      <c r="AS71" s="108">
        <f>ROUND(100064.26,2)</f>
        <v>100064.26</v>
      </c>
      <c r="AT71" s="108">
        <f>ROUND(11281.31,2)</f>
        <v>11281.31</v>
      </c>
      <c r="AU71" s="108">
        <f t="shared" si="24"/>
        <v>0</v>
      </c>
      <c r="AV71" s="108">
        <f>ROUND(11281.31,2)</f>
        <v>11281.31</v>
      </c>
      <c r="AW71" s="108">
        <f t="shared" si="21"/>
        <v>0</v>
      </c>
      <c r="AX71" s="108">
        <f>ROUND(11281.31,2)</f>
        <v>11281.31</v>
      </c>
      <c r="AY71" s="108">
        <f t="shared" ref="AY71:AY129" si="34">ROUND(0,2)</f>
        <v>0</v>
      </c>
      <c r="AZ71" s="108">
        <f>ROUND(38654.43,2)</f>
        <v>38654.43</v>
      </c>
      <c r="BA71" s="108">
        <f>ROUND(138718.69,2)</f>
        <v>138718.69</v>
      </c>
      <c r="BB71" s="115">
        <v>25.76962</v>
      </c>
      <c r="BC71" s="115">
        <v>74.230380000000011</v>
      </c>
      <c r="BD71" s="115">
        <v>7.5208733333333333</v>
      </c>
      <c r="BE71" s="115">
        <v>100</v>
      </c>
      <c r="BF71" s="116"/>
      <c r="BG71" s="116"/>
    </row>
    <row r="72" spans="1:59" x14ac:dyDescent="0.25">
      <c r="A72" s="86"/>
      <c r="B72" s="86"/>
      <c r="C72" s="86"/>
      <c r="D72" s="87"/>
      <c r="E72" s="88"/>
      <c r="F72" s="89"/>
      <c r="G72" s="90"/>
      <c r="H72" s="91"/>
      <c r="I72" s="92"/>
      <c r="J72" s="92"/>
      <c r="K72" s="123" t="s">
        <v>30</v>
      </c>
      <c r="L72" s="157" t="s">
        <v>287</v>
      </c>
      <c r="M72" s="94"/>
      <c r="N72" s="95"/>
      <c r="O72" s="95"/>
      <c r="P72" s="96"/>
      <c r="Q72" s="97"/>
      <c r="R72" s="98">
        <f t="shared" si="26"/>
        <v>0</v>
      </c>
      <c r="S72" s="99"/>
      <c r="T72" s="100"/>
      <c r="U72" s="101"/>
      <c r="V72" s="102"/>
      <c r="W72" s="103"/>
      <c r="X72" s="103"/>
      <c r="Y72" s="105">
        <f t="shared" si="9"/>
        <v>0</v>
      </c>
      <c r="Z72" s="106"/>
      <c r="AA72" s="118"/>
      <c r="AB72" s="108"/>
      <c r="AC72" s="108"/>
      <c r="AD72" s="109"/>
      <c r="AE72" s="110"/>
      <c r="AF72" s="111"/>
      <c r="AG72" s="111"/>
      <c r="AH72" s="111"/>
      <c r="AI72" s="111"/>
      <c r="AJ72" s="112">
        <f t="shared" si="27"/>
        <v>0</v>
      </c>
      <c r="AK72" s="113">
        <f t="shared" si="25"/>
        <v>0</v>
      </c>
      <c r="AL72" s="114">
        <f t="shared" si="28"/>
        <v>0</v>
      </c>
      <c r="AM72" s="156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15"/>
      <c r="BC72" s="115"/>
      <c r="BD72" s="115"/>
      <c r="BE72" s="115"/>
      <c r="BF72" s="116"/>
      <c r="BG72" s="116"/>
    </row>
    <row r="73" spans="1:59" ht="15.75" thickBot="1" x14ac:dyDescent="0.3">
      <c r="A73" s="86"/>
      <c r="B73" s="86"/>
      <c r="C73" s="86"/>
      <c r="D73" s="87"/>
      <c r="E73" s="88">
        <v>6</v>
      </c>
      <c r="F73" s="89"/>
      <c r="G73" s="90"/>
      <c r="H73" s="91"/>
      <c r="I73" s="158"/>
      <c r="J73" s="159"/>
      <c r="K73" s="123" t="s">
        <v>30</v>
      </c>
      <c r="L73" s="149" t="s">
        <v>289</v>
      </c>
      <c r="M73" s="94"/>
      <c r="N73" s="95"/>
      <c r="O73" s="95"/>
      <c r="P73" s="96"/>
      <c r="Q73" s="97">
        <f>S73</f>
        <v>200000</v>
      </c>
      <c r="R73" s="98">
        <f t="shared" si="26"/>
        <v>100000</v>
      </c>
      <c r="S73" s="99">
        <v>200000</v>
      </c>
      <c r="T73" s="100"/>
      <c r="U73" s="160">
        <v>100000</v>
      </c>
      <c r="V73" s="102">
        <v>200000</v>
      </c>
      <c r="W73" s="103"/>
      <c r="X73" s="103">
        <v>0</v>
      </c>
      <c r="Y73" s="105">
        <f>Q73-V73-W73-X73</f>
        <v>0</v>
      </c>
      <c r="Z73" s="122" t="s">
        <v>290</v>
      </c>
      <c r="AA73" s="118"/>
      <c r="AB73" s="108"/>
      <c r="AC73" s="108"/>
      <c r="AD73" s="109"/>
      <c r="AE73" s="110">
        <v>100000</v>
      </c>
      <c r="AF73" s="111"/>
      <c r="AG73" s="111"/>
      <c r="AH73" s="111"/>
      <c r="AI73" s="111"/>
      <c r="AJ73" s="112">
        <f t="shared" si="27"/>
        <v>0</v>
      </c>
      <c r="AK73" s="113">
        <f t="shared" si="25"/>
        <v>100000</v>
      </c>
      <c r="AL73" s="114">
        <f t="shared" si="28"/>
        <v>0</v>
      </c>
      <c r="AM73" s="156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15"/>
      <c r="BC73" s="115"/>
      <c r="BD73" s="115"/>
      <c r="BE73" s="115"/>
      <c r="BF73" s="116"/>
      <c r="BG73" s="116"/>
    </row>
    <row r="74" spans="1:59" x14ac:dyDescent="0.25">
      <c r="A74" s="86" t="str">
        <f t="shared" si="29"/>
        <v>21031</v>
      </c>
      <c r="B74" s="86" t="str">
        <f t="shared" si="30"/>
        <v>93320</v>
      </c>
      <c r="C74" s="86" t="str">
        <f t="shared" si="31"/>
        <v>63200</v>
      </c>
      <c r="D74" s="87" t="str">
        <f t="shared" si="32"/>
        <v>21031/93320/63200(2021)</v>
      </c>
      <c r="E74" s="88" t="str">
        <f t="shared" si="33"/>
        <v>6</v>
      </c>
      <c r="F74" s="89" t="s">
        <v>291</v>
      </c>
      <c r="G74" s="90"/>
      <c r="H74" s="91" t="s">
        <v>267</v>
      </c>
      <c r="I74" s="92" t="s">
        <v>286</v>
      </c>
      <c r="J74" s="92" t="s">
        <v>31</v>
      </c>
      <c r="K74" s="93" t="s">
        <v>286</v>
      </c>
      <c r="L74" s="93" t="s">
        <v>31</v>
      </c>
      <c r="M74" s="94">
        <v>0</v>
      </c>
      <c r="N74" s="95">
        <v>26944.18</v>
      </c>
      <c r="O74" s="95">
        <v>26944.18</v>
      </c>
      <c r="P74" s="96"/>
      <c r="Q74" s="97"/>
      <c r="R74" s="98">
        <f t="shared" si="26"/>
        <v>0</v>
      </c>
      <c r="S74" s="99"/>
      <c r="T74" s="100"/>
      <c r="U74" s="161"/>
      <c r="V74" s="102"/>
      <c r="W74" s="103"/>
      <c r="X74" s="103"/>
      <c r="Y74" s="105">
        <f t="shared" ref="Y74:Y132" si="35">Q74-V74-W74-X74</f>
        <v>0</v>
      </c>
      <c r="Z74" s="106"/>
      <c r="AA74" s="118"/>
      <c r="AB74" s="108"/>
      <c r="AC74" s="108"/>
      <c r="AD74" s="109"/>
      <c r="AE74" s="110"/>
      <c r="AF74" s="111"/>
      <c r="AG74" s="111"/>
      <c r="AH74" s="111"/>
      <c r="AI74" s="111"/>
      <c r="AJ74" s="112">
        <f t="shared" si="27"/>
        <v>0</v>
      </c>
      <c r="AK74" s="113">
        <f t="shared" si="25"/>
        <v>0</v>
      </c>
      <c r="AL74" s="114">
        <f t="shared" si="28"/>
        <v>0</v>
      </c>
      <c r="AM74" s="108"/>
      <c r="AN74" s="108">
        <f>ROUND(26944.18,2)</f>
        <v>26944.18</v>
      </c>
      <c r="AO74" s="108">
        <f t="shared" si="17"/>
        <v>0</v>
      </c>
      <c r="AP74" s="108">
        <f>ROUND(12674.9,2)</f>
        <v>12674.9</v>
      </c>
      <c r="AQ74" s="108">
        <f t="shared" si="19"/>
        <v>0</v>
      </c>
      <c r="AR74" s="108">
        <f>ROUND(12674.9,2)</f>
        <v>12674.9</v>
      </c>
      <c r="AS74" s="108">
        <f>ROUND(3448.5,2)</f>
        <v>3448.5</v>
      </c>
      <c r="AT74" s="108">
        <f>ROUND(9226.4,2)</f>
        <v>9226.4</v>
      </c>
      <c r="AU74" s="108">
        <f t="shared" si="24"/>
        <v>0</v>
      </c>
      <c r="AV74" s="108">
        <f>ROUND(9226.4,2)</f>
        <v>9226.4</v>
      </c>
      <c r="AW74" s="108">
        <f t="shared" si="21"/>
        <v>0</v>
      </c>
      <c r="AX74" s="108">
        <f>ROUND(9226.4,2)</f>
        <v>9226.4</v>
      </c>
      <c r="AY74" s="108">
        <f t="shared" si="34"/>
        <v>0</v>
      </c>
      <c r="AZ74" s="108">
        <f>ROUND(14269.28,2)</f>
        <v>14269.28</v>
      </c>
      <c r="BA74" s="108">
        <f>ROUND(17717.78,2)</f>
        <v>17717.78</v>
      </c>
      <c r="BB74" s="115">
        <v>52.958672336660463</v>
      </c>
      <c r="BC74" s="115">
        <v>47.041327663339537</v>
      </c>
      <c r="BD74" s="115">
        <v>34.242645350498698</v>
      </c>
      <c r="BE74" s="115">
        <v>100</v>
      </c>
      <c r="BF74" s="116"/>
      <c r="BG74" s="116"/>
    </row>
    <row r="75" spans="1:59" ht="15.75" thickBot="1" x14ac:dyDescent="0.3">
      <c r="A75" s="86" t="str">
        <f t="shared" si="29"/>
        <v>21031</v>
      </c>
      <c r="B75" s="86" t="str">
        <f t="shared" si="30"/>
        <v>43120</v>
      </c>
      <c r="C75" s="86" t="str">
        <f t="shared" si="31"/>
        <v>63201</v>
      </c>
      <c r="D75" s="87" t="str">
        <f t="shared" si="32"/>
        <v>21031/43120/63201(2022)</v>
      </c>
      <c r="E75" s="88" t="str">
        <f t="shared" si="33"/>
        <v>6</v>
      </c>
      <c r="F75" s="89" t="s">
        <v>184</v>
      </c>
      <c r="G75" s="90"/>
      <c r="H75" s="91" t="s">
        <v>181</v>
      </c>
      <c r="I75" s="92" t="s">
        <v>292</v>
      </c>
      <c r="J75" s="92" t="s">
        <v>293</v>
      </c>
      <c r="K75" s="93" t="s">
        <v>292</v>
      </c>
      <c r="L75" s="93" t="s">
        <v>293</v>
      </c>
      <c r="M75" s="94">
        <v>0</v>
      </c>
      <c r="N75" s="95">
        <v>30250</v>
      </c>
      <c r="O75" s="95">
        <v>30250</v>
      </c>
      <c r="P75" s="96"/>
      <c r="Q75" s="97"/>
      <c r="R75" s="98">
        <f t="shared" si="26"/>
        <v>0</v>
      </c>
      <c r="S75" s="99"/>
      <c r="T75" s="100"/>
      <c r="U75" s="154"/>
      <c r="V75" s="102"/>
      <c r="W75" s="103"/>
      <c r="X75" s="103"/>
      <c r="Y75" s="105">
        <f t="shared" si="35"/>
        <v>0</v>
      </c>
      <c r="Z75" s="106"/>
      <c r="AA75" s="118"/>
      <c r="AB75" s="108"/>
      <c r="AC75" s="108"/>
      <c r="AD75" s="109"/>
      <c r="AE75" s="110"/>
      <c r="AF75" s="111"/>
      <c r="AG75" s="111"/>
      <c r="AH75" s="111"/>
      <c r="AI75" s="111"/>
      <c r="AJ75" s="112">
        <f t="shared" si="27"/>
        <v>0</v>
      </c>
      <c r="AK75" s="113">
        <f t="shared" si="25"/>
        <v>0</v>
      </c>
      <c r="AL75" s="114">
        <f t="shared" si="28"/>
        <v>0</v>
      </c>
      <c r="AM75" s="108"/>
      <c r="AN75" s="108">
        <f>ROUND(30250,2)</f>
        <v>30250</v>
      </c>
      <c r="AO75" s="108">
        <f t="shared" si="17"/>
        <v>0</v>
      </c>
      <c r="AP75" s="108">
        <f>ROUND(0,2)</f>
        <v>0</v>
      </c>
      <c r="AQ75" s="108">
        <f t="shared" si="19"/>
        <v>0</v>
      </c>
      <c r="AR75" s="108">
        <f>ROUND(0,2)</f>
        <v>0</v>
      </c>
      <c r="AS75" s="108">
        <f>ROUND(0,2)</f>
        <v>0</v>
      </c>
      <c r="AT75" s="108">
        <f>ROUND(0,2)</f>
        <v>0</v>
      </c>
      <c r="AU75" s="108">
        <f t="shared" si="24"/>
        <v>0</v>
      </c>
      <c r="AV75" s="108">
        <f>ROUND(0,2)</f>
        <v>0</v>
      </c>
      <c r="AW75" s="108">
        <f t="shared" ref="AW75:AX90" si="36">ROUND(0,2)</f>
        <v>0</v>
      </c>
      <c r="AX75" s="108">
        <f>ROUND(0,2)</f>
        <v>0</v>
      </c>
      <c r="AY75" s="108">
        <f t="shared" si="34"/>
        <v>0</v>
      </c>
      <c r="AZ75" s="108">
        <f>ROUND(30250,2)</f>
        <v>30250</v>
      </c>
      <c r="BA75" s="108">
        <f>ROUND(30250,2)</f>
        <v>30250</v>
      </c>
      <c r="BB75" s="115">
        <v>100</v>
      </c>
      <c r="BC75" s="115">
        <v>0</v>
      </c>
      <c r="BD75" s="115">
        <v>0</v>
      </c>
      <c r="BE75" s="115">
        <v>0</v>
      </c>
      <c r="BF75" s="116"/>
      <c r="BG75" s="116"/>
    </row>
    <row r="76" spans="1:59" x14ac:dyDescent="0.25">
      <c r="A76" s="86" t="str">
        <f t="shared" si="29"/>
        <v>21031</v>
      </c>
      <c r="B76" s="86" t="str">
        <f t="shared" si="30"/>
        <v>93300</v>
      </c>
      <c r="C76" s="86" t="str">
        <f t="shared" si="31"/>
        <v>63201</v>
      </c>
      <c r="D76" s="87" t="str">
        <f t="shared" si="32"/>
        <v>21031/93300/63201()</v>
      </c>
      <c r="E76" s="88" t="str">
        <f t="shared" si="33"/>
        <v>6</v>
      </c>
      <c r="F76" s="89">
        <v>0</v>
      </c>
      <c r="G76" s="90"/>
      <c r="H76" s="91"/>
      <c r="I76" s="92" t="s">
        <v>294</v>
      </c>
      <c r="J76" s="92" t="s">
        <v>26</v>
      </c>
      <c r="K76" s="121" t="s">
        <v>25</v>
      </c>
      <c r="L76" s="121" t="s">
        <v>26</v>
      </c>
      <c r="M76" s="94">
        <v>70000</v>
      </c>
      <c r="N76" s="95">
        <v>60000</v>
      </c>
      <c r="O76" s="95">
        <v>130000</v>
      </c>
      <c r="P76" s="96">
        <v>70000</v>
      </c>
      <c r="Q76" s="97">
        <f>S76</f>
        <v>70000</v>
      </c>
      <c r="R76" s="98">
        <f t="shared" si="26"/>
        <v>0</v>
      </c>
      <c r="S76" s="99">
        <v>70000</v>
      </c>
      <c r="T76" s="100">
        <f>S76-P76</f>
        <v>0</v>
      </c>
      <c r="U76" s="155">
        <v>70000</v>
      </c>
      <c r="V76" s="102">
        <f>P76</f>
        <v>70000</v>
      </c>
      <c r="W76" s="103"/>
      <c r="X76" s="103"/>
      <c r="Y76" s="105">
        <f t="shared" si="35"/>
        <v>0</v>
      </c>
      <c r="Z76" s="106" t="s">
        <v>295</v>
      </c>
      <c r="AA76" s="107">
        <v>15000</v>
      </c>
      <c r="AB76" s="162">
        <f>M76-AA76</f>
        <v>55000</v>
      </c>
      <c r="AC76" s="108">
        <v>-100000</v>
      </c>
      <c r="AD76" s="109"/>
      <c r="AE76" s="110"/>
      <c r="AF76" s="111"/>
      <c r="AG76" s="111"/>
      <c r="AH76" s="111">
        <v>15000</v>
      </c>
      <c r="AI76" s="111"/>
      <c r="AJ76" s="112">
        <f t="shared" si="27"/>
        <v>55000</v>
      </c>
      <c r="AK76" s="113">
        <f t="shared" si="25"/>
        <v>70000</v>
      </c>
      <c r="AL76" s="114">
        <f t="shared" si="28"/>
        <v>0</v>
      </c>
      <c r="AM76" s="108"/>
      <c r="AN76" s="108">
        <f>ROUND(0,2)</f>
        <v>0</v>
      </c>
      <c r="AO76" s="108">
        <f>ROUND(36200,2)</f>
        <v>36200</v>
      </c>
      <c r="AP76" s="108">
        <f>ROUND(34655.1,2)</f>
        <v>34655.1</v>
      </c>
      <c r="AQ76" s="108">
        <f t="shared" si="19"/>
        <v>0</v>
      </c>
      <c r="AR76" s="108">
        <f>ROUND(34655.1,2)</f>
        <v>34655.1</v>
      </c>
      <c r="AS76" s="108">
        <f>ROUND(25973.35,2)</f>
        <v>25973.35</v>
      </c>
      <c r="AT76" s="108">
        <f>ROUND(8681.75,2)</f>
        <v>8681.75</v>
      </c>
      <c r="AU76" s="108">
        <f t="shared" si="24"/>
        <v>0</v>
      </c>
      <c r="AV76" s="108">
        <f>ROUND(8681.75,2)</f>
        <v>8681.75</v>
      </c>
      <c r="AW76" s="108">
        <f t="shared" si="36"/>
        <v>0</v>
      </c>
      <c r="AX76" s="108">
        <f>ROUND(8681.75,2)</f>
        <v>8681.75</v>
      </c>
      <c r="AY76" s="108">
        <f t="shared" si="34"/>
        <v>0</v>
      </c>
      <c r="AZ76" s="108">
        <f>ROUND(59144.9,2)</f>
        <v>59144.9</v>
      </c>
      <c r="BA76" s="108">
        <f>ROUND(121318.25,2)</f>
        <v>121318.25</v>
      </c>
      <c r="BB76" s="115">
        <v>45.49607692307692</v>
      </c>
      <c r="BC76" s="115">
        <v>26.65776923076923</v>
      </c>
      <c r="BD76" s="115">
        <v>6.6782692307692306</v>
      </c>
      <c r="BE76" s="115">
        <v>100</v>
      </c>
      <c r="BF76" s="116"/>
      <c r="BG76" s="116"/>
    </row>
    <row r="77" spans="1:59" x14ac:dyDescent="0.25">
      <c r="A77" s="86"/>
      <c r="B77" s="86"/>
      <c r="C77" s="86"/>
      <c r="D77" s="87"/>
      <c r="E77" s="88"/>
      <c r="F77" s="89"/>
      <c r="G77" s="90"/>
      <c r="H77" s="91"/>
      <c r="I77" s="92"/>
      <c r="J77" s="92"/>
      <c r="K77" s="121" t="s">
        <v>296</v>
      </c>
      <c r="L77" s="163" t="s">
        <v>297</v>
      </c>
      <c r="M77" s="94"/>
      <c r="N77" s="95"/>
      <c r="O77" s="95"/>
      <c r="P77" s="96"/>
      <c r="Q77" s="97"/>
      <c r="R77" s="98">
        <f t="shared" si="26"/>
        <v>0</v>
      </c>
      <c r="S77" s="99"/>
      <c r="T77" s="100"/>
      <c r="U77" s="101"/>
      <c r="V77" s="102"/>
      <c r="W77" s="103"/>
      <c r="X77" s="103"/>
      <c r="Y77" s="105">
        <f t="shared" si="35"/>
        <v>0</v>
      </c>
      <c r="Z77" s="106"/>
      <c r="AA77" s="118"/>
      <c r="AB77" s="108"/>
      <c r="AC77" s="108"/>
      <c r="AD77" s="109"/>
      <c r="AE77" s="110"/>
      <c r="AF77" s="111"/>
      <c r="AG77" s="111"/>
      <c r="AH77" s="111"/>
      <c r="AI77" s="111"/>
      <c r="AJ77" s="112">
        <f t="shared" si="27"/>
        <v>0</v>
      </c>
      <c r="AK77" s="113">
        <f t="shared" si="25"/>
        <v>0</v>
      </c>
      <c r="AL77" s="114">
        <f t="shared" si="28"/>
        <v>0</v>
      </c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15"/>
      <c r="BC77" s="115"/>
      <c r="BD77" s="115"/>
      <c r="BE77" s="115"/>
      <c r="BF77" s="116"/>
      <c r="BG77" s="116"/>
    </row>
    <row r="78" spans="1:59" x14ac:dyDescent="0.25">
      <c r="A78" s="86"/>
      <c r="B78" s="86"/>
      <c r="C78" s="86"/>
      <c r="D78" s="87"/>
      <c r="E78" s="88">
        <v>6</v>
      </c>
      <c r="F78" s="89"/>
      <c r="G78" s="90"/>
      <c r="H78" s="91"/>
      <c r="I78" s="92"/>
      <c r="J78" s="92"/>
      <c r="K78" s="121" t="s">
        <v>25</v>
      </c>
      <c r="L78" s="127" t="s">
        <v>298</v>
      </c>
      <c r="M78" s="94"/>
      <c r="N78" s="95"/>
      <c r="O78" s="95"/>
      <c r="P78" s="96"/>
      <c r="Q78" s="97">
        <f>S78</f>
        <v>330000</v>
      </c>
      <c r="R78" s="98">
        <f t="shared" si="26"/>
        <v>0</v>
      </c>
      <c r="S78" s="99">
        <v>330000</v>
      </c>
      <c r="T78" s="100"/>
      <c r="U78" s="101"/>
      <c r="V78" s="102"/>
      <c r="W78" s="103"/>
      <c r="X78" s="104">
        <f>S78</f>
        <v>330000</v>
      </c>
      <c r="Y78" s="105">
        <f t="shared" si="35"/>
        <v>0</v>
      </c>
      <c r="Z78" s="106"/>
      <c r="AA78" s="118"/>
      <c r="AB78" s="108"/>
      <c r="AC78" s="108"/>
      <c r="AD78" s="109"/>
      <c r="AE78" s="110"/>
      <c r="AF78" s="111"/>
      <c r="AG78" s="111"/>
      <c r="AH78" s="111"/>
      <c r="AI78" s="111"/>
      <c r="AJ78" s="112">
        <f t="shared" si="27"/>
        <v>0</v>
      </c>
      <c r="AK78" s="113">
        <f t="shared" si="25"/>
        <v>0</v>
      </c>
      <c r="AL78" s="114">
        <f t="shared" si="28"/>
        <v>0</v>
      </c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15"/>
      <c r="BC78" s="115"/>
      <c r="BD78" s="115"/>
      <c r="BE78" s="115"/>
      <c r="BF78" s="116"/>
      <c r="BG78" s="116"/>
    </row>
    <row r="79" spans="1:59" x14ac:dyDescent="0.25">
      <c r="A79" s="86"/>
      <c r="B79" s="86"/>
      <c r="C79" s="86"/>
      <c r="D79" s="87"/>
      <c r="E79" s="88">
        <v>6</v>
      </c>
      <c r="F79" s="89"/>
      <c r="G79" s="90"/>
      <c r="H79" s="91"/>
      <c r="I79" s="92"/>
      <c r="J79" s="92"/>
      <c r="K79" s="121" t="s">
        <v>25</v>
      </c>
      <c r="L79" s="127" t="s">
        <v>299</v>
      </c>
      <c r="M79" s="94"/>
      <c r="N79" s="95"/>
      <c r="O79" s="95"/>
      <c r="P79" s="96"/>
      <c r="Q79" s="142">
        <v>0</v>
      </c>
      <c r="R79" s="98">
        <f t="shared" si="26"/>
        <v>0</v>
      </c>
      <c r="S79" s="99">
        <v>36200</v>
      </c>
      <c r="T79" s="100"/>
      <c r="U79" s="101">
        <v>0</v>
      </c>
      <c r="V79" s="102"/>
      <c r="W79" s="103"/>
      <c r="X79" s="103">
        <v>0</v>
      </c>
      <c r="Y79" s="105">
        <f t="shared" si="35"/>
        <v>0</v>
      </c>
      <c r="Z79" s="106" t="s">
        <v>300</v>
      </c>
      <c r="AA79" s="118"/>
      <c r="AB79" s="108"/>
      <c r="AC79" s="108"/>
      <c r="AD79" s="109"/>
      <c r="AE79" s="110"/>
      <c r="AF79" s="111"/>
      <c r="AG79" s="111"/>
      <c r="AH79" s="111"/>
      <c r="AI79" s="111"/>
      <c r="AJ79" s="112">
        <f t="shared" si="27"/>
        <v>0</v>
      </c>
      <c r="AK79" s="113">
        <f t="shared" si="25"/>
        <v>0</v>
      </c>
      <c r="AL79" s="114">
        <f t="shared" si="28"/>
        <v>0</v>
      </c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15"/>
      <c r="BC79" s="115"/>
      <c r="BD79" s="115"/>
      <c r="BE79" s="115"/>
      <c r="BF79" s="116"/>
      <c r="BG79" s="116"/>
    </row>
    <row r="80" spans="1:59" x14ac:dyDescent="0.25">
      <c r="A80" s="86"/>
      <c r="B80" s="86"/>
      <c r="C80" s="86"/>
      <c r="D80" s="87"/>
      <c r="E80" s="88">
        <v>6</v>
      </c>
      <c r="F80" s="89"/>
      <c r="G80" s="90"/>
      <c r="H80" s="91"/>
      <c r="I80" s="92"/>
      <c r="J80" s="92"/>
      <c r="K80" s="121" t="s">
        <v>25</v>
      </c>
      <c r="L80" s="127" t="s">
        <v>301</v>
      </c>
      <c r="M80" s="94"/>
      <c r="N80" s="95"/>
      <c r="O80" s="95"/>
      <c r="P80" s="96"/>
      <c r="Q80" s="97">
        <f>S80</f>
        <v>40000</v>
      </c>
      <c r="R80" s="98">
        <f t="shared" si="26"/>
        <v>25000</v>
      </c>
      <c r="S80" s="99">
        <v>40000</v>
      </c>
      <c r="T80" s="100"/>
      <c r="U80" s="101">
        <v>25000</v>
      </c>
      <c r="V80" s="102"/>
      <c r="W80" s="103">
        <v>40000</v>
      </c>
      <c r="X80" s="103"/>
      <c r="Y80" s="105">
        <f t="shared" si="35"/>
        <v>0</v>
      </c>
      <c r="Z80" s="106"/>
      <c r="AA80" s="118"/>
      <c r="AB80" s="108"/>
      <c r="AC80" s="108"/>
      <c r="AD80" s="109"/>
      <c r="AE80" s="110"/>
      <c r="AF80" s="111"/>
      <c r="AG80" s="111"/>
      <c r="AH80" s="111"/>
      <c r="AI80" s="111"/>
      <c r="AJ80" s="112">
        <f t="shared" si="27"/>
        <v>25000</v>
      </c>
      <c r="AK80" s="113">
        <f t="shared" si="25"/>
        <v>25000</v>
      </c>
      <c r="AL80" s="114">
        <f t="shared" si="28"/>
        <v>0</v>
      </c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15"/>
      <c r="BC80" s="115"/>
      <c r="BD80" s="115"/>
      <c r="BE80" s="115"/>
      <c r="BF80" s="116"/>
      <c r="BG80" s="116"/>
    </row>
    <row r="81" spans="1:59" ht="15.75" thickBot="1" x14ac:dyDescent="0.3">
      <c r="A81" s="86"/>
      <c r="B81" s="86"/>
      <c r="C81" s="86"/>
      <c r="D81" s="87"/>
      <c r="E81" s="88">
        <v>6</v>
      </c>
      <c r="F81" s="89"/>
      <c r="G81" s="90"/>
      <c r="H81" s="91"/>
      <c r="I81" s="92"/>
      <c r="J81" s="92"/>
      <c r="K81" s="121" t="s">
        <v>25</v>
      </c>
      <c r="L81" s="127" t="s">
        <v>302</v>
      </c>
      <c r="M81" s="94"/>
      <c r="N81" s="95"/>
      <c r="O81" s="95"/>
      <c r="P81" s="96"/>
      <c r="Q81" s="97">
        <f>S81</f>
        <v>80000</v>
      </c>
      <c r="R81" s="98">
        <f t="shared" si="26"/>
        <v>0</v>
      </c>
      <c r="S81" s="99">
        <v>80000</v>
      </c>
      <c r="T81" s="100"/>
      <c r="U81" s="160"/>
      <c r="V81" s="102"/>
      <c r="W81" s="103"/>
      <c r="X81" s="104">
        <f>S81</f>
        <v>80000</v>
      </c>
      <c r="Y81" s="105">
        <f t="shared" si="35"/>
        <v>0</v>
      </c>
      <c r="Z81" s="106"/>
      <c r="AA81" s="118"/>
      <c r="AB81" s="108"/>
      <c r="AC81" s="108"/>
      <c r="AD81" s="109"/>
      <c r="AE81" s="110"/>
      <c r="AF81" s="111"/>
      <c r="AG81" s="111"/>
      <c r="AH81" s="111"/>
      <c r="AI81" s="111"/>
      <c r="AJ81" s="112">
        <f t="shared" si="27"/>
        <v>0</v>
      </c>
      <c r="AK81" s="113">
        <f t="shared" si="25"/>
        <v>0</v>
      </c>
      <c r="AL81" s="114">
        <f t="shared" si="28"/>
        <v>0</v>
      </c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15"/>
      <c r="BC81" s="115"/>
      <c r="BD81" s="115"/>
      <c r="BE81" s="115"/>
      <c r="BF81" s="116"/>
      <c r="BG81" s="116"/>
    </row>
    <row r="82" spans="1:59" x14ac:dyDescent="0.25">
      <c r="A82" s="86" t="str">
        <f t="shared" si="29"/>
        <v>21031</v>
      </c>
      <c r="B82" s="86" t="str">
        <f t="shared" si="30"/>
        <v>93300</v>
      </c>
      <c r="C82" s="86" t="str">
        <f t="shared" si="31"/>
        <v>63201</v>
      </c>
      <c r="D82" s="87" t="str">
        <f t="shared" si="32"/>
        <v>21031/93300/63201(2024)</v>
      </c>
      <c r="E82" s="88" t="str">
        <f t="shared" si="33"/>
        <v>6</v>
      </c>
      <c r="F82" s="89">
        <v>0</v>
      </c>
      <c r="G82" s="90"/>
      <c r="H82" s="91" t="s">
        <v>170</v>
      </c>
      <c r="I82" s="92" t="s">
        <v>294</v>
      </c>
      <c r="J82" s="92" t="s">
        <v>26</v>
      </c>
      <c r="K82" s="93" t="s">
        <v>294</v>
      </c>
      <c r="L82" s="93" t="s">
        <v>26</v>
      </c>
      <c r="M82" s="94">
        <v>0</v>
      </c>
      <c r="N82" s="95">
        <v>113049.32</v>
      </c>
      <c r="O82" s="95">
        <v>113049.32</v>
      </c>
      <c r="P82" s="96"/>
      <c r="Q82" s="97"/>
      <c r="R82" s="98">
        <f t="shared" si="26"/>
        <v>0</v>
      </c>
      <c r="S82" s="99"/>
      <c r="T82" s="100"/>
      <c r="U82" s="161"/>
      <c r="V82" s="102"/>
      <c r="W82" s="103"/>
      <c r="X82" s="103"/>
      <c r="Y82" s="105">
        <f t="shared" si="35"/>
        <v>0</v>
      </c>
      <c r="Z82" s="106"/>
      <c r="AA82" s="118"/>
      <c r="AB82" s="108"/>
      <c r="AC82" s="108"/>
      <c r="AD82" s="109"/>
      <c r="AE82" s="110"/>
      <c r="AF82" s="111"/>
      <c r="AG82" s="111"/>
      <c r="AH82" s="111"/>
      <c r="AI82" s="111"/>
      <c r="AJ82" s="112">
        <f t="shared" si="27"/>
        <v>0</v>
      </c>
      <c r="AK82" s="113">
        <f t="shared" si="25"/>
        <v>0</v>
      </c>
      <c r="AL82" s="114">
        <f t="shared" si="28"/>
        <v>0</v>
      </c>
      <c r="AM82" s="108"/>
      <c r="AN82" s="108">
        <f>ROUND(113049.32,2)</f>
        <v>113049.32</v>
      </c>
      <c r="AO82" s="108">
        <f t="shared" ref="AO82:AO129" si="37">ROUND(0,2)</f>
        <v>0</v>
      </c>
      <c r="AP82" s="108">
        <f>ROUND(17473.93,2)</f>
        <v>17473.93</v>
      </c>
      <c r="AQ82" s="108">
        <f t="shared" si="19"/>
        <v>0</v>
      </c>
      <c r="AR82" s="108">
        <f>ROUND(17473.93,2)</f>
        <v>17473.93</v>
      </c>
      <c r="AS82" s="108">
        <f>ROUND(17473.93,2)</f>
        <v>17473.93</v>
      </c>
      <c r="AT82" s="108">
        <f t="shared" ref="AT82:AX98" si="38">ROUND(0,2)</f>
        <v>0</v>
      </c>
      <c r="AU82" s="108">
        <f t="shared" si="24"/>
        <v>0</v>
      </c>
      <c r="AV82" s="108">
        <f t="shared" si="24"/>
        <v>0</v>
      </c>
      <c r="AW82" s="108">
        <f t="shared" si="36"/>
        <v>0</v>
      </c>
      <c r="AX82" s="108">
        <f t="shared" si="36"/>
        <v>0</v>
      </c>
      <c r="AY82" s="108">
        <f t="shared" si="34"/>
        <v>0</v>
      </c>
      <c r="AZ82" s="108">
        <f>ROUND(95575.39,2)</f>
        <v>95575.39</v>
      </c>
      <c r="BA82" s="108">
        <f>ROUND(113049.32,2)</f>
        <v>113049.32</v>
      </c>
      <c r="BB82" s="115">
        <v>84.543091457781429</v>
      </c>
      <c r="BC82" s="115">
        <v>15.456908542218564</v>
      </c>
      <c r="BD82" s="115">
        <v>0</v>
      </c>
      <c r="BE82" s="115">
        <v>0</v>
      </c>
      <c r="BF82" s="116"/>
      <c r="BG82" s="116"/>
    </row>
    <row r="83" spans="1:59" x14ac:dyDescent="0.25">
      <c r="A83" s="86" t="str">
        <f t="shared" si="29"/>
        <v>21031</v>
      </c>
      <c r="B83" s="86" t="str">
        <f t="shared" si="30"/>
        <v>93300</v>
      </c>
      <c r="C83" s="86" t="str">
        <f t="shared" si="31"/>
        <v>63300</v>
      </c>
      <c r="D83" s="87" t="str">
        <f t="shared" si="32"/>
        <v>21031/93300/63300()</v>
      </c>
      <c r="E83" s="88" t="str">
        <f t="shared" si="33"/>
        <v>6</v>
      </c>
      <c r="F83" s="89">
        <v>0</v>
      </c>
      <c r="G83" s="90"/>
      <c r="H83" s="91"/>
      <c r="I83" s="92" t="s">
        <v>303</v>
      </c>
      <c r="J83" s="92" t="s">
        <v>28</v>
      </c>
      <c r="K83" s="121" t="s">
        <v>27</v>
      </c>
      <c r="L83" s="121" t="s">
        <v>28</v>
      </c>
      <c r="M83" s="94">
        <v>50</v>
      </c>
      <c r="N83" s="95">
        <v>0</v>
      </c>
      <c r="O83" s="95">
        <v>50</v>
      </c>
      <c r="P83" s="96">
        <v>50</v>
      </c>
      <c r="Q83" s="97">
        <v>10</v>
      </c>
      <c r="R83" s="98">
        <f t="shared" si="26"/>
        <v>-40</v>
      </c>
      <c r="S83" s="99"/>
      <c r="T83" s="100"/>
      <c r="U83" s="101">
        <v>10</v>
      </c>
      <c r="V83" s="102">
        <v>10</v>
      </c>
      <c r="W83" s="103"/>
      <c r="X83" s="103"/>
      <c r="Y83" s="105">
        <f t="shared" si="35"/>
        <v>0</v>
      </c>
      <c r="Z83" s="106" t="s">
        <v>236</v>
      </c>
      <c r="AA83" s="118"/>
      <c r="AB83" s="108"/>
      <c r="AC83" s="108"/>
      <c r="AD83" s="109"/>
      <c r="AE83" s="110"/>
      <c r="AF83" s="111"/>
      <c r="AG83" s="111"/>
      <c r="AH83" s="111"/>
      <c r="AI83" s="111"/>
      <c r="AJ83" s="112">
        <f t="shared" si="27"/>
        <v>10</v>
      </c>
      <c r="AK83" s="113">
        <f t="shared" si="25"/>
        <v>10</v>
      </c>
      <c r="AL83" s="114">
        <f t="shared" si="28"/>
        <v>0</v>
      </c>
      <c r="AM83" s="108"/>
      <c r="AN83" s="108">
        <f>ROUND(0,2)</f>
        <v>0</v>
      </c>
      <c r="AO83" s="108">
        <f t="shared" si="37"/>
        <v>0</v>
      </c>
      <c r="AP83" s="108">
        <f>ROUND(0,2)</f>
        <v>0</v>
      </c>
      <c r="AQ83" s="108">
        <f t="shared" si="19"/>
        <v>0</v>
      </c>
      <c r="AR83" s="108">
        <f t="shared" si="19"/>
        <v>0</v>
      </c>
      <c r="AS83" s="108">
        <f t="shared" si="19"/>
        <v>0</v>
      </c>
      <c r="AT83" s="108">
        <f t="shared" si="38"/>
        <v>0</v>
      </c>
      <c r="AU83" s="108">
        <f t="shared" si="24"/>
        <v>0</v>
      </c>
      <c r="AV83" s="108">
        <f t="shared" si="24"/>
        <v>0</v>
      </c>
      <c r="AW83" s="108">
        <f t="shared" si="36"/>
        <v>0</v>
      </c>
      <c r="AX83" s="108">
        <f t="shared" si="36"/>
        <v>0</v>
      </c>
      <c r="AY83" s="108">
        <f t="shared" si="34"/>
        <v>0</v>
      </c>
      <c r="AZ83" s="108">
        <f>ROUND(50,2)</f>
        <v>50</v>
      </c>
      <c r="BA83" s="108">
        <f>ROUND(50,2)</f>
        <v>50</v>
      </c>
      <c r="BB83" s="115">
        <v>100</v>
      </c>
      <c r="BC83" s="115">
        <v>0</v>
      </c>
      <c r="BD83" s="115">
        <v>0</v>
      </c>
      <c r="BE83" s="115">
        <v>0</v>
      </c>
      <c r="BF83" s="116"/>
      <c r="BG83" s="116"/>
    </row>
    <row r="84" spans="1:59" x14ac:dyDescent="0.25">
      <c r="A84" s="86" t="str">
        <f t="shared" si="29"/>
        <v>21031</v>
      </c>
      <c r="B84" s="86" t="str">
        <f t="shared" si="30"/>
        <v>93300</v>
      </c>
      <c r="C84" s="86" t="str">
        <f t="shared" si="31"/>
        <v>63300</v>
      </c>
      <c r="D84" s="87" t="str">
        <f t="shared" si="32"/>
        <v>21031/93300/63300(2024)</v>
      </c>
      <c r="E84" s="88" t="str">
        <f t="shared" si="33"/>
        <v>6</v>
      </c>
      <c r="F84" s="89">
        <v>0</v>
      </c>
      <c r="G84" s="90"/>
      <c r="H84" s="91" t="s">
        <v>170</v>
      </c>
      <c r="I84" s="92" t="s">
        <v>303</v>
      </c>
      <c r="J84" s="92" t="s">
        <v>28</v>
      </c>
      <c r="K84" s="93" t="s">
        <v>303</v>
      </c>
      <c r="L84" s="93" t="s">
        <v>28</v>
      </c>
      <c r="M84" s="94">
        <v>0</v>
      </c>
      <c r="N84" s="95">
        <v>2201.23</v>
      </c>
      <c r="O84" s="95">
        <v>2201.23</v>
      </c>
      <c r="P84" s="96"/>
      <c r="Q84" s="97"/>
      <c r="R84" s="98">
        <f t="shared" si="26"/>
        <v>0</v>
      </c>
      <c r="S84" s="99"/>
      <c r="T84" s="100"/>
      <c r="U84" s="101"/>
      <c r="V84" s="102"/>
      <c r="W84" s="103"/>
      <c r="X84" s="103"/>
      <c r="Y84" s="105">
        <f t="shared" si="35"/>
        <v>0</v>
      </c>
      <c r="Z84" s="106"/>
      <c r="AA84" s="118"/>
      <c r="AB84" s="108"/>
      <c r="AC84" s="108"/>
      <c r="AD84" s="109"/>
      <c r="AE84" s="110"/>
      <c r="AF84" s="111"/>
      <c r="AG84" s="111"/>
      <c r="AH84" s="111"/>
      <c r="AI84" s="111"/>
      <c r="AJ84" s="112">
        <f t="shared" si="27"/>
        <v>0</v>
      </c>
      <c r="AK84" s="113">
        <f t="shared" si="25"/>
        <v>0</v>
      </c>
      <c r="AL84" s="114">
        <f t="shared" si="28"/>
        <v>0</v>
      </c>
      <c r="AM84" s="108"/>
      <c r="AN84" s="108">
        <f>ROUND(2201.23,2)</f>
        <v>2201.23</v>
      </c>
      <c r="AO84" s="108">
        <f t="shared" si="37"/>
        <v>0</v>
      </c>
      <c r="AP84" s="108">
        <f>ROUND(0,2)</f>
        <v>0</v>
      </c>
      <c r="AQ84" s="108">
        <f t="shared" si="19"/>
        <v>0</v>
      </c>
      <c r="AR84" s="108">
        <f t="shared" si="19"/>
        <v>0</v>
      </c>
      <c r="AS84" s="108">
        <f t="shared" si="19"/>
        <v>0</v>
      </c>
      <c r="AT84" s="108">
        <f t="shared" si="38"/>
        <v>0</v>
      </c>
      <c r="AU84" s="108">
        <f t="shared" si="24"/>
        <v>0</v>
      </c>
      <c r="AV84" s="108">
        <f t="shared" si="24"/>
        <v>0</v>
      </c>
      <c r="AW84" s="108">
        <f t="shared" si="36"/>
        <v>0</v>
      </c>
      <c r="AX84" s="108">
        <f t="shared" si="36"/>
        <v>0</v>
      </c>
      <c r="AY84" s="108">
        <f t="shared" si="34"/>
        <v>0</v>
      </c>
      <c r="AZ84" s="108">
        <f>ROUND(2201.23,2)</f>
        <v>2201.23</v>
      </c>
      <c r="BA84" s="108">
        <f>ROUND(2201.23,2)</f>
        <v>2201.23</v>
      </c>
      <c r="BB84" s="115">
        <v>100</v>
      </c>
      <c r="BC84" s="115">
        <v>0</v>
      </c>
      <c r="BD84" s="115">
        <v>0</v>
      </c>
      <c r="BE84" s="115">
        <v>0</v>
      </c>
      <c r="BF84" s="116"/>
      <c r="BG84" s="116"/>
    </row>
    <row r="85" spans="1:59" x14ac:dyDescent="0.25">
      <c r="A85" s="86" t="str">
        <f t="shared" si="29"/>
        <v>22010</v>
      </c>
      <c r="B85" s="86" t="str">
        <f t="shared" si="30"/>
        <v>17200</v>
      </c>
      <c r="C85" s="86" t="str">
        <f t="shared" si="31"/>
        <v>61900</v>
      </c>
      <c r="D85" s="87" t="str">
        <f t="shared" si="32"/>
        <v>22010/17200/61900()</v>
      </c>
      <c r="E85" s="88" t="str">
        <f t="shared" si="33"/>
        <v>6</v>
      </c>
      <c r="F85" s="89">
        <v>0</v>
      </c>
      <c r="G85" s="90"/>
      <c r="H85" s="91"/>
      <c r="I85" s="92" t="s">
        <v>55</v>
      </c>
      <c r="J85" s="92" t="s">
        <v>56</v>
      </c>
      <c r="K85" s="93" t="s">
        <v>55</v>
      </c>
      <c r="L85" s="93" t="s">
        <v>56</v>
      </c>
      <c r="M85" s="94">
        <v>50</v>
      </c>
      <c r="N85" s="95">
        <v>0</v>
      </c>
      <c r="O85" s="95">
        <v>50</v>
      </c>
      <c r="P85" s="96">
        <v>50</v>
      </c>
      <c r="Q85" s="97">
        <v>10</v>
      </c>
      <c r="R85" s="98">
        <f t="shared" si="26"/>
        <v>-40</v>
      </c>
      <c r="S85" s="99"/>
      <c r="T85" s="100"/>
      <c r="U85" s="101">
        <v>10</v>
      </c>
      <c r="V85" s="102">
        <v>10</v>
      </c>
      <c r="W85" s="103"/>
      <c r="X85" s="103"/>
      <c r="Y85" s="105">
        <f t="shared" si="35"/>
        <v>0</v>
      </c>
      <c r="Z85" s="106" t="s">
        <v>236</v>
      </c>
      <c r="AA85" s="118"/>
      <c r="AB85" s="108"/>
      <c r="AC85" s="108"/>
      <c r="AD85" s="109"/>
      <c r="AE85" s="110"/>
      <c r="AF85" s="111"/>
      <c r="AG85" s="111"/>
      <c r="AH85" s="111"/>
      <c r="AI85" s="111"/>
      <c r="AJ85" s="112">
        <f t="shared" si="27"/>
        <v>10</v>
      </c>
      <c r="AK85" s="113">
        <f t="shared" si="25"/>
        <v>10</v>
      </c>
      <c r="AL85" s="114">
        <f t="shared" si="28"/>
        <v>0</v>
      </c>
      <c r="AM85" s="108"/>
      <c r="AN85" s="108">
        <f>ROUND(0,2)</f>
        <v>0</v>
      </c>
      <c r="AO85" s="108">
        <f t="shared" si="37"/>
        <v>0</v>
      </c>
      <c r="AP85" s="108">
        <f>ROUND(0,2)</f>
        <v>0</v>
      </c>
      <c r="AQ85" s="108">
        <f t="shared" si="19"/>
        <v>0</v>
      </c>
      <c r="AR85" s="108">
        <f t="shared" si="19"/>
        <v>0</v>
      </c>
      <c r="AS85" s="108">
        <f t="shared" si="19"/>
        <v>0</v>
      </c>
      <c r="AT85" s="108">
        <f t="shared" si="38"/>
        <v>0</v>
      </c>
      <c r="AU85" s="108">
        <f t="shared" si="24"/>
        <v>0</v>
      </c>
      <c r="AV85" s="108">
        <f t="shared" si="24"/>
        <v>0</v>
      </c>
      <c r="AW85" s="108">
        <f t="shared" si="36"/>
        <v>0</v>
      </c>
      <c r="AX85" s="108">
        <f t="shared" si="36"/>
        <v>0</v>
      </c>
      <c r="AY85" s="108">
        <f t="shared" si="34"/>
        <v>0</v>
      </c>
      <c r="AZ85" s="108">
        <f t="shared" ref="AZ85:BA88" si="39">ROUND(50,2)</f>
        <v>50</v>
      </c>
      <c r="BA85" s="108">
        <f t="shared" si="39"/>
        <v>50</v>
      </c>
      <c r="BB85" s="115">
        <v>100</v>
      </c>
      <c r="BC85" s="115">
        <v>0</v>
      </c>
      <c r="BD85" s="115">
        <v>0</v>
      </c>
      <c r="BE85" s="115">
        <v>0</v>
      </c>
      <c r="BF85" s="116"/>
      <c r="BG85" s="116"/>
    </row>
    <row r="86" spans="1:59" x14ac:dyDescent="0.25">
      <c r="A86" s="86" t="str">
        <f t="shared" si="29"/>
        <v>22010</v>
      </c>
      <c r="B86" s="86" t="str">
        <f t="shared" si="30"/>
        <v>17200</v>
      </c>
      <c r="C86" s="86" t="str">
        <f t="shared" si="31"/>
        <v>62300</v>
      </c>
      <c r="D86" s="87" t="str">
        <f t="shared" si="32"/>
        <v>22010/17200/62300()</v>
      </c>
      <c r="E86" s="88" t="str">
        <f t="shared" si="33"/>
        <v>6</v>
      </c>
      <c r="F86" s="89">
        <v>0</v>
      </c>
      <c r="G86" s="90"/>
      <c r="H86" s="91"/>
      <c r="I86" s="92" t="s">
        <v>57</v>
      </c>
      <c r="J86" s="92" t="s">
        <v>58</v>
      </c>
      <c r="K86" s="93" t="s">
        <v>57</v>
      </c>
      <c r="L86" s="93" t="s">
        <v>58</v>
      </c>
      <c r="M86" s="94">
        <v>50</v>
      </c>
      <c r="N86" s="95">
        <v>0</v>
      </c>
      <c r="O86" s="95">
        <v>50</v>
      </c>
      <c r="P86" s="96">
        <v>50</v>
      </c>
      <c r="Q86" s="97">
        <v>10</v>
      </c>
      <c r="R86" s="98">
        <f t="shared" si="26"/>
        <v>-40</v>
      </c>
      <c r="S86" s="99"/>
      <c r="T86" s="100"/>
      <c r="U86" s="101">
        <v>10</v>
      </c>
      <c r="V86" s="102">
        <v>10</v>
      </c>
      <c r="W86" s="103"/>
      <c r="X86" s="103"/>
      <c r="Y86" s="105">
        <f t="shared" si="35"/>
        <v>0</v>
      </c>
      <c r="Z86" s="106" t="s">
        <v>236</v>
      </c>
      <c r="AA86" s="118"/>
      <c r="AB86" s="108"/>
      <c r="AC86" s="108"/>
      <c r="AD86" s="109"/>
      <c r="AE86" s="110"/>
      <c r="AF86" s="111"/>
      <c r="AG86" s="111"/>
      <c r="AH86" s="111"/>
      <c r="AI86" s="111"/>
      <c r="AJ86" s="112">
        <f t="shared" si="27"/>
        <v>10</v>
      </c>
      <c r="AK86" s="113">
        <f t="shared" si="25"/>
        <v>10</v>
      </c>
      <c r="AL86" s="114">
        <f t="shared" si="28"/>
        <v>0</v>
      </c>
      <c r="AM86" s="108"/>
      <c r="AN86" s="108">
        <f>ROUND(0,2)</f>
        <v>0</v>
      </c>
      <c r="AO86" s="108">
        <f t="shared" si="37"/>
        <v>0</v>
      </c>
      <c r="AP86" s="108">
        <f>ROUND(0,2)</f>
        <v>0</v>
      </c>
      <c r="AQ86" s="108">
        <f t="shared" si="19"/>
        <v>0</v>
      </c>
      <c r="AR86" s="108">
        <f t="shared" si="19"/>
        <v>0</v>
      </c>
      <c r="AS86" s="108">
        <f t="shared" si="19"/>
        <v>0</v>
      </c>
      <c r="AT86" s="108">
        <f t="shared" si="38"/>
        <v>0</v>
      </c>
      <c r="AU86" s="108">
        <f t="shared" si="24"/>
        <v>0</v>
      </c>
      <c r="AV86" s="108">
        <f t="shared" si="24"/>
        <v>0</v>
      </c>
      <c r="AW86" s="108">
        <f t="shared" si="36"/>
        <v>0</v>
      </c>
      <c r="AX86" s="108">
        <f t="shared" si="36"/>
        <v>0</v>
      </c>
      <c r="AY86" s="108">
        <f t="shared" si="34"/>
        <v>0</v>
      </c>
      <c r="AZ86" s="108">
        <f t="shared" si="39"/>
        <v>50</v>
      </c>
      <c r="BA86" s="108">
        <f t="shared" si="39"/>
        <v>50</v>
      </c>
      <c r="BB86" s="115">
        <v>100</v>
      </c>
      <c r="BC86" s="115">
        <v>0</v>
      </c>
      <c r="BD86" s="115">
        <v>0</v>
      </c>
      <c r="BE86" s="115">
        <v>0</v>
      </c>
      <c r="BF86" s="116"/>
      <c r="BG86" s="116"/>
    </row>
    <row r="87" spans="1:59" x14ac:dyDescent="0.25">
      <c r="A87" s="86"/>
      <c r="B87" s="86"/>
      <c r="C87" s="86"/>
      <c r="D87" s="87"/>
      <c r="E87" s="88">
        <v>6</v>
      </c>
      <c r="F87" s="89"/>
      <c r="G87" s="90"/>
      <c r="H87" s="91"/>
      <c r="I87" s="92"/>
      <c r="J87" s="164" t="s">
        <v>304</v>
      </c>
      <c r="K87" s="165" t="s">
        <v>59</v>
      </c>
      <c r="L87" s="166" t="s">
        <v>60</v>
      </c>
      <c r="M87" s="94">
        <v>0</v>
      </c>
      <c r="N87" s="95"/>
      <c r="O87" s="95"/>
      <c r="P87" s="96"/>
      <c r="Q87" s="97"/>
      <c r="R87" s="98">
        <f t="shared" si="26"/>
        <v>50000</v>
      </c>
      <c r="S87" s="99"/>
      <c r="T87" s="100"/>
      <c r="U87" s="167">
        <v>50000</v>
      </c>
      <c r="V87" s="102"/>
      <c r="W87" s="103"/>
      <c r="X87" s="103"/>
      <c r="Y87" s="105"/>
      <c r="Z87" s="168" t="s">
        <v>305</v>
      </c>
      <c r="AA87" s="118"/>
      <c r="AB87" s="108"/>
      <c r="AC87" s="108"/>
      <c r="AD87" s="109"/>
      <c r="AE87" s="110"/>
      <c r="AF87" s="111"/>
      <c r="AG87" s="111"/>
      <c r="AH87" s="111"/>
      <c r="AI87" s="111"/>
      <c r="AJ87" s="112">
        <f t="shared" si="27"/>
        <v>50000</v>
      </c>
      <c r="AK87" s="113">
        <f t="shared" si="25"/>
        <v>50000</v>
      </c>
      <c r="AL87" s="114">
        <f t="shared" si="28"/>
        <v>0</v>
      </c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15"/>
      <c r="BC87" s="115"/>
      <c r="BD87" s="115"/>
      <c r="BE87" s="115"/>
      <c r="BF87" s="116"/>
      <c r="BG87" s="116"/>
    </row>
    <row r="88" spans="1:59" x14ac:dyDescent="0.25">
      <c r="A88" s="86" t="str">
        <f t="shared" si="29"/>
        <v>23000</v>
      </c>
      <c r="B88" s="86" t="str">
        <f t="shared" si="30"/>
        <v>43300</v>
      </c>
      <c r="C88" s="86" t="str">
        <f t="shared" si="31"/>
        <v>62600</v>
      </c>
      <c r="D88" s="87" t="str">
        <f t="shared" si="32"/>
        <v>23000/43300/62600()</v>
      </c>
      <c r="E88" s="88" t="str">
        <f t="shared" si="33"/>
        <v>6</v>
      </c>
      <c r="F88" s="89">
        <v>0</v>
      </c>
      <c r="G88" s="90"/>
      <c r="H88" s="91"/>
      <c r="I88" s="92" t="s">
        <v>61</v>
      </c>
      <c r="J88" s="92" t="s">
        <v>62</v>
      </c>
      <c r="K88" s="93" t="s">
        <v>61</v>
      </c>
      <c r="L88" s="93" t="s">
        <v>62</v>
      </c>
      <c r="M88" s="94">
        <v>50</v>
      </c>
      <c r="N88" s="95">
        <v>0</v>
      </c>
      <c r="O88" s="95">
        <v>50</v>
      </c>
      <c r="P88" s="96">
        <v>50</v>
      </c>
      <c r="Q88" s="97">
        <v>10</v>
      </c>
      <c r="R88" s="98">
        <f t="shared" si="26"/>
        <v>-40</v>
      </c>
      <c r="S88" s="99"/>
      <c r="T88" s="100"/>
      <c r="U88" s="101">
        <v>10</v>
      </c>
      <c r="V88" s="102">
        <v>10</v>
      </c>
      <c r="W88" s="103"/>
      <c r="X88" s="103"/>
      <c r="Y88" s="105">
        <f t="shared" si="35"/>
        <v>0</v>
      </c>
      <c r="Z88" s="106" t="s">
        <v>236</v>
      </c>
      <c r="AA88" s="118"/>
      <c r="AB88" s="108"/>
      <c r="AC88" s="108"/>
      <c r="AD88" s="109"/>
      <c r="AE88" s="110"/>
      <c r="AF88" s="111"/>
      <c r="AG88" s="111"/>
      <c r="AH88" s="111"/>
      <c r="AI88" s="111"/>
      <c r="AJ88" s="112">
        <f t="shared" si="27"/>
        <v>10</v>
      </c>
      <c r="AK88" s="113">
        <f t="shared" si="25"/>
        <v>10</v>
      </c>
      <c r="AL88" s="114">
        <f t="shared" si="28"/>
        <v>0</v>
      </c>
      <c r="AM88" s="108"/>
      <c r="AN88" s="108">
        <f>ROUND(0,2)</f>
        <v>0</v>
      </c>
      <c r="AO88" s="108">
        <f t="shared" si="37"/>
        <v>0</v>
      </c>
      <c r="AP88" s="108">
        <f>ROUND(0,2)</f>
        <v>0</v>
      </c>
      <c r="AQ88" s="108">
        <f t="shared" si="19"/>
        <v>0</v>
      </c>
      <c r="AR88" s="108">
        <f t="shared" si="19"/>
        <v>0</v>
      </c>
      <c r="AS88" s="108">
        <f t="shared" si="19"/>
        <v>0</v>
      </c>
      <c r="AT88" s="108">
        <f t="shared" si="38"/>
        <v>0</v>
      </c>
      <c r="AU88" s="108">
        <f t="shared" si="24"/>
        <v>0</v>
      </c>
      <c r="AV88" s="108">
        <f t="shared" si="24"/>
        <v>0</v>
      </c>
      <c r="AW88" s="108">
        <f t="shared" si="36"/>
        <v>0</v>
      </c>
      <c r="AX88" s="108">
        <f t="shared" si="36"/>
        <v>0</v>
      </c>
      <c r="AY88" s="108">
        <f t="shared" si="34"/>
        <v>0</v>
      </c>
      <c r="AZ88" s="108">
        <f t="shared" si="39"/>
        <v>50</v>
      </c>
      <c r="BA88" s="108">
        <f t="shared" si="39"/>
        <v>50</v>
      </c>
      <c r="BB88" s="115">
        <v>100</v>
      </c>
      <c r="BC88" s="115">
        <v>0</v>
      </c>
      <c r="BD88" s="115">
        <v>0</v>
      </c>
      <c r="BE88" s="115">
        <v>0</v>
      </c>
      <c r="BF88" s="116"/>
      <c r="BG88" s="116"/>
    </row>
    <row r="89" spans="1:59" x14ac:dyDescent="0.25">
      <c r="A89" s="86" t="str">
        <f t="shared" si="29"/>
        <v>23001</v>
      </c>
      <c r="B89" s="86" t="str">
        <f t="shared" si="30"/>
        <v>43201</v>
      </c>
      <c r="C89" s="86" t="str">
        <f t="shared" si="31"/>
        <v>62521</v>
      </c>
      <c r="D89" s="87" t="str">
        <f t="shared" si="32"/>
        <v>23001/43201/62521(2024)</v>
      </c>
      <c r="E89" s="88" t="str">
        <f t="shared" si="33"/>
        <v>6</v>
      </c>
      <c r="F89" s="89" t="s">
        <v>306</v>
      </c>
      <c r="G89" s="90"/>
      <c r="H89" s="91" t="s">
        <v>170</v>
      </c>
      <c r="I89" s="92" t="s">
        <v>307</v>
      </c>
      <c r="J89" s="92" t="s">
        <v>308</v>
      </c>
      <c r="K89" s="93" t="s">
        <v>307</v>
      </c>
      <c r="L89" s="93" t="s">
        <v>308</v>
      </c>
      <c r="M89" s="94">
        <v>0</v>
      </c>
      <c r="N89" s="95">
        <v>235675</v>
      </c>
      <c r="O89" s="95">
        <v>235675</v>
      </c>
      <c r="P89" s="96"/>
      <c r="Q89" s="97"/>
      <c r="R89" s="98">
        <f t="shared" si="26"/>
        <v>0</v>
      </c>
      <c r="S89" s="169"/>
      <c r="T89" s="170"/>
      <c r="U89" s="101"/>
      <c r="V89" s="102"/>
      <c r="W89" s="171"/>
      <c r="X89" s="171"/>
      <c r="Y89" s="105">
        <f t="shared" si="35"/>
        <v>0</v>
      </c>
      <c r="Z89" s="106"/>
      <c r="AA89" s="118"/>
      <c r="AB89" s="108"/>
      <c r="AC89" s="108"/>
      <c r="AD89" s="109"/>
      <c r="AE89" s="110"/>
      <c r="AF89" s="111"/>
      <c r="AG89" s="111"/>
      <c r="AH89" s="111"/>
      <c r="AI89" s="111"/>
      <c r="AJ89" s="112">
        <f t="shared" si="27"/>
        <v>0</v>
      </c>
      <c r="AK89" s="113">
        <f t="shared" si="25"/>
        <v>0</v>
      </c>
      <c r="AL89" s="114">
        <f t="shared" si="28"/>
        <v>0</v>
      </c>
      <c r="AM89" s="108"/>
      <c r="AN89" s="108">
        <f>ROUND(235675,2)</f>
        <v>235675</v>
      </c>
      <c r="AO89" s="108">
        <f t="shared" si="37"/>
        <v>0</v>
      </c>
      <c r="AP89" s="108">
        <f>ROUND(235674.99,2)</f>
        <v>235674.99</v>
      </c>
      <c r="AQ89" s="108">
        <f>ROUND(235674.99,2)</f>
        <v>235674.99</v>
      </c>
      <c r="AR89" s="108">
        <f t="shared" ref="AR89:AS89" si="40">ROUND(0,2)</f>
        <v>0</v>
      </c>
      <c r="AS89" s="108">
        <f t="shared" si="40"/>
        <v>0</v>
      </c>
      <c r="AT89" s="108">
        <f t="shared" si="38"/>
        <v>0</v>
      </c>
      <c r="AU89" s="108">
        <f t="shared" si="38"/>
        <v>0</v>
      </c>
      <c r="AV89" s="108">
        <f t="shared" si="38"/>
        <v>0</v>
      </c>
      <c r="AW89" s="108">
        <f t="shared" si="36"/>
        <v>0</v>
      </c>
      <c r="AX89" s="108">
        <f t="shared" si="36"/>
        <v>0</v>
      </c>
      <c r="AY89" s="108">
        <f t="shared" si="34"/>
        <v>0</v>
      </c>
      <c r="AZ89" s="108">
        <f>ROUND(0.01,2)</f>
        <v>0.01</v>
      </c>
      <c r="BA89" s="108">
        <f>ROUND(235675,2)</f>
        <v>235675</v>
      </c>
      <c r="BB89" s="115">
        <v>4.2431314309960751E-6</v>
      </c>
      <c r="BC89" s="115">
        <v>0</v>
      </c>
      <c r="BD89" s="115">
        <v>0</v>
      </c>
      <c r="BE89" s="115">
        <v>0</v>
      </c>
      <c r="BF89" s="116"/>
      <c r="BG89" s="116"/>
    </row>
    <row r="90" spans="1:59" x14ac:dyDescent="0.25">
      <c r="A90" s="86" t="str">
        <f t="shared" si="29"/>
        <v>30000</v>
      </c>
      <c r="B90" s="86" t="str">
        <f t="shared" si="30"/>
        <v>13401</v>
      </c>
      <c r="C90" s="86" t="str">
        <f t="shared" si="31"/>
        <v>60900</v>
      </c>
      <c r="D90" s="87" t="str">
        <f t="shared" si="32"/>
        <v>30000/13401/60900()</v>
      </c>
      <c r="E90" s="88" t="str">
        <f t="shared" si="33"/>
        <v>6</v>
      </c>
      <c r="F90" s="89" t="s">
        <v>189</v>
      </c>
      <c r="G90" s="90"/>
      <c r="H90" s="91"/>
      <c r="I90" s="92" t="s">
        <v>309</v>
      </c>
      <c r="J90" s="92" t="s">
        <v>310</v>
      </c>
      <c r="K90" s="93" t="s">
        <v>309</v>
      </c>
      <c r="L90" s="93" t="s">
        <v>310</v>
      </c>
      <c r="M90" s="94">
        <f>ROUND(5570,2)</f>
        <v>5570</v>
      </c>
      <c r="N90" s="95">
        <f>ROUND(208037,2)</f>
        <v>208037</v>
      </c>
      <c r="O90" s="95">
        <f>ROUND(213607,2)</f>
        <v>213607</v>
      </c>
      <c r="P90" s="96">
        <v>0</v>
      </c>
      <c r="Q90" s="97"/>
      <c r="R90" s="98">
        <f t="shared" si="26"/>
        <v>-5570</v>
      </c>
      <c r="S90" s="169"/>
      <c r="T90" s="170"/>
      <c r="U90" s="101"/>
      <c r="V90" s="172"/>
      <c r="W90" s="171"/>
      <c r="X90" s="171"/>
      <c r="Y90" s="105">
        <f t="shared" si="35"/>
        <v>0</v>
      </c>
      <c r="Z90" s="106"/>
      <c r="AA90" s="118"/>
      <c r="AB90" s="108"/>
      <c r="AC90" s="108"/>
      <c r="AD90" s="109"/>
      <c r="AE90" s="110"/>
      <c r="AF90" s="111"/>
      <c r="AG90" s="111"/>
      <c r="AH90" s="111"/>
      <c r="AI90" s="111"/>
      <c r="AJ90" s="112">
        <f t="shared" si="27"/>
        <v>0</v>
      </c>
      <c r="AK90" s="113">
        <f t="shared" si="25"/>
        <v>0</v>
      </c>
      <c r="AL90" s="114">
        <f t="shared" si="28"/>
        <v>0</v>
      </c>
      <c r="AM90" s="108"/>
      <c r="AN90" s="108">
        <f>ROUND(208037,2)</f>
        <v>208037</v>
      </c>
      <c r="AO90" s="108">
        <f t="shared" si="37"/>
        <v>0</v>
      </c>
      <c r="AP90" s="108">
        <f>ROUND(213606.14,2)</f>
        <v>213606.14</v>
      </c>
      <c r="AQ90" s="108">
        <f t="shared" ref="AQ90:AT113" si="41">ROUND(0,2)</f>
        <v>0</v>
      </c>
      <c r="AR90" s="108">
        <f>ROUND(213606.14,2)</f>
        <v>213606.14</v>
      </c>
      <c r="AS90" s="108">
        <f>ROUND(213606.14,2)</f>
        <v>213606.14</v>
      </c>
      <c r="AT90" s="108">
        <f t="shared" si="38"/>
        <v>0</v>
      </c>
      <c r="AU90" s="108">
        <f t="shared" si="38"/>
        <v>0</v>
      </c>
      <c r="AV90" s="108">
        <f t="shared" si="38"/>
        <v>0</v>
      </c>
      <c r="AW90" s="108">
        <f t="shared" si="36"/>
        <v>0</v>
      </c>
      <c r="AX90" s="108">
        <f t="shared" si="36"/>
        <v>0</v>
      </c>
      <c r="AY90" s="108">
        <f t="shared" si="34"/>
        <v>0</v>
      </c>
      <c r="AZ90" s="108">
        <f>ROUND(0.86,2)</f>
        <v>0.86</v>
      </c>
      <c r="BA90" s="108">
        <f>ROUND(213607,2)</f>
        <v>213607</v>
      </c>
      <c r="BB90" s="115">
        <v>4.0260852874671708E-4</v>
      </c>
      <c r="BC90" s="115">
        <v>99.999597391471269</v>
      </c>
      <c r="BD90" s="115">
        <v>0</v>
      </c>
      <c r="BE90" s="115">
        <v>0</v>
      </c>
      <c r="BF90" s="116"/>
      <c r="BG90" s="116"/>
    </row>
    <row r="91" spans="1:59" x14ac:dyDescent="0.25">
      <c r="A91" s="86" t="str">
        <f t="shared" si="29"/>
        <v>30000</v>
      </c>
      <c r="B91" s="86" t="str">
        <f t="shared" si="30"/>
        <v>13306</v>
      </c>
      <c r="C91" s="86" t="str">
        <f t="shared" si="31"/>
        <v>60903</v>
      </c>
      <c r="D91" s="87" t="str">
        <f t="shared" si="32"/>
        <v>30000/13306/60903(2022)</v>
      </c>
      <c r="E91" s="88" t="str">
        <f t="shared" si="33"/>
        <v>6</v>
      </c>
      <c r="F91" s="89" t="s">
        <v>180</v>
      </c>
      <c r="G91" s="90"/>
      <c r="H91" s="91" t="s">
        <v>181</v>
      </c>
      <c r="I91" s="92" t="s">
        <v>311</v>
      </c>
      <c r="J91" s="92" t="s">
        <v>312</v>
      </c>
      <c r="K91" s="93" t="s">
        <v>311</v>
      </c>
      <c r="L91" s="93" t="s">
        <v>312</v>
      </c>
      <c r="M91" s="94">
        <v>0</v>
      </c>
      <c r="N91" s="95">
        <v>633625.9</v>
      </c>
      <c r="O91" s="95">
        <v>633625.9</v>
      </c>
      <c r="P91" s="96"/>
      <c r="Q91" s="97"/>
      <c r="R91" s="98">
        <f t="shared" si="26"/>
        <v>0</v>
      </c>
      <c r="S91" s="169"/>
      <c r="T91" s="170"/>
      <c r="U91" s="101"/>
      <c r="V91" s="172"/>
      <c r="W91" s="171"/>
      <c r="X91" s="171"/>
      <c r="Y91" s="105">
        <f t="shared" si="35"/>
        <v>0</v>
      </c>
      <c r="Z91" s="106"/>
      <c r="AA91" s="118"/>
      <c r="AB91" s="108"/>
      <c r="AC91" s="108"/>
      <c r="AD91" s="109"/>
      <c r="AE91" s="110"/>
      <c r="AF91" s="111"/>
      <c r="AG91" s="111"/>
      <c r="AH91" s="111"/>
      <c r="AI91" s="111"/>
      <c r="AJ91" s="112">
        <f t="shared" si="27"/>
        <v>0</v>
      </c>
      <c r="AK91" s="113">
        <f t="shared" si="25"/>
        <v>0</v>
      </c>
      <c r="AL91" s="114">
        <f t="shared" si="28"/>
        <v>0</v>
      </c>
      <c r="AM91" s="108"/>
      <c r="AN91" s="108">
        <f>ROUND(633625.9,2)</f>
        <v>633625.9</v>
      </c>
      <c r="AO91" s="108">
        <f t="shared" si="37"/>
        <v>0</v>
      </c>
      <c r="AP91" s="108">
        <f>ROUND(633625.9,2)</f>
        <v>633625.9</v>
      </c>
      <c r="AQ91" s="108">
        <f t="shared" si="41"/>
        <v>0</v>
      </c>
      <c r="AR91" s="108">
        <f>ROUND(633625.9,2)</f>
        <v>633625.9</v>
      </c>
      <c r="AS91" s="108">
        <f>ROUND(344364.7,2)</f>
        <v>344364.7</v>
      </c>
      <c r="AT91" s="108">
        <f>ROUND(289261.2,2)</f>
        <v>289261.2</v>
      </c>
      <c r="AU91" s="108">
        <f t="shared" si="38"/>
        <v>0</v>
      </c>
      <c r="AV91" s="108">
        <f>ROUND(289261.2,2)</f>
        <v>289261.2</v>
      </c>
      <c r="AW91" s="108">
        <f>ROUND(85163.8,2)</f>
        <v>85163.8</v>
      </c>
      <c r="AX91" s="108">
        <f>ROUND(204097.4,2)</f>
        <v>204097.4</v>
      </c>
      <c r="AY91" s="108">
        <f t="shared" si="34"/>
        <v>0</v>
      </c>
      <c r="AZ91" s="108">
        <f>ROUND(0,2)</f>
        <v>0</v>
      </c>
      <c r="BA91" s="108">
        <f>ROUND(344364.7,2)</f>
        <v>344364.7</v>
      </c>
      <c r="BB91" s="115">
        <v>0</v>
      </c>
      <c r="BC91" s="115">
        <v>100</v>
      </c>
      <c r="BD91" s="115">
        <v>45.651732355006317</v>
      </c>
      <c r="BE91" s="115">
        <v>70.558166805641392</v>
      </c>
      <c r="BF91" s="116"/>
      <c r="BG91" s="116"/>
    </row>
    <row r="92" spans="1:59" x14ac:dyDescent="0.25">
      <c r="A92" s="86" t="str">
        <f t="shared" si="29"/>
        <v>30000</v>
      </c>
      <c r="B92" s="86" t="str">
        <f t="shared" si="30"/>
        <v>17200</v>
      </c>
      <c r="C92" s="86" t="str">
        <f t="shared" si="31"/>
        <v>60904</v>
      </c>
      <c r="D92" s="87" t="str">
        <f t="shared" si="32"/>
        <v>30000/17200/60904(2022)</v>
      </c>
      <c r="E92" s="88" t="str">
        <f t="shared" si="33"/>
        <v>6</v>
      </c>
      <c r="F92" s="89" t="s">
        <v>180</v>
      </c>
      <c r="G92" s="90"/>
      <c r="H92" s="91" t="s">
        <v>181</v>
      </c>
      <c r="I92" s="92" t="s">
        <v>313</v>
      </c>
      <c r="J92" s="92" t="s">
        <v>314</v>
      </c>
      <c r="K92" s="93" t="s">
        <v>313</v>
      </c>
      <c r="L92" s="93" t="s">
        <v>314</v>
      </c>
      <c r="M92" s="94">
        <v>0</v>
      </c>
      <c r="N92" s="95">
        <v>335541.02</v>
      </c>
      <c r="O92" s="95">
        <v>335541.02</v>
      </c>
      <c r="P92" s="96"/>
      <c r="Q92" s="97"/>
      <c r="R92" s="98">
        <f t="shared" si="26"/>
        <v>0</v>
      </c>
      <c r="S92" s="169"/>
      <c r="T92" s="170"/>
      <c r="U92" s="101"/>
      <c r="V92" s="172"/>
      <c r="W92" s="171"/>
      <c r="X92" s="171"/>
      <c r="Y92" s="105">
        <f t="shared" si="35"/>
        <v>0</v>
      </c>
      <c r="Z92" s="106"/>
      <c r="AA92" s="118"/>
      <c r="AB92" s="108"/>
      <c r="AC92" s="108"/>
      <c r="AD92" s="109"/>
      <c r="AE92" s="110"/>
      <c r="AF92" s="111"/>
      <c r="AG92" s="111"/>
      <c r="AH92" s="111"/>
      <c r="AI92" s="111"/>
      <c r="AJ92" s="112">
        <f t="shared" si="27"/>
        <v>0</v>
      </c>
      <c r="AK92" s="113">
        <f t="shared" si="25"/>
        <v>0</v>
      </c>
      <c r="AL92" s="114">
        <f t="shared" si="28"/>
        <v>0</v>
      </c>
      <c r="AM92" s="108"/>
      <c r="AN92" s="108">
        <f>ROUND(335541.02,2)</f>
        <v>335541.02</v>
      </c>
      <c r="AO92" s="108">
        <f t="shared" si="37"/>
        <v>0</v>
      </c>
      <c r="AP92" s="108">
        <f>ROUND(335541.02,2)</f>
        <v>335541.02</v>
      </c>
      <c r="AQ92" s="108">
        <f t="shared" si="41"/>
        <v>0</v>
      </c>
      <c r="AR92" s="108">
        <f>ROUND(335541.02,2)</f>
        <v>335541.02</v>
      </c>
      <c r="AS92" s="108">
        <f>ROUND(131234.84,2)</f>
        <v>131234.84</v>
      </c>
      <c r="AT92" s="108">
        <f>ROUND(204306.18,2)</f>
        <v>204306.18</v>
      </c>
      <c r="AU92" s="108">
        <f t="shared" si="38"/>
        <v>0</v>
      </c>
      <c r="AV92" s="108">
        <f>ROUND(204306.18,2)</f>
        <v>204306.18</v>
      </c>
      <c r="AW92" s="108">
        <f>ROUND(91079.42,2)</f>
        <v>91079.42</v>
      </c>
      <c r="AX92" s="108">
        <f>ROUND(113226.76,2)</f>
        <v>113226.76</v>
      </c>
      <c r="AY92" s="108">
        <f t="shared" si="34"/>
        <v>0</v>
      </c>
      <c r="AZ92" s="108">
        <f>ROUND(0,2)</f>
        <v>0</v>
      </c>
      <c r="BA92" s="108">
        <f>ROUND(131234.84,2)</f>
        <v>131234.84</v>
      </c>
      <c r="BB92" s="115">
        <v>0</v>
      </c>
      <c r="BC92" s="115">
        <v>100</v>
      </c>
      <c r="BD92" s="115">
        <v>60.888585246596669</v>
      </c>
      <c r="BE92" s="115">
        <v>55.420134623436255</v>
      </c>
      <c r="BF92" s="116"/>
      <c r="BG92" s="116"/>
    </row>
    <row r="93" spans="1:59" x14ac:dyDescent="0.25">
      <c r="A93" s="86" t="str">
        <f t="shared" si="29"/>
        <v>30000</v>
      </c>
      <c r="B93" s="86" t="str">
        <f t="shared" si="30"/>
        <v>13300</v>
      </c>
      <c r="C93" s="86" t="str">
        <f t="shared" si="31"/>
        <v>74000</v>
      </c>
      <c r="D93" s="87" t="str">
        <f t="shared" si="32"/>
        <v>30000/13300/74000()</v>
      </c>
      <c r="E93" s="88" t="str">
        <f t="shared" si="33"/>
        <v>7</v>
      </c>
      <c r="F93" s="89">
        <v>0</v>
      </c>
      <c r="G93" s="90"/>
      <c r="H93" s="91"/>
      <c r="I93" s="92" t="s">
        <v>315</v>
      </c>
      <c r="J93" s="92" t="s">
        <v>316</v>
      </c>
      <c r="K93" s="93" t="s">
        <v>315</v>
      </c>
      <c r="L93" s="93" t="s">
        <v>316</v>
      </c>
      <c r="M93" s="94">
        <v>0</v>
      </c>
      <c r="N93" s="95">
        <v>97000</v>
      </c>
      <c r="O93" s="95">
        <v>97000</v>
      </c>
      <c r="P93" s="96"/>
      <c r="Q93" s="97"/>
      <c r="R93" s="98">
        <f t="shared" si="26"/>
        <v>0</v>
      </c>
      <c r="S93" s="99"/>
      <c r="T93" s="100"/>
      <c r="U93" s="101"/>
      <c r="V93" s="102"/>
      <c r="W93" s="103"/>
      <c r="X93" s="103"/>
      <c r="Y93" s="105">
        <f t="shared" si="35"/>
        <v>0</v>
      </c>
      <c r="Z93" s="106"/>
      <c r="AA93" s="118"/>
      <c r="AB93" s="108"/>
      <c r="AC93" s="108"/>
      <c r="AD93" s="109"/>
      <c r="AE93" s="110"/>
      <c r="AF93" s="111"/>
      <c r="AG93" s="111"/>
      <c r="AH93" s="111"/>
      <c r="AI93" s="111"/>
      <c r="AJ93" s="112">
        <f t="shared" si="27"/>
        <v>0</v>
      </c>
      <c r="AK93" s="113">
        <f t="shared" si="25"/>
        <v>0</v>
      </c>
      <c r="AL93" s="114">
        <f t="shared" si="28"/>
        <v>0</v>
      </c>
      <c r="AM93" s="108"/>
      <c r="AN93" s="108">
        <f>ROUND(0,2)</f>
        <v>0</v>
      </c>
      <c r="AO93" s="108">
        <f t="shared" si="37"/>
        <v>0</v>
      </c>
      <c r="AP93" s="108">
        <f>ROUND(0,2)</f>
        <v>0</v>
      </c>
      <c r="AQ93" s="108">
        <f t="shared" si="41"/>
        <v>0</v>
      </c>
      <c r="AR93" s="108">
        <f t="shared" si="41"/>
        <v>0</v>
      </c>
      <c r="AS93" s="108">
        <f t="shared" si="41"/>
        <v>0</v>
      </c>
      <c r="AT93" s="108">
        <f t="shared" si="41"/>
        <v>0</v>
      </c>
      <c r="AU93" s="108">
        <f t="shared" si="38"/>
        <v>0</v>
      </c>
      <c r="AV93" s="108">
        <f t="shared" si="38"/>
        <v>0</v>
      </c>
      <c r="AW93" s="108">
        <f t="shared" si="38"/>
        <v>0</v>
      </c>
      <c r="AX93" s="108">
        <f t="shared" si="38"/>
        <v>0</v>
      </c>
      <c r="AY93" s="108">
        <f t="shared" si="34"/>
        <v>0</v>
      </c>
      <c r="AZ93" s="108">
        <f>ROUND(97000,2)</f>
        <v>97000</v>
      </c>
      <c r="BA93" s="108">
        <f>ROUND(97000,2)</f>
        <v>97000</v>
      </c>
      <c r="BB93" s="115">
        <v>100</v>
      </c>
      <c r="BC93" s="115">
        <v>0</v>
      </c>
      <c r="BD93" s="115">
        <v>0</v>
      </c>
      <c r="BE93" s="115">
        <v>0</v>
      </c>
      <c r="BF93" s="116"/>
      <c r="BG93" s="116"/>
    </row>
    <row r="94" spans="1:59" x14ac:dyDescent="0.25">
      <c r="A94" s="86" t="str">
        <f t="shared" si="29"/>
        <v>30110</v>
      </c>
      <c r="B94" s="86" t="str">
        <f t="shared" si="30"/>
        <v>33300</v>
      </c>
      <c r="C94" s="86" t="str">
        <f t="shared" si="31"/>
        <v>62500</v>
      </c>
      <c r="D94" s="87" t="str">
        <f t="shared" si="32"/>
        <v>30110/33300/62500()</v>
      </c>
      <c r="E94" s="88" t="str">
        <f t="shared" si="33"/>
        <v>6</v>
      </c>
      <c r="F94" s="89">
        <v>0</v>
      </c>
      <c r="G94" s="90"/>
      <c r="H94" s="91"/>
      <c r="I94" s="92" t="s">
        <v>317</v>
      </c>
      <c r="J94" s="92" t="s">
        <v>318</v>
      </c>
      <c r="K94" s="93" t="s">
        <v>317</v>
      </c>
      <c r="L94" s="93" t="s">
        <v>318</v>
      </c>
      <c r="M94" s="94">
        <v>0</v>
      </c>
      <c r="N94" s="95">
        <v>31600</v>
      </c>
      <c r="O94" s="95">
        <v>31600</v>
      </c>
      <c r="P94" s="96"/>
      <c r="Q94" s="97"/>
      <c r="R94" s="98">
        <f t="shared" si="26"/>
        <v>0</v>
      </c>
      <c r="S94" s="99"/>
      <c r="T94" s="100"/>
      <c r="U94" s="101"/>
      <c r="V94" s="102"/>
      <c r="W94" s="103"/>
      <c r="X94" s="103"/>
      <c r="Y94" s="105">
        <f t="shared" si="35"/>
        <v>0</v>
      </c>
      <c r="Z94" s="106"/>
      <c r="AA94" s="118"/>
      <c r="AB94" s="108"/>
      <c r="AC94" s="108"/>
      <c r="AD94" s="109"/>
      <c r="AE94" s="110"/>
      <c r="AF94" s="111"/>
      <c r="AG94" s="111"/>
      <c r="AH94" s="111"/>
      <c r="AI94" s="111"/>
      <c r="AJ94" s="112">
        <f t="shared" si="27"/>
        <v>0</v>
      </c>
      <c r="AK94" s="113">
        <f t="shared" si="25"/>
        <v>0</v>
      </c>
      <c r="AL94" s="114">
        <f t="shared" si="28"/>
        <v>0</v>
      </c>
      <c r="AM94" s="108"/>
      <c r="AN94" s="108">
        <f>ROUND(0,2)</f>
        <v>0</v>
      </c>
      <c r="AO94" s="108">
        <f t="shared" si="37"/>
        <v>0</v>
      </c>
      <c r="AP94" s="108">
        <f>ROUND(0,2)</f>
        <v>0</v>
      </c>
      <c r="AQ94" s="108">
        <f t="shared" si="41"/>
        <v>0</v>
      </c>
      <c r="AR94" s="108">
        <f t="shared" si="41"/>
        <v>0</v>
      </c>
      <c r="AS94" s="108">
        <f t="shared" si="41"/>
        <v>0</v>
      </c>
      <c r="AT94" s="108">
        <f t="shared" si="41"/>
        <v>0</v>
      </c>
      <c r="AU94" s="108">
        <f t="shared" si="38"/>
        <v>0</v>
      </c>
      <c r="AV94" s="108">
        <f t="shared" si="38"/>
        <v>0</v>
      </c>
      <c r="AW94" s="108">
        <f t="shared" si="38"/>
        <v>0</v>
      </c>
      <c r="AX94" s="108">
        <f t="shared" si="38"/>
        <v>0</v>
      </c>
      <c r="AY94" s="108">
        <f t="shared" si="34"/>
        <v>0</v>
      </c>
      <c r="AZ94" s="108">
        <f>ROUND(31600,2)</f>
        <v>31600</v>
      </c>
      <c r="BA94" s="108">
        <f>ROUND(31600,2)</f>
        <v>31600</v>
      </c>
      <c r="BB94" s="115">
        <v>100</v>
      </c>
      <c r="BC94" s="115">
        <v>0</v>
      </c>
      <c r="BD94" s="115">
        <v>0</v>
      </c>
      <c r="BE94" s="115">
        <v>0</v>
      </c>
      <c r="BF94" s="116"/>
      <c r="BG94" s="116"/>
    </row>
    <row r="95" spans="1:59" x14ac:dyDescent="0.25">
      <c r="A95" s="86" t="str">
        <f t="shared" si="29"/>
        <v>30110</v>
      </c>
      <c r="B95" s="86" t="str">
        <f t="shared" si="30"/>
        <v>33300</v>
      </c>
      <c r="C95" s="86" t="str">
        <f t="shared" si="31"/>
        <v>62501</v>
      </c>
      <c r="D95" s="87" t="str">
        <f t="shared" si="32"/>
        <v>30110/33300/62501(2024)</v>
      </c>
      <c r="E95" s="88" t="str">
        <f t="shared" si="33"/>
        <v>6</v>
      </c>
      <c r="F95" s="89">
        <v>0</v>
      </c>
      <c r="G95" s="90"/>
      <c r="H95" s="91" t="s">
        <v>170</v>
      </c>
      <c r="I95" s="92" t="s">
        <v>319</v>
      </c>
      <c r="J95" s="92" t="s">
        <v>320</v>
      </c>
      <c r="K95" s="93" t="s">
        <v>319</v>
      </c>
      <c r="L95" s="93" t="s">
        <v>320</v>
      </c>
      <c r="M95" s="94">
        <v>0</v>
      </c>
      <c r="N95" s="95">
        <v>284.05</v>
      </c>
      <c r="O95" s="95">
        <v>284.05</v>
      </c>
      <c r="P95" s="96"/>
      <c r="Q95" s="97"/>
      <c r="R95" s="98">
        <f t="shared" si="26"/>
        <v>0</v>
      </c>
      <c r="S95" s="99"/>
      <c r="T95" s="100"/>
      <c r="U95" s="101"/>
      <c r="V95" s="102"/>
      <c r="W95" s="103"/>
      <c r="X95" s="103"/>
      <c r="Y95" s="105">
        <f t="shared" si="35"/>
        <v>0</v>
      </c>
      <c r="Z95" s="106"/>
      <c r="AA95" s="118"/>
      <c r="AB95" s="108"/>
      <c r="AC95" s="108"/>
      <c r="AD95" s="109"/>
      <c r="AE95" s="110"/>
      <c r="AF95" s="111"/>
      <c r="AG95" s="111"/>
      <c r="AH95" s="111"/>
      <c r="AI95" s="111"/>
      <c r="AJ95" s="112">
        <f t="shared" si="27"/>
        <v>0</v>
      </c>
      <c r="AK95" s="113">
        <f t="shared" si="25"/>
        <v>0</v>
      </c>
      <c r="AL95" s="114">
        <f t="shared" si="28"/>
        <v>0</v>
      </c>
      <c r="AM95" s="108"/>
      <c r="AN95" s="108">
        <f>ROUND(284.05,2)</f>
        <v>284.05</v>
      </c>
      <c r="AO95" s="108">
        <f t="shared" si="37"/>
        <v>0</v>
      </c>
      <c r="AP95" s="108">
        <f>ROUND(284.05,2)</f>
        <v>284.05</v>
      </c>
      <c r="AQ95" s="108">
        <f t="shared" si="41"/>
        <v>0</v>
      </c>
      <c r="AR95" s="108">
        <f>ROUND(284.05,2)</f>
        <v>284.05</v>
      </c>
      <c r="AS95" s="108">
        <f>ROUND(284.05,2)</f>
        <v>284.05</v>
      </c>
      <c r="AT95" s="108">
        <f>ROUND(0,2)</f>
        <v>0</v>
      </c>
      <c r="AU95" s="108">
        <f t="shared" si="38"/>
        <v>0</v>
      </c>
      <c r="AV95" s="108">
        <f t="shared" si="38"/>
        <v>0</v>
      </c>
      <c r="AW95" s="108">
        <f t="shared" si="38"/>
        <v>0</v>
      </c>
      <c r="AX95" s="108">
        <f t="shared" si="38"/>
        <v>0</v>
      </c>
      <c r="AY95" s="108">
        <f t="shared" si="34"/>
        <v>0</v>
      </c>
      <c r="AZ95" s="108">
        <f>ROUND(0,2)</f>
        <v>0</v>
      </c>
      <c r="BA95" s="108">
        <f>ROUND(284.05,2)</f>
        <v>284.05</v>
      </c>
      <c r="BB95" s="115">
        <v>0</v>
      </c>
      <c r="BC95" s="115">
        <v>100</v>
      </c>
      <c r="BD95" s="115">
        <v>0</v>
      </c>
      <c r="BE95" s="115">
        <v>0</v>
      </c>
      <c r="BF95" s="116"/>
      <c r="BG95" s="116"/>
    </row>
    <row r="96" spans="1:59" x14ac:dyDescent="0.25">
      <c r="A96" s="86" t="str">
        <f t="shared" si="29"/>
        <v>30121</v>
      </c>
      <c r="B96" s="86" t="str">
        <f t="shared" si="30"/>
        <v>34100</v>
      </c>
      <c r="C96" s="86" t="str">
        <f t="shared" si="31"/>
        <v>62500</v>
      </c>
      <c r="D96" s="87" t="str">
        <f t="shared" si="32"/>
        <v>30121/34100/62500()</v>
      </c>
      <c r="E96" s="88" t="str">
        <f t="shared" si="33"/>
        <v>6</v>
      </c>
      <c r="F96" s="89">
        <v>0</v>
      </c>
      <c r="G96" s="90"/>
      <c r="H96" s="91"/>
      <c r="I96" s="92" t="s">
        <v>321</v>
      </c>
      <c r="J96" s="92" t="s">
        <v>64</v>
      </c>
      <c r="K96" s="121" t="s">
        <v>63</v>
      </c>
      <c r="L96" s="121" t="s">
        <v>64</v>
      </c>
      <c r="M96" s="94">
        <v>6000</v>
      </c>
      <c r="N96" s="95">
        <v>21000</v>
      </c>
      <c r="O96" s="95">
        <v>27000</v>
      </c>
      <c r="P96" s="96">
        <v>6000</v>
      </c>
      <c r="Q96" s="97">
        <f>P96</f>
        <v>6000</v>
      </c>
      <c r="R96" s="98">
        <f t="shared" si="26"/>
        <v>0</v>
      </c>
      <c r="S96" s="99"/>
      <c r="T96" s="100"/>
      <c r="U96" s="101">
        <v>6000</v>
      </c>
      <c r="V96" s="102">
        <f>P96</f>
        <v>6000</v>
      </c>
      <c r="W96" s="103"/>
      <c r="X96" s="103"/>
      <c r="Y96" s="105">
        <f t="shared" si="35"/>
        <v>0</v>
      </c>
      <c r="Z96" s="106" t="s">
        <v>188</v>
      </c>
      <c r="AA96" s="118"/>
      <c r="AB96" s="108"/>
      <c r="AC96" s="108">
        <v>3000</v>
      </c>
      <c r="AD96" s="109"/>
      <c r="AE96" s="110"/>
      <c r="AF96" s="111"/>
      <c r="AG96" s="111"/>
      <c r="AH96" s="111"/>
      <c r="AI96" s="111"/>
      <c r="AJ96" s="112">
        <f t="shared" si="27"/>
        <v>6000</v>
      </c>
      <c r="AK96" s="113">
        <f t="shared" si="25"/>
        <v>6000</v>
      </c>
      <c r="AL96" s="114">
        <f t="shared" si="28"/>
        <v>0</v>
      </c>
      <c r="AM96" s="108"/>
      <c r="AN96" s="108">
        <f>ROUND(0,2)</f>
        <v>0</v>
      </c>
      <c r="AO96" s="108">
        <f t="shared" si="37"/>
        <v>0</v>
      </c>
      <c r="AP96" s="108">
        <f>ROUND(5020.9,2)</f>
        <v>5020.8999999999996</v>
      </c>
      <c r="AQ96" s="108">
        <f t="shared" si="41"/>
        <v>0</v>
      </c>
      <c r="AR96" s="108">
        <f>ROUND(5020.9,2)</f>
        <v>5020.8999999999996</v>
      </c>
      <c r="AS96" s="108">
        <f>ROUND(1450.19,2)</f>
        <v>1450.19</v>
      </c>
      <c r="AT96" s="108">
        <f>ROUND(3570.71,2)</f>
        <v>3570.71</v>
      </c>
      <c r="AU96" s="108">
        <f t="shared" si="38"/>
        <v>0</v>
      </c>
      <c r="AV96" s="108">
        <f>ROUND(3570.71,2)</f>
        <v>3570.71</v>
      </c>
      <c r="AW96" s="108">
        <f t="shared" si="38"/>
        <v>0</v>
      </c>
      <c r="AX96" s="108">
        <f>ROUND(3570.71,2)</f>
        <v>3570.71</v>
      </c>
      <c r="AY96" s="108">
        <f t="shared" si="34"/>
        <v>0</v>
      </c>
      <c r="AZ96" s="108">
        <f>ROUND(21979.1,2)</f>
        <v>21979.1</v>
      </c>
      <c r="BA96" s="108">
        <f>ROUND(23429.29,2)</f>
        <v>23429.29</v>
      </c>
      <c r="BB96" s="115">
        <v>81.404074074074074</v>
      </c>
      <c r="BC96" s="115">
        <v>18.595925925925926</v>
      </c>
      <c r="BD96" s="115">
        <v>13.224851851851852</v>
      </c>
      <c r="BE96" s="115">
        <v>100</v>
      </c>
      <c r="BF96" s="116"/>
      <c r="BG96" s="116"/>
    </row>
    <row r="97" spans="1:59" x14ac:dyDescent="0.25">
      <c r="A97" s="86"/>
      <c r="B97" s="86"/>
      <c r="C97" s="86"/>
      <c r="D97" s="87"/>
      <c r="E97" s="88">
        <v>6</v>
      </c>
      <c r="F97" s="89" t="s">
        <v>65</v>
      </c>
      <c r="G97" s="173" t="s">
        <v>65</v>
      </c>
      <c r="H97" s="91"/>
      <c r="I97" s="145" t="s">
        <v>322</v>
      </c>
      <c r="J97" s="145" t="s">
        <v>67</v>
      </c>
      <c r="K97" s="120" t="s">
        <v>66</v>
      </c>
      <c r="L97" s="120" t="s">
        <v>67</v>
      </c>
      <c r="M97" s="94">
        <v>0</v>
      </c>
      <c r="N97" s="95"/>
      <c r="O97" s="95"/>
      <c r="P97" s="142">
        <v>220528</v>
      </c>
      <c r="Q97" s="97">
        <f t="shared" ref="Q97" si="42">P97</f>
        <v>220528</v>
      </c>
      <c r="R97" s="98">
        <f t="shared" si="26"/>
        <v>220528</v>
      </c>
      <c r="S97" s="99"/>
      <c r="T97" s="100"/>
      <c r="U97" s="101">
        <v>220528</v>
      </c>
      <c r="V97" s="102">
        <f>P97</f>
        <v>220528</v>
      </c>
      <c r="W97" s="103"/>
      <c r="X97" s="103"/>
      <c r="Y97" s="105">
        <f t="shared" si="35"/>
        <v>0</v>
      </c>
      <c r="Z97" s="122" t="s">
        <v>323</v>
      </c>
      <c r="AA97" s="174">
        <v>220527.15</v>
      </c>
      <c r="AB97" s="108"/>
      <c r="AC97" s="108"/>
      <c r="AD97" s="109"/>
      <c r="AE97" s="110"/>
      <c r="AF97" s="111"/>
      <c r="AG97" s="111"/>
      <c r="AH97" s="111"/>
      <c r="AI97" s="111"/>
      <c r="AJ97" s="112">
        <f t="shared" si="27"/>
        <v>220528</v>
      </c>
      <c r="AK97" s="113">
        <f t="shared" si="25"/>
        <v>220528</v>
      </c>
      <c r="AL97" s="114">
        <f t="shared" si="28"/>
        <v>0</v>
      </c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15"/>
      <c r="BC97" s="115"/>
      <c r="BD97" s="115"/>
      <c r="BE97" s="115"/>
      <c r="BF97" s="116"/>
      <c r="BG97" s="116"/>
    </row>
    <row r="98" spans="1:59" x14ac:dyDescent="0.25">
      <c r="A98" s="86" t="str">
        <f t="shared" si="29"/>
        <v>30130</v>
      </c>
      <c r="B98" s="86" t="str">
        <f t="shared" si="30"/>
        <v>32630</v>
      </c>
      <c r="C98" s="86" t="str">
        <f t="shared" si="31"/>
        <v>78001</v>
      </c>
      <c r="D98" s="87" t="str">
        <f t="shared" si="32"/>
        <v>30130/32630/78001()</v>
      </c>
      <c r="E98" s="88" t="str">
        <f t="shared" si="33"/>
        <v>7</v>
      </c>
      <c r="F98" s="89">
        <v>0</v>
      </c>
      <c r="G98" s="90"/>
      <c r="H98" s="91"/>
      <c r="I98" s="92" t="s">
        <v>105</v>
      </c>
      <c r="J98" s="92" t="s">
        <v>106</v>
      </c>
      <c r="K98" s="93" t="s">
        <v>105</v>
      </c>
      <c r="L98" s="93" t="s">
        <v>106</v>
      </c>
      <c r="M98" s="94">
        <v>36600</v>
      </c>
      <c r="N98" s="95">
        <v>50</v>
      </c>
      <c r="O98" s="95">
        <v>36650</v>
      </c>
      <c r="P98" s="142">
        <v>36650</v>
      </c>
      <c r="Q98" s="97">
        <f>P98</f>
        <v>36650</v>
      </c>
      <c r="R98" s="98">
        <f t="shared" si="26"/>
        <v>50</v>
      </c>
      <c r="S98" s="99"/>
      <c r="T98" s="100"/>
      <c r="U98" s="101">
        <v>36650</v>
      </c>
      <c r="V98" s="102">
        <f>P98</f>
        <v>36650</v>
      </c>
      <c r="W98" s="103"/>
      <c r="X98" s="103"/>
      <c r="Y98" s="105">
        <f t="shared" si="35"/>
        <v>0</v>
      </c>
      <c r="Z98" s="106" t="s">
        <v>324</v>
      </c>
      <c r="AA98" s="174">
        <v>36650</v>
      </c>
      <c r="AB98" s="108"/>
      <c r="AC98" s="108">
        <v>36550</v>
      </c>
      <c r="AD98" s="109"/>
      <c r="AE98" s="110"/>
      <c r="AF98" s="111"/>
      <c r="AG98" s="111"/>
      <c r="AH98" s="111"/>
      <c r="AI98" s="111"/>
      <c r="AJ98" s="112">
        <f t="shared" si="27"/>
        <v>36650</v>
      </c>
      <c r="AK98" s="113">
        <f t="shared" si="25"/>
        <v>36650</v>
      </c>
      <c r="AL98" s="114">
        <f t="shared" si="28"/>
        <v>0</v>
      </c>
      <c r="AM98" s="108"/>
      <c r="AN98" s="108">
        <f>ROUND(0,2)</f>
        <v>0</v>
      </c>
      <c r="AO98" s="108">
        <f t="shared" si="37"/>
        <v>0</v>
      </c>
      <c r="AP98" s="108">
        <f>ROUND(36650,2)</f>
        <v>36650</v>
      </c>
      <c r="AQ98" s="108">
        <f t="shared" si="41"/>
        <v>0</v>
      </c>
      <c r="AR98" s="108">
        <f>ROUND(36650,2)</f>
        <v>36650</v>
      </c>
      <c r="AS98" s="108">
        <f>ROUND(7330.01,2)</f>
        <v>7330.01</v>
      </c>
      <c r="AT98" s="108">
        <f>ROUND(29319.99,2)</f>
        <v>29319.99</v>
      </c>
      <c r="AU98" s="108">
        <f t="shared" si="38"/>
        <v>0</v>
      </c>
      <c r="AV98" s="108">
        <f>ROUND(29319.99,2)</f>
        <v>29319.99</v>
      </c>
      <c r="AW98" s="108">
        <f t="shared" si="38"/>
        <v>0</v>
      </c>
      <c r="AX98" s="108">
        <f>ROUND(29319.99,2)</f>
        <v>29319.99</v>
      </c>
      <c r="AY98" s="108">
        <f t="shared" si="34"/>
        <v>0</v>
      </c>
      <c r="AZ98" s="108">
        <f>ROUND(0,2)</f>
        <v>0</v>
      </c>
      <c r="BA98" s="108">
        <f>ROUND(7330.01,2)</f>
        <v>7330.01</v>
      </c>
      <c r="BB98" s="115">
        <v>0</v>
      </c>
      <c r="BC98" s="115">
        <v>100</v>
      </c>
      <c r="BD98" s="115">
        <v>79.99997271487041</v>
      </c>
      <c r="BE98" s="115">
        <v>100</v>
      </c>
      <c r="BF98" s="116"/>
      <c r="BG98" s="116"/>
    </row>
    <row r="99" spans="1:59" s="123" customFormat="1" x14ac:dyDescent="0.25">
      <c r="A99" s="175"/>
      <c r="B99" s="175"/>
      <c r="C99" s="175"/>
      <c r="D99" s="176"/>
      <c r="E99" s="144">
        <v>7</v>
      </c>
      <c r="F99" s="89">
        <v>0</v>
      </c>
      <c r="G99" s="173"/>
      <c r="H99" s="177"/>
      <c r="I99" s="121">
        <v>0</v>
      </c>
      <c r="J99" s="121">
        <v>0</v>
      </c>
      <c r="K99" s="121" t="s">
        <v>325</v>
      </c>
      <c r="L99" s="121" t="s">
        <v>326</v>
      </c>
      <c r="M99" s="178"/>
      <c r="N99" s="179"/>
      <c r="O99" s="179"/>
      <c r="P99" s="142"/>
      <c r="Q99" s="97">
        <v>120000</v>
      </c>
      <c r="R99" s="98">
        <f t="shared" si="26"/>
        <v>0</v>
      </c>
      <c r="S99" s="99">
        <v>120000</v>
      </c>
      <c r="T99" s="100">
        <f>S99-P99</f>
        <v>120000</v>
      </c>
      <c r="U99" s="101">
        <v>0</v>
      </c>
      <c r="V99" s="102"/>
      <c r="W99" s="103"/>
      <c r="X99" s="104">
        <f>S99</f>
        <v>120000</v>
      </c>
      <c r="Y99" s="105">
        <f t="shared" si="35"/>
        <v>0</v>
      </c>
      <c r="Z99" s="122" t="s">
        <v>327</v>
      </c>
      <c r="AA99" s="119"/>
      <c r="AB99" s="162"/>
      <c r="AC99" s="162"/>
      <c r="AD99" s="180"/>
      <c r="AE99" s="181"/>
      <c r="AF99" s="140"/>
      <c r="AG99" s="140"/>
      <c r="AH99" s="140"/>
      <c r="AI99" s="140"/>
      <c r="AJ99" s="112">
        <f t="shared" si="27"/>
        <v>0</v>
      </c>
      <c r="AK99" s="113">
        <f t="shared" si="25"/>
        <v>0</v>
      </c>
      <c r="AL99" s="114">
        <f t="shared" si="28"/>
        <v>0</v>
      </c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82"/>
      <c r="BC99" s="182"/>
      <c r="BD99" s="182"/>
      <c r="BE99" s="182"/>
      <c r="BF99" s="183"/>
      <c r="BG99" s="183"/>
    </row>
    <row r="100" spans="1:59" x14ac:dyDescent="0.25">
      <c r="A100" s="86" t="str">
        <f t="shared" si="29"/>
        <v>30200</v>
      </c>
      <c r="B100" s="86" t="str">
        <f t="shared" si="30"/>
        <v>31200</v>
      </c>
      <c r="C100" s="86" t="str">
        <f t="shared" si="31"/>
        <v>76700</v>
      </c>
      <c r="D100" s="87" t="str">
        <f t="shared" si="32"/>
        <v>30200/31200/76700()</v>
      </c>
      <c r="E100" s="88" t="str">
        <f t="shared" si="33"/>
        <v>7</v>
      </c>
      <c r="F100" s="89">
        <v>0</v>
      </c>
      <c r="G100" s="90"/>
      <c r="H100" s="91"/>
      <c r="I100" s="92" t="s">
        <v>107</v>
      </c>
      <c r="J100" s="92" t="s">
        <v>108</v>
      </c>
      <c r="K100" s="93" t="s">
        <v>107</v>
      </c>
      <c r="L100" s="93" t="s">
        <v>108</v>
      </c>
      <c r="M100" s="94">
        <v>68000</v>
      </c>
      <c r="N100" s="95">
        <v>0</v>
      </c>
      <c r="O100" s="95">
        <v>68000</v>
      </c>
      <c r="P100" s="96">
        <v>70000</v>
      </c>
      <c r="Q100" s="97">
        <f>P100</f>
        <v>70000</v>
      </c>
      <c r="R100" s="98">
        <f t="shared" si="26"/>
        <v>-8000</v>
      </c>
      <c r="S100" s="99"/>
      <c r="T100" s="100"/>
      <c r="U100" s="101">
        <v>60000</v>
      </c>
      <c r="V100" s="102">
        <f>P100</f>
        <v>70000</v>
      </c>
      <c r="W100" s="103"/>
      <c r="X100" s="103"/>
      <c r="Y100" s="105">
        <f t="shared" si="35"/>
        <v>0</v>
      </c>
      <c r="Z100" s="106"/>
      <c r="AA100" s="118"/>
      <c r="AB100" s="108"/>
      <c r="AC100" s="108">
        <v>2000</v>
      </c>
      <c r="AD100" s="109"/>
      <c r="AE100" s="110"/>
      <c r="AF100" s="111"/>
      <c r="AG100" s="111"/>
      <c r="AH100" s="111"/>
      <c r="AI100" s="111"/>
      <c r="AJ100" s="112">
        <f t="shared" si="27"/>
        <v>60000</v>
      </c>
      <c r="AK100" s="113">
        <f t="shared" si="25"/>
        <v>60000</v>
      </c>
      <c r="AL100" s="114">
        <f t="shared" si="28"/>
        <v>0</v>
      </c>
      <c r="AM100" s="108"/>
      <c r="AN100" s="108">
        <f>ROUND(0,2)</f>
        <v>0</v>
      </c>
      <c r="AO100" s="108">
        <f t="shared" si="37"/>
        <v>0</v>
      </c>
      <c r="AP100" s="108">
        <f>ROUND(66115.43,2)</f>
        <v>66115.429999999993</v>
      </c>
      <c r="AQ100" s="108">
        <f t="shared" si="41"/>
        <v>0</v>
      </c>
      <c r="AR100" s="108">
        <f>ROUND(66115.43,2)</f>
        <v>66115.429999999993</v>
      </c>
      <c r="AS100" s="108">
        <f>ROUND(0,2)</f>
        <v>0</v>
      </c>
      <c r="AT100" s="108">
        <f>ROUND(66115.43,2)</f>
        <v>66115.429999999993</v>
      </c>
      <c r="AU100" s="108">
        <f>ROUND(66115.43,2)</f>
        <v>66115.429999999993</v>
      </c>
      <c r="AV100" s="108">
        <f>ROUND(0,2)</f>
        <v>0</v>
      </c>
      <c r="AW100" s="108">
        <f t="shared" ref="AW100:AW129" si="43">ROUND(0,2)</f>
        <v>0</v>
      </c>
      <c r="AX100" s="108">
        <f>ROUND(0,2)</f>
        <v>0</v>
      </c>
      <c r="AY100" s="108">
        <f t="shared" si="34"/>
        <v>0</v>
      </c>
      <c r="AZ100" s="108">
        <f>ROUND(1884.57,2)</f>
        <v>1884.57</v>
      </c>
      <c r="BA100" s="108">
        <f>ROUND(1884.57000000001,2)</f>
        <v>1884.57</v>
      </c>
      <c r="BB100" s="115">
        <v>2.771426470588235</v>
      </c>
      <c r="BC100" s="115">
        <v>97.228573529411761</v>
      </c>
      <c r="BD100" s="115">
        <v>97.228573529411761</v>
      </c>
      <c r="BE100" s="115">
        <v>0</v>
      </c>
      <c r="BF100" s="116"/>
      <c r="BG100" s="116"/>
    </row>
    <row r="101" spans="1:59" x14ac:dyDescent="0.25">
      <c r="A101" s="86" t="str">
        <f t="shared" si="29"/>
        <v>30210</v>
      </c>
      <c r="B101" s="86" t="str">
        <f t="shared" si="30"/>
        <v>23100</v>
      </c>
      <c r="C101" s="86" t="str">
        <f t="shared" si="31"/>
        <v>62300</v>
      </c>
      <c r="D101" s="87" t="str">
        <f t="shared" si="32"/>
        <v>30210/23100/62300(2024)</v>
      </c>
      <c r="E101" s="88" t="str">
        <f t="shared" si="33"/>
        <v>6</v>
      </c>
      <c r="F101" s="89">
        <v>0</v>
      </c>
      <c r="G101" s="90"/>
      <c r="H101" s="91" t="s">
        <v>170</v>
      </c>
      <c r="I101" s="92" t="s">
        <v>68</v>
      </c>
      <c r="J101" s="92" t="s">
        <v>69</v>
      </c>
      <c r="K101" s="93" t="s">
        <v>68</v>
      </c>
      <c r="L101" s="93" t="s">
        <v>69</v>
      </c>
      <c r="M101" s="94">
        <v>0</v>
      </c>
      <c r="N101" s="95">
        <v>2964.66</v>
      </c>
      <c r="O101" s="95">
        <v>2964.66</v>
      </c>
      <c r="P101" s="96"/>
      <c r="Q101" s="97"/>
      <c r="R101" s="98">
        <f t="shared" si="26"/>
        <v>0</v>
      </c>
      <c r="S101" s="99"/>
      <c r="T101" s="100"/>
      <c r="U101" s="101"/>
      <c r="V101" s="102"/>
      <c r="W101" s="103"/>
      <c r="X101" s="103"/>
      <c r="Y101" s="105">
        <f t="shared" si="35"/>
        <v>0</v>
      </c>
      <c r="Z101" s="106"/>
      <c r="AA101" s="118"/>
      <c r="AB101" s="108"/>
      <c r="AC101" s="108"/>
      <c r="AD101" s="109"/>
      <c r="AE101" s="110"/>
      <c r="AF101" s="111"/>
      <c r="AG101" s="111"/>
      <c r="AH101" s="111"/>
      <c r="AI101" s="111"/>
      <c r="AJ101" s="112">
        <f t="shared" si="27"/>
        <v>0</v>
      </c>
      <c r="AK101" s="113">
        <f t="shared" si="25"/>
        <v>0</v>
      </c>
      <c r="AL101" s="114">
        <f t="shared" si="28"/>
        <v>0</v>
      </c>
      <c r="AM101" s="108"/>
      <c r="AN101" s="108">
        <f>ROUND(2964.66,2)</f>
        <v>2964.66</v>
      </c>
      <c r="AO101" s="108">
        <f t="shared" si="37"/>
        <v>0</v>
      </c>
      <c r="AP101" s="108">
        <f>ROUND(258.94,2)</f>
        <v>258.94</v>
      </c>
      <c r="AQ101" s="108">
        <f t="shared" si="41"/>
        <v>0</v>
      </c>
      <c r="AR101" s="108">
        <f>ROUND(258.94,2)</f>
        <v>258.94</v>
      </c>
      <c r="AS101" s="108">
        <f>ROUND(258.94,2)</f>
        <v>258.94</v>
      </c>
      <c r="AT101" s="108">
        <f t="shared" ref="AT101:AU103" si="44">ROUND(0,2)</f>
        <v>0</v>
      </c>
      <c r="AU101" s="108">
        <f t="shared" si="44"/>
        <v>0</v>
      </c>
      <c r="AV101" s="108">
        <f>ROUND(0,2)</f>
        <v>0</v>
      </c>
      <c r="AW101" s="108">
        <f t="shared" si="43"/>
        <v>0</v>
      </c>
      <c r="AX101" s="108">
        <f>ROUND(0,2)</f>
        <v>0</v>
      </c>
      <c r="AY101" s="108">
        <f t="shared" si="34"/>
        <v>0</v>
      </c>
      <c r="AZ101" s="108">
        <f>ROUND(2705.72,2)</f>
        <v>2705.72</v>
      </c>
      <c r="BA101" s="108">
        <f>ROUND(2964.66,2)</f>
        <v>2964.66</v>
      </c>
      <c r="BB101" s="115">
        <v>91.265777525922019</v>
      </c>
      <c r="BC101" s="115">
        <v>8.7342224740779724</v>
      </c>
      <c r="BD101" s="115">
        <v>0</v>
      </c>
      <c r="BE101" s="115">
        <v>0</v>
      </c>
      <c r="BF101" s="116"/>
      <c r="BG101" s="116"/>
    </row>
    <row r="102" spans="1:59" x14ac:dyDescent="0.25">
      <c r="A102" s="86" t="str">
        <f t="shared" si="29"/>
        <v>30210</v>
      </c>
      <c r="B102" s="86" t="str">
        <f t="shared" si="30"/>
        <v>23100</v>
      </c>
      <c r="C102" s="86" t="str">
        <f t="shared" si="31"/>
        <v>62300</v>
      </c>
      <c r="D102" s="87" t="str">
        <f t="shared" si="32"/>
        <v>30210/23100/62300()</v>
      </c>
      <c r="E102" s="88" t="str">
        <f t="shared" si="33"/>
        <v>6</v>
      </c>
      <c r="F102" s="89">
        <v>0</v>
      </c>
      <c r="G102" s="90"/>
      <c r="H102" s="91"/>
      <c r="I102" s="92" t="s">
        <v>68</v>
      </c>
      <c r="J102" s="92" t="s">
        <v>69</v>
      </c>
      <c r="K102" s="93" t="s">
        <v>68</v>
      </c>
      <c r="L102" s="93" t="s">
        <v>69</v>
      </c>
      <c r="M102" s="94">
        <v>500</v>
      </c>
      <c r="N102" s="95">
        <v>3000</v>
      </c>
      <c r="O102" s="95">
        <v>3500</v>
      </c>
      <c r="P102" s="146">
        <v>3500</v>
      </c>
      <c r="Q102" s="97">
        <f t="shared" ref="Q102:Q103" si="45">P102</f>
        <v>3500</v>
      </c>
      <c r="R102" s="98">
        <f t="shared" si="26"/>
        <v>3000</v>
      </c>
      <c r="S102" s="99">
        <v>3500</v>
      </c>
      <c r="T102" s="100">
        <f>S102-P102</f>
        <v>0</v>
      </c>
      <c r="U102" s="101">
        <v>3500</v>
      </c>
      <c r="V102" s="102">
        <f>S102</f>
        <v>3500</v>
      </c>
      <c r="W102" s="103"/>
      <c r="X102" s="103"/>
      <c r="Y102" s="105">
        <f t="shared" si="35"/>
        <v>0</v>
      </c>
      <c r="Z102" s="106" t="s">
        <v>328</v>
      </c>
      <c r="AA102" s="118"/>
      <c r="AB102" s="108"/>
      <c r="AC102" s="108"/>
      <c r="AD102" s="109"/>
      <c r="AE102" s="110"/>
      <c r="AF102" s="111"/>
      <c r="AG102" s="111"/>
      <c r="AH102" s="111"/>
      <c r="AI102" s="111"/>
      <c r="AJ102" s="112">
        <f t="shared" si="27"/>
        <v>3500</v>
      </c>
      <c r="AK102" s="113">
        <f t="shared" si="25"/>
        <v>3500</v>
      </c>
      <c r="AL102" s="114">
        <f t="shared" si="28"/>
        <v>0</v>
      </c>
      <c r="AM102" s="108"/>
      <c r="AN102" s="108">
        <f>ROUND(0,2)</f>
        <v>0</v>
      </c>
      <c r="AO102" s="108">
        <f t="shared" si="37"/>
        <v>0</v>
      </c>
      <c r="AP102" s="108">
        <f>ROUND(0,2)</f>
        <v>0</v>
      </c>
      <c r="AQ102" s="108">
        <f t="shared" si="41"/>
        <v>0</v>
      </c>
      <c r="AR102" s="108">
        <f>ROUND(0,2)</f>
        <v>0</v>
      </c>
      <c r="AS102" s="108">
        <f>ROUND(0,2)</f>
        <v>0</v>
      </c>
      <c r="AT102" s="108">
        <f t="shared" si="44"/>
        <v>0</v>
      </c>
      <c r="AU102" s="108">
        <f t="shared" si="44"/>
        <v>0</v>
      </c>
      <c r="AV102" s="108">
        <f>ROUND(0,2)</f>
        <v>0</v>
      </c>
      <c r="AW102" s="108">
        <f t="shared" si="43"/>
        <v>0</v>
      </c>
      <c r="AX102" s="108">
        <f>ROUND(0,2)</f>
        <v>0</v>
      </c>
      <c r="AY102" s="108">
        <f t="shared" si="34"/>
        <v>0</v>
      </c>
      <c r="AZ102" s="108">
        <f>ROUND(3500,2)</f>
        <v>3500</v>
      </c>
      <c r="BA102" s="108">
        <f>ROUND(3500,2)</f>
        <v>3500</v>
      </c>
      <c r="BB102" s="115">
        <v>100</v>
      </c>
      <c r="BC102" s="115">
        <v>0</v>
      </c>
      <c r="BD102" s="115">
        <v>0</v>
      </c>
      <c r="BE102" s="115">
        <v>0</v>
      </c>
      <c r="BF102" s="116"/>
      <c r="BG102" s="116"/>
    </row>
    <row r="103" spans="1:59" x14ac:dyDescent="0.25">
      <c r="A103" s="86" t="str">
        <f t="shared" si="29"/>
        <v>30300</v>
      </c>
      <c r="B103" s="86" t="str">
        <f t="shared" si="30"/>
        <v>13200</v>
      </c>
      <c r="C103" s="86" t="str">
        <f t="shared" si="31"/>
        <v>62300</v>
      </c>
      <c r="D103" s="87" t="str">
        <f t="shared" si="32"/>
        <v>30300/13200/62300()</v>
      </c>
      <c r="E103" s="88" t="str">
        <f t="shared" si="33"/>
        <v>6</v>
      </c>
      <c r="F103" s="89">
        <v>0</v>
      </c>
      <c r="G103" s="90"/>
      <c r="H103" s="91"/>
      <c r="I103" s="92" t="s">
        <v>70</v>
      </c>
      <c r="J103" s="92" t="s">
        <v>71</v>
      </c>
      <c r="K103" s="93" t="s">
        <v>70</v>
      </c>
      <c r="L103" s="93" t="s">
        <v>71</v>
      </c>
      <c r="M103" s="94">
        <v>3000</v>
      </c>
      <c r="N103" s="95">
        <v>7300</v>
      </c>
      <c r="O103" s="95">
        <v>10300</v>
      </c>
      <c r="P103" s="96">
        <v>3000</v>
      </c>
      <c r="Q103" s="97">
        <f t="shared" si="45"/>
        <v>3000</v>
      </c>
      <c r="R103" s="98">
        <f t="shared" si="26"/>
        <v>0</v>
      </c>
      <c r="S103" s="99"/>
      <c r="T103" s="100"/>
      <c r="U103" s="101">
        <v>3000</v>
      </c>
      <c r="V103" s="102">
        <f>P103</f>
        <v>3000</v>
      </c>
      <c r="W103" s="103"/>
      <c r="X103" s="103"/>
      <c r="Y103" s="105">
        <f t="shared" si="35"/>
        <v>0</v>
      </c>
      <c r="Z103" s="106" t="s">
        <v>188</v>
      </c>
      <c r="AA103" s="118"/>
      <c r="AB103" s="108"/>
      <c r="AC103" s="108"/>
      <c r="AD103" s="109"/>
      <c r="AE103" s="110"/>
      <c r="AF103" s="111"/>
      <c r="AG103" s="111"/>
      <c r="AH103" s="111"/>
      <c r="AI103" s="111"/>
      <c r="AJ103" s="112">
        <f t="shared" si="27"/>
        <v>3000</v>
      </c>
      <c r="AK103" s="113">
        <f t="shared" si="25"/>
        <v>3000</v>
      </c>
      <c r="AL103" s="114">
        <f t="shared" si="28"/>
        <v>0</v>
      </c>
      <c r="AM103" s="108"/>
      <c r="AN103" s="108">
        <f>ROUND(0,2)</f>
        <v>0</v>
      </c>
      <c r="AO103" s="108">
        <f t="shared" si="37"/>
        <v>0</v>
      </c>
      <c r="AP103" s="108">
        <f>ROUND(0,2)</f>
        <v>0</v>
      </c>
      <c r="AQ103" s="108">
        <f t="shared" si="41"/>
        <v>0</v>
      </c>
      <c r="AR103" s="108">
        <f>ROUND(0,2)</f>
        <v>0</v>
      </c>
      <c r="AS103" s="108">
        <f>ROUND(0,2)</f>
        <v>0</v>
      </c>
      <c r="AT103" s="108">
        <f t="shared" si="44"/>
        <v>0</v>
      </c>
      <c r="AU103" s="108">
        <f t="shared" si="44"/>
        <v>0</v>
      </c>
      <c r="AV103" s="108">
        <f>ROUND(0,2)</f>
        <v>0</v>
      </c>
      <c r="AW103" s="108">
        <f t="shared" si="43"/>
        <v>0</v>
      </c>
      <c r="AX103" s="108">
        <f>ROUND(0,2)</f>
        <v>0</v>
      </c>
      <c r="AY103" s="108">
        <f t="shared" si="34"/>
        <v>0</v>
      </c>
      <c r="AZ103" s="108">
        <f>ROUND(10300,2)</f>
        <v>10300</v>
      </c>
      <c r="BA103" s="108">
        <f>ROUND(10300,2)</f>
        <v>10300</v>
      </c>
      <c r="BB103" s="115">
        <v>100</v>
      </c>
      <c r="BC103" s="115">
        <v>0</v>
      </c>
      <c r="BD103" s="115">
        <v>0</v>
      </c>
      <c r="BE103" s="115">
        <v>0</v>
      </c>
      <c r="BF103" s="116"/>
      <c r="BG103" s="116"/>
    </row>
    <row r="104" spans="1:59" x14ac:dyDescent="0.25">
      <c r="A104" s="86" t="str">
        <f t="shared" si="29"/>
        <v>31000</v>
      </c>
      <c r="B104" s="86" t="str">
        <f t="shared" si="30"/>
        <v>13400</v>
      </c>
      <c r="C104" s="86" t="str">
        <f t="shared" si="31"/>
        <v>60900</v>
      </c>
      <c r="D104" s="87" t="str">
        <f t="shared" si="32"/>
        <v>31000/13400/60900()</v>
      </c>
      <c r="E104" s="88" t="str">
        <f t="shared" si="33"/>
        <v>6</v>
      </c>
      <c r="F104" s="89">
        <v>0</v>
      </c>
      <c r="G104" s="90"/>
      <c r="H104" s="91"/>
      <c r="I104" s="92" t="s">
        <v>329</v>
      </c>
      <c r="J104" s="92" t="s">
        <v>81</v>
      </c>
      <c r="K104" s="121" t="s">
        <v>80</v>
      </c>
      <c r="L104" s="93" t="s">
        <v>81</v>
      </c>
      <c r="M104" s="94">
        <f>ROUND(50000,2)</f>
        <v>50000</v>
      </c>
      <c r="N104" s="95">
        <f>ROUND(0,2)</f>
        <v>0</v>
      </c>
      <c r="O104" s="95">
        <f>ROUND(50000,2)</f>
        <v>50000</v>
      </c>
      <c r="P104" s="96">
        <v>50000</v>
      </c>
      <c r="Q104" s="97">
        <f>S104</f>
        <v>250000</v>
      </c>
      <c r="R104" s="98">
        <f t="shared" si="26"/>
        <v>0</v>
      </c>
      <c r="S104" s="99">
        <v>250000</v>
      </c>
      <c r="T104" s="100">
        <f>S104-P104</f>
        <v>200000</v>
      </c>
      <c r="U104" s="101">
        <v>50000</v>
      </c>
      <c r="V104" s="102">
        <v>50000</v>
      </c>
      <c r="W104" s="103"/>
      <c r="X104" s="104">
        <v>200000</v>
      </c>
      <c r="Y104" s="105">
        <f t="shared" si="35"/>
        <v>0</v>
      </c>
      <c r="Z104" s="184" t="s">
        <v>330</v>
      </c>
      <c r="AA104" s="118"/>
      <c r="AB104" s="108"/>
      <c r="AC104" s="108">
        <v>30000</v>
      </c>
      <c r="AD104" s="109"/>
      <c r="AE104" s="110"/>
      <c r="AF104" s="111"/>
      <c r="AG104" s="111"/>
      <c r="AH104" s="111"/>
      <c r="AI104" s="111"/>
      <c r="AJ104" s="112">
        <f t="shared" si="27"/>
        <v>50000</v>
      </c>
      <c r="AK104" s="113">
        <f t="shared" si="25"/>
        <v>50000</v>
      </c>
      <c r="AL104" s="114">
        <f t="shared" si="28"/>
        <v>0</v>
      </c>
      <c r="AM104" s="108"/>
      <c r="AN104" s="108">
        <f>ROUND(0,2)</f>
        <v>0</v>
      </c>
      <c r="AO104" s="108">
        <f t="shared" si="37"/>
        <v>0</v>
      </c>
      <c r="AP104" s="108">
        <f>ROUND(8597.05,2)</f>
        <v>8597.0499999999993</v>
      </c>
      <c r="AQ104" s="108">
        <f t="shared" si="41"/>
        <v>0</v>
      </c>
      <c r="AR104" s="108">
        <f>ROUND(8597.05,2)</f>
        <v>8597.0499999999993</v>
      </c>
      <c r="AS104" s="108">
        <f>ROUND(5330.05,2)</f>
        <v>5330.05</v>
      </c>
      <c r="AT104" s="108">
        <f>ROUND(3267,2)</f>
        <v>3267</v>
      </c>
      <c r="AU104" s="108">
        <f>ROUND(3267,2)</f>
        <v>3267</v>
      </c>
      <c r="AV104" s="108">
        <f>ROUND(0,2)</f>
        <v>0</v>
      </c>
      <c r="AW104" s="108">
        <f t="shared" si="43"/>
        <v>0</v>
      </c>
      <c r="AX104" s="108">
        <f>ROUND(0,2)</f>
        <v>0</v>
      </c>
      <c r="AY104" s="108">
        <f t="shared" si="34"/>
        <v>0</v>
      </c>
      <c r="AZ104" s="108">
        <f>ROUND(41402.95,2)</f>
        <v>41402.949999999997</v>
      </c>
      <c r="BA104" s="108">
        <f>ROUND(46733,2)</f>
        <v>46733</v>
      </c>
      <c r="BB104" s="115">
        <v>82.805899999999994</v>
      </c>
      <c r="BC104" s="115">
        <v>17.194099999999999</v>
      </c>
      <c r="BD104" s="115">
        <v>6.5339999999999998</v>
      </c>
      <c r="BE104" s="115">
        <v>0</v>
      </c>
      <c r="BF104" s="116"/>
      <c r="BG104" s="116"/>
    </row>
    <row r="105" spans="1:59" x14ac:dyDescent="0.25">
      <c r="A105" s="86" t="str">
        <f t="shared" si="29"/>
        <v>31000</v>
      </c>
      <c r="B105" s="86" t="str">
        <f t="shared" si="30"/>
        <v>13400</v>
      </c>
      <c r="C105" s="86" t="str">
        <f t="shared" si="31"/>
        <v>60900</v>
      </c>
      <c r="D105" s="87" t="str">
        <f t="shared" si="32"/>
        <v>31000/13400/60900(2024)</v>
      </c>
      <c r="E105" s="88" t="str">
        <f t="shared" si="33"/>
        <v>6</v>
      </c>
      <c r="F105" s="89" t="s">
        <v>180</v>
      </c>
      <c r="G105" s="90"/>
      <c r="H105" s="91" t="s">
        <v>170</v>
      </c>
      <c r="I105" s="92" t="s">
        <v>329</v>
      </c>
      <c r="J105" s="92" t="s">
        <v>81</v>
      </c>
      <c r="K105" s="93" t="s">
        <v>329</v>
      </c>
      <c r="L105" s="93" t="s">
        <v>81</v>
      </c>
      <c r="M105" s="94">
        <f>ROUND(0,2)</f>
        <v>0</v>
      </c>
      <c r="N105" s="95">
        <f>ROUND(116757.45,2)</f>
        <v>116757.45</v>
      </c>
      <c r="O105" s="95">
        <f>ROUND(116757.45,2)</f>
        <v>116757.45</v>
      </c>
      <c r="P105" s="96"/>
      <c r="Q105" s="97"/>
      <c r="R105" s="98">
        <f t="shared" si="26"/>
        <v>0</v>
      </c>
      <c r="S105" s="99"/>
      <c r="T105" s="100"/>
      <c r="U105" s="101"/>
      <c r="V105" s="102"/>
      <c r="W105" s="103"/>
      <c r="X105" s="103"/>
      <c r="Y105" s="105">
        <f t="shared" si="35"/>
        <v>0</v>
      </c>
      <c r="Z105" s="106"/>
      <c r="AA105" s="118"/>
      <c r="AB105" s="108"/>
      <c r="AC105" s="108"/>
      <c r="AD105" s="109"/>
      <c r="AE105" s="110"/>
      <c r="AF105" s="111"/>
      <c r="AG105" s="111"/>
      <c r="AH105" s="111"/>
      <c r="AI105" s="111"/>
      <c r="AJ105" s="112">
        <f t="shared" si="27"/>
        <v>0</v>
      </c>
      <c r="AK105" s="113">
        <f t="shared" si="25"/>
        <v>0</v>
      </c>
      <c r="AL105" s="114">
        <f t="shared" si="28"/>
        <v>0</v>
      </c>
      <c r="AM105" s="108"/>
      <c r="AN105" s="108">
        <f>ROUND(116757.45,2)</f>
        <v>116757.45</v>
      </c>
      <c r="AO105" s="108">
        <f t="shared" si="37"/>
        <v>0</v>
      </c>
      <c r="AP105" s="108">
        <f>ROUND(95777.55,2)</f>
        <v>95777.55</v>
      </c>
      <c r="AQ105" s="108">
        <f t="shared" si="41"/>
        <v>0</v>
      </c>
      <c r="AR105" s="108">
        <f>ROUND(95777.55,2)</f>
        <v>95777.55</v>
      </c>
      <c r="AS105" s="108">
        <f>ROUND(0,2)</f>
        <v>0</v>
      </c>
      <c r="AT105" s="108">
        <f>ROUND(95777.55,2)</f>
        <v>95777.55</v>
      </c>
      <c r="AU105" s="108">
        <f>ROUND(10890,2)</f>
        <v>10890</v>
      </c>
      <c r="AV105" s="108">
        <f>ROUND(84887.55,2)</f>
        <v>84887.55</v>
      </c>
      <c r="AW105" s="108">
        <f t="shared" si="43"/>
        <v>0</v>
      </c>
      <c r="AX105" s="108">
        <f>ROUND(84887.55,2)</f>
        <v>84887.55</v>
      </c>
      <c r="AY105" s="108">
        <f t="shared" si="34"/>
        <v>0</v>
      </c>
      <c r="AZ105" s="108">
        <f>ROUND(20979.9,2)</f>
        <v>20979.9</v>
      </c>
      <c r="BA105" s="108">
        <f>ROUND(20979.9,2)</f>
        <v>20979.9</v>
      </c>
      <c r="BB105" s="115">
        <v>17.968789143647797</v>
      </c>
      <c r="BC105" s="115">
        <v>82.031210856352203</v>
      </c>
      <c r="BD105" s="115">
        <v>82.031210856352203</v>
      </c>
      <c r="BE105" s="115">
        <v>88.629903354178509</v>
      </c>
      <c r="BF105" s="116"/>
      <c r="BG105" s="116"/>
    </row>
    <row r="106" spans="1:59" x14ac:dyDescent="0.25">
      <c r="A106" s="86" t="str">
        <f t="shared" si="29"/>
        <v>31000</v>
      </c>
      <c r="B106" s="86" t="str">
        <f t="shared" si="30"/>
        <v>13401</v>
      </c>
      <c r="C106" s="86" t="str">
        <f t="shared" si="31"/>
        <v>60900</v>
      </c>
      <c r="D106" s="87" t="str">
        <f t="shared" si="32"/>
        <v>31000/13401/60900()</v>
      </c>
      <c r="E106" s="88" t="str">
        <f t="shared" si="33"/>
        <v>6</v>
      </c>
      <c r="F106" s="89" t="s">
        <v>189</v>
      </c>
      <c r="G106" s="90"/>
      <c r="H106" s="91"/>
      <c r="I106" s="92" t="s">
        <v>331</v>
      </c>
      <c r="J106" s="92" t="s">
        <v>332</v>
      </c>
      <c r="K106" s="93" t="s">
        <v>331</v>
      </c>
      <c r="L106" s="93" t="s">
        <v>332</v>
      </c>
      <c r="M106" s="94">
        <f>ROUND(47708,2)</f>
        <v>47708</v>
      </c>
      <c r="N106" s="95">
        <f>ROUND(606895.36,2)</f>
        <v>606895.35999999999</v>
      </c>
      <c r="O106" s="95">
        <f>ROUND(654603.36,2)</f>
        <v>654603.36</v>
      </c>
      <c r="P106" s="96">
        <v>0</v>
      </c>
      <c r="Q106" s="97"/>
      <c r="R106" s="98">
        <f t="shared" si="26"/>
        <v>-47708</v>
      </c>
      <c r="S106" s="99">
        <v>0</v>
      </c>
      <c r="T106" s="100"/>
      <c r="U106" s="101"/>
      <c r="V106" s="102"/>
      <c r="W106" s="103"/>
      <c r="X106" s="103"/>
      <c r="Y106" s="105">
        <f t="shared" si="35"/>
        <v>0</v>
      </c>
      <c r="Z106" s="106"/>
      <c r="AA106" s="118"/>
      <c r="AB106" s="108"/>
      <c r="AC106" s="108"/>
      <c r="AD106" s="109"/>
      <c r="AE106" s="110"/>
      <c r="AF106" s="111"/>
      <c r="AG106" s="111"/>
      <c r="AH106" s="111"/>
      <c r="AI106" s="111"/>
      <c r="AJ106" s="112">
        <f t="shared" si="27"/>
        <v>0</v>
      </c>
      <c r="AK106" s="113">
        <f t="shared" si="25"/>
        <v>0</v>
      </c>
      <c r="AL106" s="114">
        <f t="shared" si="28"/>
        <v>0</v>
      </c>
      <c r="AM106" s="108"/>
      <c r="AN106" s="108">
        <f>ROUND(606895.36,2)</f>
        <v>606895.35999999999</v>
      </c>
      <c r="AO106" s="108">
        <f t="shared" si="37"/>
        <v>0</v>
      </c>
      <c r="AP106" s="108">
        <f>ROUND(342201.24,2)</f>
        <v>342201.24</v>
      </c>
      <c r="AQ106" s="108">
        <f t="shared" si="41"/>
        <v>0</v>
      </c>
      <c r="AR106" s="108">
        <f>ROUND(342201.24,2)</f>
        <v>342201.24</v>
      </c>
      <c r="AS106" s="108">
        <f>ROUND(333354.49,2)</f>
        <v>333354.49</v>
      </c>
      <c r="AT106" s="108">
        <f>ROUND(8846.75,2)</f>
        <v>8846.75</v>
      </c>
      <c r="AU106" s="108">
        <f>ROUND(0,2)</f>
        <v>0</v>
      </c>
      <c r="AV106" s="108">
        <f>ROUND(8846.75,2)</f>
        <v>8846.75</v>
      </c>
      <c r="AW106" s="108">
        <f t="shared" si="43"/>
        <v>0</v>
      </c>
      <c r="AX106" s="108">
        <f>ROUND(8846.75,2)</f>
        <v>8846.75</v>
      </c>
      <c r="AY106" s="108">
        <f t="shared" si="34"/>
        <v>0</v>
      </c>
      <c r="AZ106" s="108">
        <f>ROUND(312402.12,2)</f>
        <v>312402.12</v>
      </c>
      <c r="BA106" s="108">
        <f>ROUND(645756.61,2)</f>
        <v>645756.61</v>
      </c>
      <c r="BB106" s="115">
        <v>47.723879694109726</v>
      </c>
      <c r="BC106" s="115">
        <v>52.276120305890274</v>
      </c>
      <c r="BD106" s="115">
        <v>1.3514672457532146</v>
      </c>
      <c r="BE106" s="115">
        <v>100</v>
      </c>
      <c r="BF106" s="116"/>
      <c r="BG106" s="116"/>
    </row>
    <row r="107" spans="1:59" x14ac:dyDescent="0.25">
      <c r="A107" s="86" t="str">
        <f t="shared" si="29"/>
        <v>31000</v>
      </c>
      <c r="B107" s="86" t="str">
        <f t="shared" si="30"/>
        <v>13306</v>
      </c>
      <c r="C107" s="86" t="str">
        <f t="shared" si="31"/>
        <v>60902</v>
      </c>
      <c r="D107" s="87" t="str">
        <f t="shared" si="32"/>
        <v>31000/13306/60902(2022)</v>
      </c>
      <c r="E107" s="88" t="str">
        <f t="shared" si="33"/>
        <v>6</v>
      </c>
      <c r="F107" s="89" t="s">
        <v>180</v>
      </c>
      <c r="G107" s="90"/>
      <c r="H107" s="91" t="s">
        <v>181</v>
      </c>
      <c r="I107" s="92" t="s">
        <v>333</v>
      </c>
      <c r="J107" s="92" t="s">
        <v>334</v>
      </c>
      <c r="K107" s="93" t="s">
        <v>333</v>
      </c>
      <c r="L107" s="93" t="s">
        <v>334</v>
      </c>
      <c r="M107" s="94">
        <v>0</v>
      </c>
      <c r="N107" s="95">
        <v>545041.31999999995</v>
      </c>
      <c r="O107" s="95">
        <v>545041.31999999995</v>
      </c>
      <c r="P107" s="96"/>
      <c r="Q107" s="97"/>
      <c r="R107" s="98">
        <f t="shared" si="26"/>
        <v>0</v>
      </c>
      <c r="S107" s="99"/>
      <c r="T107" s="100"/>
      <c r="U107" s="101"/>
      <c r="V107" s="102"/>
      <c r="W107" s="103"/>
      <c r="X107" s="103"/>
      <c r="Y107" s="105">
        <f t="shared" si="35"/>
        <v>0</v>
      </c>
      <c r="Z107" s="106"/>
      <c r="AA107" s="118"/>
      <c r="AB107" s="108"/>
      <c r="AC107" s="108"/>
      <c r="AD107" s="109"/>
      <c r="AE107" s="110"/>
      <c r="AF107" s="111"/>
      <c r="AG107" s="111"/>
      <c r="AH107" s="111"/>
      <c r="AI107" s="111"/>
      <c r="AJ107" s="112">
        <f t="shared" si="27"/>
        <v>0</v>
      </c>
      <c r="AK107" s="113">
        <f t="shared" si="25"/>
        <v>0</v>
      </c>
      <c r="AL107" s="114">
        <f t="shared" si="28"/>
        <v>0</v>
      </c>
      <c r="AM107" s="108"/>
      <c r="AN107" s="108">
        <f>ROUND(545041.32,2)</f>
        <v>545041.31999999995</v>
      </c>
      <c r="AO107" s="108">
        <f t="shared" si="37"/>
        <v>0</v>
      </c>
      <c r="AP107" s="108">
        <f>ROUND(161597.57,2)</f>
        <v>161597.57</v>
      </c>
      <c r="AQ107" s="108">
        <f t="shared" si="41"/>
        <v>0</v>
      </c>
      <c r="AR107" s="108">
        <f>ROUND(161597.57,2)</f>
        <v>161597.57</v>
      </c>
      <c r="AS107" s="108">
        <f>ROUND(29712.21,2)</f>
        <v>29712.21</v>
      </c>
      <c r="AT107" s="108">
        <f>ROUND(131885.36,2)</f>
        <v>131885.35999999999</v>
      </c>
      <c r="AU107" s="108">
        <f>ROUND(94471.31,2)</f>
        <v>94471.31</v>
      </c>
      <c r="AV107" s="108">
        <f>ROUND(37414.05,2)</f>
        <v>37414.050000000003</v>
      </c>
      <c r="AW107" s="108">
        <f t="shared" si="43"/>
        <v>0</v>
      </c>
      <c r="AX107" s="108">
        <f>ROUND(37414.05,2)</f>
        <v>37414.050000000003</v>
      </c>
      <c r="AY107" s="108">
        <f t="shared" si="34"/>
        <v>0</v>
      </c>
      <c r="AZ107" s="108">
        <f>ROUND(383443.75,2)</f>
        <v>383443.75</v>
      </c>
      <c r="BA107" s="108">
        <f>ROUND(413155.96,2)</f>
        <v>413155.96</v>
      </c>
      <c r="BB107" s="115">
        <v>70.351317584509005</v>
      </c>
      <c r="BC107" s="115">
        <v>29.648682415491002</v>
      </c>
      <c r="BD107" s="115">
        <v>24.197314067858194</v>
      </c>
      <c r="BE107" s="115">
        <v>28.368614985014261</v>
      </c>
      <c r="BF107" s="116"/>
      <c r="BG107" s="116"/>
    </row>
    <row r="108" spans="1:59" x14ac:dyDescent="0.25">
      <c r="A108" s="86" t="str">
        <f t="shared" si="29"/>
        <v>31000</v>
      </c>
      <c r="B108" s="86" t="str">
        <f t="shared" si="30"/>
        <v>15300</v>
      </c>
      <c r="C108" s="86" t="str">
        <f t="shared" si="31"/>
        <v>62521</v>
      </c>
      <c r="D108" s="87" t="str">
        <f t="shared" si="32"/>
        <v>31000/15300/62521()</v>
      </c>
      <c r="E108" s="88" t="str">
        <f t="shared" si="33"/>
        <v>6</v>
      </c>
      <c r="F108" s="89">
        <v>0</v>
      </c>
      <c r="G108" s="90"/>
      <c r="H108" s="91"/>
      <c r="I108" s="92" t="s">
        <v>74</v>
      </c>
      <c r="J108" s="92" t="s">
        <v>75</v>
      </c>
      <c r="K108" s="93" t="s">
        <v>74</v>
      </c>
      <c r="L108" s="93" t="s">
        <v>75</v>
      </c>
      <c r="M108" s="94">
        <v>40000</v>
      </c>
      <c r="N108" s="95">
        <v>16000</v>
      </c>
      <c r="O108" s="95">
        <v>56000</v>
      </c>
      <c r="P108" s="96">
        <v>40000</v>
      </c>
      <c r="Q108" s="97">
        <f>S108</f>
        <v>64680</v>
      </c>
      <c r="R108" s="98">
        <f t="shared" si="26"/>
        <v>0</v>
      </c>
      <c r="S108" s="99">
        <f>P108+24680</f>
        <v>64680</v>
      </c>
      <c r="T108" s="100">
        <f>S108-P108</f>
        <v>24680</v>
      </c>
      <c r="U108" s="101">
        <v>40000</v>
      </c>
      <c r="V108" s="102">
        <v>40000</v>
      </c>
      <c r="W108" s="104">
        <f>S108-P108</f>
        <v>24680</v>
      </c>
      <c r="X108" s="103"/>
      <c r="Y108" s="105">
        <f t="shared" si="35"/>
        <v>0</v>
      </c>
      <c r="Z108" s="185" t="s">
        <v>335</v>
      </c>
      <c r="AA108" s="107">
        <v>9680</v>
      </c>
      <c r="AB108" s="162">
        <f>M108-AA108</f>
        <v>30320</v>
      </c>
      <c r="AC108" s="108">
        <v>20000</v>
      </c>
      <c r="AD108" s="109"/>
      <c r="AE108" s="110"/>
      <c r="AF108" s="111"/>
      <c r="AG108" s="111"/>
      <c r="AH108" s="111"/>
      <c r="AI108" s="111"/>
      <c r="AJ108" s="112">
        <f t="shared" si="27"/>
        <v>40000</v>
      </c>
      <c r="AK108" s="113">
        <f t="shared" si="25"/>
        <v>40000</v>
      </c>
      <c r="AL108" s="114">
        <f t="shared" si="28"/>
        <v>0</v>
      </c>
      <c r="AM108" s="108"/>
      <c r="AN108" s="108">
        <f>ROUND(0,2)</f>
        <v>0</v>
      </c>
      <c r="AO108" s="108">
        <f t="shared" si="37"/>
        <v>0</v>
      </c>
      <c r="AP108" s="108">
        <f>ROUND(9680,2)</f>
        <v>9680</v>
      </c>
      <c r="AQ108" s="108">
        <f t="shared" si="41"/>
        <v>0</v>
      </c>
      <c r="AR108" s="108">
        <f>ROUND(9680,2)</f>
        <v>9680</v>
      </c>
      <c r="AS108" s="108">
        <f>ROUND(9680,2)</f>
        <v>9680</v>
      </c>
      <c r="AT108" s="108">
        <f>ROUND(0,2)</f>
        <v>0</v>
      </c>
      <c r="AU108" s="108">
        <f>ROUND(0,2)</f>
        <v>0</v>
      </c>
      <c r="AV108" s="108">
        <f>ROUND(0,2)</f>
        <v>0</v>
      </c>
      <c r="AW108" s="108">
        <f t="shared" si="43"/>
        <v>0</v>
      </c>
      <c r="AX108" s="108">
        <f>ROUND(0,2)</f>
        <v>0</v>
      </c>
      <c r="AY108" s="108">
        <f t="shared" si="34"/>
        <v>0</v>
      </c>
      <c r="AZ108" s="108">
        <f>ROUND(46320,2)</f>
        <v>46320</v>
      </c>
      <c r="BA108" s="108">
        <f>ROUND(56000,2)</f>
        <v>56000</v>
      </c>
      <c r="BB108" s="115">
        <v>82.714285714285722</v>
      </c>
      <c r="BC108" s="115">
        <v>17.285714285714285</v>
      </c>
      <c r="BD108" s="115">
        <v>0</v>
      </c>
      <c r="BE108" s="115">
        <v>0</v>
      </c>
      <c r="BF108" s="116"/>
      <c r="BG108" s="116"/>
    </row>
    <row r="109" spans="1:59" x14ac:dyDescent="0.25">
      <c r="A109" s="86"/>
      <c r="B109" s="86"/>
      <c r="C109" s="86"/>
      <c r="D109" s="87"/>
      <c r="E109" s="88">
        <v>6</v>
      </c>
      <c r="F109" s="89"/>
      <c r="G109" s="90"/>
      <c r="H109" s="186"/>
      <c r="I109" s="158"/>
      <c r="J109" s="159" t="s">
        <v>304</v>
      </c>
      <c r="K109" s="187" t="s">
        <v>72</v>
      </c>
      <c r="L109" s="187" t="s">
        <v>73</v>
      </c>
      <c r="M109" s="94">
        <v>0</v>
      </c>
      <c r="N109" s="95"/>
      <c r="O109" s="95"/>
      <c r="P109" s="146">
        <v>50</v>
      </c>
      <c r="Q109" s="97">
        <v>10</v>
      </c>
      <c r="R109" s="98">
        <f t="shared" si="26"/>
        <v>10</v>
      </c>
      <c r="S109" s="99">
        <v>0</v>
      </c>
      <c r="T109" s="100">
        <f>S109-P109</f>
        <v>-50</v>
      </c>
      <c r="U109" s="101">
        <v>10</v>
      </c>
      <c r="V109" s="102">
        <v>10</v>
      </c>
      <c r="W109" s="103"/>
      <c r="X109" s="103"/>
      <c r="Y109" s="105">
        <f t="shared" si="35"/>
        <v>0</v>
      </c>
      <c r="Z109" s="188" t="s">
        <v>336</v>
      </c>
      <c r="AA109" s="107"/>
      <c r="AB109" s="162"/>
      <c r="AC109" s="108"/>
      <c r="AD109" s="109"/>
      <c r="AE109" s="110"/>
      <c r="AF109" s="111"/>
      <c r="AG109" s="111"/>
      <c r="AH109" s="111"/>
      <c r="AI109" s="111"/>
      <c r="AJ109" s="112">
        <f t="shared" si="27"/>
        <v>10</v>
      </c>
      <c r="AK109" s="113">
        <f t="shared" si="25"/>
        <v>10</v>
      </c>
      <c r="AL109" s="114">
        <f t="shared" si="28"/>
        <v>0</v>
      </c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15"/>
      <c r="BC109" s="115"/>
      <c r="BD109" s="115"/>
      <c r="BE109" s="115"/>
      <c r="BF109" s="116"/>
      <c r="BG109" s="116"/>
    </row>
    <row r="110" spans="1:59" x14ac:dyDescent="0.25">
      <c r="A110" s="86" t="str">
        <f t="shared" si="29"/>
        <v>31000</v>
      </c>
      <c r="B110" s="86" t="str">
        <f t="shared" si="30"/>
        <v>15300</v>
      </c>
      <c r="C110" s="86" t="str">
        <f t="shared" si="31"/>
        <v>62521</v>
      </c>
      <c r="D110" s="87" t="str">
        <f t="shared" si="32"/>
        <v>31000/15300/62521(2024)</v>
      </c>
      <c r="E110" s="88" t="str">
        <f t="shared" si="33"/>
        <v>6</v>
      </c>
      <c r="F110" s="89">
        <v>0</v>
      </c>
      <c r="G110" s="90"/>
      <c r="H110" s="91" t="s">
        <v>170</v>
      </c>
      <c r="I110" s="92" t="s">
        <v>74</v>
      </c>
      <c r="J110" s="92" t="s">
        <v>75</v>
      </c>
      <c r="K110" s="93" t="s">
        <v>74</v>
      </c>
      <c r="L110" s="93" t="s">
        <v>75</v>
      </c>
      <c r="M110" s="94">
        <v>0</v>
      </c>
      <c r="N110" s="95">
        <v>6730.74</v>
      </c>
      <c r="O110" s="95">
        <v>6730.74</v>
      </c>
      <c r="P110" s="96"/>
      <c r="Q110" s="97"/>
      <c r="R110" s="98">
        <f t="shared" si="26"/>
        <v>0</v>
      </c>
      <c r="S110" s="99"/>
      <c r="T110" s="100"/>
      <c r="U110" s="101"/>
      <c r="V110" s="102"/>
      <c r="W110" s="103"/>
      <c r="X110" s="103"/>
      <c r="Y110" s="105">
        <f t="shared" si="35"/>
        <v>0</v>
      </c>
      <c r="Z110" s="106"/>
      <c r="AA110" s="118"/>
      <c r="AB110" s="108"/>
      <c r="AC110" s="108"/>
      <c r="AD110" s="109"/>
      <c r="AE110" s="110"/>
      <c r="AF110" s="111"/>
      <c r="AG110" s="111"/>
      <c r="AH110" s="111"/>
      <c r="AI110" s="111"/>
      <c r="AJ110" s="112">
        <f t="shared" si="27"/>
        <v>0</v>
      </c>
      <c r="AK110" s="113">
        <f t="shared" si="25"/>
        <v>0</v>
      </c>
      <c r="AL110" s="114">
        <f t="shared" si="28"/>
        <v>0</v>
      </c>
      <c r="AM110" s="108"/>
      <c r="AN110" s="108">
        <f>ROUND(6730.74,2)</f>
        <v>6730.74</v>
      </c>
      <c r="AO110" s="108">
        <f t="shared" si="37"/>
        <v>0</v>
      </c>
      <c r="AP110" s="108">
        <f>ROUND(6730.74,2)</f>
        <v>6730.74</v>
      </c>
      <c r="AQ110" s="108">
        <f t="shared" si="41"/>
        <v>0</v>
      </c>
      <c r="AR110" s="108">
        <f>ROUND(6730.74,2)</f>
        <v>6730.74</v>
      </c>
      <c r="AS110" s="108">
        <f>ROUND(0,2)</f>
        <v>0</v>
      </c>
      <c r="AT110" s="108">
        <f>ROUND(6730.74,2)</f>
        <v>6730.74</v>
      </c>
      <c r="AU110" s="108">
        <f>ROUND(0,2)</f>
        <v>0</v>
      </c>
      <c r="AV110" s="108">
        <f>ROUND(6730.74,2)</f>
        <v>6730.74</v>
      </c>
      <c r="AW110" s="108">
        <f t="shared" si="43"/>
        <v>0</v>
      </c>
      <c r="AX110" s="108">
        <f>ROUND(6730.74,2)</f>
        <v>6730.74</v>
      </c>
      <c r="AY110" s="108">
        <f t="shared" si="34"/>
        <v>0</v>
      </c>
      <c r="AZ110" s="108">
        <f>ROUND(0,2)</f>
        <v>0</v>
      </c>
      <c r="BA110" s="108">
        <f>ROUND(0,2)</f>
        <v>0</v>
      </c>
      <c r="BB110" s="115">
        <v>0</v>
      </c>
      <c r="BC110" s="115">
        <v>100</v>
      </c>
      <c r="BD110" s="115">
        <v>100</v>
      </c>
      <c r="BE110" s="115">
        <v>100</v>
      </c>
      <c r="BF110" s="116"/>
      <c r="BG110" s="116"/>
    </row>
    <row r="111" spans="1:59" x14ac:dyDescent="0.25">
      <c r="A111" s="86" t="str">
        <f t="shared" si="29"/>
        <v>31000</v>
      </c>
      <c r="B111" s="86" t="str">
        <f t="shared" si="30"/>
        <v>13401</v>
      </c>
      <c r="C111" s="86" t="str">
        <f t="shared" si="31"/>
        <v>76400</v>
      </c>
      <c r="D111" s="87" t="str">
        <f t="shared" si="32"/>
        <v>31000/13401/76400(2023)</v>
      </c>
      <c r="E111" s="88" t="str">
        <f t="shared" si="33"/>
        <v>7</v>
      </c>
      <c r="F111" s="89" t="s">
        <v>189</v>
      </c>
      <c r="G111" s="90"/>
      <c r="H111" s="91" t="s">
        <v>172</v>
      </c>
      <c r="I111" s="92" t="s">
        <v>337</v>
      </c>
      <c r="J111" s="92" t="s">
        <v>338</v>
      </c>
      <c r="K111" s="93" t="s">
        <v>337</v>
      </c>
      <c r="L111" s="93" t="s">
        <v>338</v>
      </c>
      <c r="M111" s="94">
        <v>0</v>
      </c>
      <c r="N111" s="95">
        <v>156600</v>
      </c>
      <c r="O111" s="95">
        <v>156600</v>
      </c>
      <c r="P111" s="96"/>
      <c r="Q111" s="97"/>
      <c r="R111" s="98">
        <f t="shared" si="26"/>
        <v>0</v>
      </c>
      <c r="S111" s="99"/>
      <c r="T111" s="100"/>
      <c r="U111" s="101"/>
      <c r="V111" s="102"/>
      <c r="W111" s="103"/>
      <c r="X111" s="103"/>
      <c r="Y111" s="105">
        <f t="shared" si="35"/>
        <v>0</v>
      </c>
      <c r="Z111" s="106"/>
      <c r="AA111" s="118"/>
      <c r="AB111" s="108"/>
      <c r="AC111" s="108"/>
      <c r="AD111" s="109"/>
      <c r="AE111" s="110"/>
      <c r="AF111" s="111"/>
      <c r="AG111" s="111"/>
      <c r="AH111" s="111"/>
      <c r="AI111" s="111"/>
      <c r="AJ111" s="112">
        <f t="shared" si="27"/>
        <v>0</v>
      </c>
      <c r="AK111" s="113">
        <f t="shared" si="25"/>
        <v>0</v>
      </c>
      <c r="AL111" s="114">
        <f t="shared" si="28"/>
        <v>0</v>
      </c>
      <c r="AM111" s="108"/>
      <c r="AN111" s="108">
        <f>ROUND(156600,2)</f>
        <v>156600</v>
      </c>
      <c r="AO111" s="108">
        <f t="shared" si="37"/>
        <v>0</v>
      </c>
      <c r="AP111" s="108">
        <f>ROUND(156600,2)</f>
        <v>156600</v>
      </c>
      <c r="AQ111" s="108">
        <f t="shared" si="41"/>
        <v>0</v>
      </c>
      <c r="AR111" s="108">
        <f>ROUND(156600,2)</f>
        <v>156600</v>
      </c>
      <c r="AS111" s="108">
        <f>ROUND(156600,2)</f>
        <v>156600</v>
      </c>
      <c r="AT111" s="108">
        <f>ROUND(0,2)</f>
        <v>0</v>
      </c>
      <c r="AU111" s="108">
        <f>ROUND(0,2)</f>
        <v>0</v>
      </c>
      <c r="AV111" s="108">
        <f>ROUND(0,2)</f>
        <v>0</v>
      </c>
      <c r="AW111" s="108">
        <f t="shared" si="43"/>
        <v>0</v>
      </c>
      <c r="AX111" s="108">
        <f>ROUND(0,2)</f>
        <v>0</v>
      </c>
      <c r="AY111" s="108">
        <f t="shared" si="34"/>
        <v>0</v>
      </c>
      <c r="AZ111" s="108">
        <f>ROUND(0,2)</f>
        <v>0</v>
      </c>
      <c r="BA111" s="108">
        <f>ROUND(156600,2)</f>
        <v>156600</v>
      </c>
      <c r="BB111" s="115">
        <v>0</v>
      </c>
      <c r="BC111" s="115">
        <v>100</v>
      </c>
      <c r="BD111" s="115">
        <v>0</v>
      </c>
      <c r="BE111" s="115">
        <v>0</v>
      </c>
      <c r="BF111" s="116"/>
      <c r="BG111" s="116"/>
    </row>
    <row r="112" spans="1:59" x14ac:dyDescent="0.25">
      <c r="A112" s="86" t="str">
        <f t="shared" si="29"/>
        <v>31010</v>
      </c>
      <c r="B112" s="86" t="str">
        <f t="shared" si="30"/>
        <v>17100</v>
      </c>
      <c r="C112" s="86" t="str">
        <f t="shared" si="31"/>
        <v>60900</v>
      </c>
      <c r="D112" s="87" t="str">
        <f t="shared" si="32"/>
        <v>31010/17100/60900(2024)</v>
      </c>
      <c r="E112" s="88" t="str">
        <f t="shared" si="33"/>
        <v>6</v>
      </c>
      <c r="F112" s="89">
        <v>0</v>
      </c>
      <c r="G112" s="90"/>
      <c r="H112" s="91" t="s">
        <v>170</v>
      </c>
      <c r="I112" s="92" t="s">
        <v>76</v>
      </c>
      <c r="J112" s="92" t="s">
        <v>77</v>
      </c>
      <c r="K112" s="93" t="s">
        <v>76</v>
      </c>
      <c r="L112" s="93" t="s">
        <v>77</v>
      </c>
      <c r="M112" s="94">
        <f>ROUND(0,2)</f>
        <v>0</v>
      </c>
      <c r="N112" s="95">
        <f>ROUND(66752.25,2)</f>
        <v>66752.25</v>
      </c>
      <c r="O112" s="95">
        <f>ROUND(66752.25,2)</f>
        <v>66752.25</v>
      </c>
      <c r="P112" s="96"/>
      <c r="Q112" s="97"/>
      <c r="R112" s="98">
        <f t="shared" si="26"/>
        <v>0</v>
      </c>
      <c r="S112" s="99"/>
      <c r="T112" s="100"/>
      <c r="U112" s="101"/>
      <c r="V112" s="102"/>
      <c r="W112" s="103"/>
      <c r="X112" s="103"/>
      <c r="Y112" s="105">
        <f t="shared" si="35"/>
        <v>0</v>
      </c>
      <c r="Z112" s="106"/>
      <c r="AA112" s="118"/>
      <c r="AB112" s="108"/>
      <c r="AC112" s="108"/>
      <c r="AD112" s="109"/>
      <c r="AE112" s="110"/>
      <c r="AF112" s="111"/>
      <c r="AG112" s="111"/>
      <c r="AH112" s="111"/>
      <c r="AI112" s="111"/>
      <c r="AJ112" s="112">
        <f t="shared" si="27"/>
        <v>0</v>
      </c>
      <c r="AK112" s="113">
        <f t="shared" si="25"/>
        <v>0</v>
      </c>
      <c r="AL112" s="114">
        <f t="shared" si="28"/>
        <v>0</v>
      </c>
      <c r="AM112" s="108"/>
      <c r="AN112" s="108">
        <f>ROUND(66752.25,2)</f>
        <v>66752.25</v>
      </c>
      <c r="AO112" s="108">
        <f t="shared" si="37"/>
        <v>0</v>
      </c>
      <c r="AP112" s="108">
        <f>ROUND(35553.32,2)</f>
        <v>35553.32</v>
      </c>
      <c r="AQ112" s="108">
        <f t="shared" si="41"/>
        <v>0</v>
      </c>
      <c r="AR112" s="108">
        <f>ROUND(35553.32,2)</f>
        <v>35553.32</v>
      </c>
      <c r="AS112" s="108">
        <f>ROUND(8071.42,2)</f>
        <v>8071.42</v>
      </c>
      <c r="AT112" s="108">
        <f>ROUND(27481.9,2)</f>
        <v>27481.9</v>
      </c>
      <c r="AU112" s="108">
        <f>ROUND(2193.3,2)</f>
        <v>2193.3000000000002</v>
      </c>
      <c r="AV112" s="108">
        <f>ROUND(25288.6,2)</f>
        <v>25288.6</v>
      </c>
      <c r="AW112" s="108">
        <f t="shared" si="43"/>
        <v>0</v>
      </c>
      <c r="AX112" s="108">
        <f>ROUND(25288.6,2)</f>
        <v>25288.6</v>
      </c>
      <c r="AY112" s="108">
        <f t="shared" si="34"/>
        <v>0</v>
      </c>
      <c r="AZ112" s="108">
        <f>ROUND(31198.93,2)</f>
        <v>31198.93</v>
      </c>
      <c r="BA112" s="108">
        <f>ROUND(39270.35,2)</f>
        <v>39270.35</v>
      </c>
      <c r="BB112" s="115">
        <v>46.738394585950289</v>
      </c>
      <c r="BC112" s="115">
        <v>53.261605414049718</v>
      </c>
      <c r="BD112" s="115">
        <v>41.169998015048179</v>
      </c>
      <c r="BE112" s="115">
        <v>92.019110760173049</v>
      </c>
      <c r="BF112" s="116"/>
      <c r="BG112" s="116"/>
    </row>
    <row r="113" spans="1:59" x14ac:dyDescent="0.25">
      <c r="A113" s="86" t="str">
        <f t="shared" si="29"/>
        <v>31010</v>
      </c>
      <c r="B113" s="86" t="str">
        <f t="shared" si="30"/>
        <v>17100</v>
      </c>
      <c r="C113" s="86" t="str">
        <f t="shared" si="31"/>
        <v>60900</v>
      </c>
      <c r="D113" s="87" t="str">
        <f t="shared" si="32"/>
        <v>31010/17100/60900()</v>
      </c>
      <c r="E113" s="88" t="str">
        <f t="shared" si="33"/>
        <v>6</v>
      </c>
      <c r="F113" s="89">
        <v>0</v>
      </c>
      <c r="G113" s="90"/>
      <c r="H113" s="91"/>
      <c r="I113" s="92" t="s">
        <v>76</v>
      </c>
      <c r="J113" s="92" t="s">
        <v>77</v>
      </c>
      <c r="K113" s="93" t="s">
        <v>76</v>
      </c>
      <c r="L113" s="93" t="s">
        <v>77</v>
      </c>
      <c r="M113" s="94">
        <f>ROUND(50,2)</f>
        <v>50</v>
      </c>
      <c r="N113" s="95">
        <f>ROUND(0,2)</f>
        <v>0</v>
      </c>
      <c r="O113" s="95">
        <f>ROUND(50,2)</f>
        <v>50</v>
      </c>
      <c r="P113" s="96">
        <v>50</v>
      </c>
      <c r="Q113" s="97">
        <v>295000</v>
      </c>
      <c r="R113" s="98">
        <f t="shared" si="26"/>
        <v>99950</v>
      </c>
      <c r="S113" s="99">
        <v>295000</v>
      </c>
      <c r="T113" s="100">
        <f>S113-P113</f>
        <v>294950</v>
      </c>
      <c r="U113" s="101">
        <v>100000</v>
      </c>
      <c r="V113" s="102"/>
      <c r="W113" s="103">
        <f>S113</f>
        <v>295000</v>
      </c>
      <c r="X113" s="103"/>
      <c r="Y113" s="105">
        <f t="shared" si="35"/>
        <v>0</v>
      </c>
      <c r="Z113" s="106" t="s">
        <v>339</v>
      </c>
      <c r="AA113" s="118"/>
      <c r="AB113" s="108"/>
      <c r="AC113" s="108"/>
      <c r="AD113" s="109"/>
      <c r="AE113" s="110"/>
      <c r="AF113" s="111"/>
      <c r="AG113" s="111"/>
      <c r="AH113" s="111"/>
      <c r="AI113" s="111"/>
      <c r="AJ113" s="112">
        <f t="shared" si="27"/>
        <v>100000</v>
      </c>
      <c r="AK113" s="113">
        <f t="shared" si="25"/>
        <v>100000</v>
      </c>
      <c r="AL113" s="114">
        <f t="shared" si="28"/>
        <v>0</v>
      </c>
      <c r="AM113" s="108"/>
      <c r="AN113" s="108">
        <f>ROUND(0,2)</f>
        <v>0</v>
      </c>
      <c r="AO113" s="108">
        <f t="shared" si="37"/>
        <v>0</v>
      </c>
      <c r="AP113" s="108">
        <f>ROUND(0,2)</f>
        <v>0</v>
      </c>
      <c r="AQ113" s="108">
        <f t="shared" si="41"/>
        <v>0</v>
      </c>
      <c r="AR113" s="108">
        <f>ROUND(0,2)</f>
        <v>0</v>
      </c>
      <c r="AS113" s="108">
        <f>ROUND(0,2)</f>
        <v>0</v>
      </c>
      <c r="AT113" s="108">
        <f>ROUND(0,2)</f>
        <v>0</v>
      </c>
      <c r="AU113" s="108">
        <f>ROUND(0,2)</f>
        <v>0</v>
      </c>
      <c r="AV113" s="108">
        <f>ROUND(0,2)</f>
        <v>0</v>
      </c>
      <c r="AW113" s="108">
        <f t="shared" si="43"/>
        <v>0</v>
      </c>
      <c r="AX113" s="108">
        <f>ROUND(0,2)</f>
        <v>0</v>
      </c>
      <c r="AY113" s="108">
        <f t="shared" si="34"/>
        <v>0</v>
      </c>
      <c r="AZ113" s="108">
        <f>ROUND(50,2)</f>
        <v>50</v>
      </c>
      <c r="BA113" s="108">
        <f>ROUND(50,2)</f>
        <v>50</v>
      </c>
      <c r="BB113" s="115">
        <v>100</v>
      </c>
      <c r="BC113" s="115">
        <v>0</v>
      </c>
      <c r="BD113" s="115">
        <v>0</v>
      </c>
      <c r="BE113" s="115">
        <v>0</v>
      </c>
      <c r="BF113" s="116"/>
      <c r="BG113" s="116"/>
    </row>
    <row r="114" spans="1:59" x14ac:dyDescent="0.25">
      <c r="A114" s="86"/>
      <c r="B114" s="86"/>
      <c r="C114" s="86"/>
      <c r="D114" s="87"/>
      <c r="E114" s="88"/>
      <c r="F114" s="89"/>
      <c r="G114" s="90"/>
      <c r="H114" s="91"/>
      <c r="I114" s="92"/>
      <c r="J114" s="92"/>
      <c r="K114" s="93"/>
      <c r="L114" s="189" t="s">
        <v>340</v>
      </c>
      <c r="M114" s="94"/>
      <c r="N114" s="95"/>
      <c r="O114" s="95"/>
      <c r="P114" s="96"/>
      <c r="Q114" s="97"/>
      <c r="R114" s="98">
        <f t="shared" si="26"/>
        <v>0</v>
      </c>
      <c r="S114" s="99"/>
      <c r="T114" s="100"/>
      <c r="U114" s="101"/>
      <c r="V114" s="102"/>
      <c r="W114" s="103"/>
      <c r="X114" s="103"/>
      <c r="Y114" s="105">
        <f t="shared" si="35"/>
        <v>0</v>
      </c>
      <c r="Z114" s="106"/>
      <c r="AA114" s="118"/>
      <c r="AB114" s="108"/>
      <c r="AC114" s="108"/>
      <c r="AD114" s="109"/>
      <c r="AE114" s="110"/>
      <c r="AF114" s="111"/>
      <c r="AG114" s="111"/>
      <c r="AH114" s="111"/>
      <c r="AI114" s="111"/>
      <c r="AJ114" s="112">
        <f t="shared" si="27"/>
        <v>0</v>
      </c>
      <c r="AK114" s="113">
        <f t="shared" si="25"/>
        <v>0</v>
      </c>
      <c r="AL114" s="114">
        <f t="shared" si="28"/>
        <v>0</v>
      </c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15"/>
      <c r="BC114" s="115"/>
      <c r="BD114" s="115"/>
      <c r="BE114" s="115"/>
      <c r="BF114" s="116"/>
      <c r="BG114" s="116"/>
    </row>
    <row r="115" spans="1:59" x14ac:dyDescent="0.25">
      <c r="A115" s="86" t="str">
        <f t="shared" si="29"/>
        <v>31012</v>
      </c>
      <c r="B115" s="86" t="str">
        <f t="shared" si="30"/>
        <v>17101</v>
      </c>
      <c r="C115" s="86" t="str">
        <f t="shared" si="31"/>
        <v>60900</v>
      </c>
      <c r="D115" s="87" t="str">
        <f t="shared" si="32"/>
        <v>31012/17101/60900(2023)</v>
      </c>
      <c r="E115" s="88" t="str">
        <f t="shared" si="33"/>
        <v>6</v>
      </c>
      <c r="F115" s="89" t="s">
        <v>220</v>
      </c>
      <c r="G115" s="90"/>
      <c r="H115" s="91" t="s">
        <v>172</v>
      </c>
      <c r="I115" s="92" t="s">
        <v>341</v>
      </c>
      <c r="J115" s="92" t="s">
        <v>342</v>
      </c>
      <c r="K115" s="93" t="s">
        <v>341</v>
      </c>
      <c r="L115" s="93" t="s">
        <v>342</v>
      </c>
      <c r="M115" s="94">
        <v>0</v>
      </c>
      <c r="N115" s="95">
        <v>464369.7</v>
      </c>
      <c r="O115" s="95">
        <v>464369.7</v>
      </c>
      <c r="P115" s="96"/>
      <c r="Q115" s="97"/>
      <c r="R115" s="98">
        <f t="shared" si="26"/>
        <v>0</v>
      </c>
      <c r="S115" s="99"/>
      <c r="T115" s="100"/>
      <c r="U115" s="101"/>
      <c r="V115" s="102"/>
      <c r="W115" s="103"/>
      <c r="X115" s="103"/>
      <c r="Y115" s="105">
        <f t="shared" si="35"/>
        <v>0</v>
      </c>
      <c r="Z115" s="106"/>
      <c r="AA115" s="118"/>
      <c r="AB115" s="108"/>
      <c r="AC115" s="108"/>
      <c r="AD115" s="109"/>
      <c r="AE115" s="110"/>
      <c r="AF115" s="111"/>
      <c r="AG115" s="111"/>
      <c r="AH115" s="111"/>
      <c r="AI115" s="111"/>
      <c r="AJ115" s="112">
        <f t="shared" si="27"/>
        <v>0</v>
      </c>
      <c r="AK115" s="113">
        <f t="shared" si="25"/>
        <v>0</v>
      </c>
      <c r="AL115" s="114">
        <f t="shared" si="28"/>
        <v>0</v>
      </c>
      <c r="AM115" s="108"/>
      <c r="AN115" s="108">
        <f>ROUND(464369.7,2)</f>
        <v>464369.7</v>
      </c>
      <c r="AO115" s="108">
        <f t="shared" si="37"/>
        <v>0</v>
      </c>
      <c r="AP115" s="108">
        <f>ROUND(395007.74,2)</f>
        <v>395007.74</v>
      </c>
      <c r="AQ115" s="108">
        <f>ROUND(6781.95999999996,2)</f>
        <v>6781.96</v>
      </c>
      <c r="AR115" s="108">
        <f>ROUND(388225.78,2)</f>
        <v>388225.78</v>
      </c>
      <c r="AS115" s="108">
        <f>ROUND(388225.78,2)</f>
        <v>388225.78</v>
      </c>
      <c r="AT115" s="108">
        <f t="shared" ref="AT115:AV126" si="46">ROUND(0,2)</f>
        <v>0</v>
      </c>
      <c r="AU115" s="108">
        <f t="shared" si="46"/>
        <v>0</v>
      </c>
      <c r="AV115" s="108">
        <f t="shared" si="46"/>
        <v>0</v>
      </c>
      <c r="AW115" s="108">
        <f t="shared" si="43"/>
        <v>0</v>
      </c>
      <c r="AX115" s="108">
        <f>ROUND(0,2)</f>
        <v>0</v>
      </c>
      <c r="AY115" s="108">
        <f t="shared" si="34"/>
        <v>0</v>
      </c>
      <c r="AZ115" s="108">
        <f>ROUND(69361.96,2)</f>
        <v>69361.960000000006</v>
      </c>
      <c r="BA115" s="108">
        <f>ROUND(464369.7,2)</f>
        <v>464369.7</v>
      </c>
      <c r="BB115" s="115">
        <v>14.936797125221565</v>
      </c>
      <c r="BC115" s="115">
        <v>83.602737215627982</v>
      </c>
      <c r="BD115" s="115">
        <v>0</v>
      </c>
      <c r="BE115" s="115">
        <v>0</v>
      </c>
      <c r="BF115" s="116"/>
      <c r="BG115" s="116"/>
    </row>
    <row r="116" spans="1:59" x14ac:dyDescent="0.25">
      <c r="A116" s="86" t="str">
        <f t="shared" si="29"/>
        <v>31012</v>
      </c>
      <c r="B116" s="86" t="str">
        <f t="shared" si="30"/>
        <v>17101</v>
      </c>
      <c r="C116" s="86" t="str">
        <f t="shared" si="31"/>
        <v>60900</v>
      </c>
      <c r="D116" s="87" t="str">
        <f t="shared" si="32"/>
        <v>31012/17101/60900()</v>
      </c>
      <c r="E116" s="88" t="str">
        <f t="shared" si="33"/>
        <v>6</v>
      </c>
      <c r="F116" s="89" t="s">
        <v>220</v>
      </c>
      <c r="G116" s="90"/>
      <c r="H116" s="91"/>
      <c r="I116" s="92" t="s">
        <v>341</v>
      </c>
      <c r="J116" s="92" t="s">
        <v>342</v>
      </c>
      <c r="K116" s="93" t="s">
        <v>341</v>
      </c>
      <c r="L116" s="93" t="s">
        <v>342</v>
      </c>
      <c r="M116" s="94">
        <v>6782</v>
      </c>
      <c r="N116" s="95">
        <v>0</v>
      </c>
      <c r="O116" s="95">
        <v>6782</v>
      </c>
      <c r="P116" s="129">
        <v>0</v>
      </c>
      <c r="Q116" s="130"/>
      <c r="R116" s="98">
        <f t="shared" si="26"/>
        <v>-6782</v>
      </c>
      <c r="S116" s="99"/>
      <c r="T116" s="100"/>
      <c r="U116" s="101"/>
      <c r="V116" s="102"/>
      <c r="W116" s="103"/>
      <c r="X116" s="103"/>
      <c r="Y116" s="105">
        <f t="shared" si="35"/>
        <v>0</v>
      </c>
      <c r="Z116" s="106"/>
      <c r="AA116" s="118"/>
      <c r="AB116" s="108"/>
      <c r="AC116" s="108"/>
      <c r="AD116" s="109"/>
      <c r="AE116" s="110"/>
      <c r="AF116" s="111"/>
      <c r="AG116" s="111"/>
      <c r="AH116" s="111"/>
      <c r="AI116" s="111"/>
      <c r="AJ116" s="112">
        <f t="shared" si="27"/>
        <v>0</v>
      </c>
      <c r="AK116" s="113">
        <f t="shared" si="25"/>
        <v>0</v>
      </c>
      <c r="AL116" s="114">
        <f t="shared" si="28"/>
        <v>0</v>
      </c>
      <c r="AM116" s="108"/>
      <c r="AN116" s="108">
        <f>ROUND(0,2)</f>
        <v>0</v>
      </c>
      <c r="AO116" s="108">
        <f t="shared" si="37"/>
        <v>0</v>
      </c>
      <c r="AP116" s="108">
        <f>ROUND(0,2)</f>
        <v>0</v>
      </c>
      <c r="AQ116" s="108">
        <f>ROUND(0,2)</f>
        <v>0</v>
      </c>
      <c r="AR116" s="108">
        <f>ROUND(0,2)</f>
        <v>0</v>
      </c>
      <c r="AS116" s="108">
        <f>ROUND(0,2)</f>
        <v>0</v>
      </c>
      <c r="AT116" s="108">
        <f t="shared" si="46"/>
        <v>0</v>
      </c>
      <c r="AU116" s="108">
        <f t="shared" si="46"/>
        <v>0</v>
      </c>
      <c r="AV116" s="108">
        <f t="shared" si="46"/>
        <v>0</v>
      </c>
      <c r="AW116" s="108">
        <f t="shared" si="43"/>
        <v>0</v>
      </c>
      <c r="AX116" s="108">
        <f>ROUND(0,2)</f>
        <v>0</v>
      </c>
      <c r="AY116" s="108">
        <f t="shared" si="34"/>
        <v>0</v>
      </c>
      <c r="AZ116" s="108">
        <f>ROUND(6782,2)</f>
        <v>6782</v>
      </c>
      <c r="BA116" s="108">
        <f>ROUND(6782,2)</f>
        <v>6782</v>
      </c>
      <c r="BB116" s="115">
        <v>100</v>
      </c>
      <c r="BC116" s="115">
        <v>0</v>
      </c>
      <c r="BD116" s="115">
        <v>0</v>
      </c>
      <c r="BE116" s="115">
        <v>0</v>
      </c>
      <c r="BF116" s="116"/>
      <c r="BG116" s="116"/>
    </row>
    <row r="117" spans="1:59" x14ac:dyDescent="0.25">
      <c r="A117" s="86" t="str">
        <f t="shared" si="29"/>
        <v>31012</v>
      </c>
      <c r="B117" s="86" t="str">
        <f t="shared" si="30"/>
        <v>17100</v>
      </c>
      <c r="C117" s="86" t="str">
        <f t="shared" si="31"/>
        <v>61900</v>
      </c>
      <c r="D117" s="87" t="str">
        <f t="shared" si="32"/>
        <v>31012/17100/61900()</v>
      </c>
      <c r="E117" s="88" t="str">
        <f t="shared" si="33"/>
        <v>6</v>
      </c>
      <c r="F117" s="89">
        <v>0</v>
      </c>
      <c r="G117" s="90"/>
      <c r="H117" s="91"/>
      <c r="I117" s="92" t="s">
        <v>343</v>
      </c>
      <c r="J117" s="92" t="s">
        <v>92</v>
      </c>
      <c r="K117" s="121" t="s">
        <v>91</v>
      </c>
      <c r="L117" s="121" t="s">
        <v>92</v>
      </c>
      <c r="M117" s="94">
        <v>100000</v>
      </c>
      <c r="N117" s="95">
        <v>0</v>
      </c>
      <c r="O117" s="95">
        <v>100000</v>
      </c>
      <c r="P117" s="96">
        <v>100000</v>
      </c>
      <c r="Q117" s="97">
        <f>P117</f>
        <v>100000</v>
      </c>
      <c r="R117" s="98">
        <f t="shared" si="26"/>
        <v>0</v>
      </c>
      <c r="S117" s="99">
        <f>P117</f>
        <v>100000</v>
      </c>
      <c r="T117" s="100">
        <f>S117-P117</f>
        <v>0</v>
      </c>
      <c r="U117" s="101">
        <v>100000</v>
      </c>
      <c r="V117" s="102">
        <f>P117</f>
        <v>100000</v>
      </c>
      <c r="W117" s="103"/>
      <c r="X117" s="103"/>
      <c r="Y117" s="105">
        <f t="shared" si="35"/>
        <v>0</v>
      </c>
      <c r="Z117" s="190"/>
      <c r="AA117" s="107">
        <v>100000</v>
      </c>
      <c r="AB117" s="162">
        <f>M117-AA117</f>
        <v>0</v>
      </c>
      <c r="AC117" s="108"/>
      <c r="AD117" s="109"/>
      <c r="AE117" s="110"/>
      <c r="AF117" s="111"/>
      <c r="AG117" s="111"/>
      <c r="AH117" s="111"/>
      <c r="AI117" s="111"/>
      <c r="AJ117" s="112">
        <f t="shared" si="27"/>
        <v>100000</v>
      </c>
      <c r="AK117" s="113">
        <f t="shared" si="25"/>
        <v>100000</v>
      </c>
      <c r="AL117" s="114">
        <f t="shared" si="28"/>
        <v>0</v>
      </c>
      <c r="AM117" s="108"/>
      <c r="AN117" s="108">
        <f>ROUND(0,2)</f>
        <v>0</v>
      </c>
      <c r="AO117" s="108">
        <f t="shared" si="37"/>
        <v>0</v>
      </c>
      <c r="AP117" s="108">
        <f>ROUND(100000,2)</f>
        <v>100000</v>
      </c>
      <c r="AQ117" s="108">
        <f>ROUND(0,2)</f>
        <v>0</v>
      </c>
      <c r="AR117" s="108">
        <f>ROUND(100000,2)</f>
        <v>100000</v>
      </c>
      <c r="AS117" s="108">
        <f>ROUND(100000,2)</f>
        <v>100000</v>
      </c>
      <c r="AT117" s="108">
        <f t="shared" si="46"/>
        <v>0</v>
      </c>
      <c r="AU117" s="108">
        <f t="shared" si="46"/>
        <v>0</v>
      </c>
      <c r="AV117" s="108">
        <f t="shared" si="46"/>
        <v>0</v>
      </c>
      <c r="AW117" s="108">
        <f t="shared" si="43"/>
        <v>0</v>
      </c>
      <c r="AX117" s="108">
        <f>ROUND(0,2)</f>
        <v>0</v>
      </c>
      <c r="AY117" s="108">
        <f t="shared" si="34"/>
        <v>0</v>
      </c>
      <c r="AZ117" s="108">
        <f>ROUND(0,2)</f>
        <v>0</v>
      </c>
      <c r="BA117" s="108">
        <f>ROUND(100000,2)</f>
        <v>100000</v>
      </c>
      <c r="BB117" s="115">
        <v>0</v>
      </c>
      <c r="BC117" s="115">
        <v>100</v>
      </c>
      <c r="BD117" s="115">
        <v>0</v>
      </c>
      <c r="BE117" s="115">
        <v>0</v>
      </c>
      <c r="BF117" s="116"/>
      <c r="BG117" s="116"/>
    </row>
    <row r="118" spans="1:59" x14ac:dyDescent="0.25">
      <c r="A118" s="86" t="str">
        <f t="shared" si="29"/>
        <v>31012</v>
      </c>
      <c r="B118" s="86" t="str">
        <f t="shared" si="30"/>
        <v>17100</v>
      </c>
      <c r="C118" s="86" t="str">
        <f t="shared" si="31"/>
        <v>61900</v>
      </c>
      <c r="D118" s="87" t="str">
        <f t="shared" si="32"/>
        <v>31012/17100/61900(2024)</v>
      </c>
      <c r="E118" s="88" t="str">
        <f t="shared" si="33"/>
        <v>6</v>
      </c>
      <c r="F118" s="89">
        <v>0</v>
      </c>
      <c r="G118" s="90"/>
      <c r="H118" s="91" t="s">
        <v>170</v>
      </c>
      <c r="I118" s="92" t="s">
        <v>343</v>
      </c>
      <c r="J118" s="92" t="s">
        <v>92</v>
      </c>
      <c r="K118" s="93" t="s">
        <v>343</v>
      </c>
      <c r="L118" s="93" t="s">
        <v>92</v>
      </c>
      <c r="M118" s="94">
        <v>0</v>
      </c>
      <c r="N118" s="95">
        <v>100000</v>
      </c>
      <c r="O118" s="95">
        <v>100000</v>
      </c>
      <c r="P118" s="96"/>
      <c r="Q118" s="97"/>
      <c r="R118" s="98">
        <f t="shared" si="26"/>
        <v>0</v>
      </c>
      <c r="S118" s="99"/>
      <c r="T118" s="100"/>
      <c r="U118" s="101"/>
      <c r="V118" s="102"/>
      <c r="W118" s="103"/>
      <c r="X118" s="103"/>
      <c r="Y118" s="105">
        <f t="shared" si="35"/>
        <v>0</v>
      </c>
      <c r="Z118" s="106"/>
      <c r="AA118" s="118"/>
      <c r="AB118" s="108"/>
      <c r="AC118" s="108"/>
      <c r="AD118" s="109"/>
      <c r="AE118" s="110"/>
      <c r="AF118" s="111"/>
      <c r="AG118" s="111"/>
      <c r="AH118" s="111"/>
      <c r="AI118" s="111"/>
      <c r="AJ118" s="112">
        <f t="shared" si="27"/>
        <v>0</v>
      </c>
      <c r="AK118" s="113">
        <f t="shared" si="25"/>
        <v>0</v>
      </c>
      <c r="AL118" s="114">
        <f t="shared" si="28"/>
        <v>0</v>
      </c>
      <c r="AM118" s="108"/>
      <c r="AN118" s="108">
        <f>ROUND(100000,2)</f>
        <v>100000</v>
      </c>
      <c r="AO118" s="108">
        <f t="shared" si="37"/>
        <v>0</v>
      </c>
      <c r="AP118" s="108">
        <f>ROUND(100000,2)</f>
        <v>100000</v>
      </c>
      <c r="AQ118" s="108">
        <f>ROUND(0,2)</f>
        <v>0</v>
      </c>
      <c r="AR118" s="108">
        <f>ROUND(100000,2)</f>
        <v>100000</v>
      </c>
      <c r="AS118" s="108">
        <f>ROUND(42.0200000000041,2)</f>
        <v>42.02</v>
      </c>
      <c r="AT118" s="108">
        <f>ROUND(99957.98,2)</f>
        <v>99957.98</v>
      </c>
      <c r="AU118" s="108">
        <f t="shared" si="46"/>
        <v>0</v>
      </c>
      <c r="AV118" s="108">
        <f>ROUND(99957.98,2)</f>
        <v>99957.98</v>
      </c>
      <c r="AW118" s="108">
        <f t="shared" si="43"/>
        <v>0</v>
      </c>
      <c r="AX118" s="108">
        <f>ROUND(99957.98,2)</f>
        <v>99957.98</v>
      </c>
      <c r="AY118" s="108">
        <f t="shared" si="34"/>
        <v>0</v>
      </c>
      <c r="AZ118" s="108">
        <f>ROUND(0,2)</f>
        <v>0</v>
      </c>
      <c r="BA118" s="108">
        <f>ROUND(42.0200000000041,2)</f>
        <v>42.02</v>
      </c>
      <c r="BB118" s="115">
        <v>0</v>
      </c>
      <c r="BC118" s="115">
        <v>100</v>
      </c>
      <c r="BD118" s="115">
        <v>99.957979999999992</v>
      </c>
      <c r="BE118" s="115">
        <v>100</v>
      </c>
      <c r="BF118" s="116"/>
      <c r="BG118" s="116"/>
    </row>
    <row r="119" spans="1:59" x14ac:dyDescent="0.25">
      <c r="A119" s="86" t="str">
        <f t="shared" si="29"/>
        <v>31012</v>
      </c>
      <c r="B119" s="86" t="str">
        <f t="shared" si="30"/>
        <v>17100</v>
      </c>
      <c r="C119" s="86" t="str">
        <f t="shared" si="31"/>
        <v>61900</v>
      </c>
      <c r="D119" s="87" t="str">
        <f t="shared" si="32"/>
        <v>31012/17100/61900(2023)</v>
      </c>
      <c r="E119" s="88" t="str">
        <f t="shared" si="33"/>
        <v>6</v>
      </c>
      <c r="F119" s="89" t="s">
        <v>344</v>
      </c>
      <c r="G119" s="90"/>
      <c r="H119" s="91" t="s">
        <v>172</v>
      </c>
      <c r="I119" s="92" t="s">
        <v>343</v>
      </c>
      <c r="J119" s="92" t="s">
        <v>92</v>
      </c>
      <c r="K119" s="93" t="s">
        <v>343</v>
      </c>
      <c r="L119" s="93" t="s">
        <v>92</v>
      </c>
      <c r="M119" s="94">
        <v>0</v>
      </c>
      <c r="N119" s="95">
        <v>100000</v>
      </c>
      <c r="O119" s="95">
        <v>100000</v>
      </c>
      <c r="P119" s="96"/>
      <c r="Q119" s="97"/>
      <c r="R119" s="98">
        <f t="shared" si="26"/>
        <v>0</v>
      </c>
      <c r="S119" s="99"/>
      <c r="T119" s="100"/>
      <c r="U119" s="101"/>
      <c r="V119" s="102"/>
      <c r="W119" s="103"/>
      <c r="X119" s="103"/>
      <c r="Y119" s="105">
        <f t="shared" si="35"/>
        <v>0</v>
      </c>
      <c r="Z119" s="106"/>
      <c r="AA119" s="118"/>
      <c r="AB119" s="108"/>
      <c r="AC119" s="108"/>
      <c r="AD119" s="109"/>
      <c r="AE119" s="110"/>
      <c r="AF119" s="111"/>
      <c r="AG119" s="111"/>
      <c r="AH119" s="111"/>
      <c r="AI119" s="111"/>
      <c r="AJ119" s="112">
        <f t="shared" si="27"/>
        <v>0</v>
      </c>
      <c r="AK119" s="113">
        <f t="shared" si="25"/>
        <v>0</v>
      </c>
      <c r="AL119" s="114">
        <f t="shared" si="28"/>
        <v>0</v>
      </c>
      <c r="AM119" s="108"/>
      <c r="AN119" s="108">
        <f>ROUND(100000,2)</f>
        <v>100000</v>
      </c>
      <c r="AO119" s="108">
        <f t="shared" si="37"/>
        <v>0</v>
      </c>
      <c r="AP119" s="108">
        <f>ROUND(100000,2)</f>
        <v>100000</v>
      </c>
      <c r="AQ119" s="108">
        <f>ROUND(0,2)</f>
        <v>0</v>
      </c>
      <c r="AR119" s="108">
        <f>ROUND(100000,2)</f>
        <v>100000</v>
      </c>
      <c r="AS119" s="108">
        <f>ROUND(100000,2)</f>
        <v>100000</v>
      </c>
      <c r="AT119" s="108">
        <f>ROUND(0,2)</f>
        <v>0</v>
      </c>
      <c r="AU119" s="108">
        <f t="shared" si="46"/>
        <v>0</v>
      </c>
      <c r="AV119" s="108">
        <f>ROUND(0,2)</f>
        <v>0</v>
      </c>
      <c r="AW119" s="108">
        <f t="shared" si="43"/>
        <v>0</v>
      </c>
      <c r="AX119" s="108">
        <f>ROUND(0,2)</f>
        <v>0</v>
      </c>
      <c r="AY119" s="108">
        <f t="shared" si="34"/>
        <v>0</v>
      </c>
      <c r="AZ119" s="108">
        <f>ROUND(0,2)</f>
        <v>0</v>
      </c>
      <c r="BA119" s="108">
        <f>ROUND(100000,2)</f>
        <v>100000</v>
      </c>
      <c r="BB119" s="115">
        <v>0</v>
      </c>
      <c r="BC119" s="115">
        <v>100</v>
      </c>
      <c r="BD119" s="115">
        <v>0</v>
      </c>
      <c r="BE119" s="115">
        <v>0</v>
      </c>
      <c r="BF119" s="116"/>
      <c r="BG119" s="116"/>
    </row>
    <row r="120" spans="1:59" x14ac:dyDescent="0.25">
      <c r="A120" s="86" t="str">
        <f t="shared" si="29"/>
        <v>31012</v>
      </c>
      <c r="B120" s="86" t="str">
        <f t="shared" si="30"/>
        <v>17100</v>
      </c>
      <c r="C120" s="86" t="str">
        <f t="shared" si="31"/>
        <v>62521</v>
      </c>
      <c r="D120" s="87" t="str">
        <f t="shared" si="32"/>
        <v>31012/17100/62521()</v>
      </c>
      <c r="E120" s="88" t="str">
        <f t="shared" si="33"/>
        <v>6</v>
      </c>
      <c r="F120" s="89">
        <v>0</v>
      </c>
      <c r="G120" s="90"/>
      <c r="H120" s="91"/>
      <c r="I120" s="92" t="s">
        <v>345</v>
      </c>
      <c r="J120" s="92" t="s">
        <v>79</v>
      </c>
      <c r="K120" s="191" t="s">
        <v>346</v>
      </c>
      <c r="L120" s="93" t="s">
        <v>79</v>
      </c>
      <c r="M120" s="94">
        <v>250000</v>
      </c>
      <c r="N120" s="95">
        <v>0</v>
      </c>
      <c r="O120" s="95">
        <v>250000</v>
      </c>
      <c r="P120" s="96">
        <v>250000</v>
      </c>
      <c r="Q120" s="97">
        <f>S120</f>
        <v>230000</v>
      </c>
      <c r="R120" s="98">
        <f t="shared" si="26"/>
        <v>-20000</v>
      </c>
      <c r="S120" s="99">
        <v>230000</v>
      </c>
      <c r="T120" s="100">
        <f>S120-P120</f>
        <v>-20000</v>
      </c>
      <c r="U120" s="101">
        <v>230000</v>
      </c>
      <c r="V120" s="102">
        <f>S120</f>
        <v>230000</v>
      </c>
      <c r="W120" s="103"/>
      <c r="X120" s="103"/>
      <c r="Y120" s="105">
        <f t="shared" si="35"/>
        <v>0</v>
      </c>
      <c r="Z120" s="192" t="s">
        <v>347</v>
      </c>
      <c r="AA120" s="107">
        <v>125000</v>
      </c>
      <c r="AB120" s="138">
        <f>M120-AA120</f>
        <v>125000</v>
      </c>
      <c r="AC120" s="108"/>
      <c r="AD120" s="109"/>
      <c r="AE120" s="110"/>
      <c r="AF120" s="111"/>
      <c r="AG120" s="111">
        <v>230000</v>
      </c>
      <c r="AH120" s="111"/>
      <c r="AI120" s="111"/>
      <c r="AJ120" s="112">
        <f t="shared" si="27"/>
        <v>0</v>
      </c>
      <c r="AK120" s="113">
        <f t="shared" si="25"/>
        <v>230000</v>
      </c>
      <c r="AL120" s="114">
        <f t="shared" si="28"/>
        <v>0</v>
      </c>
      <c r="AM120" s="108"/>
      <c r="AN120" s="108">
        <f>ROUND(0,2)</f>
        <v>0</v>
      </c>
      <c r="AO120" s="108">
        <f t="shared" si="37"/>
        <v>0</v>
      </c>
      <c r="AP120" s="108">
        <f>ROUND(125000,2)</f>
        <v>125000</v>
      </c>
      <c r="AQ120" s="108">
        <f>ROUND(125000,2)</f>
        <v>125000</v>
      </c>
      <c r="AR120" s="108">
        <f>ROUND(0,2)</f>
        <v>0</v>
      </c>
      <c r="AS120" s="108">
        <f>ROUND(0,2)</f>
        <v>0</v>
      </c>
      <c r="AT120" s="108">
        <f>ROUND(0,2)</f>
        <v>0</v>
      </c>
      <c r="AU120" s="108">
        <f t="shared" si="46"/>
        <v>0</v>
      </c>
      <c r="AV120" s="108">
        <f>ROUND(0,2)</f>
        <v>0</v>
      </c>
      <c r="AW120" s="108">
        <f t="shared" si="43"/>
        <v>0</v>
      </c>
      <c r="AX120" s="108">
        <f>ROUND(0,2)</f>
        <v>0</v>
      </c>
      <c r="AY120" s="108">
        <f t="shared" si="34"/>
        <v>0</v>
      </c>
      <c r="AZ120" s="108">
        <f>ROUND(125000,2)</f>
        <v>125000</v>
      </c>
      <c r="BA120" s="108">
        <f>ROUND(250000,2)</f>
        <v>250000</v>
      </c>
      <c r="BB120" s="115">
        <v>50</v>
      </c>
      <c r="BC120" s="115">
        <v>0</v>
      </c>
      <c r="BD120" s="115">
        <v>0</v>
      </c>
      <c r="BE120" s="115">
        <v>0</v>
      </c>
      <c r="BF120" s="116"/>
      <c r="BG120" s="116"/>
    </row>
    <row r="121" spans="1:59" x14ac:dyDescent="0.25">
      <c r="A121" s="86" t="str">
        <f t="shared" si="29"/>
        <v>31012</v>
      </c>
      <c r="B121" s="86" t="str">
        <f t="shared" si="30"/>
        <v>17100</v>
      </c>
      <c r="C121" s="86" t="str">
        <f t="shared" si="31"/>
        <v>62521</v>
      </c>
      <c r="D121" s="87" t="str">
        <f t="shared" si="32"/>
        <v>31012/17100/62521(2024)</v>
      </c>
      <c r="E121" s="88" t="str">
        <f t="shared" si="33"/>
        <v>6</v>
      </c>
      <c r="F121" s="89">
        <v>0</v>
      </c>
      <c r="G121" s="90"/>
      <c r="H121" s="91" t="s">
        <v>170</v>
      </c>
      <c r="I121" s="92" t="s">
        <v>345</v>
      </c>
      <c r="J121" s="92" t="s">
        <v>79</v>
      </c>
      <c r="K121" s="93" t="s">
        <v>345</v>
      </c>
      <c r="L121" s="93" t="s">
        <v>79</v>
      </c>
      <c r="M121" s="94">
        <v>0</v>
      </c>
      <c r="N121" s="95">
        <v>274006.08</v>
      </c>
      <c r="O121" s="95">
        <v>274006.08</v>
      </c>
      <c r="P121" s="96"/>
      <c r="Q121" s="97"/>
      <c r="R121" s="98">
        <f t="shared" si="26"/>
        <v>0</v>
      </c>
      <c r="S121" s="99"/>
      <c r="T121" s="100"/>
      <c r="U121" s="101"/>
      <c r="V121" s="102"/>
      <c r="W121" s="103"/>
      <c r="X121" s="103"/>
      <c r="Y121" s="105">
        <f t="shared" si="35"/>
        <v>0</v>
      </c>
      <c r="Z121" s="106"/>
      <c r="AA121" s="118"/>
      <c r="AB121" s="108"/>
      <c r="AC121" s="108"/>
      <c r="AD121" s="109"/>
      <c r="AE121" s="110"/>
      <c r="AF121" s="111"/>
      <c r="AG121" s="111"/>
      <c r="AH121" s="111"/>
      <c r="AI121" s="111"/>
      <c r="AJ121" s="112">
        <f t="shared" si="27"/>
        <v>0</v>
      </c>
      <c r="AK121" s="113">
        <f t="shared" si="25"/>
        <v>0</v>
      </c>
      <c r="AL121" s="114">
        <f t="shared" si="28"/>
        <v>0</v>
      </c>
      <c r="AM121" s="108"/>
      <c r="AN121" s="108">
        <f>ROUND(274006.08,2)</f>
        <v>274006.08</v>
      </c>
      <c r="AO121" s="108">
        <f t="shared" si="37"/>
        <v>0</v>
      </c>
      <c r="AP121" s="108">
        <f>ROUND(236938.15,2)</f>
        <v>236938.15</v>
      </c>
      <c r="AQ121" s="108">
        <f t="shared" ref="AQ121:AQ129" si="47">ROUND(0,2)</f>
        <v>0</v>
      </c>
      <c r="AR121" s="108">
        <f>ROUND(236938.15,2)</f>
        <v>236938.15</v>
      </c>
      <c r="AS121" s="108">
        <f>ROUND(0,2)</f>
        <v>0</v>
      </c>
      <c r="AT121" s="108">
        <f>ROUND(236938.15,2)</f>
        <v>236938.15</v>
      </c>
      <c r="AU121" s="108">
        <f t="shared" si="46"/>
        <v>0</v>
      </c>
      <c r="AV121" s="108">
        <f>ROUND(236938.15,2)</f>
        <v>236938.15</v>
      </c>
      <c r="AW121" s="108">
        <f t="shared" si="43"/>
        <v>0</v>
      </c>
      <c r="AX121" s="108">
        <f>ROUND(236938.15,2)</f>
        <v>236938.15</v>
      </c>
      <c r="AY121" s="108">
        <f t="shared" si="34"/>
        <v>0</v>
      </c>
      <c r="AZ121" s="108">
        <f>ROUND(37067.93,2)</f>
        <v>37067.93</v>
      </c>
      <c r="BA121" s="108">
        <f>ROUND(37067.93,2)</f>
        <v>37067.93</v>
      </c>
      <c r="BB121" s="115">
        <v>13.528141419343687</v>
      </c>
      <c r="BC121" s="115">
        <v>86.471858580656303</v>
      </c>
      <c r="BD121" s="115">
        <v>86.471858580656303</v>
      </c>
      <c r="BE121" s="115">
        <v>100</v>
      </c>
      <c r="BF121" s="116"/>
      <c r="BG121" s="116"/>
    </row>
    <row r="122" spans="1:59" x14ac:dyDescent="0.25">
      <c r="A122" s="86" t="str">
        <f t="shared" si="29"/>
        <v>31020</v>
      </c>
      <c r="B122" s="86" t="str">
        <f t="shared" si="30"/>
        <v>15300</v>
      </c>
      <c r="C122" s="86" t="str">
        <f t="shared" si="31"/>
        <v>61900</v>
      </c>
      <c r="D122" s="87" t="str">
        <f t="shared" si="32"/>
        <v>31020/15300/61900(2024)</v>
      </c>
      <c r="E122" s="88" t="str">
        <f t="shared" si="33"/>
        <v>6</v>
      </c>
      <c r="F122" s="89">
        <v>0</v>
      </c>
      <c r="G122" s="90"/>
      <c r="H122" s="91" t="s">
        <v>170</v>
      </c>
      <c r="I122" s="92" t="s">
        <v>348</v>
      </c>
      <c r="J122" s="92" t="s">
        <v>349</v>
      </c>
      <c r="K122" s="93" t="s">
        <v>348</v>
      </c>
      <c r="L122" s="93" t="s">
        <v>349</v>
      </c>
      <c r="M122" s="94">
        <v>0</v>
      </c>
      <c r="N122" s="95">
        <v>38787.03</v>
      </c>
      <c r="O122" s="95">
        <v>38787.03</v>
      </c>
      <c r="P122" s="96"/>
      <c r="Q122" s="97"/>
      <c r="R122" s="98">
        <f t="shared" si="26"/>
        <v>0</v>
      </c>
      <c r="S122" s="99"/>
      <c r="T122" s="100"/>
      <c r="U122" s="101"/>
      <c r="V122" s="102"/>
      <c r="W122" s="103"/>
      <c r="X122" s="103"/>
      <c r="Y122" s="105">
        <f t="shared" si="35"/>
        <v>0</v>
      </c>
      <c r="Z122" s="106"/>
      <c r="AA122" s="118"/>
      <c r="AB122" s="108"/>
      <c r="AC122" s="108"/>
      <c r="AD122" s="109"/>
      <c r="AE122" s="110"/>
      <c r="AF122" s="111"/>
      <c r="AG122" s="111"/>
      <c r="AH122" s="111"/>
      <c r="AI122" s="111"/>
      <c r="AJ122" s="112">
        <f t="shared" si="27"/>
        <v>0</v>
      </c>
      <c r="AK122" s="113">
        <f t="shared" si="25"/>
        <v>0</v>
      </c>
      <c r="AL122" s="114">
        <f t="shared" si="28"/>
        <v>0</v>
      </c>
      <c r="AM122" s="108"/>
      <c r="AN122" s="108">
        <f>ROUND(38787.03,2)</f>
        <v>38787.03</v>
      </c>
      <c r="AO122" s="108">
        <f t="shared" si="37"/>
        <v>0</v>
      </c>
      <c r="AP122" s="108">
        <f>ROUND(0,2)</f>
        <v>0</v>
      </c>
      <c r="AQ122" s="108">
        <f t="shared" si="47"/>
        <v>0</v>
      </c>
      <c r="AR122" s="108">
        <f>ROUND(0,2)</f>
        <v>0</v>
      </c>
      <c r="AS122" s="108">
        <f>ROUND(0,2)</f>
        <v>0</v>
      </c>
      <c r="AT122" s="108">
        <f>ROUND(0,2)</f>
        <v>0</v>
      </c>
      <c r="AU122" s="108">
        <f t="shared" si="46"/>
        <v>0</v>
      </c>
      <c r="AV122" s="108">
        <f>ROUND(0,2)</f>
        <v>0</v>
      </c>
      <c r="AW122" s="108">
        <f t="shared" si="43"/>
        <v>0</v>
      </c>
      <c r="AX122" s="108">
        <f>ROUND(0,2)</f>
        <v>0</v>
      </c>
      <c r="AY122" s="108">
        <f t="shared" si="34"/>
        <v>0</v>
      </c>
      <c r="AZ122" s="108">
        <f>ROUND(38787.03,2)</f>
        <v>38787.03</v>
      </c>
      <c r="BA122" s="108">
        <f>ROUND(38787.03,2)</f>
        <v>38787.03</v>
      </c>
      <c r="BB122" s="115">
        <v>100</v>
      </c>
      <c r="BC122" s="115">
        <v>0</v>
      </c>
      <c r="BD122" s="115">
        <v>0</v>
      </c>
      <c r="BE122" s="115">
        <v>0</v>
      </c>
      <c r="BF122" s="116"/>
      <c r="BG122" s="116"/>
    </row>
    <row r="123" spans="1:59" x14ac:dyDescent="0.25">
      <c r="A123" s="86" t="str">
        <f t="shared" si="29"/>
        <v>31020</v>
      </c>
      <c r="B123" s="86" t="str">
        <f t="shared" si="30"/>
        <v>16210</v>
      </c>
      <c r="C123" s="86" t="str">
        <f t="shared" si="31"/>
        <v>62400</v>
      </c>
      <c r="D123" s="87" t="str">
        <f t="shared" si="32"/>
        <v>31020/16210/62400()</v>
      </c>
      <c r="E123" s="88" t="str">
        <f t="shared" si="33"/>
        <v>6</v>
      </c>
      <c r="F123" s="89">
        <v>0</v>
      </c>
      <c r="G123" s="128" t="s">
        <v>82</v>
      </c>
      <c r="H123" s="91"/>
      <c r="I123" s="92" t="s">
        <v>83</v>
      </c>
      <c r="J123" s="92" t="s">
        <v>84</v>
      </c>
      <c r="K123" s="93" t="s">
        <v>83</v>
      </c>
      <c r="L123" s="93" t="s">
        <v>84</v>
      </c>
      <c r="M123" s="94">
        <v>1199235</v>
      </c>
      <c r="N123" s="95">
        <v>0</v>
      </c>
      <c r="O123" s="95">
        <v>1199235</v>
      </c>
      <c r="P123" s="96">
        <v>1604535</v>
      </c>
      <c r="Q123" s="97">
        <f>P123</f>
        <v>1604535</v>
      </c>
      <c r="R123" s="98">
        <f t="shared" si="26"/>
        <v>405300</v>
      </c>
      <c r="S123" s="99">
        <f>P123</f>
        <v>1604535</v>
      </c>
      <c r="T123" s="100">
        <f>S123-P123</f>
        <v>0</v>
      </c>
      <c r="U123" s="101">
        <v>1604535</v>
      </c>
      <c r="V123" s="102">
        <f>S123</f>
        <v>1604535</v>
      </c>
      <c r="W123" s="103"/>
      <c r="X123" s="103"/>
      <c r="Y123" s="105">
        <f t="shared" si="35"/>
        <v>0</v>
      </c>
      <c r="Z123" s="106"/>
      <c r="AA123" s="150">
        <v>1604534.17</v>
      </c>
      <c r="AB123" s="138">
        <f>M123-AA123</f>
        <v>-405299.16999999993</v>
      </c>
      <c r="AC123" s="108">
        <v>786803</v>
      </c>
      <c r="AD123" s="109"/>
      <c r="AE123" s="110">
        <v>1600000</v>
      </c>
      <c r="AF123" s="111"/>
      <c r="AG123" s="111"/>
      <c r="AH123" s="111"/>
      <c r="AI123" s="111"/>
      <c r="AJ123" s="112">
        <f t="shared" si="27"/>
        <v>4535</v>
      </c>
      <c r="AK123" s="113">
        <f t="shared" si="25"/>
        <v>1604535</v>
      </c>
      <c r="AL123" s="114">
        <f t="shared" si="28"/>
        <v>0</v>
      </c>
      <c r="AM123" s="108"/>
      <c r="AN123" s="108">
        <f>ROUND(0,2)</f>
        <v>0</v>
      </c>
      <c r="AO123" s="108">
        <f t="shared" si="37"/>
        <v>0</v>
      </c>
      <c r="AP123" s="108">
        <f>ROUND(1199234.09,2)</f>
        <v>1199234.0900000001</v>
      </c>
      <c r="AQ123" s="108">
        <f t="shared" si="47"/>
        <v>0</v>
      </c>
      <c r="AR123" s="108">
        <f>ROUND(1199234.09,2)</f>
        <v>1199234.0900000001</v>
      </c>
      <c r="AS123" s="108">
        <f>ROUND(944652.93,2)</f>
        <v>944652.93</v>
      </c>
      <c r="AT123" s="108">
        <f>ROUND(254581.16,2)</f>
        <v>254581.16</v>
      </c>
      <c r="AU123" s="108">
        <f t="shared" si="46"/>
        <v>0</v>
      </c>
      <c r="AV123" s="108">
        <f>ROUND(254581.16,2)</f>
        <v>254581.16</v>
      </c>
      <c r="AW123" s="108">
        <f t="shared" si="43"/>
        <v>0</v>
      </c>
      <c r="AX123" s="108">
        <f>ROUND(254581.16,2)</f>
        <v>254581.16</v>
      </c>
      <c r="AY123" s="108">
        <f t="shared" si="34"/>
        <v>0</v>
      </c>
      <c r="AZ123" s="108">
        <f>ROUND(0.91,2)</f>
        <v>0.91</v>
      </c>
      <c r="BA123" s="108">
        <f>ROUND(944653.84,2)</f>
        <v>944653.84</v>
      </c>
      <c r="BB123" s="115">
        <v>7.5881707922133702E-5</v>
      </c>
      <c r="BC123" s="115">
        <v>99.999924118292085</v>
      </c>
      <c r="BD123" s="115">
        <v>21.228629918239545</v>
      </c>
      <c r="BE123" s="115">
        <v>100</v>
      </c>
      <c r="BF123" s="116"/>
      <c r="BG123" s="116"/>
    </row>
    <row r="124" spans="1:59" x14ac:dyDescent="0.25">
      <c r="A124" s="86" t="str">
        <f t="shared" si="29"/>
        <v>31020</v>
      </c>
      <c r="B124" s="86" t="str">
        <f t="shared" si="30"/>
        <v>16210</v>
      </c>
      <c r="C124" s="86" t="str">
        <f t="shared" si="31"/>
        <v>62400</v>
      </c>
      <c r="D124" s="87" t="str">
        <f t="shared" si="32"/>
        <v>31020/16210/62400(2024)</v>
      </c>
      <c r="E124" s="88" t="str">
        <f t="shared" si="33"/>
        <v>6</v>
      </c>
      <c r="F124" s="89" t="s">
        <v>350</v>
      </c>
      <c r="G124" s="90"/>
      <c r="H124" s="91" t="s">
        <v>170</v>
      </c>
      <c r="I124" s="92" t="s">
        <v>83</v>
      </c>
      <c r="J124" s="92" t="s">
        <v>84</v>
      </c>
      <c r="K124" s="93" t="s">
        <v>83</v>
      </c>
      <c r="L124" s="93" t="s">
        <v>84</v>
      </c>
      <c r="M124" s="94">
        <v>0</v>
      </c>
      <c r="N124" s="95">
        <v>12984.71</v>
      </c>
      <c r="O124" s="95">
        <v>12984.71</v>
      </c>
      <c r="P124" s="96"/>
      <c r="Q124" s="97"/>
      <c r="R124" s="98">
        <f t="shared" si="26"/>
        <v>0</v>
      </c>
      <c r="S124" s="99"/>
      <c r="T124" s="100"/>
      <c r="U124" s="101"/>
      <c r="V124" s="102"/>
      <c r="W124" s="103"/>
      <c r="X124" s="103"/>
      <c r="Y124" s="105">
        <f t="shared" si="35"/>
        <v>0</v>
      </c>
      <c r="Z124" s="106"/>
      <c r="AA124" s="118"/>
      <c r="AB124" s="108"/>
      <c r="AC124" s="108"/>
      <c r="AD124" s="109"/>
      <c r="AE124" s="110"/>
      <c r="AF124" s="111"/>
      <c r="AG124" s="111"/>
      <c r="AH124" s="111"/>
      <c r="AI124" s="111"/>
      <c r="AJ124" s="112">
        <f t="shared" si="27"/>
        <v>0</v>
      </c>
      <c r="AK124" s="113">
        <f t="shared" si="25"/>
        <v>0</v>
      </c>
      <c r="AL124" s="114">
        <f t="shared" si="28"/>
        <v>0</v>
      </c>
      <c r="AM124" s="108"/>
      <c r="AN124" s="108">
        <f>ROUND(12984.71,2)</f>
        <v>12984.71</v>
      </c>
      <c r="AO124" s="108">
        <f t="shared" si="37"/>
        <v>0</v>
      </c>
      <c r="AP124" s="108">
        <f>ROUND(12984.71,2)</f>
        <v>12984.71</v>
      </c>
      <c r="AQ124" s="108">
        <f t="shared" si="47"/>
        <v>0</v>
      </c>
      <c r="AR124" s="108">
        <f>ROUND(12984.71,2)</f>
        <v>12984.71</v>
      </c>
      <c r="AS124" s="108">
        <f>ROUND(12984.71,2)</f>
        <v>12984.71</v>
      </c>
      <c r="AT124" s="108">
        <f>ROUND(0,2)</f>
        <v>0</v>
      </c>
      <c r="AU124" s="108">
        <f t="shared" si="46"/>
        <v>0</v>
      </c>
      <c r="AV124" s="108">
        <f>ROUND(0,2)</f>
        <v>0</v>
      </c>
      <c r="AW124" s="108">
        <f t="shared" si="43"/>
        <v>0</v>
      </c>
      <c r="AX124" s="108">
        <f>ROUND(0,2)</f>
        <v>0</v>
      </c>
      <c r="AY124" s="108">
        <f t="shared" si="34"/>
        <v>0</v>
      </c>
      <c r="AZ124" s="108">
        <f>ROUND(0,2)</f>
        <v>0</v>
      </c>
      <c r="BA124" s="108">
        <f>ROUND(12984.71,2)</f>
        <v>12984.71</v>
      </c>
      <c r="BB124" s="115">
        <v>0</v>
      </c>
      <c r="BC124" s="115">
        <v>100</v>
      </c>
      <c r="BD124" s="115">
        <v>0</v>
      </c>
      <c r="BE124" s="115">
        <v>0</v>
      </c>
      <c r="BF124" s="116"/>
      <c r="BG124" s="116"/>
    </row>
    <row r="125" spans="1:59" x14ac:dyDescent="0.25">
      <c r="A125" s="86" t="str">
        <f t="shared" si="29"/>
        <v>31020</v>
      </c>
      <c r="B125" s="86" t="str">
        <f t="shared" si="30"/>
        <v>16210</v>
      </c>
      <c r="C125" s="86" t="str">
        <f t="shared" si="31"/>
        <v>62500</v>
      </c>
      <c r="D125" s="87" t="str">
        <f t="shared" si="32"/>
        <v>31020/16210/62500()</v>
      </c>
      <c r="E125" s="88" t="str">
        <f t="shared" si="33"/>
        <v>6</v>
      </c>
      <c r="F125" s="89">
        <v>0</v>
      </c>
      <c r="G125" s="90"/>
      <c r="H125" s="91"/>
      <c r="I125" s="92" t="s">
        <v>85</v>
      </c>
      <c r="J125" s="92" t="s">
        <v>86</v>
      </c>
      <c r="K125" s="93" t="s">
        <v>85</v>
      </c>
      <c r="L125" s="93" t="s">
        <v>86</v>
      </c>
      <c r="M125" s="94">
        <v>50</v>
      </c>
      <c r="N125" s="95">
        <v>0</v>
      </c>
      <c r="O125" s="95">
        <v>50</v>
      </c>
      <c r="P125" s="96">
        <v>50</v>
      </c>
      <c r="Q125" s="97">
        <v>10</v>
      </c>
      <c r="R125" s="98">
        <f t="shared" si="26"/>
        <v>-40</v>
      </c>
      <c r="S125" s="99">
        <v>50</v>
      </c>
      <c r="T125" s="100">
        <f>S125-P125</f>
        <v>0</v>
      </c>
      <c r="U125" s="101">
        <v>10</v>
      </c>
      <c r="V125" s="102">
        <v>10</v>
      </c>
      <c r="W125" s="103"/>
      <c r="X125" s="103"/>
      <c r="Y125" s="105">
        <f t="shared" si="35"/>
        <v>0</v>
      </c>
      <c r="Z125" s="106"/>
      <c r="AA125" s="118"/>
      <c r="AB125" s="108"/>
      <c r="AC125" s="108"/>
      <c r="AD125" s="109"/>
      <c r="AE125" s="110"/>
      <c r="AF125" s="111"/>
      <c r="AG125" s="111"/>
      <c r="AH125" s="111"/>
      <c r="AI125" s="111"/>
      <c r="AJ125" s="112">
        <f t="shared" si="27"/>
        <v>10</v>
      </c>
      <c r="AK125" s="113">
        <f t="shared" si="25"/>
        <v>10</v>
      </c>
      <c r="AL125" s="114">
        <f t="shared" si="28"/>
        <v>0</v>
      </c>
      <c r="AM125" s="108"/>
      <c r="AN125" s="108">
        <f>ROUND(0,2)</f>
        <v>0</v>
      </c>
      <c r="AO125" s="108">
        <f t="shared" si="37"/>
        <v>0</v>
      </c>
      <c r="AP125" s="108">
        <f>ROUND(0,2)</f>
        <v>0</v>
      </c>
      <c r="AQ125" s="108">
        <f t="shared" si="47"/>
        <v>0</v>
      </c>
      <c r="AR125" s="108">
        <f>ROUND(0,2)</f>
        <v>0</v>
      </c>
      <c r="AS125" s="108">
        <f>ROUND(0,2)</f>
        <v>0</v>
      </c>
      <c r="AT125" s="108">
        <f>ROUND(0,2)</f>
        <v>0</v>
      </c>
      <c r="AU125" s="108">
        <f t="shared" si="46"/>
        <v>0</v>
      </c>
      <c r="AV125" s="108">
        <f>ROUND(0,2)</f>
        <v>0</v>
      </c>
      <c r="AW125" s="108">
        <f t="shared" si="43"/>
        <v>0</v>
      </c>
      <c r="AX125" s="108">
        <f>ROUND(0,2)</f>
        <v>0</v>
      </c>
      <c r="AY125" s="108">
        <f t="shared" si="34"/>
        <v>0</v>
      </c>
      <c r="AZ125" s="108">
        <f>ROUND(50,2)</f>
        <v>50</v>
      </c>
      <c r="BA125" s="108">
        <f>ROUND(50,2)</f>
        <v>50</v>
      </c>
      <c r="BB125" s="115">
        <v>100</v>
      </c>
      <c r="BC125" s="115">
        <v>0</v>
      </c>
      <c r="BD125" s="115">
        <v>0</v>
      </c>
      <c r="BE125" s="115">
        <v>0</v>
      </c>
      <c r="BF125" s="116"/>
      <c r="BG125" s="116"/>
    </row>
    <row r="126" spans="1:59" x14ac:dyDescent="0.25">
      <c r="A126" s="86" t="str">
        <f t="shared" si="29"/>
        <v>31020</v>
      </c>
      <c r="B126" s="86" t="str">
        <f t="shared" si="30"/>
        <v>16210</v>
      </c>
      <c r="C126" s="86" t="str">
        <f t="shared" si="31"/>
        <v>62500</v>
      </c>
      <c r="D126" s="87" t="str">
        <f t="shared" si="32"/>
        <v>31020/16210/62500(2023)</v>
      </c>
      <c r="E126" s="88" t="str">
        <f t="shared" si="33"/>
        <v>6</v>
      </c>
      <c r="F126" s="89">
        <v>0</v>
      </c>
      <c r="G126" s="90"/>
      <c r="H126" s="91" t="s">
        <v>172</v>
      </c>
      <c r="I126" s="92" t="s">
        <v>85</v>
      </c>
      <c r="J126" s="92" t="s">
        <v>86</v>
      </c>
      <c r="K126" s="93" t="s">
        <v>85</v>
      </c>
      <c r="L126" s="93" t="s">
        <v>86</v>
      </c>
      <c r="M126" s="94">
        <v>0</v>
      </c>
      <c r="N126" s="95">
        <v>10310.91</v>
      </c>
      <c r="O126" s="95">
        <v>10310.91</v>
      </c>
      <c r="P126" s="96"/>
      <c r="Q126" s="97"/>
      <c r="R126" s="98">
        <f t="shared" si="26"/>
        <v>0</v>
      </c>
      <c r="S126" s="99"/>
      <c r="T126" s="100"/>
      <c r="U126" s="101"/>
      <c r="V126" s="102"/>
      <c r="W126" s="103"/>
      <c r="X126" s="103"/>
      <c r="Y126" s="105">
        <f t="shared" si="35"/>
        <v>0</v>
      </c>
      <c r="Z126" s="106"/>
      <c r="AA126" s="118"/>
      <c r="AB126" s="108"/>
      <c r="AC126" s="108"/>
      <c r="AD126" s="109"/>
      <c r="AE126" s="110"/>
      <c r="AF126" s="111"/>
      <c r="AG126" s="111"/>
      <c r="AH126" s="111"/>
      <c r="AI126" s="111"/>
      <c r="AJ126" s="112">
        <f t="shared" si="27"/>
        <v>0</v>
      </c>
      <c r="AK126" s="113">
        <f t="shared" si="25"/>
        <v>0</v>
      </c>
      <c r="AL126" s="114">
        <f t="shared" si="28"/>
        <v>0</v>
      </c>
      <c r="AM126" s="108"/>
      <c r="AN126" s="108">
        <f>ROUND(10310.91,2)</f>
        <v>10310.91</v>
      </c>
      <c r="AO126" s="108">
        <f t="shared" si="37"/>
        <v>0</v>
      </c>
      <c r="AP126" s="108">
        <f>ROUND(0,2)</f>
        <v>0</v>
      </c>
      <c r="AQ126" s="108">
        <f t="shared" si="47"/>
        <v>0</v>
      </c>
      <c r="AR126" s="108">
        <f>ROUND(0,2)</f>
        <v>0</v>
      </c>
      <c r="AS126" s="108">
        <f>ROUND(0,2)</f>
        <v>0</v>
      </c>
      <c r="AT126" s="108">
        <f>ROUND(0,2)</f>
        <v>0</v>
      </c>
      <c r="AU126" s="108">
        <f t="shared" si="46"/>
        <v>0</v>
      </c>
      <c r="AV126" s="108">
        <f>ROUND(0,2)</f>
        <v>0</v>
      </c>
      <c r="AW126" s="108">
        <f t="shared" si="43"/>
        <v>0</v>
      </c>
      <c r="AX126" s="108">
        <f>ROUND(0,2)</f>
        <v>0</v>
      </c>
      <c r="AY126" s="108">
        <f t="shared" si="34"/>
        <v>0</v>
      </c>
      <c r="AZ126" s="108">
        <f>ROUND(10310.91,2)</f>
        <v>10310.91</v>
      </c>
      <c r="BA126" s="108">
        <f>ROUND(10310.91,2)</f>
        <v>10310.91</v>
      </c>
      <c r="BB126" s="115">
        <v>100</v>
      </c>
      <c r="BC126" s="115">
        <v>0</v>
      </c>
      <c r="BD126" s="115">
        <v>0</v>
      </c>
      <c r="BE126" s="115">
        <v>0</v>
      </c>
      <c r="BF126" s="116"/>
      <c r="BG126" s="116"/>
    </row>
    <row r="127" spans="1:59" x14ac:dyDescent="0.25">
      <c r="A127" s="86" t="str">
        <f t="shared" si="29"/>
        <v>31023</v>
      </c>
      <c r="B127" s="86" t="str">
        <f t="shared" si="30"/>
        <v>16500</v>
      </c>
      <c r="C127" s="86" t="str">
        <f t="shared" si="31"/>
        <v>61900</v>
      </c>
      <c r="D127" s="87" t="str">
        <f t="shared" si="32"/>
        <v>31023/16500/61900(2024)</v>
      </c>
      <c r="E127" s="88" t="str">
        <f t="shared" si="33"/>
        <v>6</v>
      </c>
      <c r="F127" s="89">
        <v>0</v>
      </c>
      <c r="G127" s="90"/>
      <c r="H127" s="91" t="s">
        <v>170</v>
      </c>
      <c r="I127" s="92" t="s">
        <v>87</v>
      </c>
      <c r="J127" s="92" t="s">
        <v>88</v>
      </c>
      <c r="K127" s="93" t="s">
        <v>87</v>
      </c>
      <c r="L127" s="93" t="s">
        <v>88</v>
      </c>
      <c r="M127" s="94">
        <v>0</v>
      </c>
      <c r="N127" s="95">
        <v>17131.64</v>
      </c>
      <c r="O127" s="95">
        <v>17131.64</v>
      </c>
      <c r="P127" s="96"/>
      <c r="Q127" s="97"/>
      <c r="R127" s="98">
        <f t="shared" si="26"/>
        <v>0</v>
      </c>
      <c r="S127" s="99"/>
      <c r="T127" s="100"/>
      <c r="U127" s="101"/>
      <c r="V127" s="102"/>
      <c r="W127" s="103"/>
      <c r="X127" s="103"/>
      <c r="Y127" s="105">
        <f t="shared" si="35"/>
        <v>0</v>
      </c>
      <c r="Z127" s="106"/>
      <c r="AA127" s="118"/>
      <c r="AB127" s="108"/>
      <c r="AC127" s="108"/>
      <c r="AD127" s="109"/>
      <c r="AE127" s="110"/>
      <c r="AF127" s="111"/>
      <c r="AG127" s="111"/>
      <c r="AH127" s="111"/>
      <c r="AI127" s="111"/>
      <c r="AJ127" s="112">
        <f t="shared" si="27"/>
        <v>0</v>
      </c>
      <c r="AK127" s="113">
        <f t="shared" si="25"/>
        <v>0</v>
      </c>
      <c r="AL127" s="114">
        <f t="shared" si="28"/>
        <v>0</v>
      </c>
      <c r="AM127" s="108"/>
      <c r="AN127" s="108">
        <f>ROUND(17131.64,2)</f>
        <v>17131.64</v>
      </c>
      <c r="AO127" s="108">
        <f t="shared" si="37"/>
        <v>0</v>
      </c>
      <c r="AP127" s="108">
        <f>ROUND(11940.02,2)</f>
        <v>11940.02</v>
      </c>
      <c r="AQ127" s="108">
        <f t="shared" si="47"/>
        <v>0</v>
      </c>
      <c r="AR127" s="108">
        <f>ROUND(11940.02,2)</f>
        <v>11940.02</v>
      </c>
      <c r="AS127" s="108">
        <f>ROUND(0,2)</f>
        <v>0</v>
      </c>
      <c r="AT127" s="108">
        <f>ROUND(11940.02,2)</f>
        <v>11940.02</v>
      </c>
      <c r="AU127" s="108">
        <f>ROUND(2368.5,2)</f>
        <v>2368.5</v>
      </c>
      <c r="AV127" s="108">
        <f>ROUND(9571.52,2)</f>
        <v>9571.52</v>
      </c>
      <c r="AW127" s="108">
        <f t="shared" si="43"/>
        <v>0</v>
      </c>
      <c r="AX127" s="108">
        <f>ROUND(9571.52,2)</f>
        <v>9571.52</v>
      </c>
      <c r="AY127" s="108">
        <f t="shared" si="34"/>
        <v>0</v>
      </c>
      <c r="AZ127" s="108">
        <f>ROUND(5191.62,2)</f>
        <v>5191.62</v>
      </c>
      <c r="BA127" s="108">
        <f>ROUND(5191.62,2)</f>
        <v>5191.62</v>
      </c>
      <c r="BB127" s="115">
        <v>30.304279099957736</v>
      </c>
      <c r="BC127" s="115">
        <v>69.695720900042275</v>
      </c>
      <c r="BD127" s="115">
        <v>69.695720900042275</v>
      </c>
      <c r="BE127" s="115">
        <v>80.163349810134321</v>
      </c>
      <c r="BF127" s="116"/>
      <c r="BG127" s="116"/>
    </row>
    <row r="128" spans="1:59" x14ac:dyDescent="0.25">
      <c r="A128" s="86" t="str">
        <f t="shared" si="29"/>
        <v>31023</v>
      </c>
      <c r="B128" s="86" t="str">
        <f t="shared" si="30"/>
        <v>16500</v>
      </c>
      <c r="C128" s="86" t="str">
        <f t="shared" si="31"/>
        <v>61900</v>
      </c>
      <c r="D128" s="87" t="str">
        <f t="shared" si="32"/>
        <v>31023/16500/61900()</v>
      </c>
      <c r="E128" s="88" t="str">
        <f t="shared" si="33"/>
        <v>6</v>
      </c>
      <c r="F128" s="89">
        <v>0</v>
      </c>
      <c r="G128" s="90"/>
      <c r="H128" s="91"/>
      <c r="I128" s="92" t="s">
        <v>87</v>
      </c>
      <c r="J128" s="92" t="s">
        <v>88</v>
      </c>
      <c r="K128" s="93" t="s">
        <v>87</v>
      </c>
      <c r="L128" s="93" t="s">
        <v>88</v>
      </c>
      <c r="M128" s="94">
        <v>3500</v>
      </c>
      <c r="N128" s="95">
        <v>18500</v>
      </c>
      <c r="O128" s="95">
        <v>22000</v>
      </c>
      <c r="P128" s="96">
        <v>50</v>
      </c>
      <c r="Q128" s="97">
        <f>S128</f>
        <v>66300</v>
      </c>
      <c r="R128" s="98">
        <f>U128-M128</f>
        <v>32800</v>
      </c>
      <c r="S128" s="99">
        <v>66300</v>
      </c>
      <c r="T128" s="100">
        <f>S128-P128</f>
        <v>66250</v>
      </c>
      <c r="U128" s="101">
        <v>36300</v>
      </c>
      <c r="V128" s="102"/>
      <c r="W128" s="103">
        <f>S128</f>
        <v>66300</v>
      </c>
      <c r="X128" s="103"/>
      <c r="Y128" s="105">
        <f t="shared" si="35"/>
        <v>0</v>
      </c>
      <c r="Z128" s="106" t="s">
        <v>351</v>
      </c>
      <c r="AA128" s="118"/>
      <c r="AB128" s="108"/>
      <c r="AC128" s="108"/>
      <c r="AD128" s="109"/>
      <c r="AE128" s="110"/>
      <c r="AF128" s="111"/>
      <c r="AG128" s="111"/>
      <c r="AH128" s="111"/>
      <c r="AI128" s="111"/>
      <c r="AJ128" s="112">
        <f t="shared" si="27"/>
        <v>36300</v>
      </c>
      <c r="AK128" s="113">
        <f t="shared" si="25"/>
        <v>36300</v>
      </c>
      <c r="AL128" s="114">
        <f t="shared" si="28"/>
        <v>0</v>
      </c>
      <c r="AM128" s="108"/>
      <c r="AN128" s="108">
        <f>ROUND(0,2)</f>
        <v>0</v>
      </c>
      <c r="AO128" s="108">
        <f t="shared" si="37"/>
        <v>0</v>
      </c>
      <c r="AP128" s="108">
        <f>ROUND(3500,2)</f>
        <v>3500</v>
      </c>
      <c r="AQ128" s="108">
        <f t="shared" si="47"/>
        <v>0</v>
      </c>
      <c r="AR128" s="108">
        <f>ROUND(3500,2)</f>
        <v>3500</v>
      </c>
      <c r="AS128" s="108">
        <f>ROUND(0,2)</f>
        <v>0</v>
      </c>
      <c r="AT128" s="108">
        <f>ROUND(3500,2)</f>
        <v>3500</v>
      </c>
      <c r="AU128" s="108">
        <f>ROUND(3500,2)</f>
        <v>3500</v>
      </c>
      <c r="AV128" s="108">
        <f>ROUND(0,2)</f>
        <v>0</v>
      </c>
      <c r="AW128" s="108">
        <f t="shared" si="43"/>
        <v>0</v>
      </c>
      <c r="AX128" s="108">
        <f>ROUND(0,2)</f>
        <v>0</v>
      </c>
      <c r="AY128" s="108">
        <f t="shared" si="34"/>
        <v>0</v>
      </c>
      <c r="AZ128" s="108">
        <f>ROUND(18500,2)</f>
        <v>18500</v>
      </c>
      <c r="BA128" s="108">
        <f>ROUND(18500,2)</f>
        <v>18500</v>
      </c>
      <c r="BB128" s="115">
        <v>84.090909090909093</v>
      </c>
      <c r="BC128" s="115">
        <v>15.909090909090908</v>
      </c>
      <c r="BD128" s="115">
        <v>15.909090909090908</v>
      </c>
      <c r="BE128" s="115">
        <v>0</v>
      </c>
      <c r="BF128" s="116"/>
      <c r="BG128" s="116"/>
    </row>
    <row r="129" spans="1:59" ht="15.75" thickBot="1" x14ac:dyDescent="0.3">
      <c r="A129" s="86" t="str">
        <f t="shared" si="29"/>
        <v>31023</v>
      </c>
      <c r="B129" s="86" t="str">
        <f t="shared" si="30"/>
        <v>93300</v>
      </c>
      <c r="C129" s="86" t="str">
        <f t="shared" si="31"/>
        <v>63300</v>
      </c>
      <c r="D129" s="87" t="str">
        <f t="shared" si="32"/>
        <v>31023/93300/63300()</v>
      </c>
      <c r="E129" s="88" t="str">
        <f t="shared" si="33"/>
        <v>6</v>
      </c>
      <c r="F129" s="89">
        <v>0</v>
      </c>
      <c r="G129" s="90"/>
      <c r="H129" s="91"/>
      <c r="I129" s="92" t="s">
        <v>89</v>
      </c>
      <c r="J129" s="92" t="s">
        <v>90</v>
      </c>
      <c r="K129" s="93" t="s">
        <v>89</v>
      </c>
      <c r="L129" s="93" t="s">
        <v>90</v>
      </c>
      <c r="M129" s="94">
        <v>50</v>
      </c>
      <c r="N129" s="95">
        <v>0</v>
      </c>
      <c r="O129" s="95">
        <v>50</v>
      </c>
      <c r="P129" s="193">
        <v>50</v>
      </c>
      <c r="Q129" s="97">
        <f>S129</f>
        <v>48400</v>
      </c>
      <c r="R129" s="98">
        <f t="shared" si="26"/>
        <v>48350</v>
      </c>
      <c r="S129" s="99">
        <v>48400</v>
      </c>
      <c r="T129" s="100">
        <f>S129-P129</f>
        <v>48350</v>
      </c>
      <c r="U129" s="101">
        <v>48400</v>
      </c>
      <c r="V129" s="102"/>
      <c r="W129" s="103">
        <f>S129</f>
        <v>48400</v>
      </c>
      <c r="X129" s="103"/>
      <c r="Y129" s="105">
        <f t="shared" si="35"/>
        <v>0</v>
      </c>
      <c r="Z129" s="106" t="s">
        <v>352</v>
      </c>
      <c r="AA129" s="118"/>
      <c r="AB129" s="108"/>
      <c r="AC129" s="108"/>
      <c r="AD129" s="109"/>
      <c r="AE129" s="194"/>
      <c r="AF129" s="195"/>
      <c r="AG129" s="195"/>
      <c r="AH129" s="195"/>
      <c r="AI129" s="195"/>
      <c r="AJ129" s="112">
        <f t="shared" si="27"/>
        <v>48400</v>
      </c>
      <c r="AK129" s="113">
        <f t="shared" si="25"/>
        <v>48400</v>
      </c>
      <c r="AL129" s="114">
        <f t="shared" si="28"/>
        <v>0</v>
      </c>
      <c r="AM129" s="108"/>
      <c r="AN129" s="108">
        <f>ROUND(0,2)</f>
        <v>0</v>
      </c>
      <c r="AO129" s="108">
        <f t="shared" si="37"/>
        <v>0</v>
      </c>
      <c r="AP129" s="108">
        <f>ROUND(8044.06,2)</f>
        <v>8044.06</v>
      </c>
      <c r="AQ129" s="108">
        <f t="shared" si="47"/>
        <v>0</v>
      </c>
      <c r="AR129" s="108">
        <f>ROUND(8044.06,2)</f>
        <v>8044.06</v>
      </c>
      <c r="AS129" s="108">
        <f>ROUND(8044.06,2)</f>
        <v>8044.06</v>
      </c>
      <c r="AT129" s="108">
        <f>ROUND(0,2)</f>
        <v>0</v>
      </c>
      <c r="AU129" s="108">
        <f>ROUND(0,2)</f>
        <v>0</v>
      </c>
      <c r="AV129" s="108">
        <f>ROUND(0,2)</f>
        <v>0</v>
      </c>
      <c r="AW129" s="108">
        <f t="shared" si="43"/>
        <v>0</v>
      </c>
      <c r="AX129" s="108">
        <f>ROUND(0,2)</f>
        <v>0</v>
      </c>
      <c r="AY129" s="108">
        <f t="shared" si="34"/>
        <v>0</v>
      </c>
      <c r="AZ129" s="108">
        <f>ROUND(-7994.06,2)</f>
        <v>-7994.06</v>
      </c>
      <c r="BA129" s="108">
        <f>ROUND(50,2)</f>
        <v>50</v>
      </c>
      <c r="BB129" s="115">
        <v>-15988.12</v>
      </c>
      <c r="BC129" s="115">
        <v>16088.12</v>
      </c>
      <c r="BD129" s="115">
        <v>0</v>
      </c>
      <c r="BE129" s="115">
        <v>0</v>
      </c>
      <c r="BF129" s="116"/>
      <c r="BG129" s="116"/>
    </row>
    <row r="130" spans="1:59" x14ac:dyDescent="0.25">
      <c r="A130" s="86" t="str">
        <f t="shared" si="29"/>
        <v/>
      </c>
      <c r="B130" s="86" t="str">
        <f t="shared" si="30"/>
        <v/>
      </c>
      <c r="C130" s="86" t="str">
        <f t="shared" si="31"/>
        <v/>
      </c>
      <c r="D130" s="196" t="str">
        <f>I130&amp;"("&amp;J130&amp;")"</f>
        <v>(NOVA PARTIDA 26)</v>
      </c>
      <c r="E130" s="197">
        <v>7</v>
      </c>
      <c r="F130" s="133"/>
      <c r="G130" s="198"/>
      <c r="H130" s="199"/>
      <c r="I130" s="158"/>
      <c r="J130" s="200" t="s">
        <v>353</v>
      </c>
      <c r="K130" s="187" t="s">
        <v>101</v>
      </c>
      <c r="L130" s="187" t="s">
        <v>102</v>
      </c>
      <c r="M130" s="94"/>
      <c r="N130" s="95"/>
      <c r="O130" s="201"/>
      <c r="P130" s="202">
        <v>50</v>
      </c>
      <c r="Q130" s="203">
        <v>10</v>
      </c>
      <c r="R130" s="98">
        <f t="shared" si="26"/>
        <v>10</v>
      </c>
      <c r="S130" s="204"/>
      <c r="T130" s="205"/>
      <c r="U130" s="154">
        <v>10</v>
      </c>
      <c r="V130" s="206">
        <v>10</v>
      </c>
      <c r="W130" s="207"/>
      <c r="X130" s="207"/>
      <c r="Y130" s="105">
        <f t="shared" si="35"/>
        <v>0</v>
      </c>
      <c r="Z130" s="184" t="s">
        <v>354</v>
      </c>
      <c r="AA130" s="118"/>
      <c r="AB130" s="108"/>
      <c r="AC130" s="108"/>
      <c r="AD130" s="109"/>
      <c r="AE130" s="208"/>
      <c r="AF130" s="209"/>
      <c r="AG130" s="209"/>
      <c r="AH130" s="209"/>
      <c r="AI130" s="209"/>
      <c r="AJ130" s="112">
        <f t="shared" si="27"/>
        <v>10</v>
      </c>
      <c r="AK130" s="113">
        <f t="shared" si="25"/>
        <v>10</v>
      </c>
      <c r="AL130" s="114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15"/>
      <c r="BC130" s="115"/>
      <c r="BD130" s="115"/>
      <c r="BE130" s="115"/>
      <c r="BF130" s="116"/>
      <c r="BG130" s="116"/>
    </row>
    <row r="131" spans="1:59" x14ac:dyDescent="0.25">
      <c r="A131" s="86"/>
      <c r="B131" s="86"/>
      <c r="C131" s="86"/>
      <c r="D131" s="87"/>
      <c r="E131" s="88"/>
      <c r="F131" s="89"/>
      <c r="G131" s="90"/>
      <c r="H131" s="91"/>
      <c r="I131" s="92"/>
      <c r="J131" s="92"/>
      <c r="K131" s="123"/>
      <c r="L131" s="93"/>
      <c r="M131" s="94"/>
      <c r="N131" s="95"/>
      <c r="O131" s="95"/>
      <c r="P131" s="96"/>
      <c r="Q131" s="97">
        <f t="shared" ref="Q131:Q132" si="48">S131</f>
        <v>0</v>
      </c>
      <c r="R131" s="98">
        <f t="shared" ref="R131:R133" si="49">U131-M131</f>
        <v>0</v>
      </c>
      <c r="S131" s="99"/>
      <c r="T131" s="100"/>
      <c r="U131" s="101"/>
      <c r="V131" s="102"/>
      <c r="W131" s="103"/>
      <c r="X131" s="103"/>
      <c r="Y131" s="105">
        <f t="shared" si="35"/>
        <v>0</v>
      </c>
      <c r="Z131" s="106"/>
      <c r="AA131" s="118"/>
      <c r="AB131" s="108"/>
      <c r="AC131" s="108"/>
      <c r="AD131" s="109"/>
      <c r="AE131" s="110"/>
      <c r="AF131" s="111"/>
      <c r="AG131" s="111"/>
      <c r="AH131" s="111"/>
      <c r="AI131" s="111"/>
      <c r="AJ131" s="210">
        <f>SUM(AJ2:AJ130)</f>
        <v>2578430</v>
      </c>
      <c r="AK131" s="210">
        <f>SUM(AK2:AK130)</f>
        <v>5201824</v>
      </c>
      <c r="AL131" s="210">
        <f t="shared" ref="AL131" si="50">SUM(AL2:AL130)</f>
        <v>0</v>
      </c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15"/>
      <c r="BC131" s="115"/>
      <c r="BD131" s="115"/>
      <c r="BE131" s="115"/>
      <c r="BF131" s="116"/>
      <c r="BG131" s="116"/>
    </row>
    <row r="132" spans="1:59" ht="15.75" thickBot="1" x14ac:dyDescent="0.3">
      <c r="A132" s="86"/>
      <c r="B132" s="86"/>
      <c r="C132" s="86"/>
      <c r="D132" s="87"/>
      <c r="E132" s="88"/>
      <c r="F132" s="89"/>
      <c r="G132" s="90"/>
      <c r="H132" s="91"/>
      <c r="I132" s="92"/>
      <c r="J132" s="92"/>
      <c r="K132" s="93"/>
      <c r="L132" s="93"/>
      <c r="M132" s="94"/>
      <c r="N132" s="95"/>
      <c r="O132" s="95"/>
      <c r="P132" s="96"/>
      <c r="Q132" s="211">
        <f t="shared" si="48"/>
        <v>0</v>
      </c>
      <c r="R132" s="98">
        <f t="shared" si="49"/>
        <v>0</v>
      </c>
      <c r="S132" s="99"/>
      <c r="T132" s="100"/>
      <c r="U132" s="101"/>
      <c r="V132" s="102"/>
      <c r="W132" s="103"/>
      <c r="X132" s="103"/>
      <c r="Y132" s="105">
        <f t="shared" si="35"/>
        <v>0</v>
      </c>
      <c r="Z132" s="106"/>
      <c r="AA132" s="118"/>
      <c r="AB132" s="108"/>
      <c r="AC132" s="108"/>
      <c r="AD132" s="109"/>
      <c r="AE132" s="110"/>
      <c r="AF132" s="111"/>
      <c r="AG132" s="111"/>
      <c r="AH132" s="111"/>
      <c r="AI132" s="111"/>
      <c r="AJ132" s="112"/>
      <c r="AK132" s="113"/>
      <c r="AL132" s="114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15"/>
      <c r="BC132" s="115"/>
      <c r="BD132" s="115"/>
      <c r="BE132" s="115"/>
      <c r="BF132" s="116"/>
      <c r="BG132" s="116"/>
    </row>
    <row r="133" spans="1:59" ht="22.5" customHeight="1" thickBot="1" x14ac:dyDescent="0.3">
      <c r="E133" s="213"/>
      <c r="F133" s="214"/>
      <c r="G133" s="215"/>
      <c r="H133" s="93"/>
      <c r="I133" s="92"/>
      <c r="J133" s="92"/>
      <c r="K133" s="93"/>
      <c r="L133" s="93"/>
      <c r="M133" s="216">
        <f>SUM(M2:M129)</f>
        <v>8494797</v>
      </c>
      <c r="N133" s="95">
        <f>SUM(N2:N129)</f>
        <v>26533473.299999997</v>
      </c>
      <c r="O133" s="201">
        <f>SUM(O2:O129)</f>
        <v>35028270.29999999</v>
      </c>
      <c r="P133" s="217">
        <f>SUM(P2:P130)</f>
        <v>4452485</v>
      </c>
      <c r="Q133" s="218">
        <f>SUM(Q2:Q132)</f>
        <v>7275453</v>
      </c>
      <c r="R133" s="98">
        <f t="shared" si="49"/>
        <v>-3292973</v>
      </c>
      <c r="S133" s="219">
        <f>SUM(S3:S132)</f>
        <v>5862652.2752999999</v>
      </c>
      <c r="T133" s="220">
        <f>SUM(T3:T132)</f>
        <v>1705928.2752999999</v>
      </c>
      <c r="U133" s="221">
        <f>SUM(U2:U132)</f>
        <v>5201824</v>
      </c>
      <c r="V133" s="222">
        <f>SUM(V2:V132)</f>
        <v>4454124</v>
      </c>
      <c r="W133" s="223">
        <f>SUM(W2:W132)</f>
        <v>1182380</v>
      </c>
      <c r="X133" s="223">
        <f>SUM(X2:X132)</f>
        <v>1638949</v>
      </c>
      <c r="Y133" s="224"/>
      <c r="Z133" s="225"/>
      <c r="AA133" s="226">
        <f>SUM(AA2:AA129)</f>
        <v>3060950.08</v>
      </c>
      <c r="AB133" s="227"/>
      <c r="AC133" s="228"/>
      <c r="AD133" s="228"/>
      <c r="AE133" s="229">
        <v>1700000</v>
      </c>
      <c r="AF133" s="230">
        <f>SUM(AF2:AF129)</f>
        <v>253109</v>
      </c>
      <c r="AG133" s="230">
        <f>SUM(AG2:AG129)</f>
        <v>609664</v>
      </c>
      <c r="AH133" s="230">
        <f t="shared" ref="AH133:AI133" si="51">SUM(AH2:AH129)</f>
        <v>15000</v>
      </c>
      <c r="AI133" s="230">
        <f t="shared" si="51"/>
        <v>45621</v>
      </c>
      <c r="AJ133" s="229">
        <f>SUM(AJ2:AJ130)</f>
        <v>2578430</v>
      </c>
      <c r="AK133" s="231">
        <f>SUM(AE133:AJ133)</f>
        <v>5201824</v>
      </c>
      <c r="AL133" s="231"/>
      <c r="AM133" s="228"/>
      <c r="AN133" s="228"/>
      <c r="AO133" s="228"/>
      <c r="AP133" s="228"/>
      <c r="AQ133" s="228"/>
      <c r="AR133" s="228"/>
      <c r="AS133" s="228"/>
      <c r="AT133" s="228"/>
      <c r="AU133" s="228"/>
      <c r="AV133" s="228"/>
      <c r="AW133" s="228"/>
      <c r="AX133" s="228"/>
      <c r="AY133" s="228"/>
      <c r="AZ133" s="228"/>
      <c r="BA133" s="228"/>
      <c r="BB133" s="228"/>
      <c r="BC133" s="228"/>
      <c r="BD133" s="228"/>
      <c r="BE133" s="228"/>
      <c r="BF133" s="232"/>
      <c r="BG133" s="232"/>
    </row>
    <row r="134" spans="1:59" ht="15.75" thickBot="1" x14ac:dyDescent="0.3">
      <c r="E134" s="88"/>
      <c r="F134" s="214"/>
      <c r="G134" s="215"/>
      <c r="H134" s="233"/>
      <c r="I134" s="234"/>
      <c r="K134" s="236"/>
      <c r="M134" s="237">
        <v>3130548</v>
      </c>
      <c r="N134" s="238" t="s">
        <v>355</v>
      </c>
      <c r="O134" s="238"/>
      <c r="P134" s="239">
        <f>SUMIF(E2:E129,"6",P2:P129)</f>
        <v>3142823</v>
      </c>
      <c r="Q134" s="240">
        <f>SUMIF(E2:E130,"6",Q2:Q132)</f>
        <v>5605605</v>
      </c>
      <c r="R134" s="98"/>
      <c r="S134" s="241" t="s">
        <v>355</v>
      </c>
      <c r="T134" s="242"/>
      <c r="U134" s="243">
        <f>SUMIF(E2:E130,"6",U2:U130)</f>
        <v>3899425</v>
      </c>
      <c r="V134" s="244"/>
      <c r="W134" s="244"/>
      <c r="X134" s="244"/>
      <c r="Y134" s="245"/>
      <c r="Z134" s="93"/>
      <c r="AA134" s="246">
        <v>3060950.08</v>
      </c>
      <c r="AB134" s="247"/>
      <c r="AC134" s="247"/>
      <c r="AD134" s="247"/>
      <c r="AE134" s="248"/>
      <c r="AF134" s="249">
        <f>SUM(AF133:AI133)</f>
        <v>923394</v>
      </c>
      <c r="AG134" s="215"/>
      <c r="AH134" s="215"/>
      <c r="AI134" s="215"/>
      <c r="AJ134" s="215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50"/>
      <c r="BG134" s="250"/>
    </row>
    <row r="135" spans="1:59" x14ac:dyDescent="0.25">
      <c r="E135" s="251"/>
      <c r="F135" s="252"/>
      <c r="G135" s="253"/>
      <c r="H135" s="253"/>
      <c r="I135" s="234"/>
      <c r="M135" s="237">
        <v>1309562</v>
      </c>
      <c r="N135" s="254" t="s">
        <v>356</v>
      </c>
      <c r="O135" s="254"/>
      <c r="P135" s="255">
        <f>SUMIF(E2:E129,"7",P2:P129)</f>
        <v>1309612</v>
      </c>
      <c r="Q135" s="256">
        <f>SUMIF(E2:E132,"7",Q2:Q132)</f>
        <v>1669848</v>
      </c>
      <c r="R135" s="98"/>
      <c r="S135" s="257" t="s">
        <v>356</v>
      </c>
      <c r="T135" s="258"/>
      <c r="U135" s="243">
        <f>SUMIF(E2:E130,"7",U2:U130)</f>
        <v>1302399</v>
      </c>
      <c r="V135" s="259" t="s">
        <v>357</v>
      </c>
      <c r="W135" s="260"/>
      <c r="X135" s="261"/>
      <c r="Y135" s="262"/>
      <c r="Z135" s="263"/>
      <c r="AB135" s="265"/>
      <c r="AC135" s="265"/>
      <c r="AD135" s="265"/>
      <c r="AG135" s="265"/>
      <c r="AH135" s="265"/>
      <c r="AI135" s="266" t="s">
        <v>96</v>
      </c>
      <c r="AJ135" s="267" t="s">
        <v>358</v>
      </c>
      <c r="AK135" s="265"/>
      <c r="AL135" s="265"/>
      <c r="AM135" s="265"/>
      <c r="AN135" s="265"/>
      <c r="AO135" s="265"/>
      <c r="AP135" s="265"/>
      <c r="AQ135" s="265"/>
      <c r="AR135" s="265"/>
      <c r="AS135" s="265"/>
      <c r="AT135" s="265"/>
      <c r="AU135" s="265"/>
      <c r="AV135" s="265"/>
      <c r="AW135" s="265"/>
      <c r="AX135" s="265"/>
      <c r="AY135" s="265"/>
      <c r="AZ135" s="265"/>
      <c r="BA135" s="265"/>
      <c r="BB135" s="265"/>
      <c r="BC135" s="265"/>
      <c r="BD135" s="265"/>
      <c r="BE135" s="265"/>
    </row>
    <row r="136" spans="1:59" ht="15.75" thickBot="1" x14ac:dyDescent="0.3">
      <c r="E136" s="251"/>
      <c r="F136" s="252"/>
      <c r="G136" s="253"/>
      <c r="H136" s="253"/>
      <c r="I136" s="117"/>
      <c r="J136" s="117"/>
      <c r="M136" s="237">
        <f>SUM(M134:M135)</f>
        <v>4440110</v>
      </c>
      <c r="N136" s="254"/>
      <c r="O136" s="254"/>
      <c r="P136" s="268">
        <f>SUM(P134:P135)</f>
        <v>4452435</v>
      </c>
      <c r="Q136" s="268">
        <f>SUM(Q134:Q135)</f>
        <v>7275453</v>
      </c>
      <c r="R136" s="269"/>
      <c r="S136" s="270"/>
      <c r="T136" s="270"/>
      <c r="U136" s="271"/>
      <c r="V136" s="272">
        <v>3849425</v>
      </c>
      <c r="W136" s="273">
        <v>1302399</v>
      </c>
      <c r="X136" s="274">
        <v>5151824</v>
      </c>
      <c r="Y136" s="262"/>
      <c r="Z136" s="263"/>
      <c r="AA136" s="275"/>
      <c r="AB136" s="265"/>
      <c r="AC136" s="265"/>
      <c r="AD136" s="265"/>
      <c r="AE136" s="266" t="s">
        <v>82</v>
      </c>
      <c r="AF136" s="267" t="s">
        <v>359</v>
      </c>
      <c r="AG136" s="265"/>
      <c r="AH136" s="121" t="s">
        <v>360</v>
      </c>
      <c r="AI136" s="266"/>
      <c r="AJ136" s="265"/>
      <c r="AK136" s="265"/>
      <c r="AL136" s="265"/>
      <c r="AM136" s="265"/>
      <c r="AN136" s="265"/>
      <c r="AO136" s="265"/>
      <c r="AP136" s="265"/>
      <c r="AQ136" s="265"/>
      <c r="AR136" s="265"/>
      <c r="AS136" s="265"/>
      <c r="AT136" s="265"/>
      <c r="AU136" s="265"/>
      <c r="AV136" s="265"/>
      <c r="AW136" s="265"/>
      <c r="AX136" s="265"/>
      <c r="AY136" s="265"/>
      <c r="AZ136" s="265"/>
      <c r="BA136" s="265"/>
      <c r="BB136" s="265"/>
      <c r="BC136" s="265"/>
      <c r="BD136" s="265"/>
      <c r="BE136" s="265"/>
    </row>
    <row r="137" spans="1:59" x14ac:dyDescent="0.25">
      <c r="E137" s="251"/>
      <c r="F137" s="252"/>
      <c r="G137" s="253"/>
      <c r="H137" s="253"/>
      <c r="I137" s="234"/>
      <c r="J137" s="234"/>
      <c r="K137" s="253"/>
      <c r="L137" s="276"/>
      <c r="M137" s="265"/>
      <c r="N137" s="254"/>
      <c r="O137" s="254"/>
      <c r="P137" s="265"/>
      <c r="Q137" s="265"/>
      <c r="R137" s="277"/>
      <c r="S137" s="277"/>
      <c r="T137" s="277"/>
      <c r="U137" s="278">
        <v>45938</v>
      </c>
      <c r="V137" s="277"/>
      <c r="W137" s="277"/>
      <c r="X137" s="277"/>
      <c r="Y137" s="279"/>
      <c r="Z137" s="263"/>
      <c r="AA137" s="265"/>
      <c r="AB137" s="265"/>
      <c r="AC137" s="265"/>
      <c r="AD137" s="265"/>
      <c r="AE137" s="266" t="s">
        <v>29</v>
      </c>
      <c r="AF137" s="267" t="s">
        <v>361</v>
      </c>
      <c r="AG137" s="265"/>
      <c r="AH137" s="121" t="s">
        <v>362</v>
      </c>
      <c r="AI137" s="265"/>
      <c r="AJ137" s="265"/>
      <c r="AK137" s="265"/>
      <c r="AL137" s="265"/>
      <c r="AM137" s="265"/>
      <c r="AN137" s="265"/>
      <c r="AO137" s="265"/>
      <c r="AP137" s="265"/>
      <c r="AQ137" s="265"/>
      <c r="AR137" s="265"/>
      <c r="AS137" s="265"/>
      <c r="AT137" s="265"/>
      <c r="AU137" s="265"/>
      <c r="AV137" s="265"/>
      <c r="AW137" s="265"/>
      <c r="AX137" s="265"/>
      <c r="AY137" s="265"/>
      <c r="AZ137" s="265"/>
      <c r="BA137" s="265"/>
      <c r="BB137" s="265"/>
      <c r="BC137" s="265"/>
      <c r="BD137" s="265"/>
      <c r="BE137" s="265"/>
    </row>
    <row r="138" spans="1:59" x14ac:dyDescent="0.25">
      <c r="E138" s="251"/>
      <c r="F138" s="252"/>
      <c r="G138" s="253"/>
      <c r="H138" s="253"/>
      <c r="I138" s="234"/>
      <c r="J138" s="234"/>
      <c r="K138" s="253"/>
      <c r="L138" s="276"/>
      <c r="M138" s="265"/>
      <c r="N138" s="254"/>
      <c r="O138" s="254"/>
      <c r="P138" s="265"/>
      <c r="Q138" s="265"/>
      <c r="R138" s="277"/>
      <c r="S138" s="277"/>
      <c r="T138" s="277"/>
      <c r="U138" s="280">
        <v>5144937</v>
      </c>
      <c r="V138" s="237">
        <f>V133+W133</f>
        <v>5636504</v>
      </c>
      <c r="W138" s="277" t="s">
        <v>363</v>
      </c>
      <c r="X138" s="277"/>
      <c r="Y138" s="279"/>
      <c r="Z138" s="263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  <c r="AP138" s="265"/>
      <c r="AQ138" s="265"/>
      <c r="AR138" s="265"/>
      <c r="AS138" s="265"/>
      <c r="AT138" s="265"/>
      <c r="AU138" s="265"/>
      <c r="AV138" s="265"/>
      <c r="AW138" s="265"/>
      <c r="AX138" s="265"/>
      <c r="AY138" s="265"/>
      <c r="AZ138" s="265"/>
      <c r="BA138" s="265"/>
      <c r="BB138" s="265"/>
      <c r="BC138" s="265"/>
      <c r="BD138" s="265"/>
      <c r="BE138" s="265"/>
    </row>
    <row r="139" spans="1:59" x14ac:dyDescent="0.25">
      <c r="E139" s="251"/>
      <c r="F139" s="252"/>
      <c r="G139" s="253"/>
      <c r="H139" s="253"/>
      <c r="I139" s="234"/>
      <c r="J139" s="234"/>
      <c r="K139" s="253"/>
      <c r="L139" s="253"/>
      <c r="M139" s="265"/>
      <c r="N139" s="254"/>
      <c r="O139" s="254"/>
      <c r="P139" s="265"/>
      <c r="Q139" s="265"/>
      <c r="R139" s="277"/>
      <c r="S139" s="277"/>
      <c r="T139" s="277"/>
      <c r="U139" s="281"/>
      <c r="V139" s="237">
        <f>V138-M136</f>
        <v>1196394</v>
      </c>
      <c r="W139" s="277" t="s">
        <v>364</v>
      </c>
      <c r="X139" s="277"/>
      <c r="Y139" s="279"/>
      <c r="Z139" s="263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  <c r="AN139" s="265"/>
      <c r="AO139" s="265"/>
      <c r="AP139" s="265"/>
      <c r="AQ139" s="265"/>
      <c r="AR139" s="265"/>
      <c r="AS139" s="265"/>
      <c r="AT139" s="265"/>
      <c r="AU139" s="265"/>
      <c r="AV139" s="265"/>
      <c r="AW139" s="265"/>
      <c r="AX139" s="265"/>
      <c r="AY139" s="265"/>
      <c r="AZ139" s="265"/>
      <c r="BA139" s="265"/>
      <c r="BB139" s="265"/>
      <c r="BC139" s="265"/>
      <c r="BD139" s="265"/>
      <c r="BE139" s="265"/>
    </row>
    <row r="140" spans="1:59" x14ac:dyDescent="0.25">
      <c r="E140" s="251"/>
      <c r="F140" s="252"/>
      <c r="G140" s="253"/>
      <c r="H140" s="253"/>
      <c r="I140" s="234"/>
      <c r="J140" s="282"/>
      <c r="L140" s="283"/>
      <c r="M140" s="284">
        <v>45919</v>
      </c>
      <c r="N140" s="254"/>
      <c r="O140" s="254"/>
      <c r="P140" s="268"/>
      <c r="Q140" s="268"/>
      <c r="R140" s="269"/>
      <c r="S140" s="270"/>
      <c r="T140" s="270"/>
      <c r="U140" s="271"/>
      <c r="V140" s="285"/>
      <c r="W140" s="286"/>
      <c r="X140" s="274"/>
      <c r="Y140" s="262"/>
      <c r="Z140" s="263"/>
      <c r="AA140" s="265"/>
      <c r="AB140" s="265"/>
      <c r="AC140" s="265"/>
      <c r="AD140" s="265"/>
      <c r="AE140" s="265"/>
      <c r="AF140" s="266"/>
      <c r="AG140" s="275">
        <v>830000</v>
      </c>
      <c r="AH140" s="265"/>
      <c r="AI140" s="266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  <c r="AU140" s="265"/>
      <c r="AV140" s="265"/>
      <c r="AW140" s="265"/>
      <c r="AX140" s="265"/>
      <c r="AY140" s="265"/>
      <c r="AZ140" s="265"/>
      <c r="BA140" s="265"/>
      <c r="BB140" s="265"/>
      <c r="BC140" s="265"/>
      <c r="BD140" s="265"/>
      <c r="BE140" s="265"/>
    </row>
    <row r="141" spans="1:59" x14ac:dyDescent="0.25">
      <c r="E141" s="251"/>
      <c r="F141" s="252"/>
      <c r="G141" s="253"/>
      <c r="H141" s="253"/>
      <c r="I141" s="254" t="s">
        <v>365</v>
      </c>
      <c r="J141" s="287" t="s">
        <v>366</v>
      </c>
      <c r="K141" s="288" t="s">
        <v>365</v>
      </c>
      <c r="L141" s="289" t="s">
        <v>366</v>
      </c>
      <c r="M141" s="138"/>
      <c r="N141" s="290"/>
      <c r="O141" s="290"/>
      <c r="P141" s="138">
        <v>90000</v>
      </c>
      <c r="Q141" s="121" t="s">
        <v>367</v>
      </c>
      <c r="AA141" s="265"/>
      <c r="AB141" s="265"/>
      <c r="AC141" s="265"/>
      <c r="AD141" s="265"/>
      <c r="AE141" s="265"/>
      <c r="AF141" s="265"/>
      <c r="AG141" s="275">
        <f>AG140-AG133</f>
        <v>220336</v>
      </c>
      <c r="AH141" s="265"/>
      <c r="AI141" s="265"/>
      <c r="AJ141" s="265"/>
      <c r="AK141" s="265"/>
      <c r="AL141" s="265"/>
      <c r="AM141" s="265"/>
      <c r="AN141" s="265"/>
      <c r="AO141" s="265"/>
      <c r="AP141" s="265"/>
      <c r="AQ141" s="265"/>
      <c r="AR141" s="265"/>
      <c r="AS141" s="265"/>
      <c r="AT141" s="265"/>
      <c r="AU141" s="265"/>
      <c r="AV141" s="265"/>
      <c r="AW141" s="265"/>
      <c r="AX141" s="265"/>
      <c r="AY141" s="265"/>
      <c r="AZ141" s="265"/>
      <c r="BA141" s="265"/>
      <c r="BB141" s="265"/>
      <c r="BC141" s="265"/>
      <c r="BD141" s="265"/>
      <c r="BE141" s="265"/>
    </row>
    <row r="142" spans="1:59" x14ac:dyDescent="0.25">
      <c r="E142" s="251"/>
      <c r="F142" s="252"/>
      <c r="G142" s="253"/>
      <c r="H142" s="253"/>
      <c r="I142" s="254" t="s">
        <v>365</v>
      </c>
      <c r="J142" s="287" t="s">
        <v>368</v>
      </c>
      <c r="K142" s="288" t="s">
        <v>365</v>
      </c>
      <c r="L142" s="289" t="s">
        <v>368</v>
      </c>
      <c r="M142" s="138"/>
      <c r="N142" s="290"/>
      <c r="O142" s="290"/>
      <c r="P142" s="138">
        <v>233600</v>
      </c>
      <c r="Q142" s="121" t="s">
        <v>369</v>
      </c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  <c r="AP142" s="265"/>
      <c r="AQ142" s="265"/>
      <c r="AR142" s="265"/>
      <c r="AS142" s="265"/>
      <c r="AT142" s="265"/>
      <c r="AU142" s="265"/>
      <c r="AV142" s="265"/>
      <c r="AW142" s="265"/>
      <c r="AX142" s="265"/>
      <c r="AY142" s="265"/>
      <c r="AZ142" s="265"/>
      <c r="BA142" s="265"/>
      <c r="BB142" s="265"/>
      <c r="BC142" s="265"/>
      <c r="BD142" s="265"/>
      <c r="BE142" s="265"/>
    </row>
    <row r="143" spans="1:59" x14ac:dyDescent="0.25">
      <c r="E143" s="251"/>
      <c r="F143" s="252"/>
      <c r="G143" s="253"/>
      <c r="H143" s="253"/>
      <c r="I143" s="254"/>
      <c r="J143" s="287"/>
      <c r="K143" s="288"/>
      <c r="L143" s="289" t="s">
        <v>370</v>
      </c>
      <c r="M143" s="138"/>
      <c r="N143" s="290"/>
      <c r="O143" s="290"/>
      <c r="P143" s="138"/>
      <c r="Q143" s="294" t="s">
        <v>371</v>
      </c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  <c r="AP143" s="265"/>
      <c r="AQ143" s="265"/>
      <c r="AR143" s="265"/>
      <c r="AS143" s="265"/>
      <c r="AT143" s="265"/>
      <c r="AU143" s="265"/>
      <c r="AV143" s="265"/>
      <c r="AW143" s="265"/>
      <c r="AX143" s="265"/>
      <c r="AY143" s="265"/>
      <c r="AZ143" s="265"/>
      <c r="BA143" s="265"/>
      <c r="BB143" s="265"/>
      <c r="BC143" s="265"/>
      <c r="BD143" s="265"/>
      <c r="BE143" s="265"/>
    </row>
    <row r="144" spans="1:59" x14ac:dyDescent="0.25">
      <c r="E144" s="251"/>
      <c r="F144" s="252"/>
      <c r="G144" s="253"/>
      <c r="H144" s="253"/>
      <c r="I144" s="254"/>
      <c r="J144" s="287"/>
      <c r="K144" s="288"/>
      <c r="L144" s="289" t="s">
        <v>372</v>
      </c>
      <c r="M144" s="138"/>
      <c r="N144" s="290"/>
      <c r="O144" s="290"/>
      <c r="P144" s="138"/>
      <c r="Q144" s="121" t="s">
        <v>373</v>
      </c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  <c r="AN144" s="265"/>
      <c r="AO144" s="265"/>
      <c r="AP144" s="265"/>
      <c r="AQ144" s="265"/>
      <c r="AR144" s="265"/>
      <c r="AS144" s="265"/>
      <c r="AT144" s="265"/>
      <c r="AU144" s="265"/>
      <c r="AV144" s="265"/>
      <c r="AW144" s="265"/>
      <c r="AX144" s="265"/>
      <c r="AY144" s="265"/>
      <c r="AZ144" s="265"/>
      <c r="BA144" s="265"/>
      <c r="BB144" s="265"/>
      <c r="BC144" s="265"/>
      <c r="BD144" s="265"/>
      <c r="BE144" s="265"/>
    </row>
    <row r="146" spans="9:26" x14ac:dyDescent="0.25">
      <c r="J146" s="295"/>
      <c r="L146" s="296" t="s">
        <v>374</v>
      </c>
      <c r="M146" s="297">
        <v>45931</v>
      </c>
      <c r="O146" s="126"/>
      <c r="P146" s="299"/>
      <c r="Q146" s="300"/>
    </row>
    <row r="147" spans="9:26" x14ac:dyDescent="0.25">
      <c r="I147" s="123" t="s">
        <v>201</v>
      </c>
      <c r="L147" s="127" t="s">
        <v>298</v>
      </c>
      <c r="P147" s="138">
        <v>330000</v>
      </c>
      <c r="R147" s="301" t="s">
        <v>375</v>
      </c>
    </row>
    <row r="148" spans="9:26" ht="15.75" thickBot="1" x14ac:dyDescent="0.3">
      <c r="I148" s="123" t="s">
        <v>201</v>
      </c>
      <c r="L148" s="302" t="s">
        <v>376</v>
      </c>
      <c r="P148" s="303">
        <v>300000</v>
      </c>
      <c r="R148" s="301" t="s">
        <v>377</v>
      </c>
    </row>
    <row r="149" spans="9:26" x14ac:dyDescent="0.25">
      <c r="I149" s="123" t="s">
        <v>201</v>
      </c>
      <c r="K149" s="117" t="s">
        <v>378</v>
      </c>
      <c r="L149" s="117" t="s">
        <v>379</v>
      </c>
      <c r="M149" s="138">
        <v>1400000</v>
      </c>
      <c r="P149" s="304">
        <v>200000</v>
      </c>
      <c r="Q149" s="305">
        <f>M149-P149</f>
        <v>1200000</v>
      </c>
      <c r="R149" s="306"/>
      <c r="S149" s="307"/>
      <c r="T149" s="308"/>
    </row>
    <row r="150" spans="9:26" x14ac:dyDescent="0.2">
      <c r="I150" s="123" t="s">
        <v>201</v>
      </c>
      <c r="K150" s="117" t="s">
        <v>380</v>
      </c>
      <c r="L150" s="117" t="s">
        <v>381</v>
      </c>
      <c r="M150" s="138">
        <v>1500000</v>
      </c>
      <c r="P150" s="309"/>
      <c r="Q150" s="117"/>
      <c r="R150" s="303">
        <v>1000000</v>
      </c>
      <c r="S150" s="303">
        <v>500000</v>
      </c>
      <c r="T150" s="310"/>
      <c r="U150" s="311"/>
      <c r="V150" s="303"/>
      <c r="W150" s="303"/>
      <c r="X150" s="303"/>
      <c r="Y150" s="312"/>
      <c r="Z150" s="264"/>
    </row>
    <row r="151" spans="9:26" x14ac:dyDescent="0.2">
      <c r="I151" s="123" t="s">
        <v>201</v>
      </c>
      <c r="K151" s="117" t="s">
        <v>382</v>
      </c>
      <c r="L151" s="117" t="s">
        <v>383</v>
      </c>
      <c r="M151" s="138">
        <v>870000</v>
      </c>
      <c r="P151" s="313"/>
      <c r="R151" s="303"/>
      <c r="S151" s="303"/>
      <c r="T151" s="310">
        <v>870000</v>
      </c>
      <c r="U151" s="311"/>
      <c r="V151" s="303"/>
      <c r="W151" s="303"/>
      <c r="X151" s="303"/>
      <c r="Y151" s="312"/>
      <c r="Z151" s="264"/>
    </row>
    <row r="152" spans="9:26" ht="15.75" thickBot="1" x14ac:dyDescent="0.3">
      <c r="I152" s="123" t="s">
        <v>201</v>
      </c>
      <c r="M152" s="138"/>
      <c r="P152" s="314">
        <v>2026</v>
      </c>
      <c r="Q152" s="315">
        <v>2027</v>
      </c>
      <c r="R152" s="316">
        <v>2028</v>
      </c>
      <c r="S152" s="315">
        <v>2029</v>
      </c>
      <c r="T152" s="317">
        <v>2030</v>
      </c>
      <c r="V152" s="318"/>
      <c r="W152" s="318"/>
      <c r="X152" s="318"/>
      <c r="Y152" s="319"/>
    </row>
    <row r="153" spans="9:26" x14ac:dyDescent="0.25">
      <c r="I153" s="123" t="s">
        <v>201</v>
      </c>
      <c r="K153" s="117" t="s">
        <v>384</v>
      </c>
      <c r="M153" s="138"/>
      <c r="P153" s="138">
        <v>36200</v>
      </c>
      <c r="Q153" s="157" t="s">
        <v>385</v>
      </c>
      <c r="T153" s="264" t="s">
        <v>386</v>
      </c>
      <c r="U153" s="320"/>
      <c r="V153" s="264"/>
      <c r="W153" s="264"/>
      <c r="X153" s="264"/>
      <c r="Y153" s="298"/>
      <c r="Z153" s="321" t="s">
        <v>387</v>
      </c>
    </row>
    <row r="154" spans="9:26" x14ac:dyDescent="0.25">
      <c r="I154" s="123" t="s">
        <v>201</v>
      </c>
      <c r="K154" s="117" t="s">
        <v>301</v>
      </c>
      <c r="M154" s="138"/>
      <c r="P154" s="138">
        <v>40000</v>
      </c>
      <c r="S154" s="264"/>
    </row>
    <row r="155" spans="9:26" x14ac:dyDescent="0.25">
      <c r="I155" s="123" t="s">
        <v>201</v>
      </c>
      <c r="K155" s="117" t="s">
        <v>302</v>
      </c>
      <c r="M155" s="138"/>
      <c r="P155" s="138">
        <v>80000</v>
      </c>
      <c r="S155" s="264"/>
    </row>
    <row r="156" spans="9:26" x14ac:dyDescent="0.25">
      <c r="I156" s="123" t="s">
        <v>201</v>
      </c>
      <c r="K156" s="117" t="s">
        <v>388</v>
      </c>
      <c r="M156" s="138" t="s">
        <v>389</v>
      </c>
      <c r="P156" s="303">
        <v>200000</v>
      </c>
      <c r="R156" s="291" t="s">
        <v>390</v>
      </c>
      <c r="S156" s="264"/>
    </row>
    <row r="157" spans="9:26" x14ac:dyDescent="0.25">
      <c r="I157" s="123" t="s">
        <v>201</v>
      </c>
      <c r="K157" s="117" t="s">
        <v>202</v>
      </c>
      <c r="M157" s="138"/>
      <c r="P157" s="303">
        <v>180000</v>
      </c>
      <c r="S157" s="264"/>
    </row>
    <row r="158" spans="9:26" x14ac:dyDescent="0.25">
      <c r="I158" s="123" t="s">
        <v>201</v>
      </c>
      <c r="K158" s="117" t="s">
        <v>205</v>
      </c>
      <c r="M158" s="138"/>
      <c r="P158" s="303">
        <v>170000</v>
      </c>
      <c r="R158" s="321" t="s">
        <v>391</v>
      </c>
      <c r="S158" s="264"/>
    </row>
    <row r="159" spans="9:26" x14ac:dyDescent="0.25">
      <c r="I159" s="123" t="s">
        <v>201</v>
      </c>
      <c r="K159" s="117" t="s">
        <v>244</v>
      </c>
      <c r="M159" s="138"/>
      <c r="P159" s="303">
        <v>107000</v>
      </c>
      <c r="R159" s="321" t="s">
        <v>392</v>
      </c>
      <c r="S159" s="264"/>
    </row>
    <row r="160" spans="9:26" x14ac:dyDescent="0.25">
      <c r="M160" s="138"/>
      <c r="S160" s="264"/>
    </row>
    <row r="161" spans="4:57" x14ac:dyDescent="0.25">
      <c r="E161" s="251"/>
      <c r="F161" s="252"/>
      <c r="G161" s="253"/>
      <c r="H161" s="253"/>
      <c r="I161" s="234"/>
      <c r="J161" s="234"/>
      <c r="K161" s="276" t="s">
        <v>393</v>
      </c>
      <c r="L161" s="253"/>
      <c r="M161" s="265"/>
      <c r="N161" s="254"/>
      <c r="O161" s="254"/>
      <c r="P161" s="322"/>
      <c r="Q161" s="322"/>
      <c r="R161" s="323"/>
      <c r="S161" s="323"/>
      <c r="T161" s="323"/>
      <c r="U161" s="324"/>
      <c r="V161" s="323"/>
      <c r="W161" s="323"/>
      <c r="X161" s="323"/>
      <c r="Y161" s="325"/>
      <c r="Z161" s="263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  <c r="AU161" s="265"/>
      <c r="AV161" s="265"/>
      <c r="AW161" s="265"/>
      <c r="AX161" s="265"/>
      <c r="AY161" s="265"/>
      <c r="AZ161" s="265"/>
      <c r="BA161" s="265"/>
      <c r="BB161" s="265"/>
      <c r="BC161" s="265"/>
      <c r="BD161" s="265"/>
      <c r="BE161" s="265"/>
    </row>
    <row r="162" spans="4:57" x14ac:dyDescent="0.25">
      <c r="E162" s="251"/>
      <c r="F162" s="252"/>
      <c r="G162" s="253"/>
      <c r="H162" s="253"/>
      <c r="I162" s="234"/>
      <c r="J162" s="234"/>
      <c r="K162" s="326" t="s">
        <v>394</v>
      </c>
      <c r="L162" s="253"/>
      <c r="M162" s="265"/>
      <c r="N162" s="254"/>
      <c r="O162" s="254"/>
      <c r="P162" s="265"/>
      <c r="Q162" s="265"/>
      <c r="R162" s="277"/>
      <c r="S162" s="277"/>
      <c r="T162" s="277"/>
      <c r="U162" s="281"/>
      <c r="V162" s="277"/>
      <c r="W162" s="277"/>
      <c r="X162" s="277"/>
      <c r="Y162" s="279"/>
      <c r="Z162" s="263"/>
      <c r="AA162" s="265"/>
      <c r="AB162" s="265"/>
      <c r="AC162" s="265"/>
      <c r="AD162" s="265"/>
      <c r="AE162" s="265"/>
      <c r="AF162" s="265"/>
      <c r="AG162" s="265"/>
      <c r="AH162" s="265"/>
      <c r="AI162" s="265"/>
      <c r="AJ162" s="265"/>
      <c r="AK162" s="265"/>
      <c r="AL162" s="265"/>
      <c r="AM162" s="265"/>
      <c r="AN162" s="265"/>
      <c r="AO162" s="265"/>
      <c r="AP162" s="265"/>
      <c r="AQ162" s="265"/>
      <c r="AR162" s="265"/>
      <c r="AS162" s="265"/>
      <c r="AT162" s="265"/>
      <c r="AU162" s="265"/>
      <c r="AV162" s="265"/>
      <c r="AW162" s="265"/>
      <c r="AX162" s="265"/>
      <c r="AY162" s="265"/>
      <c r="AZ162" s="265"/>
      <c r="BA162" s="265"/>
      <c r="BB162" s="265"/>
      <c r="BC162" s="265"/>
      <c r="BD162" s="265"/>
      <c r="BE162" s="265"/>
    </row>
    <row r="163" spans="4:57" x14ac:dyDescent="0.25">
      <c r="E163" s="251"/>
      <c r="F163" s="252"/>
      <c r="G163" s="253"/>
      <c r="H163" s="253"/>
      <c r="I163" s="234"/>
      <c r="J163" s="234"/>
      <c r="K163" s="326" t="s">
        <v>395</v>
      </c>
      <c r="L163" s="253"/>
      <c r="M163" s="265"/>
      <c r="N163" s="254"/>
      <c r="O163" s="254"/>
      <c r="P163" s="265"/>
      <c r="Q163" s="265"/>
      <c r="R163" s="277"/>
      <c r="S163" s="277"/>
      <c r="T163" s="277"/>
      <c r="U163" s="281"/>
      <c r="V163" s="277"/>
      <c r="W163" s="277"/>
      <c r="X163" s="277"/>
      <c r="Y163" s="279"/>
      <c r="Z163" s="263"/>
      <c r="AA163" s="265"/>
      <c r="AB163" s="265"/>
      <c r="AC163" s="265"/>
      <c r="AD163" s="265"/>
      <c r="AE163" s="265"/>
      <c r="AF163" s="265"/>
      <c r="AG163" s="265"/>
      <c r="AH163" s="265"/>
      <c r="AI163" s="265"/>
      <c r="AJ163" s="265"/>
      <c r="AK163" s="265"/>
      <c r="AL163" s="265"/>
      <c r="AM163" s="265"/>
      <c r="AN163" s="265"/>
      <c r="AO163" s="265"/>
      <c r="AP163" s="265"/>
      <c r="AQ163" s="265"/>
      <c r="AR163" s="265"/>
      <c r="AS163" s="265"/>
      <c r="AT163" s="265"/>
      <c r="AU163" s="265"/>
      <c r="AV163" s="265"/>
      <c r="AW163" s="265"/>
      <c r="AX163" s="265"/>
      <c r="AY163" s="265"/>
      <c r="AZ163" s="265"/>
      <c r="BA163" s="265"/>
      <c r="BB163" s="265"/>
      <c r="BC163" s="265"/>
      <c r="BD163" s="265"/>
      <c r="BE163" s="265"/>
    </row>
    <row r="164" spans="4:57" x14ac:dyDescent="0.25">
      <c r="E164" s="251"/>
      <c r="F164" s="252"/>
      <c r="G164" s="253"/>
      <c r="H164" s="253"/>
      <c r="I164" s="234"/>
      <c r="J164" s="327">
        <v>1</v>
      </c>
      <c r="K164" s="328" t="s">
        <v>396</v>
      </c>
      <c r="L164" s="253"/>
      <c r="M164" s="265"/>
      <c r="N164" s="254"/>
      <c r="O164" s="254"/>
      <c r="P164" s="265"/>
      <c r="Q164" s="265"/>
      <c r="R164" s="277"/>
      <c r="S164" s="277"/>
      <c r="T164" s="277"/>
      <c r="U164" s="281"/>
      <c r="V164" s="277"/>
      <c r="W164" s="277"/>
      <c r="X164" s="277"/>
      <c r="Y164" s="279"/>
      <c r="Z164" s="263"/>
      <c r="AA164" s="265"/>
      <c r="AB164" s="265"/>
      <c r="AC164" s="265"/>
      <c r="AD164" s="265"/>
      <c r="AE164" s="265"/>
      <c r="AF164" s="265"/>
      <c r="AG164" s="265"/>
      <c r="AH164" s="265"/>
      <c r="AI164" s="265"/>
      <c r="AJ164" s="265"/>
      <c r="AK164" s="265"/>
      <c r="AL164" s="265"/>
      <c r="AM164" s="265"/>
      <c r="AN164" s="265"/>
      <c r="AO164" s="265"/>
      <c r="AP164" s="265"/>
      <c r="AQ164" s="265"/>
      <c r="AR164" s="265"/>
      <c r="AS164" s="265"/>
      <c r="AT164" s="265"/>
      <c r="AU164" s="265"/>
      <c r="AV164" s="265"/>
      <c r="AW164" s="265"/>
      <c r="AX164" s="265"/>
      <c r="AY164" s="265"/>
      <c r="AZ164" s="265"/>
      <c r="BA164" s="265"/>
      <c r="BB164" s="265"/>
      <c r="BC164" s="265"/>
      <c r="BD164" s="265"/>
      <c r="BE164" s="265"/>
    </row>
    <row r="165" spans="4:57" x14ac:dyDescent="0.25">
      <c r="D165" s="329"/>
      <c r="E165" s="330"/>
      <c r="F165" s="331"/>
      <c r="G165" s="332"/>
      <c r="H165" s="333"/>
      <c r="I165" s="334" t="s">
        <v>397</v>
      </c>
      <c r="J165" s="327">
        <v>2</v>
      </c>
      <c r="K165" s="328" t="s">
        <v>398</v>
      </c>
      <c r="L165" s="253"/>
      <c r="M165" s="265"/>
      <c r="N165" s="254"/>
      <c r="O165" s="254"/>
      <c r="P165" s="265"/>
      <c r="Q165" s="265"/>
      <c r="R165" s="277"/>
      <c r="S165" s="277"/>
      <c r="T165" s="277"/>
      <c r="U165" s="281"/>
      <c r="V165" s="277"/>
      <c r="W165" s="277"/>
      <c r="X165" s="277"/>
      <c r="Y165" s="279"/>
      <c r="Z165" s="263"/>
      <c r="AA165" s="265"/>
      <c r="AB165" s="265"/>
      <c r="AC165" s="265"/>
      <c r="AD165" s="265"/>
      <c r="AE165" s="265"/>
      <c r="AF165" s="265"/>
      <c r="AG165" s="265"/>
      <c r="AH165" s="265"/>
      <c r="AI165" s="265"/>
      <c r="AJ165" s="265"/>
      <c r="AK165" s="265"/>
      <c r="AL165" s="265"/>
      <c r="AM165" s="265"/>
      <c r="AN165" s="265"/>
      <c r="AO165" s="265"/>
      <c r="AP165" s="265"/>
      <c r="AQ165" s="265"/>
      <c r="AR165" s="265"/>
      <c r="AS165" s="265"/>
      <c r="AT165" s="265"/>
      <c r="AU165" s="265"/>
      <c r="AV165" s="265"/>
      <c r="AW165" s="265"/>
      <c r="AX165" s="265"/>
      <c r="AY165" s="265"/>
      <c r="AZ165" s="265"/>
      <c r="BA165" s="265"/>
      <c r="BB165" s="265"/>
      <c r="BC165" s="265"/>
      <c r="BD165" s="265"/>
      <c r="BE165" s="265"/>
    </row>
    <row r="166" spans="4:57" x14ac:dyDescent="0.25">
      <c r="E166" s="251"/>
      <c r="F166" s="252"/>
      <c r="G166" s="253"/>
      <c r="H166" s="253"/>
      <c r="I166" s="234"/>
      <c r="J166" s="327">
        <v>3</v>
      </c>
      <c r="K166" s="328" t="s">
        <v>399</v>
      </c>
      <c r="L166" s="253"/>
      <c r="M166" s="265"/>
      <c r="N166" s="254"/>
      <c r="O166" s="254"/>
      <c r="P166" s="265"/>
      <c r="Q166" s="265"/>
      <c r="R166" s="277"/>
      <c r="S166" s="277"/>
      <c r="T166" s="277"/>
      <c r="U166" s="281"/>
      <c r="V166" s="277"/>
      <c r="W166" s="277"/>
      <c r="X166" s="277"/>
      <c r="Y166" s="279"/>
      <c r="Z166" s="263"/>
      <c r="AA166" s="265"/>
      <c r="AB166" s="265"/>
      <c r="AC166" s="265"/>
      <c r="AD166" s="265"/>
      <c r="AE166" s="265"/>
      <c r="AF166" s="265"/>
      <c r="AG166" s="265"/>
      <c r="AH166" s="265"/>
      <c r="AI166" s="265"/>
      <c r="AJ166" s="265"/>
      <c r="AK166" s="265"/>
      <c r="AL166" s="265"/>
      <c r="AM166" s="265"/>
      <c r="AN166" s="265"/>
      <c r="AO166" s="265"/>
      <c r="AP166" s="265"/>
      <c r="AQ166" s="265"/>
      <c r="AR166" s="265"/>
      <c r="AS166" s="265"/>
      <c r="AT166" s="265"/>
      <c r="AU166" s="265"/>
      <c r="AV166" s="265"/>
      <c r="AW166" s="265"/>
      <c r="AX166" s="265"/>
      <c r="AY166" s="265"/>
      <c r="AZ166" s="265"/>
      <c r="BA166" s="265"/>
      <c r="BB166" s="265"/>
      <c r="BC166" s="265"/>
      <c r="BD166" s="265"/>
      <c r="BE166" s="265"/>
    </row>
    <row r="167" spans="4:57" x14ac:dyDescent="0.25">
      <c r="E167" s="251"/>
      <c r="F167" s="252"/>
      <c r="G167" s="253"/>
      <c r="H167" s="253"/>
      <c r="I167" s="234"/>
      <c r="J167" s="335"/>
      <c r="K167" s="336"/>
      <c r="L167" s="336"/>
      <c r="M167" s="337"/>
      <c r="N167" s="254"/>
      <c r="O167" s="254"/>
      <c r="P167" s="265"/>
      <c r="S167" s="277"/>
      <c r="T167" s="277"/>
      <c r="U167" s="281"/>
      <c r="V167" s="277"/>
      <c r="W167" s="277"/>
      <c r="X167" s="277"/>
      <c r="Y167" s="279"/>
      <c r="Z167" s="263"/>
      <c r="AA167" s="265"/>
      <c r="AB167" s="265"/>
      <c r="AC167" s="265"/>
      <c r="AD167" s="265"/>
      <c r="AE167" s="265"/>
      <c r="AF167" s="265"/>
      <c r="AG167" s="265"/>
      <c r="AH167" s="265"/>
      <c r="AI167" s="265"/>
      <c r="AJ167" s="265"/>
      <c r="AK167" s="265"/>
      <c r="AL167" s="265"/>
      <c r="AM167" s="265"/>
      <c r="AN167" s="265"/>
      <c r="AO167" s="265"/>
      <c r="AP167" s="265"/>
      <c r="AQ167" s="265"/>
      <c r="AR167" s="265"/>
      <c r="AS167" s="265"/>
      <c r="AT167" s="265"/>
      <c r="AU167" s="265"/>
      <c r="AV167" s="265"/>
      <c r="AW167" s="265"/>
      <c r="AX167" s="265"/>
      <c r="AY167" s="265"/>
      <c r="AZ167" s="265"/>
      <c r="BA167" s="265"/>
      <c r="BB167" s="265"/>
      <c r="BC167" s="265"/>
      <c r="BD167" s="265"/>
      <c r="BE167" s="265"/>
    </row>
    <row r="168" spans="4:57" x14ac:dyDescent="0.25">
      <c r="E168" s="251"/>
      <c r="F168" s="252"/>
      <c r="G168" s="253"/>
      <c r="H168" s="253"/>
      <c r="I168" s="234"/>
      <c r="J168" s="234"/>
      <c r="K168" s="253"/>
      <c r="L168" s="253"/>
      <c r="M168" s="265"/>
      <c r="N168" s="254"/>
      <c r="O168" s="254"/>
      <c r="P168" s="265"/>
      <c r="Q168" s="265"/>
      <c r="R168" s="277"/>
      <c r="S168" s="277"/>
      <c r="T168" s="277"/>
      <c r="U168" s="281"/>
      <c r="V168" s="277"/>
      <c r="W168" s="277"/>
      <c r="X168" s="277"/>
      <c r="Y168" s="279"/>
      <c r="Z168" s="263"/>
      <c r="AA168" s="265"/>
      <c r="AB168" s="265"/>
      <c r="AC168" s="265"/>
      <c r="AD168" s="265"/>
      <c r="AE168" s="265"/>
      <c r="AF168" s="265"/>
      <c r="AG168" s="265"/>
      <c r="AH168" s="265"/>
      <c r="AI168" s="265"/>
      <c r="AJ168" s="265"/>
      <c r="AK168" s="265"/>
      <c r="AL168" s="265"/>
      <c r="AM168" s="265"/>
      <c r="AN168" s="265"/>
      <c r="AO168" s="265"/>
      <c r="AP168" s="265"/>
      <c r="AQ168" s="265"/>
      <c r="AR168" s="265"/>
      <c r="AS168" s="265"/>
      <c r="AT168" s="265"/>
      <c r="AU168" s="265"/>
      <c r="AV168" s="265"/>
      <c r="AW168" s="265"/>
      <c r="AX168" s="265"/>
      <c r="AY168" s="265"/>
      <c r="AZ168" s="265"/>
      <c r="BA168" s="265"/>
      <c r="BB168" s="265"/>
      <c r="BC168" s="265"/>
      <c r="BD168" s="265"/>
      <c r="BE168" s="265"/>
    </row>
    <row r="169" spans="4:57" x14ac:dyDescent="0.25">
      <c r="E169" s="251"/>
      <c r="F169" s="252"/>
      <c r="G169" s="253"/>
      <c r="H169" s="253"/>
      <c r="I169" s="234"/>
      <c r="J169" s="338" t="s">
        <v>400</v>
      </c>
      <c r="L169" s="339" t="s">
        <v>400</v>
      </c>
      <c r="M169" s="340">
        <v>45853</v>
      </c>
      <c r="N169" s="254"/>
      <c r="O169" s="254"/>
      <c r="P169" s="341">
        <v>2026</v>
      </c>
      <c r="Q169" s="341"/>
      <c r="R169" s="342">
        <v>45853</v>
      </c>
      <c r="S169" s="342"/>
      <c r="T169" s="342"/>
      <c r="U169" s="278"/>
      <c r="V169" s="342"/>
      <c r="W169" s="342"/>
      <c r="X169" s="342"/>
      <c r="Y169" s="343"/>
      <c r="Z169" s="263"/>
      <c r="AA169" s="265"/>
      <c r="AB169" s="265"/>
      <c r="AC169" s="265"/>
      <c r="AD169" s="265"/>
      <c r="AE169" s="265"/>
      <c r="AF169" s="265"/>
      <c r="AG169" s="265"/>
      <c r="AH169" s="265"/>
      <c r="AI169" s="265"/>
      <c r="AJ169" s="265"/>
      <c r="AK169" s="265"/>
      <c r="AL169" s="265"/>
      <c r="AM169" s="265"/>
      <c r="AN169" s="265"/>
      <c r="AO169" s="265"/>
      <c r="AP169" s="265"/>
      <c r="AQ169" s="265"/>
      <c r="AR169" s="265"/>
      <c r="AS169" s="265"/>
      <c r="AT169" s="265"/>
      <c r="AU169" s="265"/>
      <c r="AV169" s="265"/>
      <c r="AW169" s="265"/>
      <c r="AX169" s="265"/>
      <c r="AY169" s="265"/>
      <c r="AZ169" s="265"/>
      <c r="BA169" s="265"/>
      <c r="BB169" s="265"/>
      <c r="BC169" s="265"/>
      <c r="BD169" s="265"/>
      <c r="BE169" s="265"/>
    </row>
    <row r="170" spans="4:57" x14ac:dyDescent="0.25">
      <c r="E170" s="251"/>
      <c r="F170" s="252"/>
      <c r="G170" s="253"/>
      <c r="H170" s="253"/>
      <c r="I170" s="234"/>
      <c r="J170" s="344" t="s">
        <v>401</v>
      </c>
      <c r="K170" s="345"/>
      <c r="L170" s="346" t="s">
        <v>401</v>
      </c>
      <c r="M170" s="347"/>
      <c r="N170" s="290"/>
      <c r="O170" s="290"/>
      <c r="P170" s="138">
        <v>1313198</v>
      </c>
      <c r="Q170" s="138"/>
      <c r="R170" s="121" t="s">
        <v>402</v>
      </c>
      <c r="S170" s="121"/>
      <c r="T170" s="121"/>
      <c r="U170" s="348"/>
      <c r="V170" s="121"/>
      <c r="W170" s="121"/>
      <c r="X170" s="121"/>
      <c r="Y170" s="92"/>
      <c r="Z170" s="263"/>
      <c r="AA170" s="265"/>
      <c r="AB170" s="265"/>
      <c r="AC170" s="265"/>
      <c r="AD170" s="265"/>
      <c r="AE170" s="265"/>
      <c r="AF170" s="265"/>
      <c r="AG170" s="265"/>
      <c r="AH170" s="265"/>
      <c r="AI170" s="265"/>
      <c r="AJ170" s="265"/>
      <c r="AK170" s="265"/>
      <c r="AL170" s="265"/>
      <c r="AM170" s="265"/>
      <c r="AN170" s="265"/>
      <c r="AO170" s="265"/>
      <c r="AP170" s="265"/>
      <c r="AQ170" s="265"/>
      <c r="AR170" s="265"/>
      <c r="AS170" s="265"/>
      <c r="AT170" s="265"/>
      <c r="AU170" s="265"/>
      <c r="AV170" s="265"/>
      <c r="AW170" s="265"/>
      <c r="AX170" s="265"/>
      <c r="AY170" s="265"/>
      <c r="AZ170" s="265"/>
      <c r="BA170" s="265"/>
      <c r="BB170" s="265"/>
      <c r="BC170" s="265"/>
      <c r="BD170" s="265"/>
      <c r="BE170" s="265"/>
    </row>
    <row r="171" spans="4:57" x14ac:dyDescent="0.25">
      <c r="E171" s="251"/>
      <c r="F171" s="252"/>
      <c r="G171" s="253"/>
      <c r="H171" s="253"/>
      <c r="I171" s="234"/>
      <c r="J171" s="349" t="s">
        <v>403</v>
      </c>
      <c r="K171" s="350"/>
      <c r="L171" s="127" t="s">
        <v>403</v>
      </c>
      <c r="M171" s="347"/>
      <c r="N171" s="290"/>
      <c r="O171" s="290"/>
      <c r="P171" s="138">
        <v>1680000</v>
      </c>
      <c r="Q171" s="138"/>
      <c r="R171" s="121" t="s">
        <v>404</v>
      </c>
      <c r="S171" s="121"/>
      <c r="T171" s="121"/>
      <c r="U171" s="348"/>
      <c r="V171" s="121"/>
      <c r="W171" s="121"/>
      <c r="X171" s="121"/>
      <c r="Y171" s="92"/>
      <c r="Z171" s="263"/>
      <c r="AA171" s="265"/>
      <c r="AB171" s="265"/>
      <c r="AC171" s="265"/>
      <c r="AD171" s="265"/>
      <c r="AE171" s="265"/>
      <c r="AF171" s="265"/>
      <c r="AG171" s="265"/>
      <c r="AH171" s="265"/>
      <c r="AI171" s="265"/>
      <c r="AJ171" s="265"/>
      <c r="AK171" s="265"/>
      <c r="AL171" s="265"/>
      <c r="AM171" s="265"/>
      <c r="AN171" s="265"/>
      <c r="AO171" s="265"/>
      <c r="AP171" s="265"/>
      <c r="AQ171" s="265"/>
      <c r="AR171" s="265"/>
      <c r="AS171" s="265"/>
      <c r="AT171" s="265"/>
      <c r="AU171" s="265"/>
      <c r="AV171" s="265"/>
      <c r="AW171" s="265"/>
      <c r="AX171" s="265"/>
      <c r="AY171" s="265"/>
      <c r="AZ171" s="265"/>
      <c r="BA171" s="265"/>
      <c r="BB171" s="265"/>
      <c r="BC171" s="265"/>
      <c r="BD171" s="265"/>
      <c r="BE171" s="265"/>
    </row>
    <row r="172" spans="4:57" x14ac:dyDescent="0.25">
      <c r="E172" s="251"/>
      <c r="F172" s="252"/>
      <c r="G172" s="253"/>
      <c r="H172" s="253"/>
      <c r="I172" s="234"/>
      <c r="J172" s="295"/>
      <c r="L172" s="351"/>
      <c r="M172" s="265"/>
      <c r="N172" s="254"/>
      <c r="O172" s="352"/>
      <c r="P172" s="299"/>
      <c r="Q172" s="299"/>
      <c r="S172" s="277"/>
      <c r="T172" s="277"/>
      <c r="U172" s="281"/>
      <c r="V172" s="277"/>
      <c r="W172" s="277"/>
      <c r="X172" s="277"/>
      <c r="Y172" s="279"/>
      <c r="Z172" s="263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  <c r="AU172" s="265"/>
      <c r="AV172" s="265"/>
      <c r="AW172" s="265"/>
      <c r="AX172" s="265"/>
      <c r="AY172" s="265"/>
      <c r="AZ172" s="265"/>
      <c r="BA172" s="265"/>
      <c r="BB172" s="265"/>
      <c r="BC172" s="265"/>
      <c r="BD172" s="265"/>
      <c r="BE172" s="265"/>
    </row>
    <row r="173" spans="4:57" x14ac:dyDescent="0.25">
      <c r="E173" s="251"/>
      <c r="F173" s="252"/>
      <c r="G173" s="253"/>
      <c r="H173" s="253"/>
      <c r="I173" s="234"/>
      <c r="J173" s="234"/>
      <c r="K173" s="253"/>
      <c r="L173" s="253"/>
      <c r="M173" s="265"/>
      <c r="N173" s="254"/>
      <c r="O173" s="254"/>
      <c r="P173" s="265"/>
      <c r="Q173" s="265"/>
      <c r="R173" s="277"/>
      <c r="S173" s="277"/>
      <c r="T173" s="277"/>
      <c r="U173" s="281"/>
      <c r="V173" s="277"/>
      <c r="W173" s="277"/>
      <c r="X173" s="277"/>
      <c r="Y173" s="279"/>
      <c r="Z173" s="263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5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265"/>
      <c r="AX173" s="265"/>
      <c r="AY173" s="265"/>
      <c r="AZ173" s="265"/>
      <c r="BA173" s="265"/>
      <c r="BB173" s="265"/>
      <c r="BC173" s="265"/>
      <c r="BD173" s="265"/>
      <c r="BE173" s="265"/>
    </row>
    <row r="174" spans="4:57" x14ac:dyDescent="0.25">
      <c r="E174" s="251"/>
      <c r="F174" s="252"/>
      <c r="G174" s="253"/>
      <c r="H174" s="253"/>
      <c r="I174" s="234"/>
      <c r="J174" s="234"/>
      <c r="K174" s="253"/>
      <c r="L174" s="253"/>
      <c r="M174" s="265"/>
      <c r="N174" s="254"/>
      <c r="O174" s="254"/>
      <c r="P174" s="265"/>
      <c r="Q174" s="265"/>
      <c r="R174" s="277"/>
      <c r="S174" s="277"/>
      <c r="T174" s="277"/>
      <c r="U174" s="281"/>
      <c r="V174" s="277"/>
      <c r="W174" s="277"/>
      <c r="X174" s="277"/>
      <c r="Y174" s="279"/>
      <c r="Z174" s="263"/>
      <c r="AA174" s="265"/>
      <c r="AB174" s="265"/>
      <c r="AC174" s="265"/>
      <c r="AD174" s="265"/>
      <c r="AE174" s="265"/>
      <c r="AF174" s="265"/>
      <c r="AG174" s="265"/>
      <c r="AH174" s="265"/>
      <c r="AI174" s="265"/>
      <c r="AJ174" s="265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  <c r="AU174" s="265"/>
      <c r="AV174" s="265"/>
      <c r="AW174" s="265"/>
      <c r="AX174" s="265"/>
      <c r="AY174" s="265"/>
      <c r="AZ174" s="265"/>
      <c r="BA174" s="265"/>
      <c r="BB174" s="265"/>
      <c r="BC174" s="265"/>
      <c r="BD174" s="265"/>
      <c r="BE174" s="265"/>
    </row>
    <row r="175" spans="4:57" x14ac:dyDescent="0.25">
      <c r="E175" s="251"/>
      <c r="F175" s="252"/>
      <c r="G175" s="253"/>
      <c r="H175" s="253"/>
      <c r="I175" s="234"/>
      <c r="J175" s="234"/>
      <c r="K175" s="253"/>
      <c r="L175" s="253"/>
      <c r="M175" s="265"/>
      <c r="N175" s="254"/>
      <c r="O175" s="254"/>
      <c r="P175" s="265"/>
      <c r="Q175" s="265"/>
      <c r="R175" s="277"/>
      <c r="S175" s="277"/>
      <c r="T175" s="277"/>
      <c r="U175" s="281"/>
      <c r="V175" s="277"/>
      <c r="W175" s="277"/>
      <c r="X175" s="277"/>
      <c r="Y175" s="279"/>
      <c r="Z175" s="263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5"/>
      <c r="AO175" s="265"/>
      <c r="AP175" s="265"/>
      <c r="AQ175" s="265"/>
      <c r="AR175" s="265"/>
      <c r="AS175" s="265"/>
      <c r="AT175" s="265"/>
      <c r="AU175" s="265"/>
      <c r="AV175" s="265"/>
      <c r="AW175" s="265"/>
      <c r="AX175" s="265"/>
      <c r="AY175" s="265"/>
      <c r="AZ175" s="265"/>
      <c r="BA175" s="265"/>
      <c r="BB175" s="265"/>
      <c r="BC175" s="265"/>
      <c r="BD175" s="265"/>
      <c r="BE175" s="265"/>
    </row>
    <row r="176" spans="4:57" x14ac:dyDescent="0.25">
      <c r="E176" s="251"/>
      <c r="F176" s="252"/>
      <c r="G176" s="253"/>
      <c r="H176" s="253"/>
      <c r="I176" s="234"/>
      <c r="J176" s="234"/>
      <c r="K176" s="253"/>
      <c r="L176" s="253"/>
      <c r="M176" s="265"/>
      <c r="N176" s="254"/>
      <c r="O176" s="254"/>
      <c r="P176" s="265"/>
      <c r="Q176" s="265"/>
      <c r="R176" s="277"/>
      <c r="S176" s="277"/>
      <c r="T176" s="277"/>
      <c r="U176" s="281"/>
      <c r="V176" s="277"/>
      <c r="W176" s="277"/>
      <c r="X176" s="277"/>
      <c r="Y176" s="279"/>
      <c r="Z176" s="263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  <c r="BD176" s="265"/>
      <c r="BE176" s="265"/>
    </row>
    <row r="177" spans="5:57" x14ac:dyDescent="0.25">
      <c r="E177" s="251"/>
      <c r="F177" s="252"/>
      <c r="G177" s="253"/>
      <c r="H177" s="253"/>
      <c r="I177" s="234"/>
      <c r="J177" s="234"/>
      <c r="K177" s="253"/>
      <c r="L177" s="253"/>
      <c r="M177" s="265"/>
      <c r="N177" s="254"/>
      <c r="O177" s="254"/>
      <c r="P177" s="265"/>
      <c r="Q177" s="265"/>
      <c r="R177" s="277"/>
      <c r="S177" s="277"/>
      <c r="T177" s="277"/>
      <c r="U177" s="281"/>
      <c r="V177" s="277"/>
      <c r="W177" s="277"/>
      <c r="X177" s="277"/>
      <c r="Y177" s="279"/>
      <c r="Z177" s="263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5"/>
      <c r="AT177" s="265"/>
      <c r="AU177" s="265"/>
      <c r="AV177" s="265"/>
      <c r="AW177" s="265"/>
      <c r="AX177" s="265"/>
      <c r="AY177" s="265"/>
      <c r="AZ177" s="265"/>
      <c r="BA177" s="265"/>
      <c r="BB177" s="265"/>
      <c r="BC177" s="265"/>
      <c r="BD177" s="265"/>
      <c r="BE177" s="265"/>
    </row>
    <row r="178" spans="5:57" x14ac:dyDescent="0.25">
      <c r="E178" s="251"/>
      <c r="F178" s="252"/>
      <c r="G178" s="253"/>
      <c r="H178" s="253"/>
      <c r="I178" s="234"/>
      <c r="J178" s="234"/>
      <c r="K178" s="253"/>
      <c r="L178" s="253"/>
      <c r="M178" s="265"/>
      <c r="N178" s="254"/>
      <c r="O178" s="254"/>
      <c r="P178" s="265"/>
      <c r="Q178" s="265"/>
      <c r="R178" s="277"/>
      <c r="S178" s="277"/>
      <c r="T178" s="277"/>
      <c r="U178" s="281"/>
      <c r="V178" s="277"/>
      <c r="W178" s="277"/>
      <c r="X178" s="277"/>
      <c r="Y178" s="279"/>
      <c r="Z178" s="263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5"/>
      <c r="AT178" s="265"/>
      <c r="AU178" s="265"/>
      <c r="AV178" s="265"/>
      <c r="AW178" s="265"/>
      <c r="AX178" s="265"/>
      <c r="AY178" s="265"/>
      <c r="AZ178" s="265"/>
      <c r="BA178" s="265"/>
      <c r="BB178" s="265"/>
      <c r="BC178" s="265"/>
      <c r="BD178" s="265"/>
      <c r="BE178" s="265"/>
    </row>
    <row r="179" spans="5:57" x14ac:dyDescent="0.25">
      <c r="E179" s="251"/>
      <c r="F179" s="252"/>
      <c r="G179" s="253"/>
      <c r="H179" s="253"/>
      <c r="I179" s="234"/>
      <c r="J179" s="234"/>
      <c r="K179" s="253"/>
      <c r="L179" s="253"/>
      <c r="M179" s="265"/>
      <c r="N179" s="254"/>
      <c r="O179" s="254"/>
      <c r="P179" s="265"/>
      <c r="Q179" s="265"/>
      <c r="R179" s="277"/>
      <c r="S179" s="277"/>
      <c r="T179" s="277"/>
      <c r="U179" s="281"/>
      <c r="V179" s="277"/>
      <c r="W179" s="277"/>
      <c r="X179" s="277"/>
      <c r="Y179" s="279"/>
      <c r="Z179" s="263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65"/>
      <c r="AO179" s="265"/>
      <c r="AP179" s="265"/>
      <c r="AQ179" s="265"/>
      <c r="AR179" s="265"/>
      <c r="AS179" s="265"/>
      <c r="AT179" s="265"/>
      <c r="AU179" s="265"/>
      <c r="AV179" s="265"/>
      <c r="AW179" s="265"/>
      <c r="AX179" s="265"/>
      <c r="AY179" s="265"/>
      <c r="AZ179" s="265"/>
      <c r="BA179" s="265"/>
      <c r="BB179" s="265"/>
      <c r="BC179" s="265"/>
      <c r="BD179" s="265"/>
      <c r="BE179" s="265"/>
    </row>
    <row r="180" spans="5:57" x14ac:dyDescent="0.25">
      <c r="E180" s="251"/>
      <c r="F180" s="252"/>
      <c r="G180" s="253"/>
      <c r="H180" s="253"/>
      <c r="I180" s="234"/>
      <c r="J180" s="234"/>
      <c r="K180" s="253"/>
      <c r="L180" s="253"/>
      <c r="M180" s="265"/>
      <c r="N180" s="254"/>
      <c r="O180" s="254"/>
      <c r="P180" s="265"/>
      <c r="Q180" s="265"/>
      <c r="R180" s="277"/>
      <c r="S180" s="277"/>
      <c r="T180" s="277"/>
      <c r="U180" s="281"/>
      <c r="V180" s="277"/>
      <c r="W180" s="277"/>
      <c r="X180" s="277"/>
      <c r="Y180" s="279"/>
      <c r="Z180" s="263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  <c r="AU180" s="265"/>
      <c r="AV180" s="265"/>
      <c r="AW180" s="265"/>
      <c r="AX180" s="265"/>
      <c r="AY180" s="265"/>
      <c r="AZ180" s="265"/>
      <c r="BA180" s="265"/>
      <c r="BB180" s="265"/>
      <c r="BC180" s="265"/>
      <c r="BD180" s="265"/>
      <c r="BE180" s="265"/>
    </row>
    <row r="181" spans="5:57" x14ac:dyDescent="0.25">
      <c r="E181" s="251"/>
      <c r="F181" s="252"/>
      <c r="G181" s="253"/>
      <c r="H181" s="253"/>
      <c r="I181" s="234"/>
      <c r="J181" s="234"/>
      <c r="K181" s="253"/>
      <c r="L181" s="253"/>
      <c r="M181" s="265"/>
      <c r="N181" s="254"/>
      <c r="O181" s="254"/>
      <c r="P181" s="265"/>
      <c r="Q181" s="265"/>
      <c r="R181" s="277"/>
      <c r="S181" s="277"/>
      <c r="T181" s="277"/>
      <c r="U181" s="281"/>
      <c r="V181" s="277"/>
      <c r="W181" s="277"/>
      <c r="X181" s="277"/>
      <c r="Y181" s="279"/>
      <c r="Z181" s="263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  <c r="AW181" s="265"/>
      <c r="AX181" s="265"/>
      <c r="AY181" s="265"/>
      <c r="AZ181" s="265"/>
      <c r="BA181" s="265"/>
      <c r="BB181" s="265"/>
      <c r="BC181" s="265"/>
      <c r="BD181" s="265"/>
      <c r="BE181" s="265"/>
    </row>
    <row r="182" spans="5:57" x14ac:dyDescent="0.25">
      <c r="E182" s="251"/>
      <c r="F182" s="252"/>
      <c r="G182" s="253"/>
      <c r="H182" s="253"/>
      <c r="I182" s="234"/>
      <c r="J182" s="234"/>
      <c r="K182" s="253"/>
      <c r="L182" s="253"/>
      <c r="M182" s="265"/>
      <c r="N182" s="254"/>
      <c r="O182" s="254"/>
      <c r="P182" s="265"/>
      <c r="Q182" s="265"/>
      <c r="R182" s="277"/>
      <c r="S182" s="277"/>
      <c r="T182" s="277"/>
      <c r="U182" s="281"/>
      <c r="V182" s="277"/>
      <c r="W182" s="277"/>
      <c r="X182" s="277"/>
      <c r="Y182" s="279"/>
      <c r="Z182" s="263"/>
      <c r="AA182" s="265"/>
      <c r="AB182" s="265"/>
      <c r="AC182" s="265"/>
      <c r="AD182" s="265"/>
      <c r="AE182" s="265"/>
      <c r="AF182" s="265"/>
      <c r="AG182" s="265"/>
      <c r="AH182" s="265"/>
      <c r="AI182" s="265"/>
      <c r="AJ182" s="265"/>
      <c r="AK182" s="265"/>
      <c r="AL182" s="265"/>
      <c r="AM182" s="265"/>
      <c r="AN182" s="265"/>
      <c r="AO182" s="265"/>
      <c r="AP182" s="265"/>
      <c r="AQ182" s="265"/>
      <c r="AR182" s="265"/>
      <c r="AS182" s="265"/>
      <c r="AT182" s="265"/>
      <c r="AU182" s="265"/>
      <c r="AV182" s="265"/>
      <c r="AW182" s="265"/>
      <c r="AX182" s="265"/>
      <c r="AY182" s="265"/>
      <c r="AZ182" s="265"/>
      <c r="BA182" s="265"/>
      <c r="BB182" s="265"/>
      <c r="BC182" s="265"/>
      <c r="BD182" s="265"/>
      <c r="BE182" s="265"/>
    </row>
    <row r="183" spans="5:57" x14ac:dyDescent="0.25">
      <c r="E183" s="251"/>
      <c r="F183" s="252"/>
      <c r="G183" s="253"/>
      <c r="H183" s="253"/>
      <c r="I183" s="234"/>
      <c r="J183" s="234"/>
      <c r="K183" s="253"/>
      <c r="L183" s="253"/>
      <c r="M183" s="265"/>
      <c r="N183" s="254"/>
      <c r="O183" s="254"/>
      <c r="P183" s="265"/>
      <c r="Q183" s="265"/>
      <c r="R183" s="277"/>
      <c r="S183" s="277"/>
      <c r="T183" s="277"/>
      <c r="U183" s="281"/>
      <c r="V183" s="277"/>
      <c r="W183" s="277"/>
      <c r="X183" s="277"/>
      <c r="Y183" s="279"/>
      <c r="Z183" s="263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  <c r="AW183" s="265"/>
      <c r="AX183" s="265"/>
      <c r="AY183" s="265"/>
      <c r="AZ183" s="265"/>
      <c r="BA183" s="265"/>
      <c r="BB183" s="265"/>
      <c r="BC183" s="265"/>
      <c r="BD183" s="265"/>
      <c r="BE183" s="265"/>
    </row>
    <row r="184" spans="5:57" x14ac:dyDescent="0.25">
      <c r="E184" s="251"/>
      <c r="F184" s="252"/>
      <c r="G184" s="253"/>
      <c r="H184" s="253"/>
      <c r="I184" s="234"/>
      <c r="J184" s="234"/>
      <c r="K184" s="253"/>
      <c r="L184" s="253"/>
      <c r="M184" s="265"/>
      <c r="N184" s="254"/>
      <c r="O184" s="254"/>
      <c r="P184" s="265"/>
      <c r="Q184" s="265"/>
      <c r="R184" s="277"/>
      <c r="S184" s="277"/>
      <c r="T184" s="277"/>
      <c r="U184" s="281"/>
      <c r="V184" s="277"/>
      <c r="W184" s="277"/>
      <c r="X184" s="277"/>
      <c r="Y184" s="279"/>
      <c r="Z184" s="263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  <c r="AW184" s="265"/>
      <c r="AX184" s="265"/>
      <c r="AY184" s="265"/>
      <c r="AZ184" s="265"/>
      <c r="BA184" s="265"/>
      <c r="BB184" s="265"/>
      <c r="BC184" s="265"/>
      <c r="BD184" s="265"/>
      <c r="BE184" s="265"/>
    </row>
    <row r="185" spans="5:57" x14ac:dyDescent="0.25">
      <c r="E185" s="251"/>
      <c r="F185" s="252"/>
      <c r="G185" s="253"/>
      <c r="H185" s="253"/>
      <c r="I185" s="234"/>
      <c r="J185" s="234"/>
      <c r="K185" s="253"/>
      <c r="L185" s="253"/>
      <c r="M185" s="265"/>
      <c r="N185" s="254"/>
      <c r="O185" s="254"/>
      <c r="P185" s="265"/>
      <c r="Q185" s="265"/>
      <c r="R185" s="277"/>
      <c r="S185" s="277"/>
      <c r="T185" s="277"/>
      <c r="U185" s="281"/>
      <c r="V185" s="277"/>
      <c r="W185" s="277"/>
      <c r="X185" s="277"/>
      <c r="Y185" s="279"/>
      <c r="Z185" s="263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265"/>
      <c r="AV185" s="265"/>
      <c r="AW185" s="265"/>
      <c r="AX185" s="265"/>
      <c r="AY185" s="265"/>
      <c r="AZ185" s="265"/>
      <c r="BA185" s="265"/>
      <c r="BB185" s="265"/>
      <c r="BC185" s="265"/>
      <c r="BD185" s="265"/>
      <c r="BE185" s="265"/>
    </row>
    <row r="186" spans="5:57" x14ac:dyDescent="0.25">
      <c r="E186" s="251"/>
      <c r="F186" s="252"/>
      <c r="G186" s="253"/>
      <c r="H186" s="253"/>
      <c r="I186" s="234"/>
      <c r="J186" s="234"/>
      <c r="K186" s="253"/>
      <c r="L186" s="253"/>
      <c r="M186" s="265"/>
      <c r="N186" s="254"/>
      <c r="O186" s="254"/>
      <c r="P186" s="265"/>
      <c r="Q186" s="265"/>
      <c r="R186" s="277"/>
      <c r="S186" s="277"/>
      <c r="T186" s="277"/>
      <c r="U186" s="281"/>
      <c r="V186" s="277"/>
      <c r="W186" s="277"/>
      <c r="X186" s="277"/>
      <c r="Y186" s="279"/>
      <c r="Z186" s="263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  <c r="AW186" s="265"/>
      <c r="AX186" s="265"/>
      <c r="AY186" s="265"/>
      <c r="AZ186" s="265"/>
      <c r="BA186" s="265"/>
      <c r="BB186" s="265"/>
      <c r="BC186" s="265"/>
      <c r="BD186" s="265"/>
      <c r="BE186" s="265"/>
    </row>
    <row r="187" spans="5:57" x14ac:dyDescent="0.25">
      <c r="E187" s="251"/>
      <c r="F187" s="252"/>
      <c r="G187" s="253"/>
      <c r="H187" s="253"/>
      <c r="I187" s="234"/>
      <c r="J187" s="234"/>
      <c r="K187" s="253"/>
      <c r="L187" s="253"/>
      <c r="M187" s="265"/>
      <c r="N187" s="254"/>
      <c r="O187" s="254"/>
      <c r="P187" s="265"/>
      <c r="Q187" s="265"/>
      <c r="R187" s="277"/>
      <c r="S187" s="277"/>
      <c r="T187" s="277"/>
      <c r="U187" s="281"/>
      <c r="V187" s="277"/>
      <c r="W187" s="277"/>
      <c r="X187" s="277"/>
      <c r="Y187" s="279"/>
      <c r="Z187" s="263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265"/>
      <c r="AV187" s="265"/>
      <c r="AW187" s="265"/>
      <c r="AX187" s="265"/>
      <c r="AY187" s="265"/>
      <c r="AZ187" s="265"/>
      <c r="BA187" s="265"/>
      <c r="BB187" s="265"/>
      <c r="BC187" s="265"/>
      <c r="BD187" s="265"/>
      <c r="BE187" s="265"/>
    </row>
    <row r="188" spans="5:57" x14ac:dyDescent="0.25">
      <c r="E188" s="251"/>
      <c r="F188" s="252"/>
      <c r="G188" s="253"/>
      <c r="H188" s="253"/>
      <c r="I188" s="234"/>
      <c r="J188" s="234"/>
      <c r="K188" s="253"/>
      <c r="L188" s="253"/>
      <c r="M188" s="265"/>
      <c r="N188" s="254"/>
      <c r="O188" s="254"/>
      <c r="P188" s="265"/>
      <c r="Q188" s="265"/>
      <c r="R188" s="277"/>
      <c r="S188" s="277"/>
      <c r="T188" s="277"/>
      <c r="U188" s="281"/>
      <c r="V188" s="277"/>
      <c r="W188" s="277"/>
      <c r="X188" s="277"/>
      <c r="Y188" s="279"/>
      <c r="Z188" s="263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AL188" s="265"/>
      <c r="AM188" s="265"/>
      <c r="AN188" s="265"/>
      <c r="AO188" s="265"/>
      <c r="AP188" s="265"/>
      <c r="AQ188" s="265"/>
      <c r="AR188" s="265"/>
      <c r="AS188" s="265"/>
      <c r="AT188" s="265"/>
      <c r="AU188" s="265"/>
      <c r="AV188" s="265"/>
      <c r="AW188" s="265"/>
      <c r="AX188" s="265"/>
      <c r="AY188" s="265"/>
      <c r="AZ188" s="265"/>
      <c r="BA188" s="265"/>
      <c r="BB188" s="265"/>
      <c r="BC188" s="265"/>
      <c r="BD188" s="265"/>
      <c r="BE188" s="265"/>
    </row>
    <row r="189" spans="5:57" x14ac:dyDescent="0.25">
      <c r="E189" s="251"/>
      <c r="F189" s="252"/>
      <c r="G189" s="253"/>
      <c r="H189" s="253"/>
      <c r="I189" s="234"/>
      <c r="J189" s="234"/>
      <c r="K189" s="253"/>
      <c r="L189" s="253"/>
      <c r="M189" s="265"/>
      <c r="N189" s="254"/>
      <c r="O189" s="254"/>
      <c r="P189" s="265"/>
      <c r="Q189" s="265"/>
      <c r="R189" s="277"/>
      <c r="S189" s="277"/>
      <c r="T189" s="277"/>
      <c r="U189" s="281"/>
      <c r="V189" s="277"/>
      <c r="W189" s="277"/>
      <c r="X189" s="277"/>
      <c r="Y189" s="279"/>
      <c r="Z189" s="263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AL189" s="265"/>
      <c r="AM189" s="265"/>
      <c r="AN189" s="265"/>
      <c r="AO189" s="265"/>
      <c r="AP189" s="265"/>
      <c r="AQ189" s="265"/>
      <c r="AR189" s="265"/>
      <c r="AS189" s="265"/>
      <c r="AT189" s="265"/>
      <c r="AU189" s="265"/>
      <c r="AV189" s="265"/>
      <c r="AW189" s="265"/>
      <c r="AX189" s="265"/>
      <c r="AY189" s="265"/>
      <c r="AZ189" s="265"/>
      <c r="BA189" s="265"/>
      <c r="BB189" s="265"/>
      <c r="BC189" s="265"/>
      <c r="BD189" s="265"/>
      <c r="BE189" s="265"/>
    </row>
    <row r="190" spans="5:57" x14ac:dyDescent="0.25">
      <c r="E190" s="251"/>
      <c r="F190" s="252"/>
      <c r="G190" s="253"/>
      <c r="H190" s="253"/>
      <c r="I190" s="234"/>
      <c r="J190" s="234"/>
      <c r="K190" s="253"/>
      <c r="L190" s="253"/>
      <c r="M190" s="265"/>
      <c r="N190" s="254"/>
      <c r="O190" s="254"/>
      <c r="P190" s="265"/>
      <c r="Q190" s="265"/>
      <c r="R190" s="277"/>
      <c r="S190" s="277"/>
      <c r="T190" s="277"/>
      <c r="U190" s="281"/>
      <c r="V190" s="277"/>
      <c r="W190" s="277"/>
      <c r="X190" s="277"/>
      <c r="Y190" s="279"/>
      <c r="Z190" s="263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A190" s="265"/>
      <c r="BB190" s="265"/>
      <c r="BC190" s="265"/>
      <c r="BD190" s="265"/>
      <c r="BE190" s="265"/>
    </row>
    <row r="191" spans="5:57" x14ac:dyDescent="0.25">
      <c r="E191" s="251"/>
      <c r="F191" s="252"/>
      <c r="G191" s="253"/>
      <c r="H191" s="253"/>
      <c r="I191" s="234"/>
      <c r="J191" s="234"/>
      <c r="K191" s="253"/>
      <c r="L191" s="253"/>
      <c r="M191" s="265"/>
      <c r="N191" s="254"/>
      <c r="O191" s="254"/>
      <c r="P191" s="265"/>
      <c r="Q191" s="265"/>
      <c r="R191" s="277"/>
      <c r="S191" s="277"/>
      <c r="T191" s="277"/>
      <c r="U191" s="281"/>
      <c r="V191" s="277"/>
      <c r="W191" s="277"/>
      <c r="X191" s="277"/>
      <c r="Y191" s="279"/>
      <c r="Z191" s="263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  <c r="AU191" s="265"/>
      <c r="AV191" s="265"/>
      <c r="AW191" s="265"/>
      <c r="AX191" s="265"/>
      <c r="AY191" s="265"/>
      <c r="AZ191" s="265"/>
      <c r="BA191" s="265"/>
      <c r="BB191" s="265"/>
      <c r="BC191" s="265"/>
      <c r="BD191" s="265"/>
      <c r="BE191" s="265"/>
    </row>
  </sheetData>
  <autoFilter ref="A1:AC135" xr:uid="{03DD614B-09CE-4BA3-A2B9-0C6A35D726D4}"/>
  <pageMargins left="9.8416663706302643E-2" right="9.8416663706302643E-2" top="0.39369446039199829" bottom="0.39369446039199829" header="0" footer="0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305C-2848-479F-A144-3F5B8743BEB7}">
  <dimension ref="A1:J110"/>
  <sheetViews>
    <sheetView topLeftCell="B1" zoomScale="130" zoomScaleNormal="130" zoomScaleSheetLayoutView="100" workbookViewId="0">
      <pane ySplit="4" topLeftCell="A48" activePane="bottomLeft" state="frozen"/>
      <selection pane="bottomLeft" activeCell="I44" sqref="I44"/>
    </sheetView>
  </sheetViews>
  <sheetFormatPr baseColWidth="10" defaultColWidth="8" defaultRowHeight="13.5" x14ac:dyDescent="0.25"/>
  <cols>
    <col min="1" max="1" width="8.7109375" style="354" customWidth="1"/>
    <col min="2" max="2" width="15.42578125" style="355" bestFit="1" customWidth="1"/>
    <col min="3" max="3" width="34.85546875" style="355" customWidth="1"/>
    <col min="4" max="4" width="11.28515625" style="355" customWidth="1"/>
    <col min="5" max="8" width="10.140625" style="355" bestFit="1" customWidth="1"/>
    <col min="9" max="9" width="10.140625" style="355" customWidth="1"/>
    <col min="10" max="10" width="10" style="355" bestFit="1" customWidth="1"/>
    <col min="11" max="232" width="8" style="354"/>
    <col min="233" max="233" width="7.7109375" style="354" bestFit="1" customWidth="1"/>
    <col min="234" max="234" width="15.5703125" style="354" bestFit="1" customWidth="1"/>
    <col min="235" max="235" width="31.42578125" style="354" customWidth="1"/>
    <col min="236" max="236" width="10.140625" style="354" bestFit="1" customWidth="1"/>
    <col min="237" max="237" width="10.42578125" style="354" bestFit="1" customWidth="1"/>
    <col min="238" max="238" width="10" style="354" customWidth="1"/>
    <col min="239" max="239" width="11" style="354" customWidth="1"/>
    <col min="240" max="240" width="10.42578125" style="354" bestFit="1" customWidth="1"/>
    <col min="241" max="241" width="11.85546875" style="354" customWidth="1"/>
    <col min="242" max="242" width="10.140625" style="354" bestFit="1" customWidth="1"/>
    <col min="243" max="243" width="10.140625" style="354" customWidth="1"/>
    <col min="244" max="244" width="11.28515625" style="354" customWidth="1"/>
    <col min="245" max="247" width="10.140625" style="354" bestFit="1" customWidth="1"/>
    <col min="248" max="248" width="10.42578125" style="354" bestFit="1" customWidth="1"/>
    <col min="249" max="249" width="10.140625" style="354" bestFit="1" customWidth="1"/>
    <col min="250" max="250" width="9.140625" style="354" bestFit="1" customWidth="1"/>
    <col min="251" max="252" width="10.140625" style="354" bestFit="1" customWidth="1"/>
    <col min="253" max="253" width="8.85546875" style="354" bestFit="1" customWidth="1"/>
    <col min="254" max="254" width="9.140625" style="354" bestFit="1" customWidth="1"/>
    <col min="255" max="257" width="8.85546875" style="354" bestFit="1" customWidth="1"/>
    <col min="258" max="258" width="13.28515625" style="354" bestFit="1" customWidth="1"/>
    <col min="259" max="260" width="10.140625" style="354" bestFit="1" customWidth="1"/>
    <col min="261" max="261" width="5.7109375" style="354" bestFit="1" customWidth="1"/>
    <col min="262" max="262" width="6.42578125" style="354" bestFit="1" customWidth="1"/>
    <col min="263" max="263" width="6.28515625" style="354" bestFit="1" customWidth="1"/>
    <col min="264" max="264" width="7" style="354" bestFit="1" customWidth="1"/>
    <col min="265" max="265" width="20.42578125" style="354" bestFit="1" customWidth="1"/>
    <col min="266" max="266" width="5.140625" style="354" customWidth="1"/>
    <col min="267" max="488" width="8" style="354"/>
    <col min="489" max="489" width="7.7109375" style="354" bestFit="1" customWidth="1"/>
    <col min="490" max="490" width="15.5703125" style="354" bestFit="1" customWidth="1"/>
    <col min="491" max="491" width="31.42578125" style="354" customWidth="1"/>
    <col min="492" max="492" width="10.140625" style="354" bestFit="1" customWidth="1"/>
    <col min="493" max="493" width="10.42578125" style="354" bestFit="1" customWidth="1"/>
    <col min="494" max="494" width="10" style="354" customWidth="1"/>
    <col min="495" max="495" width="11" style="354" customWidth="1"/>
    <col min="496" max="496" width="10.42578125" style="354" bestFit="1" customWidth="1"/>
    <col min="497" max="497" width="11.85546875" style="354" customWidth="1"/>
    <col min="498" max="498" width="10.140625" style="354" bestFit="1" customWidth="1"/>
    <col min="499" max="499" width="10.140625" style="354" customWidth="1"/>
    <col min="500" max="500" width="11.28515625" style="354" customWidth="1"/>
    <col min="501" max="503" width="10.140625" style="354" bestFit="1" customWidth="1"/>
    <col min="504" max="504" width="10.42578125" style="354" bestFit="1" customWidth="1"/>
    <col min="505" max="505" width="10.140625" style="354" bestFit="1" customWidth="1"/>
    <col min="506" max="506" width="9.140625" style="354" bestFit="1" customWidth="1"/>
    <col min="507" max="508" width="10.140625" style="354" bestFit="1" customWidth="1"/>
    <col min="509" max="509" width="8.85546875" style="354" bestFit="1" customWidth="1"/>
    <col min="510" max="510" width="9.140625" style="354" bestFit="1" customWidth="1"/>
    <col min="511" max="513" width="8.85546875" style="354" bestFit="1" customWidth="1"/>
    <col min="514" max="514" width="13.28515625" style="354" bestFit="1" customWidth="1"/>
    <col min="515" max="516" width="10.140625" style="354" bestFit="1" customWidth="1"/>
    <col min="517" max="517" width="5.7109375" style="354" bestFit="1" customWidth="1"/>
    <col min="518" max="518" width="6.42578125" style="354" bestFit="1" customWidth="1"/>
    <col min="519" max="519" width="6.28515625" style="354" bestFit="1" customWidth="1"/>
    <col min="520" max="520" width="7" style="354" bestFit="1" customWidth="1"/>
    <col min="521" max="521" width="20.42578125" style="354" bestFit="1" customWidth="1"/>
    <col min="522" max="522" width="5.140625" style="354" customWidth="1"/>
    <col min="523" max="744" width="8" style="354"/>
    <col min="745" max="745" width="7.7109375" style="354" bestFit="1" customWidth="1"/>
    <col min="746" max="746" width="15.5703125" style="354" bestFit="1" customWidth="1"/>
    <col min="747" max="747" width="31.42578125" style="354" customWidth="1"/>
    <col min="748" max="748" width="10.140625" style="354" bestFit="1" customWidth="1"/>
    <col min="749" max="749" width="10.42578125" style="354" bestFit="1" customWidth="1"/>
    <col min="750" max="750" width="10" style="354" customWidth="1"/>
    <col min="751" max="751" width="11" style="354" customWidth="1"/>
    <col min="752" max="752" width="10.42578125" style="354" bestFit="1" customWidth="1"/>
    <col min="753" max="753" width="11.85546875" style="354" customWidth="1"/>
    <col min="754" max="754" width="10.140625" style="354" bestFit="1" customWidth="1"/>
    <col min="755" max="755" width="10.140625" style="354" customWidth="1"/>
    <col min="756" max="756" width="11.28515625" style="354" customWidth="1"/>
    <col min="757" max="759" width="10.140625" style="354" bestFit="1" customWidth="1"/>
    <col min="760" max="760" width="10.42578125" style="354" bestFit="1" customWidth="1"/>
    <col min="761" max="761" width="10.140625" style="354" bestFit="1" customWidth="1"/>
    <col min="762" max="762" width="9.140625" style="354" bestFit="1" customWidth="1"/>
    <col min="763" max="764" width="10.140625" style="354" bestFit="1" customWidth="1"/>
    <col min="765" max="765" width="8.85546875" style="354" bestFit="1" customWidth="1"/>
    <col min="766" max="766" width="9.140625" style="354" bestFit="1" customWidth="1"/>
    <col min="767" max="769" width="8.85546875" style="354" bestFit="1" customWidth="1"/>
    <col min="770" max="770" width="13.28515625" style="354" bestFit="1" customWidth="1"/>
    <col min="771" max="772" width="10.140625" style="354" bestFit="1" customWidth="1"/>
    <col min="773" max="773" width="5.7109375" style="354" bestFit="1" customWidth="1"/>
    <col min="774" max="774" width="6.42578125" style="354" bestFit="1" customWidth="1"/>
    <col min="775" max="775" width="6.28515625" style="354" bestFit="1" customWidth="1"/>
    <col min="776" max="776" width="7" style="354" bestFit="1" customWidth="1"/>
    <col min="777" max="777" width="20.42578125" style="354" bestFit="1" customWidth="1"/>
    <col min="778" max="778" width="5.140625" style="354" customWidth="1"/>
    <col min="779" max="1000" width="8" style="354"/>
    <col min="1001" max="1001" width="7.7109375" style="354" bestFit="1" customWidth="1"/>
    <col min="1002" max="1002" width="15.5703125" style="354" bestFit="1" customWidth="1"/>
    <col min="1003" max="1003" width="31.42578125" style="354" customWidth="1"/>
    <col min="1004" max="1004" width="10.140625" style="354" bestFit="1" customWidth="1"/>
    <col min="1005" max="1005" width="10.42578125" style="354" bestFit="1" customWidth="1"/>
    <col min="1006" max="1006" width="10" style="354" customWidth="1"/>
    <col min="1007" max="1007" width="11" style="354" customWidth="1"/>
    <col min="1008" max="1008" width="10.42578125" style="354" bestFit="1" customWidth="1"/>
    <col min="1009" max="1009" width="11.85546875" style="354" customWidth="1"/>
    <col min="1010" max="1010" width="10.140625" style="354" bestFit="1" customWidth="1"/>
    <col min="1011" max="1011" width="10.140625" style="354" customWidth="1"/>
    <col min="1012" max="1012" width="11.28515625" style="354" customWidth="1"/>
    <col min="1013" max="1015" width="10.140625" style="354" bestFit="1" customWidth="1"/>
    <col min="1016" max="1016" width="10.42578125" style="354" bestFit="1" customWidth="1"/>
    <col min="1017" max="1017" width="10.140625" style="354" bestFit="1" customWidth="1"/>
    <col min="1018" max="1018" width="9.140625" style="354" bestFit="1" customWidth="1"/>
    <col min="1019" max="1020" width="10.140625" style="354" bestFit="1" customWidth="1"/>
    <col min="1021" max="1021" width="8.85546875" style="354" bestFit="1" customWidth="1"/>
    <col min="1022" max="1022" width="9.140625" style="354" bestFit="1" customWidth="1"/>
    <col min="1023" max="1025" width="8.85546875" style="354" bestFit="1" customWidth="1"/>
    <col min="1026" max="1026" width="13.28515625" style="354" bestFit="1" customWidth="1"/>
    <col min="1027" max="1028" width="10.140625" style="354" bestFit="1" customWidth="1"/>
    <col min="1029" max="1029" width="5.7109375" style="354" bestFit="1" customWidth="1"/>
    <col min="1030" max="1030" width="6.42578125" style="354" bestFit="1" customWidth="1"/>
    <col min="1031" max="1031" width="6.28515625" style="354" bestFit="1" customWidth="1"/>
    <col min="1032" max="1032" width="7" style="354" bestFit="1" customWidth="1"/>
    <col min="1033" max="1033" width="20.42578125" style="354" bestFit="1" customWidth="1"/>
    <col min="1034" max="1034" width="5.140625" style="354" customWidth="1"/>
    <col min="1035" max="1256" width="8" style="354"/>
    <col min="1257" max="1257" width="7.7109375" style="354" bestFit="1" customWidth="1"/>
    <col min="1258" max="1258" width="15.5703125" style="354" bestFit="1" customWidth="1"/>
    <col min="1259" max="1259" width="31.42578125" style="354" customWidth="1"/>
    <col min="1260" max="1260" width="10.140625" style="354" bestFit="1" customWidth="1"/>
    <col min="1261" max="1261" width="10.42578125" style="354" bestFit="1" customWidth="1"/>
    <col min="1262" max="1262" width="10" style="354" customWidth="1"/>
    <col min="1263" max="1263" width="11" style="354" customWidth="1"/>
    <col min="1264" max="1264" width="10.42578125" style="354" bestFit="1" customWidth="1"/>
    <col min="1265" max="1265" width="11.85546875" style="354" customWidth="1"/>
    <col min="1266" max="1266" width="10.140625" style="354" bestFit="1" customWidth="1"/>
    <col min="1267" max="1267" width="10.140625" style="354" customWidth="1"/>
    <col min="1268" max="1268" width="11.28515625" style="354" customWidth="1"/>
    <col min="1269" max="1271" width="10.140625" style="354" bestFit="1" customWidth="1"/>
    <col min="1272" max="1272" width="10.42578125" style="354" bestFit="1" customWidth="1"/>
    <col min="1273" max="1273" width="10.140625" style="354" bestFit="1" customWidth="1"/>
    <col min="1274" max="1274" width="9.140625" style="354" bestFit="1" customWidth="1"/>
    <col min="1275" max="1276" width="10.140625" style="354" bestFit="1" customWidth="1"/>
    <col min="1277" max="1277" width="8.85546875" style="354" bestFit="1" customWidth="1"/>
    <col min="1278" max="1278" width="9.140625" style="354" bestFit="1" customWidth="1"/>
    <col min="1279" max="1281" width="8.85546875" style="354" bestFit="1" customWidth="1"/>
    <col min="1282" max="1282" width="13.28515625" style="354" bestFit="1" customWidth="1"/>
    <col min="1283" max="1284" width="10.140625" style="354" bestFit="1" customWidth="1"/>
    <col min="1285" max="1285" width="5.7109375" style="354" bestFit="1" customWidth="1"/>
    <col min="1286" max="1286" width="6.42578125" style="354" bestFit="1" customWidth="1"/>
    <col min="1287" max="1287" width="6.28515625" style="354" bestFit="1" customWidth="1"/>
    <col min="1288" max="1288" width="7" style="354" bestFit="1" customWidth="1"/>
    <col min="1289" max="1289" width="20.42578125" style="354" bestFit="1" customWidth="1"/>
    <col min="1290" max="1290" width="5.140625" style="354" customWidth="1"/>
    <col min="1291" max="1512" width="8" style="354"/>
    <col min="1513" max="1513" width="7.7109375" style="354" bestFit="1" customWidth="1"/>
    <col min="1514" max="1514" width="15.5703125" style="354" bestFit="1" customWidth="1"/>
    <col min="1515" max="1515" width="31.42578125" style="354" customWidth="1"/>
    <col min="1516" max="1516" width="10.140625" style="354" bestFit="1" customWidth="1"/>
    <col min="1517" max="1517" width="10.42578125" style="354" bestFit="1" customWidth="1"/>
    <col min="1518" max="1518" width="10" style="354" customWidth="1"/>
    <col min="1519" max="1519" width="11" style="354" customWidth="1"/>
    <col min="1520" max="1520" width="10.42578125" style="354" bestFit="1" customWidth="1"/>
    <col min="1521" max="1521" width="11.85546875" style="354" customWidth="1"/>
    <col min="1522" max="1522" width="10.140625" style="354" bestFit="1" customWidth="1"/>
    <col min="1523" max="1523" width="10.140625" style="354" customWidth="1"/>
    <col min="1524" max="1524" width="11.28515625" style="354" customWidth="1"/>
    <col min="1525" max="1527" width="10.140625" style="354" bestFit="1" customWidth="1"/>
    <col min="1528" max="1528" width="10.42578125" style="354" bestFit="1" customWidth="1"/>
    <col min="1529" max="1529" width="10.140625" style="354" bestFit="1" customWidth="1"/>
    <col min="1530" max="1530" width="9.140625" style="354" bestFit="1" customWidth="1"/>
    <col min="1531" max="1532" width="10.140625" style="354" bestFit="1" customWidth="1"/>
    <col min="1533" max="1533" width="8.85546875" style="354" bestFit="1" customWidth="1"/>
    <col min="1534" max="1534" width="9.140625" style="354" bestFit="1" customWidth="1"/>
    <col min="1535" max="1537" width="8.85546875" style="354" bestFit="1" customWidth="1"/>
    <col min="1538" max="1538" width="13.28515625" style="354" bestFit="1" customWidth="1"/>
    <col min="1539" max="1540" width="10.140625" style="354" bestFit="1" customWidth="1"/>
    <col min="1541" max="1541" width="5.7109375" style="354" bestFit="1" customWidth="1"/>
    <col min="1542" max="1542" width="6.42578125" style="354" bestFit="1" customWidth="1"/>
    <col min="1543" max="1543" width="6.28515625" style="354" bestFit="1" customWidth="1"/>
    <col min="1544" max="1544" width="7" style="354" bestFit="1" customWidth="1"/>
    <col min="1545" max="1545" width="20.42578125" style="354" bestFit="1" customWidth="1"/>
    <col min="1546" max="1546" width="5.140625" style="354" customWidth="1"/>
    <col min="1547" max="1768" width="8" style="354"/>
    <col min="1769" max="1769" width="7.7109375" style="354" bestFit="1" customWidth="1"/>
    <col min="1770" max="1770" width="15.5703125" style="354" bestFit="1" customWidth="1"/>
    <col min="1771" max="1771" width="31.42578125" style="354" customWidth="1"/>
    <col min="1772" max="1772" width="10.140625" style="354" bestFit="1" customWidth="1"/>
    <col min="1773" max="1773" width="10.42578125" style="354" bestFit="1" customWidth="1"/>
    <col min="1774" max="1774" width="10" style="354" customWidth="1"/>
    <col min="1775" max="1775" width="11" style="354" customWidth="1"/>
    <col min="1776" max="1776" width="10.42578125" style="354" bestFit="1" customWidth="1"/>
    <col min="1777" max="1777" width="11.85546875" style="354" customWidth="1"/>
    <col min="1778" max="1778" width="10.140625" style="354" bestFit="1" customWidth="1"/>
    <col min="1779" max="1779" width="10.140625" style="354" customWidth="1"/>
    <col min="1780" max="1780" width="11.28515625" style="354" customWidth="1"/>
    <col min="1781" max="1783" width="10.140625" style="354" bestFit="1" customWidth="1"/>
    <col min="1784" max="1784" width="10.42578125" style="354" bestFit="1" customWidth="1"/>
    <col min="1785" max="1785" width="10.140625" style="354" bestFit="1" customWidth="1"/>
    <col min="1786" max="1786" width="9.140625" style="354" bestFit="1" customWidth="1"/>
    <col min="1787" max="1788" width="10.140625" style="354" bestFit="1" customWidth="1"/>
    <col min="1789" max="1789" width="8.85546875" style="354" bestFit="1" customWidth="1"/>
    <col min="1790" max="1790" width="9.140625" style="354" bestFit="1" customWidth="1"/>
    <col min="1791" max="1793" width="8.85546875" style="354" bestFit="1" customWidth="1"/>
    <col min="1794" max="1794" width="13.28515625" style="354" bestFit="1" customWidth="1"/>
    <col min="1795" max="1796" width="10.140625" style="354" bestFit="1" customWidth="1"/>
    <col min="1797" max="1797" width="5.7109375" style="354" bestFit="1" customWidth="1"/>
    <col min="1798" max="1798" width="6.42578125" style="354" bestFit="1" customWidth="1"/>
    <col min="1799" max="1799" width="6.28515625" style="354" bestFit="1" customWidth="1"/>
    <col min="1800" max="1800" width="7" style="354" bestFit="1" customWidth="1"/>
    <col min="1801" max="1801" width="20.42578125" style="354" bestFit="1" customWidth="1"/>
    <col min="1802" max="1802" width="5.140625" style="354" customWidth="1"/>
    <col min="1803" max="2024" width="8" style="354"/>
    <col min="2025" max="2025" width="7.7109375" style="354" bestFit="1" customWidth="1"/>
    <col min="2026" max="2026" width="15.5703125" style="354" bestFit="1" customWidth="1"/>
    <col min="2027" max="2027" width="31.42578125" style="354" customWidth="1"/>
    <col min="2028" max="2028" width="10.140625" style="354" bestFit="1" customWidth="1"/>
    <col min="2029" max="2029" width="10.42578125" style="354" bestFit="1" customWidth="1"/>
    <col min="2030" max="2030" width="10" style="354" customWidth="1"/>
    <col min="2031" max="2031" width="11" style="354" customWidth="1"/>
    <col min="2032" max="2032" width="10.42578125" style="354" bestFit="1" customWidth="1"/>
    <col min="2033" max="2033" width="11.85546875" style="354" customWidth="1"/>
    <col min="2034" max="2034" width="10.140625" style="354" bestFit="1" customWidth="1"/>
    <col min="2035" max="2035" width="10.140625" style="354" customWidth="1"/>
    <col min="2036" max="2036" width="11.28515625" style="354" customWidth="1"/>
    <col min="2037" max="2039" width="10.140625" style="354" bestFit="1" customWidth="1"/>
    <col min="2040" max="2040" width="10.42578125" style="354" bestFit="1" customWidth="1"/>
    <col min="2041" max="2041" width="10.140625" style="354" bestFit="1" customWidth="1"/>
    <col min="2042" max="2042" width="9.140625" style="354" bestFit="1" customWidth="1"/>
    <col min="2043" max="2044" width="10.140625" style="354" bestFit="1" customWidth="1"/>
    <col min="2045" max="2045" width="8.85546875" style="354" bestFit="1" customWidth="1"/>
    <col min="2046" max="2046" width="9.140625" style="354" bestFit="1" customWidth="1"/>
    <col min="2047" max="2049" width="8.85546875" style="354" bestFit="1" customWidth="1"/>
    <col min="2050" max="2050" width="13.28515625" style="354" bestFit="1" customWidth="1"/>
    <col min="2051" max="2052" width="10.140625" style="354" bestFit="1" customWidth="1"/>
    <col min="2053" max="2053" width="5.7109375" style="354" bestFit="1" customWidth="1"/>
    <col min="2054" max="2054" width="6.42578125" style="354" bestFit="1" customWidth="1"/>
    <col min="2055" max="2055" width="6.28515625" style="354" bestFit="1" customWidth="1"/>
    <col min="2056" max="2056" width="7" style="354" bestFit="1" customWidth="1"/>
    <col min="2057" max="2057" width="20.42578125" style="354" bestFit="1" customWidth="1"/>
    <col min="2058" max="2058" width="5.140625" style="354" customWidth="1"/>
    <col min="2059" max="2280" width="8" style="354"/>
    <col min="2281" max="2281" width="7.7109375" style="354" bestFit="1" customWidth="1"/>
    <col min="2282" max="2282" width="15.5703125" style="354" bestFit="1" customWidth="1"/>
    <col min="2283" max="2283" width="31.42578125" style="354" customWidth="1"/>
    <col min="2284" max="2284" width="10.140625" style="354" bestFit="1" customWidth="1"/>
    <col min="2285" max="2285" width="10.42578125" style="354" bestFit="1" customWidth="1"/>
    <col min="2286" max="2286" width="10" style="354" customWidth="1"/>
    <col min="2287" max="2287" width="11" style="354" customWidth="1"/>
    <col min="2288" max="2288" width="10.42578125" style="354" bestFit="1" customWidth="1"/>
    <col min="2289" max="2289" width="11.85546875" style="354" customWidth="1"/>
    <col min="2290" max="2290" width="10.140625" style="354" bestFit="1" customWidth="1"/>
    <col min="2291" max="2291" width="10.140625" style="354" customWidth="1"/>
    <col min="2292" max="2292" width="11.28515625" style="354" customWidth="1"/>
    <col min="2293" max="2295" width="10.140625" style="354" bestFit="1" customWidth="1"/>
    <col min="2296" max="2296" width="10.42578125" style="354" bestFit="1" customWidth="1"/>
    <col min="2297" max="2297" width="10.140625" style="354" bestFit="1" customWidth="1"/>
    <col min="2298" max="2298" width="9.140625" style="354" bestFit="1" customWidth="1"/>
    <col min="2299" max="2300" width="10.140625" style="354" bestFit="1" customWidth="1"/>
    <col min="2301" max="2301" width="8.85546875" style="354" bestFit="1" customWidth="1"/>
    <col min="2302" max="2302" width="9.140625" style="354" bestFit="1" customWidth="1"/>
    <col min="2303" max="2305" width="8.85546875" style="354" bestFit="1" customWidth="1"/>
    <col min="2306" max="2306" width="13.28515625" style="354" bestFit="1" customWidth="1"/>
    <col min="2307" max="2308" width="10.140625" style="354" bestFit="1" customWidth="1"/>
    <col min="2309" max="2309" width="5.7109375" style="354" bestFit="1" customWidth="1"/>
    <col min="2310" max="2310" width="6.42578125" style="354" bestFit="1" customWidth="1"/>
    <col min="2311" max="2311" width="6.28515625" style="354" bestFit="1" customWidth="1"/>
    <col min="2312" max="2312" width="7" style="354" bestFit="1" customWidth="1"/>
    <col min="2313" max="2313" width="20.42578125" style="354" bestFit="1" customWidth="1"/>
    <col min="2314" max="2314" width="5.140625" style="354" customWidth="1"/>
    <col min="2315" max="2536" width="8" style="354"/>
    <col min="2537" max="2537" width="7.7109375" style="354" bestFit="1" customWidth="1"/>
    <col min="2538" max="2538" width="15.5703125" style="354" bestFit="1" customWidth="1"/>
    <col min="2539" max="2539" width="31.42578125" style="354" customWidth="1"/>
    <col min="2540" max="2540" width="10.140625" style="354" bestFit="1" customWidth="1"/>
    <col min="2541" max="2541" width="10.42578125" style="354" bestFit="1" customWidth="1"/>
    <col min="2542" max="2542" width="10" style="354" customWidth="1"/>
    <col min="2543" max="2543" width="11" style="354" customWidth="1"/>
    <col min="2544" max="2544" width="10.42578125" style="354" bestFit="1" customWidth="1"/>
    <col min="2545" max="2545" width="11.85546875" style="354" customWidth="1"/>
    <col min="2546" max="2546" width="10.140625" style="354" bestFit="1" customWidth="1"/>
    <col min="2547" max="2547" width="10.140625" style="354" customWidth="1"/>
    <col min="2548" max="2548" width="11.28515625" style="354" customWidth="1"/>
    <col min="2549" max="2551" width="10.140625" style="354" bestFit="1" customWidth="1"/>
    <col min="2552" max="2552" width="10.42578125" style="354" bestFit="1" customWidth="1"/>
    <col min="2553" max="2553" width="10.140625" style="354" bestFit="1" customWidth="1"/>
    <col min="2554" max="2554" width="9.140625" style="354" bestFit="1" customWidth="1"/>
    <col min="2555" max="2556" width="10.140625" style="354" bestFit="1" customWidth="1"/>
    <col min="2557" max="2557" width="8.85546875" style="354" bestFit="1" customWidth="1"/>
    <col min="2558" max="2558" width="9.140625" style="354" bestFit="1" customWidth="1"/>
    <col min="2559" max="2561" width="8.85546875" style="354" bestFit="1" customWidth="1"/>
    <col min="2562" max="2562" width="13.28515625" style="354" bestFit="1" customWidth="1"/>
    <col min="2563" max="2564" width="10.140625" style="354" bestFit="1" customWidth="1"/>
    <col min="2565" max="2565" width="5.7109375" style="354" bestFit="1" customWidth="1"/>
    <col min="2566" max="2566" width="6.42578125" style="354" bestFit="1" customWidth="1"/>
    <col min="2567" max="2567" width="6.28515625" style="354" bestFit="1" customWidth="1"/>
    <col min="2568" max="2568" width="7" style="354" bestFit="1" customWidth="1"/>
    <col min="2569" max="2569" width="20.42578125" style="354" bestFit="1" customWidth="1"/>
    <col min="2570" max="2570" width="5.140625" style="354" customWidth="1"/>
    <col min="2571" max="2792" width="8" style="354"/>
    <col min="2793" max="2793" width="7.7109375" style="354" bestFit="1" customWidth="1"/>
    <col min="2794" max="2794" width="15.5703125" style="354" bestFit="1" customWidth="1"/>
    <col min="2795" max="2795" width="31.42578125" style="354" customWidth="1"/>
    <col min="2796" max="2796" width="10.140625" style="354" bestFit="1" customWidth="1"/>
    <col min="2797" max="2797" width="10.42578125" style="354" bestFit="1" customWidth="1"/>
    <col min="2798" max="2798" width="10" style="354" customWidth="1"/>
    <col min="2799" max="2799" width="11" style="354" customWidth="1"/>
    <col min="2800" max="2800" width="10.42578125" style="354" bestFit="1" customWidth="1"/>
    <col min="2801" max="2801" width="11.85546875" style="354" customWidth="1"/>
    <col min="2802" max="2802" width="10.140625" style="354" bestFit="1" customWidth="1"/>
    <col min="2803" max="2803" width="10.140625" style="354" customWidth="1"/>
    <col min="2804" max="2804" width="11.28515625" style="354" customWidth="1"/>
    <col min="2805" max="2807" width="10.140625" style="354" bestFit="1" customWidth="1"/>
    <col min="2808" max="2808" width="10.42578125" style="354" bestFit="1" customWidth="1"/>
    <col min="2809" max="2809" width="10.140625" style="354" bestFit="1" customWidth="1"/>
    <col min="2810" max="2810" width="9.140625" style="354" bestFit="1" customWidth="1"/>
    <col min="2811" max="2812" width="10.140625" style="354" bestFit="1" customWidth="1"/>
    <col min="2813" max="2813" width="8.85546875" style="354" bestFit="1" customWidth="1"/>
    <col min="2814" max="2814" width="9.140625" style="354" bestFit="1" customWidth="1"/>
    <col min="2815" max="2817" width="8.85546875" style="354" bestFit="1" customWidth="1"/>
    <col min="2818" max="2818" width="13.28515625" style="354" bestFit="1" customWidth="1"/>
    <col min="2819" max="2820" width="10.140625" style="354" bestFit="1" customWidth="1"/>
    <col min="2821" max="2821" width="5.7109375" style="354" bestFit="1" customWidth="1"/>
    <col min="2822" max="2822" width="6.42578125" style="354" bestFit="1" customWidth="1"/>
    <col min="2823" max="2823" width="6.28515625" style="354" bestFit="1" customWidth="1"/>
    <col min="2824" max="2824" width="7" style="354" bestFit="1" customWidth="1"/>
    <col min="2825" max="2825" width="20.42578125" style="354" bestFit="1" customWidth="1"/>
    <col min="2826" max="2826" width="5.140625" style="354" customWidth="1"/>
    <col min="2827" max="3048" width="8" style="354"/>
    <col min="3049" max="3049" width="7.7109375" style="354" bestFit="1" customWidth="1"/>
    <col min="3050" max="3050" width="15.5703125" style="354" bestFit="1" customWidth="1"/>
    <col min="3051" max="3051" width="31.42578125" style="354" customWidth="1"/>
    <col min="3052" max="3052" width="10.140625" style="354" bestFit="1" customWidth="1"/>
    <col min="3053" max="3053" width="10.42578125" style="354" bestFit="1" customWidth="1"/>
    <col min="3054" max="3054" width="10" style="354" customWidth="1"/>
    <col min="3055" max="3055" width="11" style="354" customWidth="1"/>
    <col min="3056" max="3056" width="10.42578125" style="354" bestFit="1" customWidth="1"/>
    <col min="3057" max="3057" width="11.85546875" style="354" customWidth="1"/>
    <col min="3058" max="3058" width="10.140625" style="354" bestFit="1" customWidth="1"/>
    <col min="3059" max="3059" width="10.140625" style="354" customWidth="1"/>
    <col min="3060" max="3060" width="11.28515625" style="354" customWidth="1"/>
    <col min="3061" max="3063" width="10.140625" style="354" bestFit="1" customWidth="1"/>
    <col min="3064" max="3064" width="10.42578125" style="354" bestFit="1" customWidth="1"/>
    <col min="3065" max="3065" width="10.140625" style="354" bestFit="1" customWidth="1"/>
    <col min="3066" max="3066" width="9.140625" style="354" bestFit="1" customWidth="1"/>
    <col min="3067" max="3068" width="10.140625" style="354" bestFit="1" customWidth="1"/>
    <col min="3069" max="3069" width="8.85546875" style="354" bestFit="1" customWidth="1"/>
    <col min="3070" max="3070" width="9.140625" style="354" bestFit="1" customWidth="1"/>
    <col min="3071" max="3073" width="8.85546875" style="354" bestFit="1" customWidth="1"/>
    <col min="3074" max="3074" width="13.28515625" style="354" bestFit="1" customWidth="1"/>
    <col min="3075" max="3076" width="10.140625" style="354" bestFit="1" customWidth="1"/>
    <col min="3077" max="3077" width="5.7109375" style="354" bestFit="1" customWidth="1"/>
    <col min="3078" max="3078" width="6.42578125" style="354" bestFit="1" customWidth="1"/>
    <col min="3079" max="3079" width="6.28515625" style="354" bestFit="1" customWidth="1"/>
    <col min="3080" max="3080" width="7" style="354" bestFit="1" customWidth="1"/>
    <col min="3081" max="3081" width="20.42578125" style="354" bestFit="1" customWidth="1"/>
    <col min="3082" max="3082" width="5.140625" style="354" customWidth="1"/>
    <col min="3083" max="3304" width="8" style="354"/>
    <col min="3305" max="3305" width="7.7109375" style="354" bestFit="1" customWidth="1"/>
    <col min="3306" max="3306" width="15.5703125" style="354" bestFit="1" customWidth="1"/>
    <col min="3307" max="3307" width="31.42578125" style="354" customWidth="1"/>
    <col min="3308" max="3308" width="10.140625" style="354" bestFit="1" customWidth="1"/>
    <col min="3309" max="3309" width="10.42578125" style="354" bestFit="1" customWidth="1"/>
    <col min="3310" max="3310" width="10" style="354" customWidth="1"/>
    <col min="3311" max="3311" width="11" style="354" customWidth="1"/>
    <col min="3312" max="3312" width="10.42578125" style="354" bestFit="1" customWidth="1"/>
    <col min="3313" max="3313" width="11.85546875" style="354" customWidth="1"/>
    <col min="3314" max="3314" width="10.140625" style="354" bestFit="1" customWidth="1"/>
    <col min="3315" max="3315" width="10.140625" style="354" customWidth="1"/>
    <col min="3316" max="3316" width="11.28515625" style="354" customWidth="1"/>
    <col min="3317" max="3319" width="10.140625" style="354" bestFit="1" customWidth="1"/>
    <col min="3320" max="3320" width="10.42578125" style="354" bestFit="1" customWidth="1"/>
    <col min="3321" max="3321" width="10.140625" style="354" bestFit="1" customWidth="1"/>
    <col min="3322" max="3322" width="9.140625" style="354" bestFit="1" customWidth="1"/>
    <col min="3323" max="3324" width="10.140625" style="354" bestFit="1" customWidth="1"/>
    <col min="3325" max="3325" width="8.85546875" style="354" bestFit="1" customWidth="1"/>
    <col min="3326" max="3326" width="9.140625" style="354" bestFit="1" customWidth="1"/>
    <col min="3327" max="3329" width="8.85546875" style="354" bestFit="1" customWidth="1"/>
    <col min="3330" max="3330" width="13.28515625" style="354" bestFit="1" customWidth="1"/>
    <col min="3331" max="3332" width="10.140625" style="354" bestFit="1" customWidth="1"/>
    <col min="3333" max="3333" width="5.7109375" style="354" bestFit="1" customWidth="1"/>
    <col min="3334" max="3334" width="6.42578125" style="354" bestFit="1" customWidth="1"/>
    <col min="3335" max="3335" width="6.28515625" style="354" bestFit="1" customWidth="1"/>
    <col min="3336" max="3336" width="7" style="354" bestFit="1" customWidth="1"/>
    <col min="3337" max="3337" width="20.42578125" style="354" bestFit="1" customWidth="1"/>
    <col min="3338" max="3338" width="5.140625" style="354" customWidth="1"/>
    <col min="3339" max="3560" width="8" style="354"/>
    <col min="3561" max="3561" width="7.7109375" style="354" bestFit="1" customWidth="1"/>
    <col min="3562" max="3562" width="15.5703125" style="354" bestFit="1" customWidth="1"/>
    <col min="3563" max="3563" width="31.42578125" style="354" customWidth="1"/>
    <col min="3564" max="3564" width="10.140625" style="354" bestFit="1" customWidth="1"/>
    <col min="3565" max="3565" width="10.42578125" style="354" bestFit="1" customWidth="1"/>
    <col min="3566" max="3566" width="10" style="354" customWidth="1"/>
    <col min="3567" max="3567" width="11" style="354" customWidth="1"/>
    <col min="3568" max="3568" width="10.42578125" style="354" bestFit="1" customWidth="1"/>
    <col min="3569" max="3569" width="11.85546875" style="354" customWidth="1"/>
    <col min="3570" max="3570" width="10.140625" style="354" bestFit="1" customWidth="1"/>
    <col min="3571" max="3571" width="10.140625" style="354" customWidth="1"/>
    <col min="3572" max="3572" width="11.28515625" style="354" customWidth="1"/>
    <col min="3573" max="3575" width="10.140625" style="354" bestFit="1" customWidth="1"/>
    <col min="3576" max="3576" width="10.42578125" style="354" bestFit="1" customWidth="1"/>
    <col min="3577" max="3577" width="10.140625" style="354" bestFit="1" customWidth="1"/>
    <col min="3578" max="3578" width="9.140625" style="354" bestFit="1" customWidth="1"/>
    <col min="3579" max="3580" width="10.140625" style="354" bestFit="1" customWidth="1"/>
    <col min="3581" max="3581" width="8.85546875" style="354" bestFit="1" customWidth="1"/>
    <col min="3582" max="3582" width="9.140625" style="354" bestFit="1" customWidth="1"/>
    <col min="3583" max="3585" width="8.85546875" style="354" bestFit="1" customWidth="1"/>
    <col min="3586" max="3586" width="13.28515625" style="354" bestFit="1" customWidth="1"/>
    <col min="3587" max="3588" width="10.140625" style="354" bestFit="1" customWidth="1"/>
    <col min="3589" max="3589" width="5.7109375" style="354" bestFit="1" customWidth="1"/>
    <col min="3590" max="3590" width="6.42578125" style="354" bestFit="1" customWidth="1"/>
    <col min="3591" max="3591" width="6.28515625" style="354" bestFit="1" customWidth="1"/>
    <col min="3592" max="3592" width="7" style="354" bestFit="1" customWidth="1"/>
    <col min="3593" max="3593" width="20.42578125" style="354" bestFit="1" customWidth="1"/>
    <col min="3594" max="3594" width="5.140625" style="354" customWidth="1"/>
    <col min="3595" max="3816" width="8" style="354"/>
    <col min="3817" max="3817" width="7.7109375" style="354" bestFit="1" customWidth="1"/>
    <col min="3818" max="3818" width="15.5703125" style="354" bestFit="1" customWidth="1"/>
    <col min="3819" max="3819" width="31.42578125" style="354" customWidth="1"/>
    <col min="3820" max="3820" width="10.140625" style="354" bestFit="1" customWidth="1"/>
    <col min="3821" max="3821" width="10.42578125" style="354" bestFit="1" customWidth="1"/>
    <col min="3822" max="3822" width="10" style="354" customWidth="1"/>
    <col min="3823" max="3823" width="11" style="354" customWidth="1"/>
    <col min="3824" max="3824" width="10.42578125" style="354" bestFit="1" customWidth="1"/>
    <col min="3825" max="3825" width="11.85546875" style="354" customWidth="1"/>
    <col min="3826" max="3826" width="10.140625" style="354" bestFit="1" customWidth="1"/>
    <col min="3827" max="3827" width="10.140625" style="354" customWidth="1"/>
    <col min="3828" max="3828" width="11.28515625" style="354" customWidth="1"/>
    <col min="3829" max="3831" width="10.140625" style="354" bestFit="1" customWidth="1"/>
    <col min="3832" max="3832" width="10.42578125" style="354" bestFit="1" customWidth="1"/>
    <col min="3833" max="3833" width="10.140625" style="354" bestFit="1" customWidth="1"/>
    <col min="3834" max="3834" width="9.140625" style="354" bestFit="1" customWidth="1"/>
    <col min="3835" max="3836" width="10.140625" style="354" bestFit="1" customWidth="1"/>
    <col min="3837" max="3837" width="8.85546875" style="354" bestFit="1" customWidth="1"/>
    <col min="3838" max="3838" width="9.140625" style="354" bestFit="1" customWidth="1"/>
    <col min="3839" max="3841" width="8.85546875" style="354" bestFit="1" customWidth="1"/>
    <col min="3842" max="3842" width="13.28515625" style="354" bestFit="1" customWidth="1"/>
    <col min="3843" max="3844" width="10.140625" style="354" bestFit="1" customWidth="1"/>
    <col min="3845" max="3845" width="5.7109375" style="354" bestFit="1" customWidth="1"/>
    <col min="3846" max="3846" width="6.42578125" style="354" bestFit="1" customWidth="1"/>
    <col min="3847" max="3847" width="6.28515625" style="354" bestFit="1" customWidth="1"/>
    <col min="3848" max="3848" width="7" style="354" bestFit="1" customWidth="1"/>
    <col min="3849" max="3849" width="20.42578125" style="354" bestFit="1" customWidth="1"/>
    <col min="3850" max="3850" width="5.140625" style="354" customWidth="1"/>
    <col min="3851" max="4072" width="8" style="354"/>
    <col min="4073" max="4073" width="7.7109375" style="354" bestFit="1" customWidth="1"/>
    <col min="4074" max="4074" width="15.5703125" style="354" bestFit="1" customWidth="1"/>
    <col min="4075" max="4075" width="31.42578125" style="354" customWidth="1"/>
    <col min="4076" max="4076" width="10.140625" style="354" bestFit="1" customWidth="1"/>
    <col min="4077" max="4077" width="10.42578125" style="354" bestFit="1" customWidth="1"/>
    <col min="4078" max="4078" width="10" style="354" customWidth="1"/>
    <col min="4079" max="4079" width="11" style="354" customWidth="1"/>
    <col min="4080" max="4080" width="10.42578125" style="354" bestFit="1" customWidth="1"/>
    <col min="4081" max="4081" width="11.85546875" style="354" customWidth="1"/>
    <col min="4082" max="4082" width="10.140625" style="354" bestFit="1" customWidth="1"/>
    <col min="4083" max="4083" width="10.140625" style="354" customWidth="1"/>
    <col min="4084" max="4084" width="11.28515625" style="354" customWidth="1"/>
    <col min="4085" max="4087" width="10.140625" style="354" bestFit="1" customWidth="1"/>
    <col min="4088" max="4088" width="10.42578125" style="354" bestFit="1" customWidth="1"/>
    <col min="4089" max="4089" width="10.140625" style="354" bestFit="1" customWidth="1"/>
    <col min="4090" max="4090" width="9.140625" style="354" bestFit="1" customWidth="1"/>
    <col min="4091" max="4092" width="10.140625" style="354" bestFit="1" customWidth="1"/>
    <col min="4093" max="4093" width="8.85546875" style="354" bestFit="1" customWidth="1"/>
    <col min="4094" max="4094" width="9.140625" style="354" bestFit="1" customWidth="1"/>
    <col min="4095" max="4097" width="8.85546875" style="354" bestFit="1" customWidth="1"/>
    <col min="4098" max="4098" width="13.28515625" style="354" bestFit="1" customWidth="1"/>
    <col min="4099" max="4100" width="10.140625" style="354" bestFit="1" customWidth="1"/>
    <col min="4101" max="4101" width="5.7109375" style="354" bestFit="1" customWidth="1"/>
    <col min="4102" max="4102" width="6.42578125" style="354" bestFit="1" customWidth="1"/>
    <col min="4103" max="4103" width="6.28515625" style="354" bestFit="1" customWidth="1"/>
    <col min="4104" max="4104" width="7" style="354" bestFit="1" customWidth="1"/>
    <col min="4105" max="4105" width="20.42578125" style="354" bestFit="1" customWidth="1"/>
    <col min="4106" max="4106" width="5.140625" style="354" customWidth="1"/>
    <col min="4107" max="4328" width="8" style="354"/>
    <col min="4329" max="4329" width="7.7109375" style="354" bestFit="1" customWidth="1"/>
    <col min="4330" max="4330" width="15.5703125" style="354" bestFit="1" customWidth="1"/>
    <col min="4331" max="4331" width="31.42578125" style="354" customWidth="1"/>
    <col min="4332" max="4332" width="10.140625" style="354" bestFit="1" customWidth="1"/>
    <col min="4333" max="4333" width="10.42578125" style="354" bestFit="1" customWidth="1"/>
    <col min="4334" max="4334" width="10" style="354" customWidth="1"/>
    <col min="4335" max="4335" width="11" style="354" customWidth="1"/>
    <col min="4336" max="4336" width="10.42578125" style="354" bestFit="1" customWidth="1"/>
    <col min="4337" max="4337" width="11.85546875" style="354" customWidth="1"/>
    <col min="4338" max="4338" width="10.140625" style="354" bestFit="1" customWidth="1"/>
    <col min="4339" max="4339" width="10.140625" style="354" customWidth="1"/>
    <col min="4340" max="4340" width="11.28515625" style="354" customWidth="1"/>
    <col min="4341" max="4343" width="10.140625" style="354" bestFit="1" customWidth="1"/>
    <col min="4344" max="4344" width="10.42578125" style="354" bestFit="1" customWidth="1"/>
    <col min="4345" max="4345" width="10.140625" style="354" bestFit="1" customWidth="1"/>
    <col min="4346" max="4346" width="9.140625" style="354" bestFit="1" customWidth="1"/>
    <col min="4347" max="4348" width="10.140625" style="354" bestFit="1" customWidth="1"/>
    <col min="4349" max="4349" width="8.85546875" style="354" bestFit="1" customWidth="1"/>
    <col min="4350" max="4350" width="9.140625" style="354" bestFit="1" customWidth="1"/>
    <col min="4351" max="4353" width="8.85546875" style="354" bestFit="1" customWidth="1"/>
    <col min="4354" max="4354" width="13.28515625" style="354" bestFit="1" customWidth="1"/>
    <col min="4355" max="4356" width="10.140625" style="354" bestFit="1" customWidth="1"/>
    <col min="4357" max="4357" width="5.7109375" style="354" bestFit="1" customWidth="1"/>
    <col min="4358" max="4358" width="6.42578125" style="354" bestFit="1" customWidth="1"/>
    <col min="4359" max="4359" width="6.28515625" style="354" bestFit="1" customWidth="1"/>
    <col min="4360" max="4360" width="7" style="354" bestFit="1" customWidth="1"/>
    <col min="4361" max="4361" width="20.42578125" style="354" bestFit="1" customWidth="1"/>
    <col min="4362" max="4362" width="5.140625" style="354" customWidth="1"/>
    <col min="4363" max="4584" width="8" style="354"/>
    <col min="4585" max="4585" width="7.7109375" style="354" bestFit="1" customWidth="1"/>
    <col min="4586" max="4586" width="15.5703125" style="354" bestFit="1" customWidth="1"/>
    <col min="4587" max="4587" width="31.42578125" style="354" customWidth="1"/>
    <col min="4588" max="4588" width="10.140625" style="354" bestFit="1" customWidth="1"/>
    <col min="4589" max="4589" width="10.42578125" style="354" bestFit="1" customWidth="1"/>
    <col min="4590" max="4590" width="10" style="354" customWidth="1"/>
    <col min="4591" max="4591" width="11" style="354" customWidth="1"/>
    <col min="4592" max="4592" width="10.42578125" style="354" bestFit="1" customWidth="1"/>
    <col min="4593" max="4593" width="11.85546875" style="354" customWidth="1"/>
    <col min="4594" max="4594" width="10.140625" style="354" bestFit="1" customWidth="1"/>
    <col min="4595" max="4595" width="10.140625" style="354" customWidth="1"/>
    <col min="4596" max="4596" width="11.28515625" style="354" customWidth="1"/>
    <col min="4597" max="4599" width="10.140625" style="354" bestFit="1" customWidth="1"/>
    <col min="4600" max="4600" width="10.42578125" style="354" bestFit="1" customWidth="1"/>
    <col min="4601" max="4601" width="10.140625" style="354" bestFit="1" customWidth="1"/>
    <col min="4602" max="4602" width="9.140625" style="354" bestFit="1" customWidth="1"/>
    <col min="4603" max="4604" width="10.140625" style="354" bestFit="1" customWidth="1"/>
    <col min="4605" max="4605" width="8.85546875" style="354" bestFit="1" customWidth="1"/>
    <col min="4606" max="4606" width="9.140625" style="354" bestFit="1" customWidth="1"/>
    <col min="4607" max="4609" width="8.85546875" style="354" bestFit="1" customWidth="1"/>
    <col min="4610" max="4610" width="13.28515625" style="354" bestFit="1" customWidth="1"/>
    <col min="4611" max="4612" width="10.140625" style="354" bestFit="1" customWidth="1"/>
    <col min="4613" max="4613" width="5.7109375" style="354" bestFit="1" customWidth="1"/>
    <col min="4614" max="4614" width="6.42578125" style="354" bestFit="1" customWidth="1"/>
    <col min="4615" max="4615" width="6.28515625" style="354" bestFit="1" customWidth="1"/>
    <col min="4616" max="4616" width="7" style="354" bestFit="1" customWidth="1"/>
    <col min="4617" max="4617" width="20.42578125" style="354" bestFit="1" customWidth="1"/>
    <col min="4618" max="4618" width="5.140625" style="354" customWidth="1"/>
    <col min="4619" max="4840" width="8" style="354"/>
    <col min="4841" max="4841" width="7.7109375" style="354" bestFit="1" customWidth="1"/>
    <col min="4842" max="4842" width="15.5703125" style="354" bestFit="1" customWidth="1"/>
    <col min="4843" max="4843" width="31.42578125" style="354" customWidth="1"/>
    <col min="4844" max="4844" width="10.140625" style="354" bestFit="1" customWidth="1"/>
    <col min="4845" max="4845" width="10.42578125" style="354" bestFit="1" customWidth="1"/>
    <col min="4846" max="4846" width="10" style="354" customWidth="1"/>
    <col min="4847" max="4847" width="11" style="354" customWidth="1"/>
    <col min="4848" max="4848" width="10.42578125" style="354" bestFit="1" customWidth="1"/>
    <col min="4849" max="4849" width="11.85546875" style="354" customWidth="1"/>
    <col min="4850" max="4850" width="10.140625" style="354" bestFit="1" customWidth="1"/>
    <col min="4851" max="4851" width="10.140625" style="354" customWidth="1"/>
    <col min="4852" max="4852" width="11.28515625" style="354" customWidth="1"/>
    <col min="4853" max="4855" width="10.140625" style="354" bestFit="1" customWidth="1"/>
    <col min="4856" max="4856" width="10.42578125" style="354" bestFit="1" customWidth="1"/>
    <col min="4857" max="4857" width="10.140625" style="354" bestFit="1" customWidth="1"/>
    <col min="4858" max="4858" width="9.140625" style="354" bestFit="1" customWidth="1"/>
    <col min="4859" max="4860" width="10.140625" style="354" bestFit="1" customWidth="1"/>
    <col min="4861" max="4861" width="8.85546875" style="354" bestFit="1" customWidth="1"/>
    <col min="4862" max="4862" width="9.140625" style="354" bestFit="1" customWidth="1"/>
    <col min="4863" max="4865" width="8.85546875" style="354" bestFit="1" customWidth="1"/>
    <col min="4866" max="4866" width="13.28515625" style="354" bestFit="1" customWidth="1"/>
    <col min="4867" max="4868" width="10.140625" style="354" bestFit="1" customWidth="1"/>
    <col min="4869" max="4869" width="5.7109375" style="354" bestFit="1" customWidth="1"/>
    <col min="4870" max="4870" width="6.42578125" style="354" bestFit="1" customWidth="1"/>
    <col min="4871" max="4871" width="6.28515625" style="354" bestFit="1" customWidth="1"/>
    <col min="4872" max="4872" width="7" style="354" bestFit="1" customWidth="1"/>
    <col min="4873" max="4873" width="20.42578125" style="354" bestFit="1" customWidth="1"/>
    <col min="4874" max="4874" width="5.140625" style="354" customWidth="1"/>
    <col min="4875" max="5096" width="8" style="354"/>
    <col min="5097" max="5097" width="7.7109375" style="354" bestFit="1" customWidth="1"/>
    <col min="5098" max="5098" width="15.5703125" style="354" bestFit="1" customWidth="1"/>
    <col min="5099" max="5099" width="31.42578125" style="354" customWidth="1"/>
    <col min="5100" max="5100" width="10.140625" style="354" bestFit="1" customWidth="1"/>
    <col min="5101" max="5101" width="10.42578125" style="354" bestFit="1" customWidth="1"/>
    <col min="5102" max="5102" width="10" style="354" customWidth="1"/>
    <col min="5103" max="5103" width="11" style="354" customWidth="1"/>
    <col min="5104" max="5104" width="10.42578125" style="354" bestFit="1" customWidth="1"/>
    <col min="5105" max="5105" width="11.85546875" style="354" customWidth="1"/>
    <col min="5106" max="5106" width="10.140625" style="354" bestFit="1" customWidth="1"/>
    <col min="5107" max="5107" width="10.140625" style="354" customWidth="1"/>
    <col min="5108" max="5108" width="11.28515625" style="354" customWidth="1"/>
    <col min="5109" max="5111" width="10.140625" style="354" bestFit="1" customWidth="1"/>
    <col min="5112" max="5112" width="10.42578125" style="354" bestFit="1" customWidth="1"/>
    <col min="5113" max="5113" width="10.140625" style="354" bestFit="1" customWidth="1"/>
    <col min="5114" max="5114" width="9.140625" style="354" bestFit="1" customWidth="1"/>
    <col min="5115" max="5116" width="10.140625" style="354" bestFit="1" customWidth="1"/>
    <col min="5117" max="5117" width="8.85546875" style="354" bestFit="1" customWidth="1"/>
    <col min="5118" max="5118" width="9.140625" style="354" bestFit="1" customWidth="1"/>
    <col min="5119" max="5121" width="8.85546875" style="354" bestFit="1" customWidth="1"/>
    <col min="5122" max="5122" width="13.28515625" style="354" bestFit="1" customWidth="1"/>
    <col min="5123" max="5124" width="10.140625" style="354" bestFit="1" customWidth="1"/>
    <col min="5125" max="5125" width="5.7109375" style="354" bestFit="1" customWidth="1"/>
    <col min="5126" max="5126" width="6.42578125" style="354" bestFit="1" customWidth="1"/>
    <col min="5127" max="5127" width="6.28515625" style="354" bestFit="1" customWidth="1"/>
    <col min="5128" max="5128" width="7" style="354" bestFit="1" customWidth="1"/>
    <col min="5129" max="5129" width="20.42578125" style="354" bestFit="1" customWidth="1"/>
    <col min="5130" max="5130" width="5.140625" style="354" customWidth="1"/>
    <col min="5131" max="5352" width="8" style="354"/>
    <col min="5353" max="5353" width="7.7109375" style="354" bestFit="1" customWidth="1"/>
    <col min="5354" max="5354" width="15.5703125" style="354" bestFit="1" customWidth="1"/>
    <col min="5355" max="5355" width="31.42578125" style="354" customWidth="1"/>
    <col min="5356" max="5356" width="10.140625" style="354" bestFit="1" customWidth="1"/>
    <col min="5357" max="5357" width="10.42578125" style="354" bestFit="1" customWidth="1"/>
    <col min="5358" max="5358" width="10" style="354" customWidth="1"/>
    <col min="5359" max="5359" width="11" style="354" customWidth="1"/>
    <col min="5360" max="5360" width="10.42578125" style="354" bestFit="1" customWidth="1"/>
    <col min="5361" max="5361" width="11.85546875" style="354" customWidth="1"/>
    <col min="5362" max="5362" width="10.140625" style="354" bestFit="1" customWidth="1"/>
    <col min="5363" max="5363" width="10.140625" style="354" customWidth="1"/>
    <col min="5364" max="5364" width="11.28515625" style="354" customWidth="1"/>
    <col min="5365" max="5367" width="10.140625" style="354" bestFit="1" customWidth="1"/>
    <col min="5368" max="5368" width="10.42578125" style="354" bestFit="1" customWidth="1"/>
    <col min="5369" max="5369" width="10.140625" style="354" bestFit="1" customWidth="1"/>
    <col min="5370" max="5370" width="9.140625" style="354" bestFit="1" customWidth="1"/>
    <col min="5371" max="5372" width="10.140625" style="354" bestFit="1" customWidth="1"/>
    <col min="5373" max="5373" width="8.85546875" style="354" bestFit="1" customWidth="1"/>
    <col min="5374" max="5374" width="9.140625" style="354" bestFit="1" customWidth="1"/>
    <col min="5375" max="5377" width="8.85546875" style="354" bestFit="1" customWidth="1"/>
    <col min="5378" max="5378" width="13.28515625" style="354" bestFit="1" customWidth="1"/>
    <col min="5379" max="5380" width="10.140625" style="354" bestFit="1" customWidth="1"/>
    <col min="5381" max="5381" width="5.7109375" style="354" bestFit="1" customWidth="1"/>
    <col min="5382" max="5382" width="6.42578125" style="354" bestFit="1" customWidth="1"/>
    <col min="5383" max="5383" width="6.28515625" style="354" bestFit="1" customWidth="1"/>
    <col min="5384" max="5384" width="7" style="354" bestFit="1" customWidth="1"/>
    <col min="5385" max="5385" width="20.42578125" style="354" bestFit="1" customWidth="1"/>
    <col min="5386" max="5386" width="5.140625" style="354" customWidth="1"/>
    <col min="5387" max="5608" width="8" style="354"/>
    <col min="5609" max="5609" width="7.7109375" style="354" bestFit="1" customWidth="1"/>
    <col min="5610" max="5610" width="15.5703125" style="354" bestFit="1" customWidth="1"/>
    <col min="5611" max="5611" width="31.42578125" style="354" customWidth="1"/>
    <col min="5612" max="5612" width="10.140625" style="354" bestFit="1" customWidth="1"/>
    <col min="5613" max="5613" width="10.42578125" style="354" bestFit="1" customWidth="1"/>
    <col min="5614" max="5614" width="10" style="354" customWidth="1"/>
    <col min="5615" max="5615" width="11" style="354" customWidth="1"/>
    <col min="5616" max="5616" width="10.42578125" style="354" bestFit="1" customWidth="1"/>
    <col min="5617" max="5617" width="11.85546875" style="354" customWidth="1"/>
    <col min="5618" max="5618" width="10.140625" style="354" bestFit="1" customWidth="1"/>
    <col min="5619" max="5619" width="10.140625" style="354" customWidth="1"/>
    <col min="5620" max="5620" width="11.28515625" style="354" customWidth="1"/>
    <col min="5621" max="5623" width="10.140625" style="354" bestFit="1" customWidth="1"/>
    <col min="5624" max="5624" width="10.42578125" style="354" bestFit="1" customWidth="1"/>
    <col min="5625" max="5625" width="10.140625" style="354" bestFit="1" customWidth="1"/>
    <col min="5626" max="5626" width="9.140625" style="354" bestFit="1" customWidth="1"/>
    <col min="5627" max="5628" width="10.140625" style="354" bestFit="1" customWidth="1"/>
    <col min="5629" max="5629" width="8.85546875" style="354" bestFit="1" customWidth="1"/>
    <col min="5630" max="5630" width="9.140625" style="354" bestFit="1" customWidth="1"/>
    <col min="5631" max="5633" width="8.85546875" style="354" bestFit="1" customWidth="1"/>
    <col min="5634" max="5634" width="13.28515625" style="354" bestFit="1" customWidth="1"/>
    <col min="5635" max="5636" width="10.140625" style="354" bestFit="1" customWidth="1"/>
    <col min="5637" max="5637" width="5.7109375" style="354" bestFit="1" customWidth="1"/>
    <col min="5638" max="5638" width="6.42578125" style="354" bestFit="1" customWidth="1"/>
    <col min="5639" max="5639" width="6.28515625" style="354" bestFit="1" customWidth="1"/>
    <col min="5640" max="5640" width="7" style="354" bestFit="1" customWidth="1"/>
    <col min="5641" max="5641" width="20.42578125" style="354" bestFit="1" customWidth="1"/>
    <col min="5642" max="5642" width="5.140625" style="354" customWidth="1"/>
    <col min="5643" max="5864" width="8" style="354"/>
    <col min="5865" max="5865" width="7.7109375" style="354" bestFit="1" customWidth="1"/>
    <col min="5866" max="5866" width="15.5703125" style="354" bestFit="1" customWidth="1"/>
    <col min="5867" max="5867" width="31.42578125" style="354" customWidth="1"/>
    <col min="5868" max="5868" width="10.140625" style="354" bestFit="1" customWidth="1"/>
    <col min="5869" max="5869" width="10.42578125" style="354" bestFit="1" customWidth="1"/>
    <col min="5870" max="5870" width="10" style="354" customWidth="1"/>
    <col min="5871" max="5871" width="11" style="354" customWidth="1"/>
    <col min="5872" max="5872" width="10.42578125" style="354" bestFit="1" customWidth="1"/>
    <col min="5873" max="5873" width="11.85546875" style="354" customWidth="1"/>
    <col min="5874" max="5874" width="10.140625" style="354" bestFit="1" customWidth="1"/>
    <col min="5875" max="5875" width="10.140625" style="354" customWidth="1"/>
    <col min="5876" max="5876" width="11.28515625" style="354" customWidth="1"/>
    <col min="5877" max="5879" width="10.140625" style="354" bestFit="1" customWidth="1"/>
    <col min="5880" max="5880" width="10.42578125" style="354" bestFit="1" customWidth="1"/>
    <col min="5881" max="5881" width="10.140625" style="354" bestFit="1" customWidth="1"/>
    <col min="5882" max="5882" width="9.140625" style="354" bestFit="1" customWidth="1"/>
    <col min="5883" max="5884" width="10.140625" style="354" bestFit="1" customWidth="1"/>
    <col min="5885" max="5885" width="8.85546875" style="354" bestFit="1" customWidth="1"/>
    <col min="5886" max="5886" width="9.140625" style="354" bestFit="1" customWidth="1"/>
    <col min="5887" max="5889" width="8.85546875" style="354" bestFit="1" customWidth="1"/>
    <col min="5890" max="5890" width="13.28515625" style="354" bestFit="1" customWidth="1"/>
    <col min="5891" max="5892" width="10.140625" style="354" bestFit="1" customWidth="1"/>
    <col min="5893" max="5893" width="5.7109375" style="354" bestFit="1" customWidth="1"/>
    <col min="5894" max="5894" width="6.42578125" style="354" bestFit="1" customWidth="1"/>
    <col min="5895" max="5895" width="6.28515625" style="354" bestFit="1" customWidth="1"/>
    <col min="5896" max="5896" width="7" style="354" bestFit="1" customWidth="1"/>
    <col min="5897" max="5897" width="20.42578125" style="354" bestFit="1" customWidth="1"/>
    <col min="5898" max="5898" width="5.140625" style="354" customWidth="1"/>
    <col min="5899" max="6120" width="8" style="354"/>
    <col min="6121" max="6121" width="7.7109375" style="354" bestFit="1" customWidth="1"/>
    <col min="6122" max="6122" width="15.5703125" style="354" bestFit="1" customWidth="1"/>
    <col min="6123" max="6123" width="31.42578125" style="354" customWidth="1"/>
    <col min="6124" max="6124" width="10.140625" style="354" bestFit="1" customWidth="1"/>
    <col min="6125" max="6125" width="10.42578125" style="354" bestFit="1" customWidth="1"/>
    <col min="6126" max="6126" width="10" style="354" customWidth="1"/>
    <col min="6127" max="6127" width="11" style="354" customWidth="1"/>
    <col min="6128" max="6128" width="10.42578125" style="354" bestFit="1" customWidth="1"/>
    <col min="6129" max="6129" width="11.85546875" style="354" customWidth="1"/>
    <col min="6130" max="6130" width="10.140625" style="354" bestFit="1" customWidth="1"/>
    <col min="6131" max="6131" width="10.140625" style="354" customWidth="1"/>
    <col min="6132" max="6132" width="11.28515625" style="354" customWidth="1"/>
    <col min="6133" max="6135" width="10.140625" style="354" bestFit="1" customWidth="1"/>
    <col min="6136" max="6136" width="10.42578125" style="354" bestFit="1" customWidth="1"/>
    <col min="6137" max="6137" width="10.140625" style="354" bestFit="1" customWidth="1"/>
    <col min="6138" max="6138" width="9.140625" style="354" bestFit="1" customWidth="1"/>
    <col min="6139" max="6140" width="10.140625" style="354" bestFit="1" customWidth="1"/>
    <col min="6141" max="6141" width="8.85546875" style="354" bestFit="1" customWidth="1"/>
    <col min="6142" max="6142" width="9.140625" style="354" bestFit="1" customWidth="1"/>
    <col min="6143" max="6145" width="8.85546875" style="354" bestFit="1" customWidth="1"/>
    <col min="6146" max="6146" width="13.28515625" style="354" bestFit="1" customWidth="1"/>
    <col min="6147" max="6148" width="10.140625" style="354" bestFit="1" customWidth="1"/>
    <col min="6149" max="6149" width="5.7109375" style="354" bestFit="1" customWidth="1"/>
    <col min="6150" max="6150" width="6.42578125" style="354" bestFit="1" customWidth="1"/>
    <col min="6151" max="6151" width="6.28515625" style="354" bestFit="1" customWidth="1"/>
    <col min="6152" max="6152" width="7" style="354" bestFit="1" customWidth="1"/>
    <col min="6153" max="6153" width="20.42578125" style="354" bestFit="1" customWidth="1"/>
    <col min="6154" max="6154" width="5.140625" style="354" customWidth="1"/>
    <col min="6155" max="6376" width="8" style="354"/>
    <col min="6377" max="6377" width="7.7109375" style="354" bestFit="1" customWidth="1"/>
    <col min="6378" max="6378" width="15.5703125" style="354" bestFit="1" customWidth="1"/>
    <col min="6379" max="6379" width="31.42578125" style="354" customWidth="1"/>
    <col min="6380" max="6380" width="10.140625" style="354" bestFit="1" customWidth="1"/>
    <col min="6381" max="6381" width="10.42578125" style="354" bestFit="1" customWidth="1"/>
    <col min="6382" max="6382" width="10" style="354" customWidth="1"/>
    <col min="6383" max="6383" width="11" style="354" customWidth="1"/>
    <col min="6384" max="6384" width="10.42578125" style="354" bestFit="1" customWidth="1"/>
    <col min="6385" max="6385" width="11.85546875" style="354" customWidth="1"/>
    <col min="6386" max="6386" width="10.140625" style="354" bestFit="1" customWidth="1"/>
    <col min="6387" max="6387" width="10.140625" style="354" customWidth="1"/>
    <col min="6388" max="6388" width="11.28515625" style="354" customWidth="1"/>
    <col min="6389" max="6391" width="10.140625" style="354" bestFit="1" customWidth="1"/>
    <col min="6392" max="6392" width="10.42578125" style="354" bestFit="1" customWidth="1"/>
    <col min="6393" max="6393" width="10.140625" style="354" bestFit="1" customWidth="1"/>
    <col min="6394" max="6394" width="9.140625" style="354" bestFit="1" customWidth="1"/>
    <col min="6395" max="6396" width="10.140625" style="354" bestFit="1" customWidth="1"/>
    <col min="6397" max="6397" width="8.85546875" style="354" bestFit="1" customWidth="1"/>
    <col min="6398" max="6398" width="9.140625" style="354" bestFit="1" customWidth="1"/>
    <col min="6399" max="6401" width="8.85546875" style="354" bestFit="1" customWidth="1"/>
    <col min="6402" max="6402" width="13.28515625" style="354" bestFit="1" customWidth="1"/>
    <col min="6403" max="6404" width="10.140625" style="354" bestFit="1" customWidth="1"/>
    <col min="6405" max="6405" width="5.7109375" style="354" bestFit="1" customWidth="1"/>
    <col min="6406" max="6406" width="6.42578125" style="354" bestFit="1" customWidth="1"/>
    <col min="6407" max="6407" width="6.28515625" style="354" bestFit="1" customWidth="1"/>
    <col min="6408" max="6408" width="7" style="354" bestFit="1" customWidth="1"/>
    <col min="6409" max="6409" width="20.42578125" style="354" bestFit="1" customWidth="1"/>
    <col min="6410" max="6410" width="5.140625" style="354" customWidth="1"/>
    <col min="6411" max="6632" width="8" style="354"/>
    <col min="6633" max="6633" width="7.7109375" style="354" bestFit="1" customWidth="1"/>
    <col min="6634" max="6634" width="15.5703125" style="354" bestFit="1" customWidth="1"/>
    <col min="6635" max="6635" width="31.42578125" style="354" customWidth="1"/>
    <col min="6636" max="6636" width="10.140625" style="354" bestFit="1" customWidth="1"/>
    <col min="6637" max="6637" width="10.42578125" style="354" bestFit="1" customWidth="1"/>
    <col min="6638" max="6638" width="10" style="354" customWidth="1"/>
    <col min="6639" max="6639" width="11" style="354" customWidth="1"/>
    <col min="6640" max="6640" width="10.42578125" style="354" bestFit="1" customWidth="1"/>
    <col min="6641" max="6641" width="11.85546875" style="354" customWidth="1"/>
    <col min="6642" max="6642" width="10.140625" style="354" bestFit="1" customWidth="1"/>
    <col min="6643" max="6643" width="10.140625" style="354" customWidth="1"/>
    <col min="6644" max="6644" width="11.28515625" style="354" customWidth="1"/>
    <col min="6645" max="6647" width="10.140625" style="354" bestFit="1" customWidth="1"/>
    <col min="6648" max="6648" width="10.42578125" style="354" bestFit="1" customWidth="1"/>
    <col min="6649" max="6649" width="10.140625" style="354" bestFit="1" customWidth="1"/>
    <col min="6650" max="6650" width="9.140625" style="354" bestFit="1" customWidth="1"/>
    <col min="6651" max="6652" width="10.140625" style="354" bestFit="1" customWidth="1"/>
    <col min="6653" max="6653" width="8.85546875" style="354" bestFit="1" customWidth="1"/>
    <col min="6654" max="6654" width="9.140625" style="354" bestFit="1" customWidth="1"/>
    <col min="6655" max="6657" width="8.85546875" style="354" bestFit="1" customWidth="1"/>
    <col min="6658" max="6658" width="13.28515625" style="354" bestFit="1" customWidth="1"/>
    <col min="6659" max="6660" width="10.140625" style="354" bestFit="1" customWidth="1"/>
    <col min="6661" max="6661" width="5.7109375" style="354" bestFit="1" customWidth="1"/>
    <col min="6662" max="6662" width="6.42578125" style="354" bestFit="1" customWidth="1"/>
    <col min="6663" max="6663" width="6.28515625" style="354" bestFit="1" customWidth="1"/>
    <col min="6664" max="6664" width="7" style="354" bestFit="1" customWidth="1"/>
    <col min="6665" max="6665" width="20.42578125" style="354" bestFit="1" customWidth="1"/>
    <col min="6666" max="6666" width="5.140625" style="354" customWidth="1"/>
    <col min="6667" max="6888" width="8" style="354"/>
    <col min="6889" max="6889" width="7.7109375" style="354" bestFit="1" customWidth="1"/>
    <col min="6890" max="6890" width="15.5703125" style="354" bestFit="1" customWidth="1"/>
    <col min="6891" max="6891" width="31.42578125" style="354" customWidth="1"/>
    <col min="6892" max="6892" width="10.140625" style="354" bestFit="1" customWidth="1"/>
    <col min="6893" max="6893" width="10.42578125" style="354" bestFit="1" customWidth="1"/>
    <col min="6894" max="6894" width="10" style="354" customWidth="1"/>
    <col min="6895" max="6895" width="11" style="354" customWidth="1"/>
    <col min="6896" max="6896" width="10.42578125" style="354" bestFit="1" customWidth="1"/>
    <col min="6897" max="6897" width="11.85546875" style="354" customWidth="1"/>
    <col min="6898" max="6898" width="10.140625" style="354" bestFit="1" customWidth="1"/>
    <col min="6899" max="6899" width="10.140625" style="354" customWidth="1"/>
    <col min="6900" max="6900" width="11.28515625" style="354" customWidth="1"/>
    <col min="6901" max="6903" width="10.140625" style="354" bestFit="1" customWidth="1"/>
    <col min="6904" max="6904" width="10.42578125" style="354" bestFit="1" customWidth="1"/>
    <col min="6905" max="6905" width="10.140625" style="354" bestFit="1" customWidth="1"/>
    <col min="6906" max="6906" width="9.140625" style="354" bestFit="1" customWidth="1"/>
    <col min="6907" max="6908" width="10.140625" style="354" bestFit="1" customWidth="1"/>
    <col min="6909" max="6909" width="8.85546875" style="354" bestFit="1" customWidth="1"/>
    <col min="6910" max="6910" width="9.140625" style="354" bestFit="1" customWidth="1"/>
    <col min="6911" max="6913" width="8.85546875" style="354" bestFit="1" customWidth="1"/>
    <col min="6914" max="6914" width="13.28515625" style="354" bestFit="1" customWidth="1"/>
    <col min="6915" max="6916" width="10.140625" style="354" bestFit="1" customWidth="1"/>
    <col min="6917" max="6917" width="5.7109375" style="354" bestFit="1" customWidth="1"/>
    <col min="6918" max="6918" width="6.42578125" style="354" bestFit="1" customWidth="1"/>
    <col min="6919" max="6919" width="6.28515625" style="354" bestFit="1" customWidth="1"/>
    <col min="6920" max="6920" width="7" style="354" bestFit="1" customWidth="1"/>
    <col min="6921" max="6921" width="20.42578125" style="354" bestFit="1" customWidth="1"/>
    <col min="6922" max="6922" width="5.140625" style="354" customWidth="1"/>
    <col min="6923" max="7144" width="8" style="354"/>
    <col min="7145" max="7145" width="7.7109375" style="354" bestFit="1" customWidth="1"/>
    <col min="7146" max="7146" width="15.5703125" style="354" bestFit="1" customWidth="1"/>
    <col min="7147" max="7147" width="31.42578125" style="354" customWidth="1"/>
    <col min="7148" max="7148" width="10.140625" style="354" bestFit="1" customWidth="1"/>
    <col min="7149" max="7149" width="10.42578125" style="354" bestFit="1" customWidth="1"/>
    <col min="7150" max="7150" width="10" style="354" customWidth="1"/>
    <col min="7151" max="7151" width="11" style="354" customWidth="1"/>
    <col min="7152" max="7152" width="10.42578125" style="354" bestFit="1" customWidth="1"/>
    <col min="7153" max="7153" width="11.85546875" style="354" customWidth="1"/>
    <col min="7154" max="7154" width="10.140625" style="354" bestFit="1" customWidth="1"/>
    <col min="7155" max="7155" width="10.140625" style="354" customWidth="1"/>
    <col min="7156" max="7156" width="11.28515625" style="354" customWidth="1"/>
    <col min="7157" max="7159" width="10.140625" style="354" bestFit="1" customWidth="1"/>
    <col min="7160" max="7160" width="10.42578125" style="354" bestFit="1" customWidth="1"/>
    <col min="7161" max="7161" width="10.140625" style="354" bestFit="1" customWidth="1"/>
    <col min="7162" max="7162" width="9.140625" style="354" bestFit="1" customWidth="1"/>
    <col min="7163" max="7164" width="10.140625" style="354" bestFit="1" customWidth="1"/>
    <col min="7165" max="7165" width="8.85546875" style="354" bestFit="1" customWidth="1"/>
    <col min="7166" max="7166" width="9.140625" style="354" bestFit="1" customWidth="1"/>
    <col min="7167" max="7169" width="8.85546875" style="354" bestFit="1" customWidth="1"/>
    <col min="7170" max="7170" width="13.28515625" style="354" bestFit="1" customWidth="1"/>
    <col min="7171" max="7172" width="10.140625" style="354" bestFit="1" customWidth="1"/>
    <col min="7173" max="7173" width="5.7109375" style="354" bestFit="1" customWidth="1"/>
    <col min="7174" max="7174" width="6.42578125" style="354" bestFit="1" customWidth="1"/>
    <col min="7175" max="7175" width="6.28515625" style="354" bestFit="1" customWidth="1"/>
    <col min="7176" max="7176" width="7" style="354" bestFit="1" customWidth="1"/>
    <col min="7177" max="7177" width="20.42578125" style="354" bestFit="1" customWidth="1"/>
    <col min="7178" max="7178" width="5.140625" style="354" customWidth="1"/>
    <col min="7179" max="7400" width="8" style="354"/>
    <col min="7401" max="7401" width="7.7109375" style="354" bestFit="1" customWidth="1"/>
    <col min="7402" max="7402" width="15.5703125" style="354" bestFit="1" customWidth="1"/>
    <col min="7403" max="7403" width="31.42578125" style="354" customWidth="1"/>
    <col min="7404" max="7404" width="10.140625" style="354" bestFit="1" customWidth="1"/>
    <col min="7405" max="7405" width="10.42578125" style="354" bestFit="1" customWidth="1"/>
    <col min="7406" max="7406" width="10" style="354" customWidth="1"/>
    <col min="7407" max="7407" width="11" style="354" customWidth="1"/>
    <col min="7408" max="7408" width="10.42578125" style="354" bestFit="1" customWidth="1"/>
    <col min="7409" max="7409" width="11.85546875" style="354" customWidth="1"/>
    <col min="7410" max="7410" width="10.140625" style="354" bestFit="1" customWidth="1"/>
    <col min="7411" max="7411" width="10.140625" style="354" customWidth="1"/>
    <col min="7412" max="7412" width="11.28515625" style="354" customWidth="1"/>
    <col min="7413" max="7415" width="10.140625" style="354" bestFit="1" customWidth="1"/>
    <col min="7416" max="7416" width="10.42578125" style="354" bestFit="1" customWidth="1"/>
    <col min="7417" max="7417" width="10.140625" style="354" bestFit="1" customWidth="1"/>
    <col min="7418" max="7418" width="9.140625" style="354" bestFit="1" customWidth="1"/>
    <col min="7419" max="7420" width="10.140625" style="354" bestFit="1" customWidth="1"/>
    <col min="7421" max="7421" width="8.85546875" style="354" bestFit="1" customWidth="1"/>
    <col min="7422" max="7422" width="9.140625" style="354" bestFit="1" customWidth="1"/>
    <col min="7423" max="7425" width="8.85546875" style="354" bestFit="1" customWidth="1"/>
    <col min="7426" max="7426" width="13.28515625" style="354" bestFit="1" customWidth="1"/>
    <col min="7427" max="7428" width="10.140625" style="354" bestFit="1" customWidth="1"/>
    <col min="7429" max="7429" width="5.7109375" style="354" bestFit="1" customWidth="1"/>
    <col min="7430" max="7430" width="6.42578125" style="354" bestFit="1" customWidth="1"/>
    <col min="7431" max="7431" width="6.28515625" style="354" bestFit="1" customWidth="1"/>
    <col min="7432" max="7432" width="7" style="354" bestFit="1" customWidth="1"/>
    <col min="7433" max="7433" width="20.42578125" style="354" bestFit="1" customWidth="1"/>
    <col min="7434" max="7434" width="5.140625" style="354" customWidth="1"/>
    <col min="7435" max="7656" width="8" style="354"/>
    <col min="7657" max="7657" width="7.7109375" style="354" bestFit="1" customWidth="1"/>
    <col min="7658" max="7658" width="15.5703125" style="354" bestFit="1" customWidth="1"/>
    <col min="7659" max="7659" width="31.42578125" style="354" customWidth="1"/>
    <col min="7660" max="7660" width="10.140625" style="354" bestFit="1" customWidth="1"/>
    <col min="7661" max="7661" width="10.42578125" style="354" bestFit="1" customWidth="1"/>
    <col min="7662" max="7662" width="10" style="354" customWidth="1"/>
    <col min="7663" max="7663" width="11" style="354" customWidth="1"/>
    <col min="7664" max="7664" width="10.42578125" style="354" bestFit="1" customWidth="1"/>
    <col min="7665" max="7665" width="11.85546875" style="354" customWidth="1"/>
    <col min="7666" max="7666" width="10.140625" style="354" bestFit="1" customWidth="1"/>
    <col min="7667" max="7667" width="10.140625" style="354" customWidth="1"/>
    <col min="7668" max="7668" width="11.28515625" style="354" customWidth="1"/>
    <col min="7669" max="7671" width="10.140625" style="354" bestFit="1" customWidth="1"/>
    <col min="7672" max="7672" width="10.42578125" style="354" bestFit="1" customWidth="1"/>
    <col min="7673" max="7673" width="10.140625" style="354" bestFit="1" customWidth="1"/>
    <col min="7674" max="7674" width="9.140625" style="354" bestFit="1" customWidth="1"/>
    <col min="7675" max="7676" width="10.140625" style="354" bestFit="1" customWidth="1"/>
    <col min="7677" max="7677" width="8.85546875" style="354" bestFit="1" customWidth="1"/>
    <col min="7678" max="7678" width="9.140625" style="354" bestFit="1" customWidth="1"/>
    <col min="7679" max="7681" width="8.85546875" style="354" bestFit="1" customWidth="1"/>
    <col min="7682" max="7682" width="13.28515625" style="354" bestFit="1" customWidth="1"/>
    <col min="7683" max="7684" width="10.140625" style="354" bestFit="1" customWidth="1"/>
    <col min="7685" max="7685" width="5.7109375" style="354" bestFit="1" customWidth="1"/>
    <col min="7686" max="7686" width="6.42578125" style="354" bestFit="1" customWidth="1"/>
    <col min="7687" max="7687" width="6.28515625" style="354" bestFit="1" customWidth="1"/>
    <col min="7688" max="7688" width="7" style="354" bestFit="1" customWidth="1"/>
    <col min="7689" max="7689" width="20.42578125" style="354" bestFit="1" customWidth="1"/>
    <col min="7690" max="7690" width="5.140625" style="354" customWidth="1"/>
    <col min="7691" max="7912" width="8" style="354"/>
    <col min="7913" max="7913" width="7.7109375" style="354" bestFit="1" customWidth="1"/>
    <col min="7914" max="7914" width="15.5703125" style="354" bestFit="1" customWidth="1"/>
    <col min="7915" max="7915" width="31.42578125" style="354" customWidth="1"/>
    <col min="7916" max="7916" width="10.140625" style="354" bestFit="1" customWidth="1"/>
    <col min="7917" max="7917" width="10.42578125" style="354" bestFit="1" customWidth="1"/>
    <col min="7918" max="7918" width="10" style="354" customWidth="1"/>
    <col min="7919" max="7919" width="11" style="354" customWidth="1"/>
    <col min="7920" max="7920" width="10.42578125" style="354" bestFit="1" customWidth="1"/>
    <col min="7921" max="7921" width="11.85546875" style="354" customWidth="1"/>
    <col min="7922" max="7922" width="10.140625" style="354" bestFit="1" customWidth="1"/>
    <col min="7923" max="7923" width="10.140625" style="354" customWidth="1"/>
    <col min="7924" max="7924" width="11.28515625" style="354" customWidth="1"/>
    <col min="7925" max="7927" width="10.140625" style="354" bestFit="1" customWidth="1"/>
    <col min="7928" max="7928" width="10.42578125" style="354" bestFit="1" customWidth="1"/>
    <col min="7929" max="7929" width="10.140625" style="354" bestFit="1" customWidth="1"/>
    <col min="7930" max="7930" width="9.140625" style="354" bestFit="1" customWidth="1"/>
    <col min="7931" max="7932" width="10.140625" style="354" bestFit="1" customWidth="1"/>
    <col min="7933" max="7933" width="8.85546875" style="354" bestFit="1" customWidth="1"/>
    <col min="7934" max="7934" width="9.140625" style="354" bestFit="1" customWidth="1"/>
    <col min="7935" max="7937" width="8.85546875" style="354" bestFit="1" customWidth="1"/>
    <col min="7938" max="7938" width="13.28515625" style="354" bestFit="1" customWidth="1"/>
    <col min="7939" max="7940" width="10.140625" style="354" bestFit="1" customWidth="1"/>
    <col min="7941" max="7941" width="5.7109375" style="354" bestFit="1" customWidth="1"/>
    <col min="7942" max="7942" width="6.42578125" style="354" bestFit="1" customWidth="1"/>
    <col min="7943" max="7943" width="6.28515625" style="354" bestFit="1" customWidth="1"/>
    <col min="7944" max="7944" width="7" style="354" bestFit="1" customWidth="1"/>
    <col min="7945" max="7945" width="20.42578125" style="354" bestFit="1" customWidth="1"/>
    <col min="7946" max="7946" width="5.140625" style="354" customWidth="1"/>
    <col min="7947" max="8168" width="8" style="354"/>
    <col min="8169" max="8169" width="7.7109375" style="354" bestFit="1" customWidth="1"/>
    <col min="8170" max="8170" width="15.5703125" style="354" bestFit="1" customWidth="1"/>
    <col min="8171" max="8171" width="31.42578125" style="354" customWidth="1"/>
    <col min="8172" max="8172" width="10.140625" style="354" bestFit="1" customWidth="1"/>
    <col min="8173" max="8173" width="10.42578125" style="354" bestFit="1" customWidth="1"/>
    <col min="8174" max="8174" width="10" style="354" customWidth="1"/>
    <col min="8175" max="8175" width="11" style="354" customWidth="1"/>
    <col min="8176" max="8176" width="10.42578125" style="354" bestFit="1" customWidth="1"/>
    <col min="8177" max="8177" width="11.85546875" style="354" customWidth="1"/>
    <col min="8178" max="8178" width="10.140625" style="354" bestFit="1" customWidth="1"/>
    <col min="8179" max="8179" width="10.140625" style="354" customWidth="1"/>
    <col min="8180" max="8180" width="11.28515625" style="354" customWidth="1"/>
    <col min="8181" max="8183" width="10.140625" style="354" bestFit="1" customWidth="1"/>
    <col min="8184" max="8184" width="10.42578125" style="354" bestFit="1" customWidth="1"/>
    <col min="8185" max="8185" width="10.140625" style="354" bestFit="1" customWidth="1"/>
    <col min="8186" max="8186" width="9.140625" style="354" bestFit="1" customWidth="1"/>
    <col min="8187" max="8188" width="10.140625" style="354" bestFit="1" customWidth="1"/>
    <col min="8189" max="8189" width="8.85546875" style="354" bestFit="1" customWidth="1"/>
    <col min="8190" max="8190" width="9.140625" style="354" bestFit="1" customWidth="1"/>
    <col min="8191" max="8193" width="8.85546875" style="354" bestFit="1" customWidth="1"/>
    <col min="8194" max="8194" width="13.28515625" style="354" bestFit="1" customWidth="1"/>
    <col min="8195" max="8196" width="10.140625" style="354" bestFit="1" customWidth="1"/>
    <col min="8197" max="8197" width="5.7109375" style="354" bestFit="1" customWidth="1"/>
    <col min="8198" max="8198" width="6.42578125" style="354" bestFit="1" customWidth="1"/>
    <col min="8199" max="8199" width="6.28515625" style="354" bestFit="1" customWidth="1"/>
    <col min="8200" max="8200" width="7" style="354" bestFit="1" customWidth="1"/>
    <col min="8201" max="8201" width="20.42578125" style="354" bestFit="1" customWidth="1"/>
    <col min="8202" max="8202" width="5.140625" style="354" customWidth="1"/>
    <col min="8203" max="8424" width="8" style="354"/>
    <col min="8425" max="8425" width="7.7109375" style="354" bestFit="1" customWidth="1"/>
    <col min="8426" max="8426" width="15.5703125" style="354" bestFit="1" customWidth="1"/>
    <col min="8427" max="8427" width="31.42578125" style="354" customWidth="1"/>
    <col min="8428" max="8428" width="10.140625" style="354" bestFit="1" customWidth="1"/>
    <col min="8429" max="8429" width="10.42578125" style="354" bestFit="1" customWidth="1"/>
    <col min="8430" max="8430" width="10" style="354" customWidth="1"/>
    <col min="8431" max="8431" width="11" style="354" customWidth="1"/>
    <col min="8432" max="8432" width="10.42578125" style="354" bestFit="1" customWidth="1"/>
    <col min="8433" max="8433" width="11.85546875" style="354" customWidth="1"/>
    <col min="8434" max="8434" width="10.140625" style="354" bestFit="1" customWidth="1"/>
    <col min="8435" max="8435" width="10.140625" style="354" customWidth="1"/>
    <col min="8436" max="8436" width="11.28515625" style="354" customWidth="1"/>
    <col min="8437" max="8439" width="10.140625" style="354" bestFit="1" customWidth="1"/>
    <col min="8440" max="8440" width="10.42578125" style="354" bestFit="1" customWidth="1"/>
    <col min="8441" max="8441" width="10.140625" style="354" bestFit="1" customWidth="1"/>
    <col min="8442" max="8442" width="9.140625" style="354" bestFit="1" customWidth="1"/>
    <col min="8443" max="8444" width="10.140625" style="354" bestFit="1" customWidth="1"/>
    <col min="8445" max="8445" width="8.85546875" style="354" bestFit="1" customWidth="1"/>
    <col min="8446" max="8446" width="9.140625" style="354" bestFit="1" customWidth="1"/>
    <col min="8447" max="8449" width="8.85546875" style="354" bestFit="1" customWidth="1"/>
    <col min="8450" max="8450" width="13.28515625" style="354" bestFit="1" customWidth="1"/>
    <col min="8451" max="8452" width="10.140625" style="354" bestFit="1" customWidth="1"/>
    <col min="8453" max="8453" width="5.7109375" style="354" bestFit="1" customWidth="1"/>
    <col min="8454" max="8454" width="6.42578125" style="354" bestFit="1" customWidth="1"/>
    <col min="8455" max="8455" width="6.28515625" style="354" bestFit="1" customWidth="1"/>
    <col min="8456" max="8456" width="7" style="354" bestFit="1" customWidth="1"/>
    <col min="8457" max="8457" width="20.42578125" style="354" bestFit="1" customWidth="1"/>
    <col min="8458" max="8458" width="5.140625" style="354" customWidth="1"/>
    <col min="8459" max="8680" width="8" style="354"/>
    <col min="8681" max="8681" width="7.7109375" style="354" bestFit="1" customWidth="1"/>
    <col min="8682" max="8682" width="15.5703125" style="354" bestFit="1" customWidth="1"/>
    <col min="8683" max="8683" width="31.42578125" style="354" customWidth="1"/>
    <col min="8684" max="8684" width="10.140625" style="354" bestFit="1" customWidth="1"/>
    <col min="8685" max="8685" width="10.42578125" style="354" bestFit="1" customWidth="1"/>
    <col min="8686" max="8686" width="10" style="354" customWidth="1"/>
    <col min="8687" max="8687" width="11" style="354" customWidth="1"/>
    <col min="8688" max="8688" width="10.42578125" style="354" bestFit="1" customWidth="1"/>
    <col min="8689" max="8689" width="11.85546875" style="354" customWidth="1"/>
    <col min="8690" max="8690" width="10.140625" style="354" bestFit="1" customWidth="1"/>
    <col min="8691" max="8691" width="10.140625" style="354" customWidth="1"/>
    <col min="8692" max="8692" width="11.28515625" style="354" customWidth="1"/>
    <col min="8693" max="8695" width="10.140625" style="354" bestFit="1" customWidth="1"/>
    <col min="8696" max="8696" width="10.42578125" style="354" bestFit="1" customWidth="1"/>
    <col min="8697" max="8697" width="10.140625" style="354" bestFit="1" customWidth="1"/>
    <col min="8698" max="8698" width="9.140625" style="354" bestFit="1" customWidth="1"/>
    <col min="8699" max="8700" width="10.140625" style="354" bestFit="1" customWidth="1"/>
    <col min="8701" max="8701" width="8.85546875" style="354" bestFit="1" customWidth="1"/>
    <col min="8702" max="8702" width="9.140625" style="354" bestFit="1" customWidth="1"/>
    <col min="8703" max="8705" width="8.85546875" style="354" bestFit="1" customWidth="1"/>
    <col min="8706" max="8706" width="13.28515625" style="354" bestFit="1" customWidth="1"/>
    <col min="8707" max="8708" width="10.140625" style="354" bestFit="1" customWidth="1"/>
    <col min="8709" max="8709" width="5.7109375" style="354" bestFit="1" customWidth="1"/>
    <col min="8710" max="8710" width="6.42578125" style="354" bestFit="1" customWidth="1"/>
    <col min="8711" max="8711" width="6.28515625" style="354" bestFit="1" customWidth="1"/>
    <col min="8712" max="8712" width="7" style="354" bestFit="1" customWidth="1"/>
    <col min="8713" max="8713" width="20.42578125" style="354" bestFit="1" customWidth="1"/>
    <col min="8714" max="8714" width="5.140625" style="354" customWidth="1"/>
    <col min="8715" max="8936" width="8" style="354"/>
    <col min="8937" max="8937" width="7.7109375" style="354" bestFit="1" customWidth="1"/>
    <col min="8938" max="8938" width="15.5703125" style="354" bestFit="1" customWidth="1"/>
    <col min="8939" max="8939" width="31.42578125" style="354" customWidth="1"/>
    <col min="8940" max="8940" width="10.140625" style="354" bestFit="1" customWidth="1"/>
    <col min="8941" max="8941" width="10.42578125" style="354" bestFit="1" customWidth="1"/>
    <col min="8942" max="8942" width="10" style="354" customWidth="1"/>
    <col min="8943" max="8943" width="11" style="354" customWidth="1"/>
    <col min="8944" max="8944" width="10.42578125" style="354" bestFit="1" customWidth="1"/>
    <col min="8945" max="8945" width="11.85546875" style="354" customWidth="1"/>
    <col min="8946" max="8946" width="10.140625" style="354" bestFit="1" customWidth="1"/>
    <col min="8947" max="8947" width="10.140625" style="354" customWidth="1"/>
    <col min="8948" max="8948" width="11.28515625" style="354" customWidth="1"/>
    <col min="8949" max="8951" width="10.140625" style="354" bestFit="1" customWidth="1"/>
    <col min="8952" max="8952" width="10.42578125" style="354" bestFit="1" customWidth="1"/>
    <col min="8953" max="8953" width="10.140625" style="354" bestFit="1" customWidth="1"/>
    <col min="8954" max="8954" width="9.140625" style="354" bestFit="1" customWidth="1"/>
    <col min="8955" max="8956" width="10.140625" style="354" bestFit="1" customWidth="1"/>
    <col min="8957" max="8957" width="8.85546875" style="354" bestFit="1" customWidth="1"/>
    <col min="8958" max="8958" width="9.140625" style="354" bestFit="1" customWidth="1"/>
    <col min="8959" max="8961" width="8.85546875" style="354" bestFit="1" customWidth="1"/>
    <col min="8962" max="8962" width="13.28515625" style="354" bestFit="1" customWidth="1"/>
    <col min="8963" max="8964" width="10.140625" style="354" bestFit="1" customWidth="1"/>
    <col min="8965" max="8965" width="5.7109375" style="354" bestFit="1" customWidth="1"/>
    <col min="8966" max="8966" width="6.42578125" style="354" bestFit="1" customWidth="1"/>
    <col min="8967" max="8967" width="6.28515625" style="354" bestFit="1" customWidth="1"/>
    <col min="8968" max="8968" width="7" style="354" bestFit="1" customWidth="1"/>
    <col min="8969" max="8969" width="20.42578125" style="354" bestFit="1" customWidth="1"/>
    <col min="8970" max="8970" width="5.140625" style="354" customWidth="1"/>
    <col min="8971" max="9192" width="8" style="354"/>
    <col min="9193" max="9193" width="7.7109375" style="354" bestFit="1" customWidth="1"/>
    <col min="9194" max="9194" width="15.5703125" style="354" bestFit="1" customWidth="1"/>
    <col min="9195" max="9195" width="31.42578125" style="354" customWidth="1"/>
    <col min="9196" max="9196" width="10.140625" style="354" bestFit="1" customWidth="1"/>
    <col min="9197" max="9197" width="10.42578125" style="354" bestFit="1" customWidth="1"/>
    <col min="9198" max="9198" width="10" style="354" customWidth="1"/>
    <col min="9199" max="9199" width="11" style="354" customWidth="1"/>
    <col min="9200" max="9200" width="10.42578125" style="354" bestFit="1" customWidth="1"/>
    <col min="9201" max="9201" width="11.85546875" style="354" customWidth="1"/>
    <col min="9202" max="9202" width="10.140625" style="354" bestFit="1" customWidth="1"/>
    <col min="9203" max="9203" width="10.140625" style="354" customWidth="1"/>
    <col min="9204" max="9204" width="11.28515625" style="354" customWidth="1"/>
    <col min="9205" max="9207" width="10.140625" style="354" bestFit="1" customWidth="1"/>
    <col min="9208" max="9208" width="10.42578125" style="354" bestFit="1" customWidth="1"/>
    <col min="9209" max="9209" width="10.140625" style="354" bestFit="1" customWidth="1"/>
    <col min="9210" max="9210" width="9.140625" style="354" bestFit="1" customWidth="1"/>
    <col min="9211" max="9212" width="10.140625" style="354" bestFit="1" customWidth="1"/>
    <col min="9213" max="9213" width="8.85546875" style="354" bestFit="1" customWidth="1"/>
    <col min="9214" max="9214" width="9.140625" style="354" bestFit="1" customWidth="1"/>
    <col min="9215" max="9217" width="8.85546875" style="354" bestFit="1" customWidth="1"/>
    <col min="9218" max="9218" width="13.28515625" style="354" bestFit="1" customWidth="1"/>
    <col min="9219" max="9220" width="10.140625" style="354" bestFit="1" customWidth="1"/>
    <col min="9221" max="9221" width="5.7109375" style="354" bestFit="1" customWidth="1"/>
    <col min="9222" max="9222" width="6.42578125" style="354" bestFit="1" customWidth="1"/>
    <col min="9223" max="9223" width="6.28515625" style="354" bestFit="1" customWidth="1"/>
    <col min="9224" max="9224" width="7" style="354" bestFit="1" customWidth="1"/>
    <col min="9225" max="9225" width="20.42578125" style="354" bestFit="1" customWidth="1"/>
    <col min="9226" max="9226" width="5.140625" style="354" customWidth="1"/>
    <col min="9227" max="9448" width="8" style="354"/>
    <col min="9449" max="9449" width="7.7109375" style="354" bestFit="1" customWidth="1"/>
    <col min="9450" max="9450" width="15.5703125" style="354" bestFit="1" customWidth="1"/>
    <col min="9451" max="9451" width="31.42578125" style="354" customWidth="1"/>
    <col min="9452" max="9452" width="10.140625" style="354" bestFit="1" customWidth="1"/>
    <col min="9453" max="9453" width="10.42578125" style="354" bestFit="1" customWidth="1"/>
    <col min="9454" max="9454" width="10" style="354" customWidth="1"/>
    <col min="9455" max="9455" width="11" style="354" customWidth="1"/>
    <col min="9456" max="9456" width="10.42578125" style="354" bestFit="1" customWidth="1"/>
    <col min="9457" max="9457" width="11.85546875" style="354" customWidth="1"/>
    <col min="9458" max="9458" width="10.140625" style="354" bestFit="1" customWidth="1"/>
    <col min="9459" max="9459" width="10.140625" style="354" customWidth="1"/>
    <col min="9460" max="9460" width="11.28515625" style="354" customWidth="1"/>
    <col min="9461" max="9463" width="10.140625" style="354" bestFit="1" customWidth="1"/>
    <col min="9464" max="9464" width="10.42578125" style="354" bestFit="1" customWidth="1"/>
    <col min="9465" max="9465" width="10.140625" style="354" bestFit="1" customWidth="1"/>
    <col min="9466" max="9466" width="9.140625" style="354" bestFit="1" customWidth="1"/>
    <col min="9467" max="9468" width="10.140625" style="354" bestFit="1" customWidth="1"/>
    <col min="9469" max="9469" width="8.85546875" style="354" bestFit="1" customWidth="1"/>
    <col min="9470" max="9470" width="9.140625" style="354" bestFit="1" customWidth="1"/>
    <col min="9471" max="9473" width="8.85546875" style="354" bestFit="1" customWidth="1"/>
    <col min="9474" max="9474" width="13.28515625" style="354" bestFit="1" customWidth="1"/>
    <col min="9475" max="9476" width="10.140625" style="354" bestFit="1" customWidth="1"/>
    <col min="9477" max="9477" width="5.7109375" style="354" bestFit="1" customWidth="1"/>
    <col min="9478" max="9478" width="6.42578125" style="354" bestFit="1" customWidth="1"/>
    <col min="9479" max="9479" width="6.28515625" style="354" bestFit="1" customWidth="1"/>
    <col min="9480" max="9480" width="7" style="354" bestFit="1" customWidth="1"/>
    <col min="9481" max="9481" width="20.42578125" style="354" bestFit="1" customWidth="1"/>
    <col min="9482" max="9482" width="5.140625" style="354" customWidth="1"/>
    <col min="9483" max="9704" width="8" style="354"/>
    <col min="9705" max="9705" width="7.7109375" style="354" bestFit="1" customWidth="1"/>
    <col min="9706" max="9706" width="15.5703125" style="354" bestFit="1" customWidth="1"/>
    <col min="9707" max="9707" width="31.42578125" style="354" customWidth="1"/>
    <col min="9708" max="9708" width="10.140625" style="354" bestFit="1" customWidth="1"/>
    <col min="9709" max="9709" width="10.42578125" style="354" bestFit="1" customWidth="1"/>
    <col min="9710" max="9710" width="10" style="354" customWidth="1"/>
    <col min="9711" max="9711" width="11" style="354" customWidth="1"/>
    <col min="9712" max="9712" width="10.42578125" style="354" bestFit="1" customWidth="1"/>
    <col min="9713" max="9713" width="11.85546875" style="354" customWidth="1"/>
    <col min="9714" max="9714" width="10.140625" style="354" bestFit="1" customWidth="1"/>
    <col min="9715" max="9715" width="10.140625" style="354" customWidth="1"/>
    <col min="9716" max="9716" width="11.28515625" style="354" customWidth="1"/>
    <col min="9717" max="9719" width="10.140625" style="354" bestFit="1" customWidth="1"/>
    <col min="9720" max="9720" width="10.42578125" style="354" bestFit="1" customWidth="1"/>
    <col min="9721" max="9721" width="10.140625" style="354" bestFit="1" customWidth="1"/>
    <col min="9722" max="9722" width="9.140625" style="354" bestFit="1" customWidth="1"/>
    <col min="9723" max="9724" width="10.140625" style="354" bestFit="1" customWidth="1"/>
    <col min="9725" max="9725" width="8.85546875" style="354" bestFit="1" customWidth="1"/>
    <col min="9726" max="9726" width="9.140625" style="354" bestFit="1" customWidth="1"/>
    <col min="9727" max="9729" width="8.85546875" style="354" bestFit="1" customWidth="1"/>
    <col min="9730" max="9730" width="13.28515625" style="354" bestFit="1" customWidth="1"/>
    <col min="9731" max="9732" width="10.140625" style="354" bestFit="1" customWidth="1"/>
    <col min="9733" max="9733" width="5.7109375" style="354" bestFit="1" customWidth="1"/>
    <col min="9734" max="9734" width="6.42578125" style="354" bestFit="1" customWidth="1"/>
    <col min="9735" max="9735" width="6.28515625" style="354" bestFit="1" customWidth="1"/>
    <col min="9736" max="9736" width="7" style="354" bestFit="1" customWidth="1"/>
    <col min="9737" max="9737" width="20.42578125" style="354" bestFit="1" customWidth="1"/>
    <col min="9738" max="9738" width="5.140625" style="354" customWidth="1"/>
    <col min="9739" max="9960" width="8" style="354"/>
    <col min="9961" max="9961" width="7.7109375" style="354" bestFit="1" customWidth="1"/>
    <col min="9962" max="9962" width="15.5703125" style="354" bestFit="1" customWidth="1"/>
    <col min="9963" max="9963" width="31.42578125" style="354" customWidth="1"/>
    <col min="9964" max="9964" width="10.140625" style="354" bestFit="1" customWidth="1"/>
    <col min="9965" max="9965" width="10.42578125" style="354" bestFit="1" customWidth="1"/>
    <col min="9966" max="9966" width="10" style="354" customWidth="1"/>
    <col min="9967" max="9967" width="11" style="354" customWidth="1"/>
    <col min="9968" max="9968" width="10.42578125" style="354" bestFit="1" customWidth="1"/>
    <col min="9969" max="9969" width="11.85546875" style="354" customWidth="1"/>
    <col min="9970" max="9970" width="10.140625" style="354" bestFit="1" customWidth="1"/>
    <col min="9971" max="9971" width="10.140625" style="354" customWidth="1"/>
    <col min="9972" max="9972" width="11.28515625" style="354" customWidth="1"/>
    <col min="9973" max="9975" width="10.140625" style="354" bestFit="1" customWidth="1"/>
    <col min="9976" max="9976" width="10.42578125" style="354" bestFit="1" customWidth="1"/>
    <col min="9977" max="9977" width="10.140625" style="354" bestFit="1" customWidth="1"/>
    <col min="9978" max="9978" width="9.140625" style="354" bestFit="1" customWidth="1"/>
    <col min="9979" max="9980" width="10.140625" style="354" bestFit="1" customWidth="1"/>
    <col min="9981" max="9981" width="8.85546875" style="354" bestFit="1" customWidth="1"/>
    <col min="9982" max="9982" width="9.140625" style="354" bestFit="1" customWidth="1"/>
    <col min="9983" max="9985" width="8.85546875" style="354" bestFit="1" customWidth="1"/>
    <col min="9986" max="9986" width="13.28515625" style="354" bestFit="1" customWidth="1"/>
    <col min="9987" max="9988" width="10.140625" style="354" bestFit="1" customWidth="1"/>
    <col min="9989" max="9989" width="5.7109375" style="354" bestFit="1" customWidth="1"/>
    <col min="9990" max="9990" width="6.42578125" style="354" bestFit="1" customWidth="1"/>
    <col min="9991" max="9991" width="6.28515625" style="354" bestFit="1" customWidth="1"/>
    <col min="9992" max="9992" width="7" style="354" bestFit="1" customWidth="1"/>
    <col min="9993" max="9993" width="20.42578125" style="354" bestFit="1" customWidth="1"/>
    <col min="9994" max="9994" width="5.140625" style="354" customWidth="1"/>
    <col min="9995" max="10216" width="8" style="354"/>
    <col min="10217" max="10217" width="7.7109375" style="354" bestFit="1" customWidth="1"/>
    <col min="10218" max="10218" width="15.5703125" style="354" bestFit="1" customWidth="1"/>
    <col min="10219" max="10219" width="31.42578125" style="354" customWidth="1"/>
    <col min="10220" max="10220" width="10.140625" style="354" bestFit="1" customWidth="1"/>
    <col min="10221" max="10221" width="10.42578125" style="354" bestFit="1" customWidth="1"/>
    <col min="10222" max="10222" width="10" style="354" customWidth="1"/>
    <col min="10223" max="10223" width="11" style="354" customWidth="1"/>
    <col min="10224" max="10224" width="10.42578125" style="354" bestFit="1" customWidth="1"/>
    <col min="10225" max="10225" width="11.85546875" style="354" customWidth="1"/>
    <col min="10226" max="10226" width="10.140625" style="354" bestFit="1" customWidth="1"/>
    <col min="10227" max="10227" width="10.140625" style="354" customWidth="1"/>
    <col min="10228" max="10228" width="11.28515625" style="354" customWidth="1"/>
    <col min="10229" max="10231" width="10.140625" style="354" bestFit="1" customWidth="1"/>
    <col min="10232" max="10232" width="10.42578125" style="354" bestFit="1" customWidth="1"/>
    <col min="10233" max="10233" width="10.140625" style="354" bestFit="1" customWidth="1"/>
    <col min="10234" max="10234" width="9.140625" style="354" bestFit="1" customWidth="1"/>
    <col min="10235" max="10236" width="10.140625" style="354" bestFit="1" customWidth="1"/>
    <col min="10237" max="10237" width="8.85546875" style="354" bestFit="1" customWidth="1"/>
    <col min="10238" max="10238" width="9.140625" style="354" bestFit="1" customWidth="1"/>
    <col min="10239" max="10241" width="8.85546875" style="354" bestFit="1" customWidth="1"/>
    <col min="10242" max="10242" width="13.28515625" style="354" bestFit="1" customWidth="1"/>
    <col min="10243" max="10244" width="10.140625" style="354" bestFit="1" customWidth="1"/>
    <col min="10245" max="10245" width="5.7109375" style="354" bestFit="1" customWidth="1"/>
    <col min="10246" max="10246" width="6.42578125" style="354" bestFit="1" customWidth="1"/>
    <col min="10247" max="10247" width="6.28515625" style="354" bestFit="1" customWidth="1"/>
    <col min="10248" max="10248" width="7" style="354" bestFit="1" customWidth="1"/>
    <col min="10249" max="10249" width="20.42578125" style="354" bestFit="1" customWidth="1"/>
    <col min="10250" max="10250" width="5.140625" style="354" customWidth="1"/>
    <col min="10251" max="10472" width="8" style="354"/>
    <col min="10473" max="10473" width="7.7109375" style="354" bestFit="1" customWidth="1"/>
    <col min="10474" max="10474" width="15.5703125" style="354" bestFit="1" customWidth="1"/>
    <col min="10475" max="10475" width="31.42578125" style="354" customWidth="1"/>
    <col min="10476" max="10476" width="10.140625" style="354" bestFit="1" customWidth="1"/>
    <col min="10477" max="10477" width="10.42578125" style="354" bestFit="1" customWidth="1"/>
    <col min="10478" max="10478" width="10" style="354" customWidth="1"/>
    <col min="10479" max="10479" width="11" style="354" customWidth="1"/>
    <col min="10480" max="10480" width="10.42578125" style="354" bestFit="1" customWidth="1"/>
    <col min="10481" max="10481" width="11.85546875" style="354" customWidth="1"/>
    <col min="10482" max="10482" width="10.140625" style="354" bestFit="1" customWidth="1"/>
    <col min="10483" max="10483" width="10.140625" style="354" customWidth="1"/>
    <col min="10484" max="10484" width="11.28515625" style="354" customWidth="1"/>
    <col min="10485" max="10487" width="10.140625" style="354" bestFit="1" customWidth="1"/>
    <col min="10488" max="10488" width="10.42578125" style="354" bestFit="1" customWidth="1"/>
    <col min="10489" max="10489" width="10.140625" style="354" bestFit="1" customWidth="1"/>
    <col min="10490" max="10490" width="9.140625" style="354" bestFit="1" customWidth="1"/>
    <col min="10491" max="10492" width="10.140625" style="354" bestFit="1" customWidth="1"/>
    <col min="10493" max="10493" width="8.85546875" style="354" bestFit="1" customWidth="1"/>
    <col min="10494" max="10494" width="9.140625" style="354" bestFit="1" customWidth="1"/>
    <col min="10495" max="10497" width="8.85546875" style="354" bestFit="1" customWidth="1"/>
    <col min="10498" max="10498" width="13.28515625" style="354" bestFit="1" customWidth="1"/>
    <col min="10499" max="10500" width="10.140625" style="354" bestFit="1" customWidth="1"/>
    <col min="10501" max="10501" width="5.7109375" style="354" bestFit="1" customWidth="1"/>
    <col min="10502" max="10502" width="6.42578125" style="354" bestFit="1" customWidth="1"/>
    <col min="10503" max="10503" width="6.28515625" style="354" bestFit="1" customWidth="1"/>
    <col min="10504" max="10504" width="7" style="354" bestFit="1" customWidth="1"/>
    <col min="10505" max="10505" width="20.42578125" style="354" bestFit="1" customWidth="1"/>
    <col min="10506" max="10506" width="5.140625" style="354" customWidth="1"/>
    <col min="10507" max="10728" width="8" style="354"/>
    <col min="10729" max="10729" width="7.7109375" style="354" bestFit="1" customWidth="1"/>
    <col min="10730" max="10730" width="15.5703125" style="354" bestFit="1" customWidth="1"/>
    <col min="10731" max="10731" width="31.42578125" style="354" customWidth="1"/>
    <col min="10732" max="10732" width="10.140625" style="354" bestFit="1" customWidth="1"/>
    <col min="10733" max="10733" width="10.42578125" style="354" bestFit="1" customWidth="1"/>
    <col min="10734" max="10734" width="10" style="354" customWidth="1"/>
    <col min="10735" max="10735" width="11" style="354" customWidth="1"/>
    <col min="10736" max="10736" width="10.42578125" style="354" bestFit="1" customWidth="1"/>
    <col min="10737" max="10737" width="11.85546875" style="354" customWidth="1"/>
    <col min="10738" max="10738" width="10.140625" style="354" bestFit="1" customWidth="1"/>
    <col min="10739" max="10739" width="10.140625" style="354" customWidth="1"/>
    <col min="10740" max="10740" width="11.28515625" style="354" customWidth="1"/>
    <col min="10741" max="10743" width="10.140625" style="354" bestFit="1" customWidth="1"/>
    <col min="10744" max="10744" width="10.42578125" style="354" bestFit="1" customWidth="1"/>
    <col min="10745" max="10745" width="10.140625" style="354" bestFit="1" customWidth="1"/>
    <col min="10746" max="10746" width="9.140625" style="354" bestFit="1" customWidth="1"/>
    <col min="10747" max="10748" width="10.140625" style="354" bestFit="1" customWidth="1"/>
    <col min="10749" max="10749" width="8.85546875" style="354" bestFit="1" customWidth="1"/>
    <col min="10750" max="10750" width="9.140625" style="354" bestFit="1" customWidth="1"/>
    <col min="10751" max="10753" width="8.85546875" style="354" bestFit="1" customWidth="1"/>
    <col min="10754" max="10754" width="13.28515625" style="354" bestFit="1" customWidth="1"/>
    <col min="10755" max="10756" width="10.140625" style="354" bestFit="1" customWidth="1"/>
    <col min="10757" max="10757" width="5.7109375" style="354" bestFit="1" customWidth="1"/>
    <col min="10758" max="10758" width="6.42578125" style="354" bestFit="1" customWidth="1"/>
    <col min="10759" max="10759" width="6.28515625" style="354" bestFit="1" customWidth="1"/>
    <col min="10760" max="10760" width="7" style="354" bestFit="1" customWidth="1"/>
    <col min="10761" max="10761" width="20.42578125" style="354" bestFit="1" customWidth="1"/>
    <col min="10762" max="10762" width="5.140625" style="354" customWidth="1"/>
    <col min="10763" max="10984" width="8" style="354"/>
    <col min="10985" max="10985" width="7.7109375" style="354" bestFit="1" customWidth="1"/>
    <col min="10986" max="10986" width="15.5703125" style="354" bestFit="1" customWidth="1"/>
    <col min="10987" max="10987" width="31.42578125" style="354" customWidth="1"/>
    <col min="10988" max="10988" width="10.140625" style="354" bestFit="1" customWidth="1"/>
    <col min="10989" max="10989" width="10.42578125" style="354" bestFit="1" customWidth="1"/>
    <col min="10990" max="10990" width="10" style="354" customWidth="1"/>
    <col min="10991" max="10991" width="11" style="354" customWidth="1"/>
    <col min="10992" max="10992" width="10.42578125" style="354" bestFit="1" customWidth="1"/>
    <col min="10993" max="10993" width="11.85546875" style="354" customWidth="1"/>
    <col min="10994" max="10994" width="10.140625" style="354" bestFit="1" customWidth="1"/>
    <col min="10995" max="10995" width="10.140625" style="354" customWidth="1"/>
    <col min="10996" max="10996" width="11.28515625" style="354" customWidth="1"/>
    <col min="10997" max="10999" width="10.140625" style="354" bestFit="1" customWidth="1"/>
    <col min="11000" max="11000" width="10.42578125" style="354" bestFit="1" customWidth="1"/>
    <col min="11001" max="11001" width="10.140625" style="354" bestFit="1" customWidth="1"/>
    <col min="11002" max="11002" width="9.140625" style="354" bestFit="1" customWidth="1"/>
    <col min="11003" max="11004" width="10.140625" style="354" bestFit="1" customWidth="1"/>
    <col min="11005" max="11005" width="8.85546875" style="354" bestFit="1" customWidth="1"/>
    <col min="11006" max="11006" width="9.140625" style="354" bestFit="1" customWidth="1"/>
    <col min="11007" max="11009" width="8.85546875" style="354" bestFit="1" customWidth="1"/>
    <col min="11010" max="11010" width="13.28515625" style="354" bestFit="1" customWidth="1"/>
    <col min="11011" max="11012" width="10.140625" style="354" bestFit="1" customWidth="1"/>
    <col min="11013" max="11013" width="5.7109375" style="354" bestFit="1" customWidth="1"/>
    <col min="11014" max="11014" width="6.42578125" style="354" bestFit="1" customWidth="1"/>
    <col min="11015" max="11015" width="6.28515625" style="354" bestFit="1" customWidth="1"/>
    <col min="11016" max="11016" width="7" style="354" bestFit="1" customWidth="1"/>
    <col min="11017" max="11017" width="20.42578125" style="354" bestFit="1" customWidth="1"/>
    <col min="11018" max="11018" width="5.140625" style="354" customWidth="1"/>
    <col min="11019" max="11240" width="8" style="354"/>
    <col min="11241" max="11241" width="7.7109375" style="354" bestFit="1" customWidth="1"/>
    <col min="11242" max="11242" width="15.5703125" style="354" bestFit="1" customWidth="1"/>
    <col min="11243" max="11243" width="31.42578125" style="354" customWidth="1"/>
    <col min="11244" max="11244" width="10.140625" style="354" bestFit="1" customWidth="1"/>
    <col min="11245" max="11245" width="10.42578125" style="354" bestFit="1" customWidth="1"/>
    <col min="11246" max="11246" width="10" style="354" customWidth="1"/>
    <col min="11247" max="11247" width="11" style="354" customWidth="1"/>
    <col min="11248" max="11248" width="10.42578125" style="354" bestFit="1" customWidth="1"/>
    <col min="11249" max="11249" width="11.85546875" style="354" customWidth="1"/>
    <col min="11250" max="11250" width="10.140625" style="354" bestFit="1" customWidth="1"/>
    <col min="11251" max="11251" width="10.140625" style="354" customWidth="1"/>
    <col min="11252" max="11252" width="11.28515625" style="354" customWidth="1"/>
    <col min="11253" max="11255" width="10.140625" style="354" bestFit="1" customWidth="1"/>
    <col min="11256" max="11256" width="10.42578125" style="354" bestFit="1" customWidth="1"/>
    <col min="11257" max="11257" width="10.140625" style="354" bestFit="1" customWidth="1"/>
    <col min="11258" max="11258" width="9.140625" style="354" bestFit="1" customWidth="1"/>
    <col min="11259" max="11260" width="10.140625" style="354" bestFit="1" customWidth="1"/>
    <col min="11261" max="11261" width="8.85546875" style="354" bestFit="1" customWidth="1"/>
    <col min="11262" max="11262" width="9.140625" style="354" bestFit="1" customWidth="1"/>
    <col min="11263" max="11265" width="8.85546875" style="354" bestFit="1" customWidth="1"/>
    <col min="11266" max="11266" width="13.28515625" style="354" bestFit="1" customWidth="1"/>
    <col min="11267" max="11268" width="10.140625" style="354" bestFit="1" customWidth="1"/>
    <col min="11269" max="11269" width="5.7109375" style="354" bestFit="1" customWidth="1"/>
    <col min="11270" max="11270" width="6.42578125" style="354" bestFit="1" customWidth="1"/>
    <col min="11271" max="11271" width="6.28515625" style="354" bestFit="1" customWidth="1"/>
    <col min="11272" max="11272" width="7" style="354" bestFit="1" customWidth="1"/>
    <col min="11273" max="11273" width="20.42578125" style="354" bestFit="1" customWidth="1"/>
    <col min="11274" max="11274" width="5.140625" style="354" customWidth="1"/>
    <col min="11275" max="11496" width="8" style="354"/>
    <col min="11497" max="11497" width="7.7109375" style="354" bestFit="1" customWidth="1"/>
    <col min="11498" max="11498" width="15.5703125" style="354" bestFit="1" customWidth="1"/>
    <col min="11499" max="11499" width="31.42578125" style="354" customWidth="1"/>
    <col min="11500" max="11500" width="10.140625" style="354" bestFit="1" customWidth="1"/>
    <col min="11501" max="11501" width="10.42578125" style="354" bestFit="1" customWidth="1"/>
    <col min="11502" max="11502" width="10" style="354" customWidth="1"/>
    <col min="11503" max="11503" width="11" style="354" customWidth="1"/>
    <col min="11504" max="11504" width="10.42578125" style="354" bestFit="1" customWidth="1"/>
    <col min="11505" max="11505" width="11.85546875" style="354" customWidth="1"/>
    <col min="11506" max="11506" width="10.140625" style="354" bestFit="1" customWidth="1"/>
    <col min="11507" max="11507" width="10.140625" style="354" customWidth="1"/>
    <col min="11508" max="11508" width="11.28515625" style="354" customWidth="1"/>
    <col min="11509" max="11511" width="10.140625" style="354" bestFit="1" customWidth="1"/>
    <col min="11512" max="11512" width="10.42578125" style="354" bestFit="1" customWidth="1"/>
    <col min="11513" max="11513" width="10.140625" style="354" bestFit="1" customWidth="1"/>
    <col min="11514" max="11514" width="9.140625" style="354" bestFit="1" customWidth="1"/>
    <col min="11515" max="11516" width="10.140625" style="354" bestFit="1" customWidth="1"/>
    <col min="11517" max="11517" width="8.85546875" style="354" bestFit="1" customWidth="1"/>
    <col min="11518" max="11518" width="9.140625" style="354" bestFit="1" customWidth="1"/>
    <col min="11519" max="11521" width="8.85546875" style="354" bestFit="1" customWidth="1"/>
    <col min="11522" max="11522" width="13.28515625" style="354" bestFit="1" customWidth="1"/>
    <col min="11523" max="11524" width="10.140625" style="354" bestFit="1" customWidth="1"/>
    <col min="11525" max="11525" width="5.7109375" style="354" bestFit="1" customWidth="1"/>
    <col min="11526" max="11526" width="6.42578125" style="354" bestFit="1" customWidth="1"/>
    <col min="11527" max="11527" width="6.28515625" style="354" bestFit="1" customWidth="1"/>
    <col min="11528" max="11528" width="7" style="354" bestFit="1" customWidth="1"/>
    <col min="11529" max="11529" width="20.42578125" style="354" bestFit="1" customWidth="1"/>
    <col min="11530" max="11530" width="5.140625" style="354" customWidth="1"/>
    <col min="11531" max="11752" width="8" style="354"/>
    <col min="11753" max="11753" width="7.7109375" style="354" bestFit="1" customWidth="1"/>
    <col min="11754" max="11754" width="15.5703125" style="354" bestFit="1" customWidth="1"/>
    <col min="11755" max="11755" width="31.42578125" style="354" customWidth="1"/>
    <col min="11756" max="11756" width="10.140625" style="354" bestFit="1" customWidth="1"/>
    <col min="11757" max="11757" width="10.42578125" style="354" bestFit="1" customWidth="1"/>
    <col min="11758" max="11758" width="10" style="354" customWidth="1"/>
    <col min="11759" max="11759" width="11" style="354" customWidth="1"/>
    <col min="11760" max="11760" width="10.42578125" style="354" bestFit="1" customWidth="1"/>
    <col min="11761" max="11761" width="11.85546875" style="354" customWidth="1"/>
    <col min="11762" max="11762" width="10.140625" style="354" bestFit="1" customWidth="1"/>
    <col min="11763" max="11763" width="10.140625" style="354" customWidth="1"/>
    <col min="11764" max="11764" width="11.28515625" style="354" customWidth="1"/>
    <col min="11765" max="11767" width="10.140625" style="354" bestFit="1" customWidth="1"/>
    <col min="11768" max="11768" width="10.42578125" style="354" bestFit="1" customWidth="1"/>
    <col min="11769" max="11769" width="10.140625" style="354" bestFit="1" customWidth="1"/>
    <col min="11770" max="11770" width="9.140625" style="354" bestFit="1" customWidth="1"/>
    <col min="11771" max="11772" width="10.140625" style="354" bestFit="1" customWidth="1"/>
    <col min="11773" max="11773" width="8.85546875" style="354" bestFit="1" customWidth="1"/>
    <col min="11774" max="11774" width="9.140625" style="354" bestFit="1" customWidth="1"/>
    <col min="11775" max="11777" width="8.85546875" style="354" bestFit="1" customWidth="1"/>
    <col min="11778" max="11778" width="13.28515625" style="354" bestFit="1" customWidth="1"/>
    <col min="11779" max="11780" width="10.140625" style="354" bestFit="1" customWidth="1"/>
    <col min="11781" max="11781" width="5.7109375" style="354" bestFit="1" customWidth="1"/>
    <col min="11782" max="11782" width="6.42578125" style="354" bestFit="1" customWidth="1"/>
    <col min="11783" max="11783" width="6.28515625" style="354" bestFit="1" customWidth="1"/>
    <col min="11784" max="11784" width="7" style="354" bestFit="1" customWidth="1"/>
    <col min="11785" max="11785" width="20.42578125" style="354" bestFit="1" customWidth="1"/>
    <col min="11786" max="11786" width="5.140625" style="354" customWidth="1"/>
    <col min="11787" max="12008" width="8" style="354"/>
    <col min="12009" max="12009" width="7.7109375" style="354" bestFit="1" customWidth="1"/>
    <col min="12010" max="12010" width="15.5703125" style="354" bestFit="1" customWidth="1"/>
    <col min="12011" max="12011" width="31.42578125" style="354" customWidth="1"/>
    <col min="12012" max="12012" width="10.140625" style="354" bestFit="1" customWidth="1"/>
    <col min="12013" max="12013" width="10.42578125" style="354" bestFit="1" customWidth="1"/>
    <col min="12014" max="12014" width="10" style="354" customWidth="1"/>
    <col min="12015" max="12015" width="11" style="354" customWidth="1"/>
    <col min="12016" max="12016" width="10.42578125" style="354" bestFit="1" customWidth="1"/>
    <col min="12017" max="12017" width="11.85546875" style="354" customWidth="1"/>
    <col min="12018" max="12018" width="10.140625" style="354" bestFit="1" customWidth="1"/>
    <col min="12019" max="12019" width="10.140625" style="354" customWidth="1"/>
    <col min="12020" max="12020" width="11.28515625" style="354" customWidth="1"/>
    <col min="12021" max="12023" width="10.140625" style="354" bestFit="1" customWidth="1"/>
    <col min="12024" max="12024" width="10.42578125" style="354" bestFit="1" customWidth="1"/>
    <col min="12025" max="12025" width="10.140625" style="354" bestFit="1" customWidth="1"/>
    <col min="12026" max="12026" width="9.140625" style="354" bestFit="1" customWidth="1"/>
    <col min="12027" max="12028" width="10.140625" style="354" bestFit="1" customWidth="1"/>
    <col min="12029" max="12029" width="8.85546875" style="354" bestFit="1" customWidth="1"/>
    <col min="12030" max="12030" width="9.140625" style="354" bestFit="1" customWidth="1"/>
    <col min="12031" max="12033" width="8.85546875" style="354" bestFit="1" customWidth="1"/>
    <col min="12034" max="12034" width="13.28515625" style="354" bestFit="1" customWidth="1"/>
    <col min="12035" max="12036" width="10.140625" style="354" bestFit="1" customWidth="1"/>
    <col min="12037" max="12037" width="5.7109375" style="354" bestFit="1" customWidth="1"/>
    <col min="12038" max="12038" width="6.42578125" style="354" bestFit="1" customWidth="1"/>
    <col min="12039" max="12039" width="6.28515625" style="354" bestFit="1" customWidth="1"/>
    <col min="12040" max="12040" width="7" style="354" bestFit="1" customWidth="1"/>
    <col min="12041" max="12041" width="20.42578125" style="354" bestFit="1" customWidth="1"/>
    <col min="12042" max="12042" width="5.140625" style="354" customWidth="1"/>
    <col min="12043" max="12264" width="8" style="354"/>
    <col min="12265" max="12265" width="7.7109375" style="354" bestFit="1" customWidth="1"/>
    <col min="12266" max="12266" width="15.5703125" style="354" bestFit="1" customWidth="1"/>
    <col min="12267" max="12267" width="31.42578125" style="354" customWidth="1"/>
    <col min="12268" max="12268" width="10.140625" style="354" bestFit="1" customWidth="1"/>
    <col min="12269" max="12269" width="10.42578125" style="354" bestFit="1" customWidth="1"/>
    <col min="12270" max="12270" width="10" style="354" customWidth="1"/>
    <col min="12271" max="12271" width="11" style="354" customWidth="1"/>
    <col min="12272" max="12272" width="10.42578125" style="354" bestFit="1" customWidth="1"/>
    <col min="12273" max="12273" width="11.85546875" style="354" customWidth="1"/>
    <col min="12274" max="12274" width="10.140625" style="354" bestFit="1" customWidth="1"/>
    <col min="12275" max="12275" width="10.140625" style="354" customWidth="1"/>
    <col min="12276" max="12276" width="11.28515625" style="354" customWidth="1"/>
    <col min="12277" max="12279" width="10.140625" style="354" bestFit="1" customWidth="1"/>
    <col min="12280" max="12280" width="10.42578125" style="354" bestFit="1" customWidth="1"/>
    <col min="12281" max="12281" width="10.140625" style="354" bestFit="1" customWidth="1"/>
    <col min="12282" max="12282" width="9.140625" style="354" bestFit="1" customWidth="1"/>
    <col min="12283" max="12284" width="10.140625" style="354" bestFit="1" customWidth="1"/>
    <col min="12285" max="12285" width="8.85546875" style="354" bestFit="1" customWidth="1"/>
    <col min="12286" max="12286" width="9.140625" style="354" bestFit="1" customWidth="1"/>
    <col min="12287" max="12289" width="8.85546875" style="354" bestFit="1" customWidth="1"/>
    <col min="12290" max="12290" width="13.28515625" style="354" bestFit="1" customWidth="1"/>
    <col min="12291" max="12292" width="10.140625" style="354" bestFit="1" customWidth="1"/>
    <col min="12293" max="12293" width="5.7109375" style="354" bestFit="1" customWidth="1"/>
    <col min="12294" max="12294" width="6.42578125" style="354" bestFit="1" customWidth="1"/>
    <col min="12295" max="12295" width="6.28515625" style="354" bestFit="1" customWidth="1"/>
    <col min="12296" max="12296" width="7" style="354" bestFit="1" customWidth="1"/>
    <col min="12297" max="12297" width="20.42578125" style="354" bestFit="1" customWidth="1"/>
    <col min="12298" max="12298" width="5.140625" style="354" customWidth="1"/>
    <col min="12299" max="12520" width="8" style="354"/>
    <col min="12521" max="12521" width="7.7109375" style="354" bestFit="1" customWidth="1"/>
    <col min="12522" max="12522" width="15.5703125" style="354" bestFit="1" customWidth="1"/>
    <col min="12523" max="12523" width="31.42578125" style="354" customWidth="1"/>
    <col min="12524" max="12524" width="10.140625" style="354" bestFit="1" customWidth="1"/>
    <col min="12525" max="12525" width="10.42578125" style="354" bestFit="1" customWidth="1"/>
    <col min="12526" max="12526" width="10" style="354" customWidth="1"/>
    <col min="12527" max="12527" width="11" style="354" customWidth="1"/>
    <col min="12528" max="12528" width="10.42578125" style="354" bestFit="1" customWidth="1"/>
    <col min="12529" max="12529" width="11.85546875" style="354" customWidth="1"/>
    <col min="12530" max="12530" width="10.140625" style="354" bestFit="1" customWidth="1"/>
    <col min="12531" max="12531" width="10.140625" style="354" customWidth="1"/>
    <col min="12532" max="12532" width="11.28515625" style="354" customWidth="1"/>
    <col min="12533" max="12535" width="10.140625" style="354" bestFit="1" customWidth="1"/>
    <col min="12536" max="12536" width="10.42578125" style="354" bestFit="1" customWidth="1"/>
    <col min="12537" max="12537" width="10.140625" style="354" bestFit="1" customWidth="1"/>
    <col min="12538" max="12538" width="9.140625" style="354" bestFit="1" customWidth="1"/>
    <col min="12539" max="12540" width="10.140625" style="354" bestFit="1" customWidth="1"/>
    <col min="12541" max="12541" width="8.85546875" style="354" bestFit="1" customWidth="1"/>
    <col min="12542" max="12542" width="9.140625" style="354" bestFit="1" customWidth="1"/>
    <col min="12543" max="12545" width="8.85546875" style="354" bestFit="1" customWidth="1"/>
    <col min="12546" max="12546" width="13.28515625" style="354" bestFit="1" customWidth="1"/>
    <col min="12547" max="12548" width="10.140625" style="354" bestFit="1" customWidth="1"/>
    <col min="12549" max="12549" width="5.7109375" style="354" bestFit="1" customWidth="1"/>
    <col min="12550" max="12550" width="6.42578125" style="354" bestFit="1" customWidth="1"/>
    <col min="12551" max="12551" width="6.28515625" style="354" bestFit="1" customWidth="1"/>
    <col min="12552" max="12552" width="7" style="354" bestFit="1" customWidth="1"/>
    <col min="12553" max="12553" width="20.42578125" style="354" bestFit="1" customWidth="1"/>
    <col min="12554" max="12554" width="5.140625" style="354" customWidth="1"/>
    <col min="12555" max="12776" width="8" style="354"/>
    <col min="12777" max="12777" width="7.7109375" style="354" bestFit="1" customWidth="1"/>
    <col min="12778" max="12778" width="15.5703125" style="354" bestFit="1" customWidth="1"/>
    <col min="12779" max="12779" width="31.42578125" style="354" customWidth="1"/>
    <col min="12780" max="12780" width="10.140625" style="354" bestFit="1" customWidth="1"/>
    <col min="12781" max="12781" width="10.42578125" style="354" bestFit="1" customWidth="1"/>
    <col min="12782" max="12782" width="10" style="354" customWidth="1"/>
    <col min="12783" max="12783" width="11" style="354" customWidth="1"/>
    <col min="12784" max="12784" width="10.42578125" style="354" bestFit="1" customWidth="1"/>
    <col min="12785" max="12785" width="11.85546875" style="354" customWidth="1"/>
    <col min="12786" max="12786" width="10.140625" style="354" bestFit="1" customWidth="1"/>
    <col min="12787" max="12787" width="10.140625" style="354" customWidth="1"/>
    <col min="12788" max="12788" width="11.28515625" style="354" customWidth="1"/>
    <col min="12789" max="12791" width="10.140625" style="354" bestFit="1" customWidth="1"/>
    <col min="12792" max="12792" width="10.42578125" style="354" bestFit="1" customWidth="1"/>
    <col min="12793" max="12793" width="10.140625" style="354" bestFit="1" customWidth="1"/>
    <col min="12794" max="12794" width="9.140625" style="354" bestFit="1" customWidth="1"/>
    <col min="12795" max="12796" width="10.140625" style="354" bestFit="1" customWidth="1"/>
    <col min="12797" max="12797" width="8.85546875" style="354" bestFit="1" customWidth="1"/>
    <col min="12798" max="12798" width="9.140625" style="354" bestFit="1" customWidth="1"/>
    <col min="12799" max="12801" width="8.85546875" style="354" bestFit="1" customWidth="1"/>
    <col min="12802" max="12802" width="13.28515625" style="354" bestFit="1" customWidth="1"/>
    <col min="12803" max="12804" width="10.140625" style="354" bestFit="1" customWidth="1"/>
    <col min="12805" max="12805" width="5.7109375" style="354" bestFit="1" customWidth="1"/>
    <col min="12806" max="12806" width="6.42578125" style="354" bestFit="1" customWidth="1"/>
    <col min="12807" max="12807" width="6.28515625" style="354" bestFit="1" customWidth="1"/>
    <col min="12808" max="12808" width="7" style="354" bestFit="1" customWidth="1"/>
    <col min="12809" max="12809" width="20.42578125" style="354" bestFit="1" customWidth="1"/>
    <col min="12810" max="12810" width="5.140625" style="354" customWidth="1"/>
    <col min="12811" max="13032" width="8" style="354"/>
    <col min="13033" max="13033" width="7.7109375" style="354" bestFit="1" customWidth="1"/>
    <col min="13034" max="13034" width="15.5703125" style="354" bestFit="1" customWidth="1"/>
    <col min="13035" max="13035" width="31.42578125" style="354" customWidth="1"/>
    <col min="13036" max="13036" width="10.140625" style="354" bestFit="1" customWidth="1"/>
    <col min="13037" max="13037" width="10.42578125" style="354" bestFit="1" customWidth="1"/>
    <col min="13038" max="13038" width="10" style="354" customWidth="1"/>
    <col min="13039" max="13039" width="11" style="354" customWidth="1"/>
    <col min="13040" max="13040" width="10.42578125" style="354" bestFit="1" customWidth="1"/>
    <col min="13041" max="13041" width="11.85546875" style="354" customWidth="1"/>
    <col min="13042" max="13042" width="10.140625" style="354" bestFit="1" customWidth="1"/>
    <col min="13043" max="13043" width="10.140625" style="354" customWidth="1"/>
    <col min="13044" max="13044" width="11.28515625" style="354" customWidth="1"/>
    <col min="13045" max="13047" width="10.140625" style="354" bestFit="1" customWidth="1"/>
    <col min="13048" max="13048" width="10.42578125" style="354" bestFit="1" customWidth="1"/>
    <col min="13049" max="13049" width="10.140625" style="354" bestFit="1" customWidth="1"/>
    <col min="13050" max="13050" width="9.140625" style="354" bestFit="1" customWidth="1"/>
    <col min="13051" max="13052" width="10.140625" style="354" bestFit="1" customWidth="1"/>
    <col min="13053" max="13053" width="8.85546875" style="354" bestFit="1" customWidth="1"/>
    <col min="13054" max="13054" width="9.140625" style="354" bestFit="1" customWidth="1"/>
    <col min="13055" max="13057" width="8.85546875" style="354" bestFit="1" customWidth="1"/>
    <col min="13058" max="13058" width="13.28515625" style="354" bestFit="1" customWidth="1"/>
    <col min="13059" max="13060" width="10.140625" style="354" bestFit="1" customWidth="1"/>
    <col min="13061" max="13061" width="5.7109375" style="354" bestFit="1" customWidth="1"/>
    <col min="13062" max="13062" width="6.42578125" style="354" bestFit="1" customWidth="1"/>
    <col min="13063" max="13063" width="6.28515625" style="354" bestFit="1" customWidth="1"/>
    <col min="13064" max="13064" width="7" style="354" bestFit="1" customWidth="1"/>
    <col min="13065" max="13065" width="20.42578125" style="354" bestFit="1" customWidth="1"/>
    <col min="13066" max="13066" width="5.140625" style="354" customWidth="1"/>
    <col min="13067" max="13288" width="8" style="354"/>
    <col min="13289" max="13289" width="7.7109375" style="354" bestFit="1" customWidth="1"/>
    <col min="13290" max="13290" width="15.5703125" style="354" bestFit="1" customWidth="1"/>
    <col min="13291" max="13291" width="31.42578125" style="354" customWidth="1"/>
    <col min="13292" max="13292" width="10.140625" style="354" bestFit="1" customWidth="1"/>
    <col min="13293" max="13293" width="10.42578125" style="354" bestFit="1" customWidth="1"/>
    <col min="13294" max="13294" width="10" style="354" customWidth="1"/>
    <col min="13295" max="13295" width="11" style="354" customWidth="1"/>
    <col min="13296" max="13296" width="10.42578125" style="354" bestFit="1" customWidth="1"/>
    <col min="13297" max="13297" width="11.85546875" style="354" customWidth="1"/>
    <col min="13298" max="13298" width="10.140625" style="354" bestFit="1" customWidth="1"/>
    <col min="13299" max="13299" width="10.140625" style="354" customWidth="1"/>
    <col min="13300" max="13300" width="11.28515625" style="354" customWidth="1"/>
    <col min="13301" max="13303" width="10.140625" style="354" bestFit="1" customWidth="1"/>
    <col min="13304" max="13304" width="10.42578125" style="354" bestFit="1" customWidth="1"/>
    <col min="13305" max="13305" width="10.140625" style="354" bestFit="1" customWidth="1"/>
    <col min="13306" max="13306" width="9.140625" style="354" bestFit="1" customWidth="1"/>
    <col min="13307" max="13308" width="10.140625" style="354" bestFit="1" customWidth="1"/>
    <col min="13309" max="13309" width="8.85546875" style="354" bestFit="1" customWidth="1"/>
    <col min="13310" max="13310" width="9.140625" style="354" bestFit="1" customWidth="1"/>
    <col min="13311" max="13313" width="8.85546875" style="354" bestFit="1" customWidth="1"/>
    <col min="13314" max="13314" width="13.28515625" style="354" bestFit="1" customWidth="1"/>
    <col min="13315" max="13316" width="10.140625" style="354" bestFit="1" customWidth="1"/>
    <col min="13317" max="13317" width="5.7109375" style="354" bestFit="1" customWidth="1"/>
    <col min="13318" max="13318" width="6.42578125" style="354" bestFit="1" customWidth="1"/>
    <col min="13319" max="13319" width="6.28515625" style="354" bestFit="1" customWidth="1"/>
    <col min="13320" max="13320" width="7" style="354" bestFit="1" customWidth="1"/>
    <col min="13321" max="13321" width="20.42578125" style="354" bestFit="1" customWidth="1"/>
    <col min="13322" max="13322" width="5.140625" style="354" customWidth="1"/>
    <col min="13323" max="13544" width="8" style="354"/>
    <col min="13545" max="13545" width="7.7109375" style="354" bestFit="1" customWidth="1"/>
    <col min="13546" max="13546" width="15.5703125" style="354" bestFit="1" customWidth="1"/>
    <col min="13547" max="13547" width="31.42578125" style="354" customWidth="1"/>
    <col min="13548" max="13548" width="10.140625" style="354" bestFit="1" customWidth="1"/>
    <col min="13549" max="13549" width="10.42578125" style="354" bestFit="1" customWidth="1"/>
    <col min="13550" max="13550" width="10" style="354" customWidth="1"/>
    <col min="13551" max="13551" width="11" style="354" customWidth="1"/>
    <col min="13552" max="13552" width="10.42578125" style="354" bestFit="1" customWidth="1"/>
    <col min="13553" max="13553" width="11.85546875" style="354" customWidth="1"/>
    <col min="13554" max="13554" width="10.140625" style="354" bestFit="1" customWidth="1"/>
    <col min="13555" max="13555" width="10.140625" style="354" customWidth="1"/>
    <col min="13556" max="13556" width="11.28515625" style="354" customWidth="1"/>
    <col min="13557" max="13559" width="10.140625" style="354" bestFit="1" customWidth="1"/>
    <col min="13560" max="13560" width="10.42578125" style="354" bestFit="1" customWidth="1"/>
    <col min="13561" max="13561" width="10.140625" style="354" bestFit="1" customWidth="1"/>
    <col min="13562" max="13562" width="9.140625" style="354" bestFit="1" customWidth="1"/>
    <col min="13563" max="13564" width="10.140625" style="354" bestFit="1" customWidth="1"/>
    <col min="13565" max="13565" width="8.85546875" style="354" bestFit="1" customWidth="1"/>
    <col min="13566" max="13566" width="9.140625" style="354" bestFit="1" customWidth="1"/>
    <col min="13567" max="13569" width="8.85546875" style="354" bestFit="1" customWidth="1"/>
    <col min="13570" max="13570" width="13.28515625" style="354" bestFit="1" customWidth="1"/>
    <col min="13571" max="13572" width="10.140625" style="354" bestFit="1" customWidth="1"/>
    <col min="13573" max="13573" width="5.7109375" style="354" bestFit="1" customWidth="1"/>
    <col min="13574" max="13574" width="6.42578125" style="354" bestFit="1" customWidth="1"/>
    <col min="13575" max="13575" width="6.28515625" style="354" bestFit="1" customWidth="1"/>
    <col min="13576" max="13576" width="7" style="354" bestFit="1" customWidth="1"/>
    <col min="13577" max="13577" width="20.42578125" style="354" bestFit="1" customWidth="1"/>
    <col min="13578" max="13578" width="5.140625" style="354" customWidth="1"/>
    <col min="13579" max="13800" width="8" style="354"/>
    <col min="13801" max="13801" width="7.7109375" style="354" bestFit="1" customWidth="1"/>
    <col min="13802" max="13802" width="15.5703125" style="354" bestFit="1" customWidth="1"/>
    <col min="13803" max="13803" width="31.42578125" style="354" customWidth="1"/>
    <col min="13804" max="13804" width="10.140625" style="354" bestFit="1" customWidth="1"/>
    <col min="13805" max="13805" width="10.42578125" style="354" bestFit="1" customWidth="1"/>
    <col min="13806" max="13806" width="10" style="354" customWidth="1"/>
    <col min="13807" max="13807" width="11" style="354" customWidth="1"/>
    <col min="13808" max="13808" width="10.42578125" style="354" bestFit="1" customWidth="1"/>
    <col min="13809" max="13809" width="11.85546875" style="354" customWidth="1"/>
    <col min="13810" max="13810" width="10.140625" style="354" bestFit="1" customWidth="1"/>
    <col min="13811" max="13811" width="10.140625" style="354" customWidth="1"/>
    <col min="13812" max="13812" width="11.28515625" style="354" customWidth="1"/>
    <col min="13813" max="13815" width="10.140625" style="354" bestFit="1" customWidth="1"/>
    <col min="13816" max="13816" width="10.42578125" style="354" bestFit="1" customWidth="1"/>
    <col min="13817" max="13817" width="10.140625" style="354" bestFit="1" customWidth="1"/>
    <col min="13818" max="13818" width="9.140625" style="354" bestFit="1" customWidth="1"/>
    <col min="13819" max="13820" width="10.140625" style="354" bestFit="1" customWidth="1"/>
    <col min="13821" max="13821" width="8.85546875" style="354" bestFit="1" customWidth="1"/>
    <col min="13822" max="13822" width="9.140625" style="354" bestFit="1" customWidth="1"/>
    <col min="13823" max="13825" width="8.85546875" style="354" bestFit="1" customWidth="1"/>
    <col min="13826" max="13826" width="13.28515625" style="354" bestFit="1" customWidth="1"/>
    <col min="13827" max="13828" width="10.140625" style="354" bestFit="1" customWidth="1"/>
    <col min="13829" max="13829" width="5.7109375" style="354" bestFit="1" customWidth="1"/>
    <col min="13830" max="13830" width="6.42578125" style="354" bestFit="1" customWidth="1"/>
    <col min="13831" max="13831" width="6.28515625" style="354" bestFit="1" customWidth="1"/>
    <col min="13832" max="13832" width="7" style="354" bestFit="1" customWidth="1"/>
    <col min="13833" max="13833" width="20.42578125" style="354" bestFit="1" customWidth="1"/>
    <col min="13834" max="13834" width="5.140625" style="354" customWidth="1"/>
    <col min="13835" max="14056" width="8" style="354"/>
    <col min="14057" max="14057" width="7.7109375" style="354" bestFit="1" customWidth="1"/>
    <col min="14058" max="14058" width="15.5703125" style="354" bestFit="1" customWidth="1"/>
    <col min="14059" max="14059" width="31.42578125" style="354" customWidth="1"/>
    <col min="14060" max="14060" width="10.140625" style="354" bestFit="1" customWidth="1"/>
    <col min="14061" max="14061" width="10.42578125" style="354" bestFit="1" customWidth="1"/>
    <col min="14062" max="14062" width="10" style="354" customWidth="1"/>
    <col min="14063" max="14063" width="11" style="354" customWidth="1"/>
    <col min="14064" max="14064" width="10.42578125" style="354" bestFit="1" customWidth="1"/>
    <col min="14065" max="14065" width="11.85546875" style="354" customWidth="1"/>
    <col min="14066" max="14066" width="10.140625" style="354" bestFit="1" customWidth="1"/>
    <col min="14067" max="14067" width="10.140625" style="354" customWidth="1"/>
    <col min="14068" max="14068" width="11.28515625" style="354" customWidth="1"/>
    <col min="14069" max="14071" width="10.140625" style="354" bestFit="1" customWidth="1"/>
    <col min="14072" max="14072" width="10.42578125" style="354" bestFit="1" customWidth="1"/>
    <col min="14073" max="14073" width="10.140625" style="354" bestFit="1" customWidth="1"/>
    <col min="14074" max="14074" width="9.140625" style="354" bestFit="1" customWidth="1"/>
    <col min="14075" max="14076" width="10.140625" style="354" bestFit="1" customWidth="1"/>
    <col min="14077" max="14077" width="8.85546875" style="354" bestFit="1" customWidth="1"/>
    <col min="14078" max="14078" width="9.140625" style="354" bestFit="1" customWidth="1"/>
    <col min="14079" max="14081" width="8.85546875" style="354" bestFit="1" customWidth="1"/>
    <col min="14082" max="14082" width="13.28515625" style="354" bestFit="1" customWidth="1"/>
    <col min="14083" max="14084" width="10.140625" style="354" bestFit="1" customWidth="1"/>
    <col min="14085" max="14085" width="5.7109375" style="354" bestFit="1" customWidth="1"/>
    <col min="14086" max="14086" width="6.42578125" style="354" bestFit="1" customWidth="1"/>
    <col min="14087" max="14087" width="6.28515625" style="354" bestFit="1" customWidth="1"/>
    <col min="14088" max="14088" width="7" style="354" bestFit="1" customWidth="1"/>
    <col min="14089" max="14089" width="20.42578125" style="354" bestFit="1" customWidth="1"/>
    <col min="14090" max="14090" width="5.140625" style="354" customWidth="1"/>
    <col min="14091" max="14312" width="8" style="354"/>
    <col min="14313" max="14313" width="7.7109375" style="354" bestFit="1" customWidth="1"/>
    <col min="14314" max="14314" width="15.5703125" style="354" bestFit="1" customWidth="1"/>
    <col min="14315" max="14315" width="31.42578125" style="354" customWidth="1"/>
    <col min="14316" max="14316" width="10.140625" style="354" bestFit="1" customWidth="1"/>
    <col min="14317" max="14317" width="10.42578125" style="354" bestFit="1" customWidth="1"/>
    <col min="14318" max="14318" width="10" style="354" customWidth="1"/>
    <col min="14319" max="14319" width="11" style="354" customWidth="1"/>
    <col min="14320" max="14320" width="10.42578125" style="354" bestFit="1" customWidth="1"/>
    <col min="14321" max="14321" width="11.85546875" style="354" customWidth="1"/>
    <col min="14322" max="14322" width="10.140625" style="354" bestFit="1" customWidth="1"/>
    <col min="14323" max="14323" width="10.140625" style="354" customWidth="1"/>
    <col min="14324" max="14324" width="11.28515625" style="354" customWidth="1"/>
    <col min="14325" max="14327" width="10.140625" style="354" bestFit="1" customWidth="1"/>
    <col min="14328" max="14328" width="10.42578125" style="354" bestFit="1" customWidth="1"/>
    <col min="14329" max="14329" width="10.140625" style="354" bestFit="1" customWidth="1"/>
    <col min="14330" max="14330" width="9.140625" style="354" bestFit="1" customWidth="1"/>
    <col min="14331" max="14332" width="10.140625" style="354" bestFit="1" customWidth="1"/>
    <col min="14333" max="14333" width="8.85546875" style="354" bestFit="1" customWidth="1"/>
    <col min="14334" max="14334" width="9.140625" style="354" bestFit="1" customWidth="1"/>
    <col min="14335" max="14337" width="8.85546875" style="354" bestFit="1" customWidth="1"/>
    <col min="14338" max="14338" width="13.28515625" style="354" bestFit="1" customWidth="1"/>
    <col min="14339" max="14340" width="10.140625" style="354" bestFit="1" customWidth="1"/>
    <col min="14341" max="14341" width="5.7109375" style="354" bestFit="1" customWidth="1"/>
    <col min="14342" max="14342" width="6.42578125" style="354" bestFit="1" customWidth="1"/>
    <col min="14343" max="14343" width="6.28515625" style="354" bestFit="1" customWidth="1"/>
    <col min="14344" max="14344" width="7" style="354" bestFit="1" customWidth="1"/>
    <col min="14345" max="14345" width="20.42578125" style="354" bestFit="1" customWidth="1"/>
    <col min="14346" max="14346" width="5.140625" style="354" customWidth="1"/>
    <col min="14347" max="14568" width="8" style="354"/>
    <col min="14569" max="14569" width="7.7109375" style="354" bestFit="1" customWidth="1"/>
    <col min="14570" max="14570" width="15.5703125" style="354" bestFit="1" customWidth="1"/>
    <col min="14571" max="14571" width="31.42578125" style="354" customWidth="1"/>
    <col min="14572" max="14572" width="10.140625" style="354" bestFit="1" customWidth="1"/>
    <col min="14573" max="14573" width="10.42578125" style="354" bestFit="1" customWidth="1"/>
    <col min="14574" max="14574" width="10" style="354" customWidth="1"/>
    <col min="14575" max="14575" width="11" style="354" customWidth="1"/>
    <col min="14576" max="14576" width="10.42578125" style="354" bestFit="1" customWidth="1"/>
    <col min="14577" max="14577" width="11.85546875" style="354" customWidth="1"/>
    <col min="14578" max="14578" width="10.140625" style="354" bestFit="1" customWidth="1"/>
    <col min="14579" max="14579" width="10.140625" style="354" customWidth="1"/>
    <col min="14580" max="14580" width="11.28515625" style="354" customWidth="1"/>
    <col min="14581" max="14583" width="10.140625" style="354" bestFit="1" customWidth="1"/>
    <col min="14584" max="14584" width="10.42578125" style="354" bestFit="1" customWidth="1"/>
    <col min="14585" max="14585" width="10.140625" style="354" bestFit="1" customWidth="1"/>
    <col min="14586" max="14586" width="9.140625" style="354" bestFit="1" customWidth="1"/>
    <col min="14587" max="14588" width="10.140625" style="354" bestFit="1" customWidth="1"/>
    <col min="14589" max="14589" width="8.85546875" style="354" bestFit="1" customWidth="1"/>
    <col min="14590" max="14590" width="9.140625" style="354" bestFit="1" customWidth="1"/>
    <col min="14591" max="14593" width="8.85546875" style="354" bestFit="1" customWidth="1"/>
    <col min="14594" max="14594" width="13.28515625" style="354" bestFit="1" customWidth="1"/>
    <col min="14595" max="14596" width="10.140625" style="354" bestFit="1" customWidth="1"/>
    <col min="14597" max="14597" width="5.7109375" style="354" bestFit="1" customWidth="1"/>
    <col min="14598" max="14598" width="6.42578125" style="354" bestFit="1" customWidth="1"/>
    <col min="14599" max="14599" width="6.28515625" style="354" bestFit="1" customWidth="1"/>
    <col min="14600" max="14600" width="7" style="354" bestFit="1" customWidth="1"/>
    <col min="14601" max="14601" width="20.42578125" style="354" bestFit="1" customWidth="1"/>
    <col min="14602" max="14602" width="5.140625" style="354" customWidth="1"/>
    <col min="14603" max="14824" width="8" style="354"/>
    <col min="14825" max="14825" width="7.7109375" style="354" bestFit="1" customWidth="1"/>
    <col min="14826" max="14826" width="15.5703125" style="354" bestFit="1" customWidth="1"/>
    <col min="14827" max="14827" width="31.42578125" style="354" customWidth="1"/>
    <col min="14828" max="14828" width="10.140625" style="354" bestFit="1" customWidth="1"/>
    <col min="14829" max="14829" width="10.42578125" style="354" bestFit="1" customWidth="1"/>
    <col min="14830" max="14830" width="10" style="354" customWidth="1"/>
    <col min="14831" max="14831" width="11" style="354" customWidth="1"/>
    <col min="14832" max="14832" width="10.42578125" style="354" bestFit="1" customWidth="1"/>
    <col min="14833" max="14833" width="11.85546875" style="354" customWidth="1"/>
    <col min="14834" max="14834" width="10.140625" style="354" bestFit="1" customWidth="1"/>
    <col min="14835" max="14835" width="10.140625" style="354" customWidth="1"/>
    <col min="14836" max="14836" width="11.28515625" style="354" customWidth="1"/>
    <col min="14837" max="14839" width="10.140625" style="354" bestFit="1" customWidth="1"/>
    <col min="14840" max="14840" width="10.42578125" style="354" bestFit="1" customWidth="1"/>
    <col min="14841" max="14841" width="10.140625" style="354" bestFit="1" customWidth="1"/>
    <col min="14842" max="14842" width="9.140625" style="354" bestFit="1" customWidth="1"/>
    <col min="14843" max="14844" width="10.140625" style="354" bestFit="1" customWidth="1"/>
    <col min="14845" max="14845" width="8.85546875" style="354" bestFit="1" customWidth="1"/>
    <col min="14846" max="14846" width="9.140625" style="354" bestFit="1" customWidth="1"/>
    <col min="14847" max="14849" width="8.85546875" style="354" bestFit="1" customWidth="1"/>
    <col min="14850" max="14850" width="13.28515625" style="354" bestFit="1" customWidth="1"/>
    <col min="14851" max="14852" width="10.140625" style="354" bestFit="1" customWidth="1"/>
    <col min="14853" max="14853" width="5.7109375" style="354" bestFit="1" customWidth="1"/>
    <col min="14854" max="14854" width="6.42578125" style="354" bestFit="1" customWidth="1"/>
    <col min="14855" max="14855" width="6.28515625" style="354" bestFit="1" customWidth="1"/>
    <col min="14856" max="14856" width="7" style="354" bestFit="1" customWidth="1"/>
    <col min="14857" max="14857" width="20.42578125" style="354" bestFit="1" customWidth="1"/>
    <col min="14858" max="14858" width="5.140625" style="354" customWidth="1"/>
    <col min="14859" max="15080" width="8" style="354"/>
    <col min="15081" max="15081" width="7.7109375" style="354" bestFit="1" customWidth="1"/>
    <col min="15082" max="15082" width="15.5703125" style="354" bestFit="1" customWidth="1"/>
    <col min="15083" max="15083" width="31.42578125" style="354" customWidth="1"/>
    <col min="15084" max="15084" width="10.140625" style="354" bestFit="1" customWidth="1"/>
    <col min="15085" max="15085" width="10.42578125" style="354" bestFit="1" customWidth="1"/>
    <col min="15086" max="15086" width="10" style="354" customWidth="1"/>
    <col min="15087" max="15087" width="11" style="354" customWidth="1"/>
    <col min="15088" max="15088" width="10.42578125" style="354" bestFit="1" customWidth="1"/>
    <col min="15089" max="15089" width="11.85546875" style="354" customWidth="1"/>
    <col min="15090" max="15090" width="10.140625" style="354" bestFit="1" customWidth="1"/>
    <col min="15091" max="15091" width="10.140625" style="354" customWidth="1"/>
    <col min="15092" max="15092" width="11.28515625" style="354" customWidth="1"/>
    <col min="15093" max="15095" width="10.140625" style="354" bestFit="1" customWidth="1"/>
    <col min="15096" max="15096" width="10.42578125" style="354" bestFit="1" customWidth="1"/>
    <col min="15097" max="15097" width="10.140625" style="354" bestFit="1" customWidth="1"/>
    <col min="15098" max="15098" width="9.140625" style="354" bestFit="1" customWidth="1"/>
    <col min="15099" max="15100" width="10.140625" style="354" bestFit="1" customWidth="1"/>
    <col min="15101" max="15101" width="8.85546875" style="354" bestFit="1" customWidth="1"/>
    <col min="15102" max="15102" width="9.140625" style="354" bestFit="1" customWidth="1"/>
    <col min="15103" max="15105" width="8.85546875" style="354" bestFit="1" customWidth="1"/>
    <col min="15106" max="15106" width="13.28515625" style="354" bestFit="1" customWidth="1"/>
    <col min="15107" max="15108" width="10.140625" style="354" bestFit="1" customWidth="1"/>
    <col min="15109" max="15109" width="5.7109375" style="354" bestFit="1" customWidth="1"/>
    <col min="15110" max="15110" width="6.42578125" style="354" bestFit="1" customWidth="1"/>
    <col min="15111" max="15111" width="6.28515625" style="354" bestFit="1" customWidth="1"/>
    <col min="15112" max="15112" width="7" style="354" bestFit="1" customWidth="1"/>
    <col min="15113" max="15113" width="20.42578125" style="354" bestFit="1" customWidth="1"/>
    <col min="15114" max="15114" width="5.140625" style="354" customWidth="1"/>
    <col min="15115" max="15336" width="8" style="354"/>
    <col min="15337" max="15337" width="7.7109375" style="354" bestFit="1" customWidth="1"/>
    <col min="15338" max="15338" width="15.5703125" style="354" bestFit="1" customWidth="1"/>
    <col min="15339" max="15339" width="31.42578125" style="354" customWidth="1"/>
    <col min="15340" max="15340" width="10.140625" style="354" bestFit="1" customWidth="1"/>
    <col min="15341" max="15341" width="10.42578125" style="354" bestFit="1" customWidth="1"/>
    <col min="15342" max="15342" width="10" style="354" customWidth="1"/>
    <col min="15343" max="15343" width="11" style="354" customWidth="1"/>
    <col min="15344" max="15344" width="10.42578125" style="354" bestFit="1" customWidth="1"/>
    <col min="15345" max="15345" width="11.85546875" style="354" customWidth="1"/>
    <col min="15346" max="15346" width="10.140625" style="354" bestFit="1" customWidth="1"/>
    <col min="15347" max="15347" width="10.140625" style="354" customWidth="1"/>
    <col min="15348" max="15348" width="11.28515625" style="354" customWidth="1"/>
    <col min="15349" max="15351" width="10.140625" style="354" bestFit="1" customWidth="1"/>
    <col min="15352" max="15352" width="10.42578125" style="354" bestFit="1" customWidth="1"/>
    <col min="15353" max="15353" width="10.140625" style="354" bestFit="1" customWidth="1"/>
    <col min="15354" max="15354" width="9.140625" style="354" bestFit="1" customWidth="1"/>
    <col min="15355" max="15356" width="10.140625" style="354" bestFit="1" customWidth="1"/>
    <col min="15357" max="15357" width="8.85546875" style="354" bestFit="1" customWidth="1"/>
    <col min="15358" max="15358" width="9.140625" style="354" bestFit="1" customWidth="1"/>
    <col min="15359" max="15361" width="8.85546875" style="354" bestFit="1" customWidth="1"/>
    <col min="15362" max="15362" width="13.28515625" style="354" bestFit="1" customWidth="1"/>
    <col min="15363" max="15364" width="10.140625" style="354" bestFit="1" customWidth="1"/>
    <col min="15365" max="15365" width="5.7109375" style="354" bestFit="1" customWidth="1"/>
    <col min="15366" max="15366" width="6.42578125" style="354" bestFit="1" customWidth="1"/>
    <col min="15367" max="15367" width="6.28515625" style="354" bestFit="1" customWidth="1"/>
    <col min="15368" max="15368" width="7" style="354" bestFit="1" customWidth="1"/>
    <col min="15369" max="15369" width="20.42578125" style="354" bestFit="1" customWidth="1"/>
    <col min="15370" max="15370" width="5.140625" style="354" customWidth="1"/>
    <col min="15371" max="15592" width="8" style="354"/>
    <col min="15593" max="15593" width="7.7109375" style="354" bestFit="1" customWidth="1"/>
    <col min="15594" max="15594" width="15.5703125" style="354" bestFit="1" customWidth="1"/>
    <col min="15595" max="15595" width="31.42578125" style="354" customWidth="1"/>
    <col min="15596" max="15596" width="10.140625" style="354" bestFit="1" customWidth="1"/>
    <col min="15597" max="15597" width="10.42578125" style="354" bestFit="1" customWidth="1"/>
    <col min="15598" max="15598" width="10" style="354" customWidth="1"/>
    <col min="15599" max="15599" width="11" style="354" customWidth="1"/>
    <col min="15600" max="15600" width="10.42578125" style="354" bestFit="1" customWidth="1"/>
    <col min="15601" max="15601" width="11.85546875" style="354" customWidth="1"/>
    <col min="15602" max="15602" width="10.140625" style="354" bestFit="1" customWidth="1"/>
    <col min="15603" max="15603" width="10.140625" style="354" customWidth="1"/>
    <col min="15604" max="15604" width="11.28515625" style="354" customWidth="1"/>
    <col min="15605" max="15607" width="10.140625" style="354" bestFit="1" customWidth="1"/>
    <col min="15608" max="15608" width="10.42578125" style="354" bestFit="1" customWidth="1"/>
    <col min="15609" max="15609" width="10.140625" style="354" bestFit="1" customWidth="1"/>
    <col min="15610" max="15610" width="9.140625" style="354" bestFit="1" customWidth="1"/>
    <col min="15611" max="15612" width="10.140625" style="354" bestFit="1" customWidth="1"/>
    <col min="15613" max="15613" width="8.85546875" style="354" bestFit="1" customWidth="1"/>
    <col min="15614" max="15614" width="9.140625" style="354" bestFit="1" customWidth="1"/>
    <col min="15615" max="15617" width="8.85546875" style="354" bestFit="1" customWidth="1"/>
    <col min="15618" max="15618" width="13.28515625" style="354" bestFit="1" customWidth="1"/>
    <col min="15619" max="15620" width="10.140625" style="354" bestFit="1" customWidth="1"/>
    <col min="15621" max="15621" width="5.7109375" style="354" bestFit="1" customWidth="1"/>
    <col min="15622" max="15622" width="6.42578125" style="354" bestFit="1" customWidth="1"/>
    <col min="15623" max="15623" width="6.28515625" style="354" bestFit="1" customWidth="1"/>
    <col min="15624" max="15624" width="7" style="354" bestFit="1" customWidth="1"/>
    <col min="15625" max="15625" width="20.42578125" style="354" bestFit="1" customWidth="1"/>
    <col min="15626" max="15626" width="5.140625" style="354" customWidth="1"/>
    <col min="15627" max="15848" width="8" style="354"/>
    <col min="15849" max="15849" width="7.7109375" style="354" bestFit="1" customWidth="1"/>
    <col min="15850" max="15850" width="15.5703125" style="354" bestFit="1" customWidth="1"/>
    <col min="15851" max="15851" width="31.42578125" style="354" customWidth="1"/>
    <col min="15852" max="15852" width="10.140625" style="354" bestFit="1" customWidth="1"/>
    <col min="15853" max="15853" width="10.42578125" style="354" bestFit="1" customWidth="1"/>
    <col min="15854" max="15854" width="10" style="354" customWidth="1"/>
    <col min="15855" max="15855" width="11" style="354" customWidth="1"/>
    <col min="15856" max="15856" width="10.42578125" style="354" bestFit="1" customWidth="1"/>
    <col min="15857" max="15857" width="11.85546875" style="354" customWidth="1"/>
    <col min="15858" max="15858" width="10.140625" style="354" bestFit="1" customWidth="1"/>
    <col min="15859" max="15859" width="10.140625" style="354" customWidth="1"/>
    <col min="15860" max="15860" width="11.28515625" style="354" customWidth="1"/>
    <col min="15861" max="15863" width="10.140625" style="354" bestFit="1" customWidth="1"/>
    <col min="15864" max="15864" width="10.42578125" style="354" bestFit="1" customWidth="1"/>
    <col min="15865" max="15865" width="10.140625" style="354" bestFit="1" customWidth="1"/>
    <col min="15866" max="15866" width="9.140625" style="354" bestFit="1" customWidth="1"/>
    <col min="15867" max="15868" width="10.140625" style="354" bestFit="1" customWidth="1"/>
    <col min="15869" max="15869" width="8.85546875" style="354" bestFit="1" customWidth="1"/>
    <col min="15870" max="15870" width="9.140625" style="354" bestFit="1" customWidth="1"/>
    <col min="15871" max="15873" width="8.85546875" style="354" bestFit="1" customWidth="1"/>
    <col min="15874" max="15874" width="13.28515625" style="354" bestFit="1" customWidth="1"/>
    <col min="15875" max="15876" width="10.140625" style="354" bestFit="1" customWidth="1"/>
    <col min="15877" max="15877" width="5.7109375" style="354" bestFit="1" customWidth="1"/>
    <col min="15878" max="15878" width="6.42578125" style="354" bestFit="1" customWidth="1"/>
    <col min="15879" max="15879" width="6.28515625" style="354" bestFit="1" customWidth="1"/>
    <col min="15880" max="15880" width="7" style="354" bestFit="1" customWidth="1"/>
    <col min="15881" max="15881" width="20.42578125" style="354" bestFit="1" customWidth="1"/>
    <col min="15882" max="15882" width="5.140625" style="354" customWidth="1"/>
    <col min="15883" max="16104" width="8" style="354"/>
    <col min="16105" max="16105" width="7.7109375" style="354" bestFit="1" customWidth="1"/>
    <col min="16106" max="16106" width="15.5703125" style="354" bestFit="1" customWidth="1"/>
    <col min="16107" max="16107" width="31.42578125" style="354" customWidth="1"/>
    <col min="16108" max="16108" width="10.140625" style="354" bestFit="1" customWidth="1"/>
    <col min="16109" max="16109" width="10.42578125" style="354" bestFit="1" customWidth="1"/>
    <col min="16110" max="16110" width="10" style="354" customWidth="1"/>
    <col min="16111" max="16111" width="11" style="354" customWidth="1"/>
    <col min="16112" max="16112" width="10.42578125" style="354" bestFit="1" customWidth="1"/>
    <col min="16113" max="16113" width="11.85546875" style="354" customWidth="1"/>
    <col min="16114" max="16114" width="10.140625" style="354" bestFit="1" customWidth="1"/>
    <col min="16115" max="16115" width="10.140625" style="354" customWidth="1"/>
    <col min="16116" max="16116" width="11.28515625" style="354" customWidth="1"/>
    <col min="16117" max="16119" width="10.140625" style="354" bestFit="1" customWidth="1"/>
    <col min="16120" max="16120" width="10.42578125" style="354" bestFit="1" customWidth="1"/>
    <col min="16121" max="16121" width="10.140625" style="354" bestFit="1" customWidth="1"/>
    <col min="16122" max="16122" width="9.140625" style="354" bestFit="1" customWidth="1"/>
    <col min="16123" max="16124" width="10.140625" style="354" bestFit="1" customWidth="1"/>
    <col min="16125" max="16125" width="8.85546875" style="354" bestFit="1" customWidth="1"/>
    <col min="16126" max="16126" width="9.140625" style="354" bestFit="1" customWidth="1"/>
    <col min="16127" max="16129" width="8.85546875" style="354" bestFit="1" customWidth="1"/>
    <col min="16130" max="16130" width="13.28515625" style="354" bestFit="1" customWidth="1"/>
    <col min="16131" max="16132" width="10.140625" style="354" bestFit="1" customWidth="1"/>
    <col min="16133" max="16133" width="5.7109375" style="354" bestFit="1" customWidth="1"/>
    <col min="16134" max="16134" width="6.42578125" style="354" bestFit="1" customWidth="1"/>
    <col min="16135" max="16135" width="6.28515625" style="354" bestFit="1" customWidth="1"/>
    <col min="16136" max="16136" width="7" style="354" bestFit="1" customWidth="1"/>
    <col min="16137" max="16137" width="20.42578125" style="354" bestFit="1" customWidth="1"/>
    <col min="16138" max="16138" width="5.140625" style="354" customWidth="1"/>
    <col min="16139" max="16384" width="8" style="354"/>
  </cols>
  <sheetData>
    <row r="1" spans="1:10" x14ac:dyDescent="0.25">
      <c r="H1" s="356"/>
      <c r="I1" s="356" t="s">
        <v>0</v>
      </c>
    </row>
    <row r="2" spans="1:10" x14ac:dyDescent="0.25">
      <c r="H2" s="356"/>
      <c r="I2" s="356" t="s">
        <v>405</v>
      </c>
    </row>
    <row r="3" spans="1:10" ht="16.5" thickBot="1" x14ac:dyDescent="0.3">
      <c r="C3" s="357" t="s">
        <v>406</v>
      </c>
      <c r="E3" s="436" t="s">
        <v>407</v>
      </c>
      <c r="F3" s="437"/>
      <c r="G3" s="437"/>
      <c r="H3" s="437"/>
      <c r="I3" s="438"/>
    </row>
    <row r="4" spans="1:10" s="1" customFormat="1" ht="40.5" x14ac:dyDescent="0.25">
      <c r="A4" s="358" t="s">
        <v>4</v>
      </c>
      <c r="B4" s="359" t="s">
        <v>127</v>
      </c>
      <c r="C4" s="360" t="s">
        <v>408</v>
      </c>
      <c r="D4" s="361" t="s">
        <v>409</v>
      </c>
      <c r="E4" s="362" t="s">
        <v>410</v>
      </c>
      <c r="F4" s="363" t="s">
        <v>411</v>
      </c>
      <c r="G4" s="364" t="s">
        <v>10</v>
      </c>
      <c r="H4" s="364" t="s">
        <v>12</v>
      </c>
      <c r="I4" s="364" t="s">
        <v>13</v>
      </c>
      <c r="J4" s="365" t="s">
        <v>412</v>
      </c>
    </row>
    <row r="5" spans="1:10" x14ac:dyDescent="0.25">
      <c r="A5" s="366"/>
      <c r="B5" s="14" t="s">
        <v>15</v>
      </c>
      <c r="C5" s="367" t="s">
        <v>16</v>
      </c>
      <c r="D5" s="29">
        <v>310000</v>
      </c>
      <c r="E5" s="368"/>
      <c r="F5" s="369"/>
      <c r="G5" s="29"/>
      <c r="H5" s="29"/>
      <c r="I5" s="29">
        <f>D5-E5-F5-G5-H5</f>
        <v>310000</v>
      </c>
      <c r="J5" s="370">
        <f t="shared" ref="J5:J38" si="0">SUM(E5:I5)</f>
        <v>310000</v>
      </c>
    </row>
    <row r="6" spans="1:10" x14ac:dyDescent="0.25">
      <c r="A6" s="366"/>
      <c r="B6" s="14" t="s">
        <v>17</v>
      </c>
      <c r="C6" s="367" t="s">
        <v>18</v>
      </c>
      <c r="D6" s="29">
        <v>50000</v>
      </c>
      <c r="E6" s="368"/>
      <c r="F6" s="369"/>
      <c r="G6" s="29"/>
      <c r="H6" s="29"/>
      <c r="I6" s="29">
        <f t="shared" ref="I6:I46" si="1">D6-E6-F6-G6-H6</f>
        <v>50000</v>
      </c>
      <c r="J6" s="370">
        <f t="shared" si="0"/>
        <v>50000</v>
      </c>
    </row>
    <row r="7" spans="1:10" x14ac:dyDescent="0.25">
      <c r="A7" s="366"/>
      <c r="B7" s="14" t="s">
        <v>19</v>
      </c>
      <c r="C7" s="367" t="s">
        <v>20</v>
      </c>
      <c r="D7" s="29">
        <v>50000</v>
      </c>
      <c r="E7" s="368"/>
      <c r="F7" s="369"/>
      <c r="G7" s="29"/>
      <c r="H7" s="29"/>
      <c r="I7" s="29">
        <f t="shared" si="1"/>
        <v>50000</v>
      </c>
      <c r="J7" s="370">
        <f t="shared" si="0"/>
        <v>50000</v>
      </c>
    </row>
    <row r="8" spans="1:10" x14ac:dyDescent="0.25">
      <c r="A8" s="366"/>
      <c r="B8" s="14" t="s">
        <v>21</v>
      </c>
      <c r="C8" s="367" t="s">
        <v>22</v>
      </c>
      <c r="D8" s="29">
        <v>50</v>
      </c>
      <c r="E8" s="368"/>
      <c r="F8" s="369"/>
      <c r="G8" s="29"/>
      <c r="H8" s="29"/>
      <c r="I8" s="29">
        <f t="shared" si="1"/>
        <v>50</v>
      </c>
      <c r="J8" s="370">
        <f t="shared" si="0"/>
        <v>50</v>
      </c>
    </row>
    <row r="9" spans="1:10" x14ac:dyDescent="0.25">
      <c r="A9" s="366"/>
      <c r="B9" s="14" t="s">
        <v>23</v>
      </c>
      <c r="C9" s="367" t="s">
        <v>24</v>
      </c>
      <c r="D9" s="29">
        <v>110000</v>
      </c>
      <c r="E9" s="368"/>
      <c r="F9" s="369"/>
      <c r="G9" s="29"/>
      <c r="H9" s="29"/>
      <c r="I9" s="29">
        <f t="shared" si="1"/>
        <v>110000</v>
      </c>
      <c r="J9" s="370">
        <f t="shared" si="0"/>
        <v>110000</v>
      </c>
    </row>
    <row r="10" spans="1:10" ht="27" x14ac:dyDescent="0.25">
      <c r="A10" s="366" t="s">
        <v>220</v>
      </c>
      <c r="B10" s="14" t="s">
        <v>221</v>
      </c>
      <c r="C10" s="367" t="s">
        <v>222</v>
      </c>
      <c r="D10" s="29">
        <v>235014</v>
      </c>
      <c r="E10" s="368"/>
      <c r="F10" s="369"/>
      <c r="G10" s="29"/>
      <c r="H10" s="29"/>
      <c r="I10" s="29">
        <f t="shared" si="1"/>
        <v>235014</v>
      </c>
      <c r="J10" s="370">
        <f t="shared" si="0"/>
        <v>235014</v>
      </c>
    </row>
    <row r="11" spans="1:10" x14ac:dyDescent="0.25">
      <c r="A11" s="366"/>
      <c r="B11" s="14" t="s">
        <v>32</v>
      </c>
      <c r="C11" s="367" t="s">
        <v>33</v>
      </c>
      <c r="D11" s="29">
        <v>50</v>
      </c>
      <c r="E11" s="368"/>
      <c r="F11" s="369"/>
      <c r="G11" s="29"/>
      <c r="H11" s="29"/>
      <c r="I11" s="29">
        <f t="shared" si="1"/>
        <v>50</v>
      </c>
      <c r="J11" s="370">
        <f t="shared" si="0"/>
        <v>50</v>
      </c>
    </row>
    <row r="12" spans="1:10" x14ac:dyDescent="0.25">
      <c r="A12" s="366" t="s">
        <v>240</v>
      </c>
      <c r="B12" s="14" t="s">
        <v>241</v>
      </c>
      <c r="C12" s="371" t="s">
        <v>242</v>
      </c>
      <c r="D12" s="29">
        <v>1850083</v>
      </c>
      <c r="E12" s="368"/>
      <c r="F12" s="369">
        <v>482442</v>
      </c>
      <c r="G12" s="29">
        <v>1367641</v>
      </c>
      <c r="H12" s="29"/>
      <c r="I12" s="29">
        <f t="shared" si="1"/>
        <v>0</v>
      </c>
      <c r="J12" s="370">
        <f t="shared" si="0"/>
        <v>1850083</v>
      </c>
    </row>
    <row r="13" spans="1:10" x14ac:dyDescent="0.25">
      <c r="A13" s="366"/>
      <c r="B13" s="14" t="s">
        <v>34</v>
      </c>
      <c r="C13" s="367" t="s">
        <v>35</v>
      </c>
      <c r="D13" s="29">
        <v>50</v>
      </c>
      <c r="E13" s="368"/>
      <c r="F13" s="369"/>
      <c r="G13" s="29"/>
      <c r="H13" s="29"/>
      <c r="I13" s="29">
        <f t="shared" si="1"/>
        <v>50</v>
      </c>
      <c r="J13" s="370">
        <f t="shared" si="0"/>
        <v>50</v>
      </c>
    </row>
    <row r="14" spans="1:10" x14ac:dyDescent="0.25">
      <c r="A14" s="366"/>
      <c r="B14" s="14" t="s">
        <v>257</v>
      </c>
      <c r="C14" s="367" t="s">
        <v>413</v>
      </c>
      <c r="D14" s="29">
        <v>50000</v>
      </c>
      <c r="E14" s="368"/>
      <c r="F14" s="369"/>
      <c r="G14" s="29"/>
      <c r="H14" s="29"/>
      <c r="I14" s="29">
        <f t="shared" si="1"/>
        <v>50000</v>
      </c>
      <c r="J14" s="370">
        <f t="shared" si="0"/>
        <v>50000</v>
      </c>
    </row>
    <row r="15" spans="1:10" x14ac:dyDescent="0.25">
      <c r="A15" s="366" t="s">
        <v>273</v>
      </c>
      <c r="B15" s="14" t="s">
        <v>274</v>
      </c>
      <c r="C15" s="367" t="s">
        <v>275</v>
      </c>
      <c r="D15" s="29">
        <v>442000</v>
      </c>
      <c r="E15" s="368"/>
      <c r="F15" s="369"/>
      <c r="G15" s="29"/>
      <c r="H15" s="29"/>
      <c r="I15" s="29">
        <f t="shared" si="1"/>
        <v>442000</v>
      </c>
      <c r="J15" s="370">
        <f t="shared" si="0"/>
        <v>442000</v>
      </c>
    </row>
    <row r="16" spans="1:10" ht="27" x14ac:dyDescent="0.25">
      <c r="A16" s="366" t="s">
        <v>36</v>
      </c>
      <c r="B16" s="14" t="s">
        <v>37</v>
      </c>
      <c r="C16" s="367" t="s">
        <v>38</v>
      </c>
      <c r="D16" s="29">
        <v>2479502</v>
      </c>
      <c r="E16" s="368">
        <v>2000000</v>
      </c>
      <c r="F16" s="369"/>
      <c r="G16" s="29"/>
      <c r="H16" s="29"/>
      <c r="I16" s="29">
        <f t="shared" si="1"/>
        <v>479502</v>
      </c>
      <c r="J16" s="370">
        <f t="shared" si="0"/>
        <v>2479502</v>
      </c>
    </row>
    <row r="17" spans="1:10" x14ac:dyDescent="0.25">
      <c r="A17" s="366"/>
      <c r="B17" s="14" t="s">
        <v>39</v>
      </c>
      <c r="C17" s="367" t="s">
        <v>40</v>
      </c>
      <c r="D17" s="29">
        <v>321500</v>
      </c>
      <c r="E17" s="368"/>
      <c r="F17" s="369"/>
      <c r="G17" s="29"/>
      <c r="H17" s="29"/>
      <c r="I17" s="29">
        <f t="shared" si="1"/>
        <v>321500</v>
      </c>
      <c r="J17" s="370">
        <f t="shared" si="0"/>
        <v>321500</v>
      </c>
    </row>
    <row r="18" spans="1:10" x14ac:dyDescent="0.25">
      <c r="A18" s="366"/>
      <c r="B18" s="14" t="s">
        <v>294</v>
      </c>
      <c r="C18" s="367" t="s">
        <v>26</v>
      </c>
      <c r="D18" s="29">
        <v>70000</v>
      </c>
      <c r="E18" s="368"/>
      <c r="F18" s="369"/>
      <c r="G18" s="29"/>
      <c r="H18" s="29"/>
      <c r="I18" s="29">
        <f t="shared" si="1"/>
        <v>70000</v>
      </c>
      <c r="J18" s="370">
        <f t="shared" si="0"/>
        <v>70000</v>
      </c>
    </row>
    <row r="19" spans="1:10" x14ac:dyDescent="0.25">
      <c r="A19" s="366"/>
      <c r="B19" s="14" t="s">
        <v>303</v>
      </c>
      <c r="C19" s="367" t="s">
        <v>28</v>
      </c>
      <c r="D19" s="29">
        <v>50</v>
      </c>
      <c r="E19" s="368"/>
      <c r="F19" s="369"/>
      <c r="G19" s="29"/>
      <c r="H19" s="29"/>
      <c r="I19" s="29">
        <f t="shared" si="1"/>
        <v>50</v>
      </c>
      <c r="J19" s="370">
        <f t="shared" si="0"/>
        <v>50</v>
      </c>
    </row>
    <row r="20" spans="1:10" x14ac:dyDescent="0.25">
      <c r="A20" s="366"/>
      <c r="B20" s="14" t="s">
        <v>286</v>
      </c>
      <c r="C20" s="367" t="s">
        <v>31</v>
      </c>
      <c r="D20" s="29">
        <v>150000</v>
      </c>
      <c r="E20" s="368"/>
      <c r="F20" s="369"/>
      <c r="G20" s="29"/>
      <c r="H20" s="29"/>
      <c r="I20" s="29">
        <f t="shared" si="1"/>
        <v>150000</v>
      </c>
      <c r="J20" s="370">
        <f t="shared" si="0"/>
        <v>150000</v>
      </c>
    </row>
    <row r="21" spans="1:10" x14ac:dyDescent="0.25">
      <c r="A21" s="366"/>
      <c r="B21" s="14" t="s">
        <v>55</v>
      </c>
      <c r="C21" s="367" t="s">
        <v>56</v>
      </c>
      <c r="D21" s="29">
        <v>50</v>
      </c>
      <c r="E21" s="368"/>
      <c r="F21" s="369"/>
      <c r="G21" s="29"/>
      <c r="H21" s="29"/>
      <c r="I21" s="29">
        <f t="shared" si="1"/>
        <v>50</v>
      </c>
      <c r="J21" s="370">
        <f t="shared" si="0"/>
        <v>50</v>
      </c>
    </row>
    <row r="22" spans="1:10" x14ac:dyDescent="0.25">
      <c r="A22" s="366"/>
      <c r="B22" s="14" t="s">
        <v>57</v>
      </c>
      <c r="C22" s="367" t="s">
        <v>58</v>
      </c>
      <c r="D22" s="29">
        <v>50</v>
      </c>
      <c r="E22" s="368"/>
      <c r="F22" s="369"/>
      <c r="G22" s="29"/>
      <c r="H22" s="29"/>
      <c r="I22" s="29">
        <f t="shared" si="1"/>
        <v>50</v>
      </c>
      <c r="J22" s="370">
        <f t="shared" si="0"/>
        <v>50</v>
      </c>
    </row>
    <row r="23" spans="1:10" x14ac:dyDescent="0.25">
      <c r="A23" s="366"/>
      <c r="B23" s="14" t="s">
        <v>61</v>
      </c>
      <c r="C23" s="367" t="s">
        <v>62</v>
      </c>
      <c r="D23" s="29">
        <v>50</v>
      </c>
      <c r="E23" s="368"/>
      <c r="F23" s="369"/>
      <c r="G23" s="29"/>
      <c r="H23" s="29"/>
      <c r="I23" s="29">
        <f t="shared" si="1"/>
        <v>50</v>
      </c>
      <c r="J23" s="370">
        <f t="shared" si="0"/>
        <v>50</v>
      </c>
    </row>
    <row r="24" spans="1:10" ht="27" x14ac:dyDescent="0.25">
      <c r="A24" s="366" t="s">
        <v>189</v>
      </c>
      <c r="B24" s="14" t="s">
        <v>309</v>
      </c>
      <c r="C24" s="367" t="s">
        <v>310</v>
      </c>
      <c r="D24" s="29">
        <v>5570</v>
      </c>
      <c r="E24" s="368"/>
      <c r="F24" s="369"/>
      <c r="G24" s="29"/>
      <c r="H24" s="29"/>
      <c r="I24" s="29">
        <f t="shared" si="1"/>
        <v>5570</v>
      </c>
      <c r="J24" s="370">
        <f t="shared" si="0"/>
        <v>5570</v>
      </c>
    </row>
    <row r="25" spans="1:10" x14ac:dyDescent="0.25">
      <c r="A25" s="366"/>
      <c r="B25" s="14" t="s">
        <v>414</v>
      </c>
      <c r="C25" s="367" t="s">
        <v>64</v>
      </c>
      <c r="D25" s="29">
        <v>6000</v>
      </c>
      <c r="E25" s="368"/>
      <c r="F25" s="369"/>
      <c r="G25" s="29"/>
      <c r="H25" s="29"/>
      <c r="I25" s="29">
        <f t="shared" si="1"/>
        <v>6000</v>
      </c>
      <c r="J25" s="370">
        <f t="shared" si="0"/>
        <v>6000</v>
      </c>
    </row>
    <row r="26" spans="1:10" x14ac:dyDescent="0.25">
      <c r="A26" s="366"/>
      <c r="B26" s="21" t="s">
        <v>68</v>
      </c>
      <c r="C26" s="367" t="s">
        <v>69</v>
      </c>
      <c r="D26" s="29">
        <v>500</v>
      </c>
      <c r="E26" s="368"/>
      <c r="F26" s="369"/>
      <c r="G26" s="29"/>
      <c r="H26" s="29"/>
      <c r="I26" s="29">
        <f t="shared" si="1"/>
        <v>500</v>
      </c>
      <c r="J26" s="370">
        <f t="shared" si="0"/>
        <v>500</v>
      </c>
    </row>
    <row r="27" spans="1:10" x14ac:dyDescent="0.25">
      <c r="A27" s="366"/>
      <c r="B27" s="14" t="s">
        <v>70</v>
      </c>
      <c r="C27" s="367" t="s">
        <v>71</v>
      </c>
      <c r="D27" s="29">
        <v>3000</v>
      </c>
      <c r="E27" s="368"/>
      <c r="F27" s="369"/>
      <c r="G27" s="29"/>
      <c r="H27" s="29"/>
      <c r="I27" s="29">
        <f t="shared" si="1"/>
        <v>3000</v>
      </c>
      <c r="J27" s="370">
        <f t="shared" si="0"/>
        <v>3000</v>
      </c>
    </row>
    <row r="28" spans="1:10" x14ac:dyDescent="0.25">
      <c r="A28" s="366"/>
      <c r="B28" s="14" t="s">
        <v>329</v>
      </c>
      <c r="C28" s="367" t="s">
        <v>81</v>
      </c>
      <c r="D28" s="29">
        <v>50000</v>
      </c>
      <c r="E28" s="368"/>
      <c r="F28" s="369"/>
      <c r="G28" s="29"/>
      <c r="H28" s="29"/>
      <c r="I28" s="29">
        <f t="shared" si="1"/>
        <v>50000</v>
      </c>
      <c r="J28" s="370">
        <f t="shared" si="0"/>
        <v>50000</v>
      </c>
    </row>
    <row r="29" spans="1:10" x14ac:dyDescent="0.25">
      <c r="A29" s="366" t="s">
        <v>189</v>
      </c>
      <c r="B29" s="14" t="s">
        <v>331</v>
      </c>
      <c r="C29" s="367" t="s">
        <v>332</v>
      </c>
      <c r="D29" s="29">
        <v>47708</v>
      </c>
      <c r="E29" s="368"/>
      <c r="F29" s="369"/>
      <c r="G29" s="29"/>
      <c r="H29" s="29"/>
      <c r="I29" s="29">
        <f t="shared" si="1"/>
        <v>47708</v>
      </c>
      <c r="J29" s="370">
        <f t="shared" si="0"/>
        <v>47708</v>
      </c>
    </row>
    <row r="30" spans="1:10" x14ac:dyDescent="0.25">
      <c r="A30" s="366"/>
      <c r="B30" s="14" t="s">
        <v>74</v>
      </c>
      <c r="C30" s="367" t="s">
        <v>75</v>
      </c>
      <c r="D30" s="29">
        <v>40000</v>
      </c>
      <c r="E30" s="368"/>
      <c r="F30" s="369"/>
      <c r="G30" s="29"/>
      <c r="H30" s="29"/>
      <c r="I30" s="29">
        <f t="shared" si="1"/>
        <v>40000</v>
      </c>
      <c r="J30" s="370">
        <f t="shared" si="0"/>
        <v>40000</v>
      </c>
    </row>
    <row r="31" spans="1:10" x14ac:dyDescent="0.25">
      <c r="A31" s="366"/>
      <c r="B31" s="14" t="s">
        <v>76</v>
      </c>
      <c r="C31" s="367" t="s">
        <v>77</v>
      </c>
      <c r="D31" s="29">
        <v>50</v>
      </c>
      <c r="E31" s="368"/>
      <c r="F31" s="369"/>
      <c r="G31" s="29"/>
      <c r="H31" s="29"/>
      <c r="I31" s="29">
        <f t="shared" si="1"/>
        <v>50</v>
      </c>
      <c r="J31" s="370">
        <f t="shared" si="0"/>
        <v>50</v>
      </c>
    </row>
    <row r="32" spans="1:10" x14ac:dyDescent="0.25">
      <c r="A32" s="366"/>
      <c r="B32" s="14" t="s">
        <v>343</v>
      </c>
      <c r="C32" s="367" t="s">
        <v>92</v>
      </c>
      <c r="D32" s="29">
        <v>100000</v>
      </c>
      <c r="E32" s="368"/>
      <c r="F32" s="369"/>
      <c r="G32" s="29"/>
      <c r="H32" s="29"/>
      <c r="I32" s="29">
        <f t="shared" si="1"/>
        <v>100000</v>
      </c>
      <c r="J32" s="370">
        <f t="shared" si="0"/>
        <v>100000</v>
      </c>
    </row>
    <row r="33" spans="1:10" x14ac:dyDescent="0.25">
      <c r="A33" s="366"/>
      <c r="B33" s="14" t="s">
        <v>345</v>
      </c>
      <c r="C33" s="367" t="s">
        <v>79</v>
      </c>
      <c r="D33" s="29">
        <v>250000</v>
      </c>
      <c r="E33" s="368"/>
      <c r="F33" s="369"/>
      <c r="G33" s="29">
        <v>250000</v>
      </c>
      <c r="H33" s="29"/>
      <c r="I33" s="29">
        <f t="shared" si="1"/>
        <v>0</v>
      </c>
      <c r="J33" s="370">
        <f t="shared" si="0"/>
        <v>250000</v>
      </c>
    </row>
    <row r="34" spans="1:10" ht="27" x14ac:dyDescent="0.25">
      <c r="A34" s="366" t="s">
        <v>220</v>
      </c>
      <c r="B34" s="14" t="s">
        <v>341</v>
      </c>
      <c r="C34" s="367" t="s">
        <v>342</v>
      </c>
      <c r="D34" s="29">
        <v>6782</v>
      </c>
      <c r="E34" s="368"/>
      <c r="F34" s="369"/>
      <c r="G34" s="29"/>
      <c r="H34" s="29"/>
      <c r="I34" s="29">
        <f t="shared" si="1"/>
        <v>6782</v>
      </c>
      <c r="J34" s="370">
        <f t="shared" si="0"/>
        <v>6782</v>
      </c>
    </row>
    <row r="35" spans="1:10" ht="27" x14ac:dyDescent="0.25">
      <c r="A35" s="366"/>
      <c r="B35" s="14" t="s">
        <v>83</v>
      </c>
      <c r="C35" s="367" t="s">
        <v>84</v>
      </c>
      <c r="D35" s="29">
        <v>1199235</v>
      </c>
      <c r="E35" s="368"/>
      <c r="F35" s="369"/>
      <c r="G35" s="29"/>
      <c r="H35" s="29"/>
      <c r="I35" s="29">
        <f t="shared" si="1"/>
        <v>1199235</v>
      </c>
      <c r="J35" s="370">
        <f t="shared" si="0"/>
        <v>1199235</v>
      </c>
    </row>
    <row r="36" spans="1:10" ht="27" x14ac:dyDescent="0.25">
      <c r="A36" s="366"/>
      <c r="B36" s="14" t="s">
        <v>85</v>
      </c>
      <c r="C36" s="367" t="s">
        <v>86</v>
      </c>
      <c r="D36" s="29">
        <v>50</v>
      </c>
      <c r="E36" s="368"/>
      <c r="F36" s="369"/>
      <c r="G36" s="29"/>
      <c r="H36" s="29"/>
      <c r="I36" s="29">
        <f t="shared" si="1"/>
        <v>50</v>
      </c>
      <c r="J36" s="370">
        <f t="shared" si="0"/>
        <v>50</v>
      </c>
    </row>
    <row r="37" spans="1:10" x14ac:dyDescent="0.25">
      <c r="A37" s="366"/>
      <c r="B37" s="14" t="s">
        <v>87</v>
      </c>
      <c r="C37" s="367" t="s">
        <v>88</v>
      </c>
      <c r="D37" s="372">
        <v>3500</v>
      </c>
      <c r="E37" s="368"/>
      <c r="F37" s="369"/>
      <c r="G37" s="29"/>
      <c r="H37" s="29"/>
      <c r="I37" s="29">
        <f t="shared" si="1"/>
        <v>3500</v>
      </c>
      <c r="J37" s="370">
        <f t="shared" si="0"/>
        <v>3500</v>
      </c>
    </row>
    <row r="38" spans="1:10" x14ac:dyDescent="0.25">
      <c r="A38" s="366"/>
      <c r="B38" s="14" t="s">
        <v>89</v>
      </c>
      <c r="C38" s="367" t="s">
        <v>90</v>
      </c>
      <c r="D38" s="373">
        <v>50</v>
      </c>
      <c r="E38" s="369"/>
      <c r="F38" s="369"/>
      <c r="G38" s="29"/>
      <c r="H38" s="29"/>
      <c r="I38" s="29">
        <f t="shared" si="1"/>
        <v>50</v>
      </c>
      <c r="J38" s="370">
        <f t="shared" si="0"/>
        <v>50</v>
      </c>
    </row>
    <row r="39" spans="1:10" ht="15" x14ac:dyDescent="0.25">
      <c r="A39" s="366"/>
      <c r="C39" s="374" t="s">
        <v>93</v>
      </c>
      <c r="D39" s="375">
        <f>SUM(D5:D38)</f>
        <v>7830894</v>
      </c>
      <c r="E39" s="376">
        <f>SUM(E5:E38)</f>
        <v>2000000</v>
      </c>
      <c r="F39" s="376">
        <f t="shared" ref="F39:H39" si="2">SUM(F5:F38)</f>
        <v>482442</v>
      </c>
      <c r="G39" s="376">
        <f t="shared" si="2"/>
        <v>1617641</v>
      </c>
      <c r="H39" s="376">
        <f t="shared" si="2"/>
        <v>0</v>
      </c>
      <c r="I39" s="29">
        <f t="shared" si="1"/>
        <v>3730811</v>
      </c>
      <c r="J39" s="376">
        <f>SUM(J5:J38)</f>
        <v>7830894</v>
      </c>
    </row>
    <row r="40" spans="1:10" ht="27" x14ac:dyDescent="0.25">
      <c r="B40" s="14" t="s">
        <v>94</v>
      </c>
      <c r="C40" s="367" t="s">
        <v>95</v>
      </c>
      <c r="D40" s="29">
        <v>15000</v>
      </c>
      <c r="E40" s="368"/>
      <c r="F40" s="369"/>
      <c r="G40" s="29"/>
      <c r="H40" s="29"/>
      <c r="I40" s="29">
        <f t="shared" si="1"/>
        <v>15000</v>
      </c>
      <c r="J40" s="370">
        <f>SUM(E40:I40)</f>
        <v>15000</v>
      </c>
    </row>
    <row r="41" spans="1:10" x14ac:dyDescent="0.25">
      <c r="A41" s="366" t="s">
        <v>211</v>
      </c>
      <c r="B41" s="14" t="s">
        <v>97</v>
      </c>
      <c r="C41" s="367" t="s">
        <v>98</v>
      </c>
      <c r="D41" s="29">
        <v>44503</v>
      </c>
      <c r="E41" s="368"/>
      <c r="F41" s="369"/>
      <c r="G41" s="29"/>
      <c r="H41" s="29">
        <v>44503</v>
      </c>
      <c r="I41" s="29">
        <f t="shared" si="1"/>
        <v>0</v>
      </c>
      <c r="J41" s="370">
        <f>SUM(E41:I41)</f>
        <v>44503</v>
      </c>
    </row>
    <row r="42" spans="1:10" x14ac:dyDescent="0.25">
      <c r="A42" s="366"/>
      <c r="B42" s="14" t="s">
        <v>99</v>
      </c>
      <c r="C42" s="367" t="s">
        <v>100</v>
      </c>
      <c r="D42" s="29">
        <v>499800</v>
      </c>
      <c r="E42" s="368"/>
      <c r="F42" s="369"/>
      <c r="G42" s="29"/>
      <c r="H42" s="29"/>
      <c r="I42" s="29">
        <f t="shared" si="1"/>
        <v>499800</v>
      </c>
      <c r="J42" s="370">
        <f>SUM(E42:I42)</f>
        <v>499800</v>
      </c>
    </row>
    <row r="43" spans="1:10" ht="27" x14ac:dyDescent="0.25">
      <c r="A43" s="366"/>
      <c r="B43" s="14" t="s">
        <v>107</v>
      </c>
      <c r="C43" s="367" t="s">
        <v>108</v>
      </c>
      <c r="D43" s="29">
        <v>68000</v>
      </c>
      <c r="E43" s="368"/>
      <c r="F43" s="369"/>
      <c r="G43" s="29"/>
      <c r="H43" s="29"/>
      <c r="I43" s="29">
        <f t="shared" si="1"/>
        <v>68000</v>
      </c>
      <c r="J43" s="370">
        <f>SUM(E43:I43)</f>
        <v>68000</v>
      </c>
    </row>
    <row r="44" spans="1:10" x14ac:dyDescent="0.25">
      <c r="A44" s="366"/>
      <c r="B44" s="21" t="s">
        <v>415</v>
      </c>
      <c r="C44" s="367" t="s">
        <v>106</v>
      </c>
      <c r="D44" s="372">
        <v>36600</v>
      </c>
      <c r="E44" s="368"/>
      <c r="F44" s="369"/>
      <c r="G44" s="29"/>
      <c r="H44" s="29"/>
      <c r="I44" s="29">
        <f t="shared" si="1"/>
        <v>36600</v>
      </c>
      <c r="J44" s="370">
        <f>SUM(E44:I44)</f>
        <v>36600</v>
      </c>
    </row>
    <row r="45" spans="1:10" ht="15" x14ac:dyDescent="0.25">
      <c r="A45" s="366"/>
      <c r="B45" s="377"/>
      <c r="C45" s="374" t="s">
        <v>109</v>
      </c>
      <c r="D45" s="375">
        <f t="shared" ref="D45:J45" si="3">SUM(D40:D44)</f>
        <v>663903</v>
      </c>
      <c r="E45" s="378">
        <f t="shared" si="3"/>
        <v>0</v>
      </c>
      <c r="F45" s="378">
        <f t="shared" si="3"/>
        <v>0</v>
      </c>
      <c r="G45" s="378">
        <f t="shared" si="3"/>
        <v>0</v>
      </c>
      <c r="H45" s="378">
        <f t="shared" si="3"/>
        <v>44503</v>
      </c>
      <c r="I45" s="29">
        <f t="shared" si="1"/>
        <v>619400</v>
      </c>
      <c r="J45" s="378">
        <f t="shared" si="3"/>
        <v>663903</v>
      </c>
    </row>
    <row r="46" spans="1:10" ht="15.75" x14ac:dyDescent="0.25">
      <c r="A46" s="366"/>
      <c r="B46" s="377"/>
      <c r="C46" s="379" t="s">
        <v>416</v>
      </c>
      <c r="D46" s="380">
        <f t="shared" ref="D46:J46" si="4">D39+D45</f>
        <v>8494797</v>
      </c>
      <c r="E46" s="381">
        <f t="shared" si="4"/>
        <v>2000000</v>
      </c>
      <c r="F46" s="381">
        <f t="shared" si="4"/>
        <v>482442</v>
      </c>
      <c r="G46" s="381">
        <f t="shared" si="4"/>
        <v>1617641</v>
      </c>
      <c r="H46" s="381">
        <f t="shared" si="4"/>
        <v>44503</v>
      </c>
      <c r="I46" s="29">
        <f t="shared" si="1"/>
        <v>4350211</v>
      </c>
      <c r="J46" s="381">
        <f t="shared" si="4"/>
        <v>8494797</v>
      </c>
    </row>
    <row r="47" spans="1:10" x14ac:dyDescent="0.25">
      <c r="A47" s="382"/>
      <c r="B47" s="383"/>
      <c r="C47" s="384"/>
      <c r="D47" s="356"/>
      <c r="E47" s="385" t="s">
        <v>417</v>
      </c>
      <c r="F47" s="385" t="s">
        <v>418</v>
      </c>
      <c r="G47" s="385" t="s">
        <v>113</v>
      </c>
      <c r="H47" s="385" t="s">
        <v>115</v>
      </c>
      <c r="I47" s="386"/>
      <c r="J47" s="387"/>
    </row>
    <row r="48" spans="1:10" x14ac:dyDescent="0.25">
      <c r="A48" s="382"/>
      <c r="B48" s="383"/>
      <c r="C48" s="383" t="s">
        <v>419</v>
      </c>
      <c r="D48" s="356"/>
      <c r="F48" s="439">
        <f>+F46+G46+H46</f>
        <v>2144586</v>
      </c>
      <c r="G48" s="440"/>
      <c r="H48" s="441"/>
      <c r="I48" s="388"/>
      <c r="J48" s="383"/>
    </row>
    <row r="49" spans="1:10" x14ac:dyDescent="0.25">
      <c r="A49" s="382"/>
      <c r="B49" s="383"/>
      <c r="C49" s="383"/>
      <c r="D49" s="356"/>
      <c r="E49" s="383"/>
      <c r="F49" s="383"/>
      <c r="G49" s="383"/>
      <c r="H49" s="383"/>
      <c r="I49" s="383"/>
      <c r="J49" s="383"/>
    </row>
    <row r="50" spans="1:10" x14ac:dyDescent="0.25">
      <c r="A50" s="382"/>
      <c r="B50" s="383"/>
      <c r="C50" s="383"/>
      <c r="D50" s="356"/>
      <c r="E50" s="383"/>
      <c r="F50" s="383"/>
      <c r="G50" s="383"/>
      <c r="H50" s="383"/>
      <c r="I50" s="383"/>
      <c r="J50" s="383"/>
    </row>
    <row r="51" spans="1:10" x14ac:dyDescent="0.25">
      <c r="A51" s="382"/>
      <c r="B51" s="383"/>
      <c r="C51" s="383"/>
      <c r="D51" s="356"/>
      <c r="E51" s="383"/>
      <c r="F51" s="383"/>
      <c r="G51" s="383"/>
      <c r="H51" s="383"/>
      <c r="I51" s="383"/>
      <c r="J51" s="383"/>
    </row>
    <row r="52" spans="1:10" x14ac:dyDescent="0.25">
      <c r="A52" s="382"/>
      <c r="B52" s="383"/>
      <c r="C52" s="383"/>
      <c r="D52" s="356"/>
      <c r="E52" s="383"/>
      <c r="F52" s="383"/>
      <c r="G52" s="383"/>
      <c r="H52" s="383"/>
      <c r="I52" s="383"/>
      <c r="J52" s="383"/>
    </row>
    <row r="53" spans="1:10" x14ac:dyDescent="0.25">
      <c r="A53" s="382"/>
      <c r="B53" s="383"/>
      <c r="C53" s="383"/>
      <c r="D53" s="383"/>
      <c r="E53" s="383"/>
      <c r="F53" s="383"/>
      <c r="G53" s="383"/>
      <c r="H53" s="383"/>
      <c r="I53" s="383"/>
      <c r="J53" s="383"/>
    </row>
    <row r="54" spans="1:10" x14ac:dyDescent="0.25">
      <c r="A54" s="382"/>
      <c r="B54" s="383"/>
      <c r="C54" s="383"/>
      <c r="D54" s="383"/>
      <c r="E54" s="383"/>
      <c r="F54" s="383"/>
      <c r="G54" s="383"/>
      <c r="H54" s="383"/>
      <c r="I54" s="383"/>
      <c r="J54" s="383"/>
    </row>
    <row r="55" spans="1:10" x14ac:dyDescent="0.25">
      <c r="A55" s="382"/>
      <c r="B55" s="383"/>
      <c r="C55" s="383"/>
      <c r="D55" s="383"/>
      <c r="E55" s="383"/>
      <c r="F55" s="383"/>
      <c r="G55" s="383"/>
      <c r="H55" s="383"/>
      <c r="I55" s="383"/>
      <c r="J55" s="383"/>
    </row>
    <row r="56" spans="1:10" x14ac:dyDescent="0.25">
      <c r="A56" s="382"/>
      <c r="B56" s="383"/>
      <c r="C56" s="383"/>
      <c r="D56" s="383"/>
      <c r="E56" s="383"/>
      <c r="F56" s="383"/>
      <c r="G56" s="383"/>
      <c r="H56" s="383"/>
      <c r="I56" s="383"/>
      <c r="J56" s="383"/>
    </row>
    <row r="57" spans="1:10" x14ac:dyDescent="0.25">
      <c r="A57" s="382"/>
      <c r="B57" s="383"/>
      <c r="C57" s="383"/>
      <c r="D57" s="383"/>
      <c r="E57" s="383"/>
      <c r="F57" s="383"/>
      <c r="G57" s="383"/>
      <c r="H57" s="383"/>
      <c r="I57" s="383"/>
      <c r="J57" s="383"/>
    </row>
    <row r="58" spans="1:10" x14ac:dyDescent="0.25">
      <c r="A58" s="382"/>
      <c r="B58" s="383"/>
      <c r="C58" s="383"/>
      <c r="D58" s="383"/>
      <c r="E58" s="383"/>
      <c r="F58" s="383"/>
      <c r="G58" s="383"/>
      <c r="H58" s="383"/>
      <c r="I58" s="383"/>
      <c r="J58" s="383"/>
    </row>
    <row r="59" spans="1:10" x14ac:dyDescent="0.25">
      <c r="A59" s="382"/>
      <c r="B59" s="383"/>
      <c r="C59" s="383"/>
      <c r="D59" s="383"/>
      <c r="E59" s="383"/>
      <c r="F59" s="383"/>
      <c r="G59" s="383"/>
      <c r="H59" s="383"/>
      <c r="I59" s="383"/>
      <c r="J59" s="383"/>
    </row>
    <row r="60" spans="1:10" x14ac:dyDescent="0.25">
      <c r="A60" s="382"/>
      <c r="B60" s="383"/>
      <c r="C60" s="383"/>
      <c r="D60" s="383"/>
      <c r="E60" s="383"/>
      <c r="F60" s="383"/>
      <c r="G60" s="383"/>
      <c r="H60" s="383"/>
      <c r="I60" s="383"/>
      <c r="J60" s="383"/>
    </row>
    <row r="61" spans="1:10" x14ac:dyDescent="0.25">
      <c r="A61" s="382"/>
      <c r="B61" s="383"/>
      <c r="C61" s="383"/>
      <c r="D61" s="383"/>
      <c r="E61" s="383"/>
      <c r="F61" s="383"/>
      <c r="G61" s="383"/>
      <c r="H61" s="383"/>
      <c r="I61" s="383"/>
      <c r="J61" s="383"/>
    </row>
    <row r="62" spans="1:10" x14ac:dyDescent="0.25">
      <c r="A62" s="382"/>
      <c r="B62" s="383"/>
      <c r="C62" s="383"/>
      <c r="D62" s="383"/>
      <c r="E62" s="383"/>
      <c r="F62" s="383"/>
      <c r="G62" s="383"/>
      <c r="H62" s="383"/>
      <c r="I62" s="383"/>
      <c r="J62" s="383"/>
    </row>
    <row r="63" spans="1:10" x14ac:dyDescent="0.25">
      <c r="A63" s="382"/>
      <c r="B63" s="383"/>
      <c r="C63" s="383"/>
      <c r="D63" s="383"/>
      <c r="E63" s="383"/>
      <c r="F63" s="383"/>
      <c r="G63" s="383"/>
      <c r="H63" s="383"/>
      <c r="I63" s="383"/>
      <c r="J63" s="383"/>
    </row>
    <row r="64" spans="1:10" x14ac:dyDescent="0.25">
      <c r="A64" s="382"/>
      <c r="B64" s="383"/>
      <c r="C64" s="383"/>
      <c r="D64" s="383"/>
      <c r="E64" s="383"/>
      <c r="F64" s="383"/>
      <c r="G64" s="383"/>
      <c r="H64" s="383"/>
      <c r="I64" s="383"/>
      <c r="J64" s="383"/>
    </row>
    <row r="65" spans="1:10" x14ac:dyDescent="0.25">
      <c r="A65" s="382"/>
      <c r="B65" s="383"/>
      <c r="C65" s="383"/>
      <c r="D65" s="383"/>
      <c r="E65" s="383"/>
      <c r="F65" s="383"/>
      <c r="G65" s="383"/>
      <c r="H65" s="383"/>
      <c r="I65" s="383"/>
      <c r="J65" s="383"/>
    </row>
    <row r="66" spans="1:10" x14ac:dyDescent="0.25">
      <c r="A66" s="382"/>
      <c r="B66" s="383"/>
      <c r="C66" s="383"/>
      <c r="D66" s="383"/>
      <c r="E66" s="383"/>
      <c r="F66" s="383"/>
      <c r="G66" s="383"/>
      <c r="H66" s="383"/>
      <c r="I66" s="383"/>
      <c r="J66" s="383"/>
    </row>
    <row r="67" spans="1:10" x14ac:dyDescent="0.25">
      <c r="A67" s="382"/>
      <c r="B67" s="383"/>
      <c r="C67" s="383"/>
      <c r="D67" s="383"/>
      <c r="E67" s="383"/>
      <c r="F67" s="383"/>
      <c r="G67" s="383"/>
      <c r="H67" s="383"/>
      <c r="I67" s="383"/>
      <c r="J67" s="383"/>
    </row>
    <row r="68" spans="1:10" x14ac:dyDescent="0.25">
      <c r="A68" s="382"/>
      <c r="B68" s="383"/>
      <c r="C68" s="383"/>
      <c r="D68" s="383"/>
      <c r="E68" s="383"/>
      <c r="F68" s="383"/>
      <c r="G68" s="383"/>
      <c r="H68" s="383"/>
      <c r="I68" s="383"/>
      <c r="J68" s="383"/>
    </row>
    <row r="69" spans="1:10" x14ac:dyDescent="0.25">
      <c r="A69" s="382"/>
      <c r="B69" s="383"/>
      <c r="C69" s="383"/>
      <c r="D69" s="383"/>
      <c r="E69" s="383"/>
      <c r="F69" s="383"/>
      <c r="G69" s="383"/>
      <c r="H69" s="383"/>
      <c r="I69" s="383"/>
      <c r="J69" s="383"/>
    </row>
    <row r="70" spans="1:10" x14ac:dyDescent="0.25">
      <c r="A70" s="382"/>
      <c r="B70" s="383"/>
      <c r="C70" s="383"/>
      <c r="D70" s="383"/>
      <c r="E70" s="383"/>
      <c r="F70" s="383"/>
      <c r="G70" s="383"/>
      <c r="H70" s="383"/>
      <c r="I70" s="383"/>
      <c r="J70" s="383"/>
    </row>
    <row r="71" spans="1:10" x14ac:dyDescent="0.25">
      <c r="A71" s="382"/>
      <c r="B71" s="383"/>
      <c r="C71" s="383"/>
      <c r="D71" s="383"/>
      <c r="E71" s="383"/>
      <c r="F71" s="383"/>
      <c r="G71" s="383"/>
      <c r="H71" s="383"/>
      <c r="I71" s="383"/>
      <c r="J71" s="383"/>
    </row>
    <row r="72" spans="1:10" x14ac:dyDescent="0.25">
      <c r="A72" s="382"/>
      <c r="B72" s="383"/>
      <c r="C72" s="383"/>
      <c r="D72" s="383"/>
      <c r="E72" s="383"/>
      <c r="F72" s="383"/>
      <c r="G72" s="383"/>
      <c r="H72" s="383"/>
      <c r="I72" s="383"/>
      <c r="J72" s="383"/>
    </row>
    <row r="73" spans="1:10" x14ac:dyDescent="0.25">
      <c r="A73" s="382"/>
      <c r="B73" s="383"/>
      <c r="C73" s="383"/>
      <c r="D73" s="383"/>
      <c r="E73" s="383"/>
      <c r="F73" s="383"/>
      <c r="G73" s="383"/>
      <c r="H73" s="383"/>
      <c r="I73" s="383"/>
      <c r="J73" s="383"/>
    </row>
    <row r="74" spans="1:10" x14ac:dyDescent="0.25">
      <c r="A74" s="382"/>
      <c r="B74" s="383"/>
      <c r="C74" s="383"/>
      <c r="D74" s="383"/>
      <c r="E74" s="383"/>
      <c r="F74" s="383"/>
      <c r="G74" s="383"/>
      <c r="H74" s="383"/>
      <c r="I74" s="383"/>
      <c r="J74" s="383"/>
    </row>
    <row r="75" spans="1:10" x14ac:dyDescent="0.25">
      <c r="A75" s="382"/>
      <c r="B75" s="383"/>
      <c r="C75" s="383"/>
      <c r="D75" s="383"/>
      <c r="E75" s="383"/>
      <c r="F75" s="383"/>
      <c r="G75" s="383"/>
      <c r="H75" s="383"/>
      <c r="I75" s="383"/>
      <c r="J75" s="383"/>
    </row>
    <row r="76" spans="1:10" x14ac:dyDescent="0.25">
      <c r="A76" s="382"/>
      <c r="B76" s="383"/>
      <c r="C76" s="383"/>
      <c r="D76" s="383"/>
      <c r="E76" s="383"/>
      <c r="F76" s="383"/>
      <c r="G76" s="383"/>
      <c r="H76" s="383"/>
      <c r="I76" s="383"/>
      <c r="J76" s="383"/>
    </row>
    <row r="77" spans="1:10" x14ac:dyDescent="0.25">
      <c r="A77" s="382"/>
      <c r="B77" s="383"/>
      <c r="C77" s="383"/>
      <c r="D77" s="383"/>
      <c r="E77" s="383"/>
      <c r="F77" s="383"/>
      <c r="G77" s="383"/>
      <c r="H77" s="383"/>
      <c r="I77" s="383"/>
      <c r="J77" s="383"/>
    </row>
    <row r="78" spans="1:10" x14ac:dyDescent="0.25">
      <c r="A78" s="382"/>
      <c r="B78" s="383"/>
      <c r="C78" s="383"/>
      <c r="D78" s="383"/>
      <c r="E78" s="383"/>
      <c r="F78" s="383"/>
      <c r="G78" s="383"/>
      <c r="H78" s="383"/>
      <c r="I78" s="383"/>
      <c r="J78" s="383"/>
    </row>
    <row r="79" spans="1:10" x14ac:dyDescent="0.25">
      <c r="A79" s="382"/>
      <c r="B79" s="383"/>
      <c r="C79" s="383"/>
      <c r="D79" s="383"/>
      <c r="E79" s="383"/>
      <c r="F79" s="383"/>
      <c r="G79" s="383"/>
      <c r="H79" s="383"/>
      <c r="I79" s="383"/>
      <c r="J79" s="383"/>
    </row>
    <row r="80" spans="1:10" x14ac:dyDescent="0.25">
      <c r="A80" s="382"/>
      <c r="B80" s="383"/>
      <c r="C80" s="383"/>
      <c r="D80" s="383"/>
      <c r="E80" s="383"/>
      <c r="F80" s="383"/>
      <c r="G80" s="383"/>
      <c r="H80" s="383"/>
      <c r="I80" s="383"/>
      <c r="J80" s="383"/>
    </row>
    <row r="81" spans="1:10" x14ac:dyDescent="0.25">
      <c r="A81" s="382"/>
      <c r="B81" s="383"/>
      <c r="C81" s="383"/>
      <c r="D81" s="383"/>
      <c r="E81" s="383"/>
      <c r="F81" s="383"/>
      <c r="G81" s="383"/>
      <c r="H81" s="383"/>
      <c r="I81" s="383"/>
      <c r="J81" s="383"/>
    </row>
    <row r="82" spans="1:10" x14ac:dyDescent="0.25">
      <c r="A82" s="382"/>
      <c r="B82" s="383"/>
      <c r="C82" s="383"/>
      <c r="D82" s="383"/>
      <c r="E82" s="383"/>
      <c r="F82" s="383"/>
      <c r="G82" s="383"/>
      <c r="H82" s="383"/>
      <c r="I82" s="383"/>
      <c r="J82" s="383"/>
    </row>
    <row r="83" spans="1:10" x14ac:dyDescent="0.25">
      <c r="A83" s="382"/>
      <c r="B83" s="383"/>
      <c r="C83" s="383"/>
      <c r="D83" s="383"/>
      <c r="E83" s="383"/>
      <c r="F83" s="383"/>
      <c r="G83" s="383"/>
      <c r="H83" s="383"/>
      <c r="I83" s="383"/>
      <c r="J83" s="383"/>
    </row>
    <row r="84" spans="1:10" x14ac:dyDescent="0.25">
      <c r="A84" s="382"/>
      <c r="B84" s="383"/>
      <c r="C84" s="383"/>
      <c r="D84" s="383"/>
      <c r="E84" s="383"/>
      <c r="F84" s="383"/>
      <c r="G84" s="383"/>
      <c r="H84" s="383"/>
      <c r="I84" s="383"/>
      <c r="J84" s="383"/>
    </row>
    <row r="85" spans="1:10" x14ac:dyDescent="0.25">
      <c r="A85" s="382"/>
      <c r="B85" s="383"/>
      <c r="C85" s="383"/>
      <c r="D85" s="383"/>
      <c r="E85" s="383"/>
      <c r="F85" s="383"/>
      <c r="G85" s="383"/>
      <c r="H85" s="383"/>
      <c r="I85" s="383"/>
      <c r="J85" s="383"/>
    </row>
    <row r="86" spans="1:10" x14ac:dyDescent="0.25">
      <c r="A86" s="382"/>
      <c r="B86" s="383"/>
      <c r="C86" s="383"/>
      <c r="D86" s="383"/>
      <c r="E86" s="383"/>
      <c r="F86" s="383"/>
      <c r="G86" s="383"/>
      <c r="H86" s="383"/>
      <c r="I86" s="383"/>
      <c r="J86" s="383"/>
    </row>
    <row r="87" spans="1:10" x14ac:dyDescent="0.25">
      <c r="A87" s="382"/>
      <c r="B87" s="383"/>
      <c r="C87" s="383"/>
      <c r="D87" s="383"/>
      <c r="E87" s="383"/>
      <c r="F87" s="383"/>
      <c r="G87" s="383"/>
      <c r="H87" s="383"/>
      <c r="I87" s="383"/>
      <c r="J87" s="383"/>
    </row>
    <row r="88" spans="1:10" x14ac:dyDescent="0.25">
      <c r="A88" s="382"/>
      <c r="B88" s="383"/>
      <c r="C88" s="383"/>
      <c r="D88" s="383"/>
      <c r="E88" s="383"/>
      <c r="F88" s="383"/>
      <c r="G88" s="383"/>
      <c r="H88" s="383"/>
      <c r="I88" s="383"/>
      <c r="J88" s="383"/>
    </row>
    <row r="89" spans="1:10" x14ac:dyDescent="0.25">
      <c r="A89" s="382"/>
      <c r="B89" s="383"/>
      <c r="C89" s="383"/>
      <c r="D89" s="383"/>
      <c r="E89" s="383"/>
      <c r="F89" s="383"/>
      <c r="G89" s="383"/>
      <c r="H89" s="383"/>
      <c r="I89" s="383"/>
      <c r="J89" s="383"/>
    </row>
    <row r="90" spans="1:10" x14ac:dyDescent="0.25">
      <c r="A90" s="382"/>
      <c r="B90" s="383"/>
      <c r="C90" s="383"/>
      <c r="D90" s="383"/>
      <c r="E90" s="383"/>
      <c r="F90" s="383"/>
      <c r="G90" s="383"/>
      <c r="H90" s="383"/>
      <c r="I90" s="383"/>
      <c r="J90" s="383"/>
    </row>
    <row r="91" spans="1:10" x14ac:dyDescent="0.25">
      <c r="A91" s="382"/>
      <c r="B91" s="383"/>
      <c r="C91" s="383"/>
      <c r="D91" s="383"/>
      <c r="E91" s="383"/>
      <c r="F91" s="383"/>
      <c r="G91" s="383"/>
      <c r="H91" s="383"/>
      <c r="I91" s="383"/>
      <c r="J91" s="383"/>
    </row>
    <row r="92" spans="1:10" x14ac:dyDescent="0.25">
      <c r="A92" s="382"/>
      <c r="B92" s="383"/>
      <c r="C92" s="383"/>
      <c r="D92" s="383"/>
      <c r="E92" s="383"/>
      <c r="F92" s="383"/>
      <c r="G92" s="383"/>
      <c r="H92" s="383"/>
      <c r="I92" s="383"/>
      <c r="J92" s="383"/>
    </row>
    <row r="93" spans="1:10" x14ac:dyDescent="0.25">
      <c r="A93" s="382"/>
      <c r="B93" s="383"/>
      <c r="C93" s="383"/>
      <c r="D93" s="383"/>
      <c r="E93" s="383"/>
      <c r="F93" s="383"/>
      <c r="G93" s="383"/>
      <c r="H93" s="383"/>
      <c r="I93" s="383"/>
      <c r="J93" s="383"/>
    </row>
    <row r="94" spans="1:10" x14ac:dyDescent="0.25">
      <c r="A94" s="382"/>
      <c r="B94" s="383"/>
      <c r="C94" s="383"/>
      <c r="D94" s="383"/>
      <c r="E94" s="383"/>
      <c r="F94" s="383"/>
      <c r="G94" s="383"/>
      <c r="H94" s="383"/>
      <c r="I94" s="383"/>
      <c r="J94" s="383"/>
    </row>
    <row r="95" spans="1:10" x14ac:dyDescent="0.25">
      <c r="A95" s="382"/>
      <c r="B95" s="383"/>
      <c r="C95" s="383"/>
      <c r="D95" s="383"/>
      <c r="E95" s="383"/>
      <c r="F95" s="383"/>
      <c r="G95" s="383"/>
      <c r="H95" s="383"/>
      <c r="I95" s="383"/>
      <c r="J95" s="383"/>
    </row>
    <row r="96" spans="1:10" x14ac:dyDescent="0.25">
      <c r="A96" s="382"/>
      <c r="B96" s="383"/>
      <c r="C96" s="383"/>
      <c r="D96" s="383"/>
      <c r="E96" s="383"/>
      <c r="F96" s="383"/>
      <c r="G96" s="383"/>
      <c r="H96" s="383"/>
      <c r="I96" s="383"/>
      <c r="J96" s="383"/>
    </row>
    <row r="97" spans="1:10" x14ac:dyDescent="0.25">
      <c r="A97" s="382"/>
      <c r="B97" s="383"/>
      <c r="C97" s="383"/>
      <c r="D97" s="383"/>
      <c r="E97" s="383"/>
      <c r="F97" s="383"/>
      <c r="G97" s="383"/>
      <c r="H97" s="383"/>
      <c r="I97" s="383"/>
      <c r="J97" s="383"/>
    </row>
    <row r="98" spans="1:10" x14ac:dyDescent="0.25">
      <c r="A98" s="382"/>
      <c r="B98" s="383"/>
      <c r="C98" s="383"/>
      <c r="D98" s="383"/>
      <c r="E98" s="383"/>
      <c r="F98" s="383"/>
      <c r="G98" s="383"/>
      <c r="H98" s="383"/>
      <c r="I98" s="383"/>
      <c r="J98" s="383"/>
    </row>
    <row r="99" spans="1:10" x14ac:dyDescent="0.25">
      <c r="A99" s="382"/>
      <c r="B99" s="383"/>
      <c r="C99" s="383"/>
      <c r="D99" s="383"/>
      <c r="E99" s="383"/>
      <c r="F99" s="383"/>
      <c r="G99" s="383"/>
      <c r="H99" s="383"/>
      <c r="I99" s="383"/>
      <c r="J99" s="383"/>
    </row>
    <row r="100" spans="1:10" x14ac:dyDescent="0.25">
      <c r="A100" s="382"/>
      <c r="B100" s="383"/>
      <c r="C100" s="383"/>
      <c r="D100" s="383"/>
      <c r="E100" s="383"/>
      <c r="F100" s="383"/>
      <c r="G100" s="383"/>
      <c r="H100" s="383"/>
      <c r="I100" s="383"/>
      <c r="J100" s="383"/>
    </row>
    <row r="101" spans="1:10" x14ac:dyDescent="0.25">
      <c r="A101" s="382"/>
      <c r="B101" s="383"/>
      <c r="C101" s="383"/>
      <c r="D101" s="383"/>
      <c r="E101" s="383"/>
      <c r="F101" s="383"/>
      <c r="G101" s="383"/>
      <c r="H101" s="383"/>
      <c r="I101" s="383"/>
      <c r="J101" s="383"/>
    </row>
    <row r="102" spans="1:10" x14ac:dyDescent="0.25">
      <c r="A102" s="382"/>
      <c r="B102" s="383"/>
      <c r="C102" s="383"/>
      <c r="D102" s="383"/>
      <c r="E102" s="383"/>
      <c r="F102" s="383"/>
      <c r="G102" s="383"/>
      <c r="H102" s="383"/>
      <c r="I102" s="383"/>
      <c r="J102" s="383"/>
    </row>
    <row r="103" spans="1:10" x14ac:dyDescent="0.25">
      <c r="A103" s="382"/>
      <c r="B103" s="383"/>
      <c r="C103" s="383"/>
      <c r="D103" s="383"/>
      <c r="E103" s="383"/>
      <c r="F103" s="383"/>
      <c r="G103" s="383"/>
      <c r="H103" s="383"/>
      <c r="I103" s="383"/>
      <c r="J103" s="383"/>
    </row>
    <row r="104" spans="1:10" x14ac:dyDescent="0.25">
      <c r="A104" s="382"/>
      <c r="B104" s="383"/>
      <c r="C104" s="383"/>
      <c r="D104" s="383"/>
      <c r="E104" s="383"/>
      <c r="F104" s="383"/>
      <c r="G104" s="383"/>
      <c r="H104" s="383"/>
      <c r="I104" s="383"/>
      <c r="J104" s="383"/>
    </row>
    <row r="105" spans="1:10" x14ac:dyDescent="0.25">
      <c r="A105" s="382"/>
      <c r="B105" s="383"/>
      <c r="C105" s="383"/>
      <c r="D105" s="383"/>
      <c r="E105" s="383"/>
      <c r="F105" s="383"/>
      <c r="G105" s="383"/>
      <c r="H105" s="383"/>
      <c r="I105" s="383"/>
      <c r="J105" s="383"/>
    </row>
    <row r="106" spans="1:10" x14ac:dyDescent="0.25">
      <c r="A106" s="382"/>
      <c r="B106" s="383"/>
      <c r="C106" s="383"/>
      <c r="D106" s="383"/>
      <c r="E106" s="383"/>
      <c r="F106" s="383"/>
      <c r="G106" s="383"/>
      <c r="H106" s="383"/>
      <c r="I106" s="383"/>
      <c r="J106" s="383"/>
    </row>
    <row r="107" spans="1:10" x14ac:dyDescent="0.25">
      <c r="A107" s="382"/>
      <c r="B107" s="383"/>
      <c r="C107" s="383"/>
      <c r="D107" s="383"/>
      <c r="E107" s="383"/>
      <c r="F107" s="383"/>
      <c r="G107" s="383"/>
      <c r="H107" s="383"/>
      <c r="I107" s="383"/>
      <c r="J107" s="383"/>
    </row>
    <row r="108" spans="1:10" x14ac:dyDescent="0.25">
      <c r="A108" s="382"/>
      <c r="B108" s="383"/>
      <c r="C108" s="383"/>
      <c r="D108" s="383"/>
      <c r="E108" s="383"/>
      <c r="F108" s="383"/>
      <c r="G108" s="383"/>
      <c r="H108" s="383"/>
      <c r="I108" s="383"/>
      <c r="J108" s="383"/>
    </row>
    <row r="109" spans="1:10" x14ac:dyDescent="0.25">
      <c r="A109" s="382"/>
      <c r="B109" s="383"/>
      <c r="C109" s="383"/>
      <c r="D109" s="383"/>
      <c r="E109" s="383"/>
      <c r="F109" s="383"/>
      <c r="G109" s="383"/>
      <c r="H109" s="383"/>
      <c r="I109" s="383"/>
      <c r="J109" s="383"/>
    </row>
    <row r="110" spans="1:10" x14ac:dyDescent="0.25">
      <c r="A110" s="382"/>
      <c r="B110" s="383"/>
      <c r="C110" s="383"/>
      <c r="D110" s="383"/>
      <c r="E110" s="383"/>
      <c r="F110" s="383"/>
      <c r="G110" s="383"/>
      <c r="H110" s="383"/>
      <c r="I110" s="383"/>
      <c r="J110" s="383"/>
    </row>
  </sheetData>
  <autoFilter ref="A4:J46" xr:uid="{A3A9E37A-862D-4D93-8BCF-05CE635811C7}"/>
  <mergeCells count="2">
    <mergeCell ref="E3:I3"/>
    <mergeCell ref="F48:H48"/>
  </mergeCells>
  <printOptions horizontalCentered="1"/>
  <pageMargins left="7.874015748031496E-2" right="7.874015748031496E-2" top="0" bottom="0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509D-CCFF-42A2-B3A2-A77E60800F77}">
  <dimension ref="A1:K110"/>
  <sheetViews>
    <sheetView zoomScaleNormal="100" zoomScaleSheetLayoutView="100" workbookViewId="0">
      <selection activeCell="E13" sqref="E13"/>
    </sheetView>
  </sheetViews>
  <sheetFormatPr baseColWidth="10" defaultColWidth="8" defaultRowHeight="13.5" x14ac:dyDescent="0.25"/>
  <cols>
    <col min="1" max="1" width="9.7109375" style="354" customWidth="1"/>
    <col min="2" max="2" width="15.42578125" style="355" bestFit="1" customWidth="1"/>
    <col min="3" max="3" width="36.7109375" style="355" bestFit="1" customWidth="1"/>
    <col min="4" max="9" width="10.140625" style="355" bestFit="1" customWidth="1"/>
    <col min="10" max="10" width="10.140625" style="355" customWidth="1"/>
    <col min="11" max="11" width="10" style="355" bestFit="1" customWidth="1"/>
    <col min="12" max="233" width="8" style="354"/>
    <col min="234" max="234" width="7.7109375" style="354" bestFit="1" customWidth="1"/>
    <col min="235" max="235" width="15.5703125" style="354" bestFit="1" customWidth="1"/>
    <col min="236" max="236" width="31.42578125" style="354" customWidth="1"/>
    <col min="237" max="237" width="10.140625" style="354" bestFit="1" customWidth="1"/>
    <col min="238" max="238" width="10.42578125" style="354" bestFit="1" customWidth="1"/>
    <col min="239" max="239" width="10" style="354" customWidth="1"/>
    <col min="240" max="240" width="11" style="354" customWidth="1"/>
    <col min="241" max="241" width="10.42578125" style="354" bestFit="1" customWidth="1"/>
    <col min="242" max="242" width="11.85546875" style="354" customWidth="1"/>
    <col min="243" max="243" width="10.140625" style="354" bestFit="1" customWidth="1"/>
    <col min="244" max="244" width="10.140625" style="354" customWidth="1"/>
    <col min="245" max="245" width="11.28515625" style="354" customWidth="1"/>
    <col min="246" max="248" width="10.140625" style="354" bestFit="1" customWidth="1"/>
    <col min="249" max="249" width="10.42578125" style="354" bestFit="1" customWidth="1"/>
    <col min="250" max="250" width="10.140625" style="354" bestFit="1" customWidth="1"/>
    <col min="251" max="251" width="9.140625" style="354" bestFit="1" customWidth="1"/>
    <col min="252" max="253" width="10.140625" style="354" bestFit="1" customWidth="1"/>
    <col min="254" max="254" width="8.85546875" style="354" bestFit="1" customWidth="1"/>
    <col min="255" max="255" width="9.140625" style="354" bestFit="1" customWidth="1"/>
    <col min="256" max="258" width="8.85546875" style="354" bestFit="1" customWidth="1"/>
    <col min="259" max="259" width="13.28515625" style="354" bestFit="1" customWidth="1"/>
    <col min="260" max="261" width="10.140625" style="354" bestFit="1" customWidth="1"/>
    <col min="262" max="262" width="5.7109375" style="354" bestFit="1" customWidth="1"/>
    <col min="263" max="263" width="6.42578125" style="354" bestFit="1" customWidth="1"/>
    <col min="264" max="264" width="6.28515625" style="354" bestFit="1" customWidth="1"/>
    <col min="265" max="265" width="7" style="354" bestFit="1" customWidth="1"/>
    <col min="266" max="266" width="20.42578125" style="354" bestFit="1" customWidth="1"/>
    <col min="267" max="267" width="5.140625" style="354" customWidth="1"/>
    <col min="268" max="489" width="8" style="354"/>
    <col min="490" max="490" width="7.7109375" style="354" bestFit="1" customWidth="1"/>
    <col min="491" max="491" width="15.5703125" style="354" bestFit="1" customWidth="1"/>
    <col min="492" max="492" width="31.42578125" style="354" customWidth="1"/>
    <col min="493" max="493" width="10.140625" style="354" bestFit="1" customWidth="1"/>
    <col min="494" max="494" width="10.42578125" style="354" bestFit="1" customWidth="1"/>
    <col min="495" max="495" width="10" style="354" customWidth="1"/>
    <col min="496" max="496" width="11" style="354" customWidth="1"/>
    <col min="497" max="497" width="10.42578125" style="354" bestFit="1" customWidth="1"/>
    <col min="498" max="498" width="11.85546875" style="354" customWidth="1"/>
    <col min="499" max="499" width="10.140625" style="354" bestFit="1" customWidth="1"/>
    <col min="500" max="500" width="10.140625" style="354" customWidth="1"/>
    <col min="501" max="501" width="11.28515625" style="354" customWidth="1"/>
    <col min="502" max="504" width="10.140625" style="354" bestFit="1" customWidth="1"/>
    <col min="505" max="505" width="10.42578125" style="354" bestFit="1" customWidth="1"/>
    <col min="506" max="506" width="10.140625" style="354" bestFit="1" customWidth="1"/>
    <col min="507" max="507" width="9.140625" style="354" bestFit="1" customWidth="1"/>
    <col min="508" max="509" width="10.140625" style="354" bestFit="1" customWidth="1"/>
    <col min="510" max="510" width="8.85546875" style="354" bestFit="1" customWidth="1"/>
    <col min="511" max="511" width="9.140625" style="354" bestFit="1" customWidth="1"/>
    <col min="512" max="514" width="8.85546875" style="354" bestFit="1" customWidth="1"/>
    <col min="515" max="515" width="13.28515625" style="354" bestFit="1" customWidth="1"/>
    <col min="516" max="517" width="10.140625" style="354" bestFit="1" customWidth="1"/>
    <col min="518" max="518" width="5.7109375" style="354" bestFit="1" customWidth="1"/>
    <col min="519" max="519" width="6.42578125" style="354" bestFit="1" customWidth="1"/>
    <col min="520" max="520" width="6.28515625" style="354" bestFit="1" customWidth="1"/>
    <col min="521" max="521" width="7" style="354" bestFit="1" customWidth="1"/>
    <col min="522" max="522" width="20.42578125" style="354" bestFit="1" customWidth="1"/>
    <col min="523" max="523" width="5.140625" style="354" customWidth="1"/>
    <col min="524" max="745" width="8" style="354"/>
    <col min="746" max="746" width="7.7109375" style="354" bestFit="1" customWidth="1"/>
    <col min="747" max="747" width="15.5703125" style="354" bestFit="1" customWidth="1"/>
    <col min="748" max="748" width="31.42578125" style="354" customWidth="1"/>
    <col min="749" max="749" width="10.140625" style="354" bestFit="1" customWidth="1"/>
    <col min="750" max="750" width="10.42578125" style="354" bestFit="1" customWidth="1"/>
    <col min="751" max="751" width="10" style="354" customWidth="1"/>
    <col min="752" max="752" width="11" style="354" customWidth="1"/>
    <col min="753" max="753" width="10.42578125" style="354" bestFit="1" customWidth="1"/>
    <col min="754" max="754" width="11.85546875" style="354" customWidth="1"/>
    <col min="755" max="755" width="10.140625" style="354" bestFit="1" customWidth="1"/>
    <col min="756" max="756" width="10.140625" style="354" customWidth="1"/>
    <col min="757" max="757" width="11.28515625" style="354" customWidth="1"/>
    <col min="758" max="760" width="10.140625" style="354" bestFit="1" customWidth="1"/>
    <col min="761" max="761" width="10.42578125" style="354" bestFit="1" customWidth="1"/>
    <col min="762" max="762" width="10.140625" style="354" bestFit="1" customWidth="1"/>
    <col min="763" max="763" width="9.140625" style="354" bestFit="1" customWidth="1"/>
    <col min="764" max="765" width="10.140625" style="354" bestFit="1" customWidth="1"/>
    <col min="766" max="766" width="8.85546875" style="354" bestFit="1" customWidth="1"/>
    <col min="767" max="767" width="9.140625" style="354" bestFit="1" customWidth="1"/>
    <col min="768" max="770" width="8.85546875" style="354" bestFit="1" customWidth="1"/>
    <col min="771" max="771" width="13.28515625" style="354" bestFit="1" customWidth="1"/>
    <col min="772" max="773" width="10.140625" style="354" bestFit="1" customWidth="1"/>
    <col min="774" max="774" width="5.7109375" style="354" bestFit="1" customWidth="1"/>
    <col min="775" max="775" width="6.42578125" style="354" bestFit="1" customWidth="1"/>
    <col min="776" max="776" width="6.28515625" style="354" bestFit="1" customWidth="1"/>
    <col min="777" max="777" width="7" style="354" bestFit="1" customWidth="1"/>
    <col min="778" max="778" width="20.42578125" style="354" bestFit="1" customWidth="1"/>
    <col min="779" max="779" width="5.140625" style="354" customWidth="1"/>
    <col min="780" max="1001" width="8" style="354"/>
    <col min="1002" max="1002" width="7.7109375" style="354" bestFit="1" customWidth="1"/>
    <col min="1003" max="1003" width="15.5703125" style="354" bestFit="1" customWidth="1"/>
    <col min="1004" max="1004" width="31.42578125" style="354" customWidth="1"/>
    <col min="1005" max="1005" width="10.140625" style="354" bestFit="1" customWidth="1"/>
    <col min="1006" max="1006" width="10.42578125" style="354" bestFit="1" customWidth="1"/>
    <col min="1007" max="1007" width="10" style="354" customWidth="1"/>
    <col min="1008" max="1008" width="11" style="354" customWidth="1"/>
    <col min="1009" max="1009" width="10.42578125" style="354" bestFit="1" customWidth="1"/>
    <col min="1010" max="1010" width="11.85546875" style="354" customWidth="1"/>
    <col min="1011" max="1011" width="10.140625" style="354" bestFit="1" customWidth="1"/>
    <col min="1012" max="1012" width="10.140625" style="354" customWidth="1"/>
    <col min="1013" max="1013" width="11.28515625" style="354" customWidth="1"/>
    <col min="1014" max="1016" width="10.140625" style="354" bestFit="1" customWidth="1"/>
    <col min="1017" max="1017" width="10.42578125" style="354" bestFit="1" customWidth="1"/>
    <col min="1018" max="1018" width="10.140625" style="354" bestFit="1" customWidth="1"/>
    <col min="1019" max="1019" width="9.140625" style="354" bestFit="1" customWidth="1"/>
    <col min="1020" max="1021" width="10.140625" style="354" bestFit="1" customWidth="1"/>
    <col min="1022" max="1022" width="8.85546875" style="354" bestFit="1" customWidth="1"/>
    <col min="1023" max="1023" width="9.140625" style="354" bestFit="1" customWidth="1"/>
    <col min="1024" max="1026" width="8.85546875" style="354" bestFit="1" customWidth="1"/>
    <col min="1027" max="1027" width="13.28515625" style="354" bestFit="1" customWidth="1"/>
    <col min="1028" max="1029" width="10.140625" style="354" bestFit="1" customWidth="1"/>
    <col min="1030" max="1030" width="5.7109375" style="354" bestFit="1" customWidth="1"/>
    <col min="1031" max="1031" width="6.42578125" style="354" bestFit="1" customWidth="1"/>
    <col min="1032" max="1032" width="6.28515625" style="354" bestFit="1" customWidth="1"/>
    <col min="1033" max="1033" width="7" style="354" bestFit="1" customWidth="1"/>
    <col min="1034" max="1034" width="20.42578125" style="354" bestFit="1" customWidth="1"/>
    <col min="1035" max="1035" width="5.140625" style="354" customWidth="1"/>
    <col min="1036" max="1257" width="8" style="354"/>
    <col min="1258" max="1258" width="7.7109375" style="354" bestFit="1" customWidth="1"/>
    <col min="1259" max="1259" width="15.5703125" style="354" bestFit="1" customWidth="1"/>
    <col min="1260" max="1260" width="31.42578125" style="354" customWidth="1"/>
    <col min="1261" max="1261" width="10.140625" style="354" bestFit="1" customWidth="1"/>
    <col min="1262" max="1262" width="10.42578125" style="354" bestFit="1" customWidth="1"/>
    <col min="1263" max="1263" width="10" style="354" customWidth="1"/>
    <col min="1264" max="1264" width="11" style="354" customWidth="1"/>
    <col min="1265" max="1265" width="10.42578125" style="354" bestFit="1" customWidth="1"/>
    <col min="1266" max="1266" width="11.85546875" style="354" customWidth="1"/>
    <col min="1267" max="1267" width="10.140625" style="354" bestFit="1" customWidth="1"/>
    <col min="1268" max="1268" width="10.140625" style="354" customWidth="1"/>
    <col min="1269" max="1269" width="11.28515625" style="354" customWidth="1"/>
    <col min="1270" max="1272" width="10.140625" style="354" bestFit="1" customWidth="1"/>
    <col min="1273" max="1273" width="10.42578125" style="354" bestFit="1" customWidth="1"/>
    <col min="1274" max="1274" width="10.140625" style="354" bestFit="1" customWidth="1"/>
    <col min="1275" max="1275" width="9.140625" style="354" bestFit="1" customWidth="1"/>
    <col min="1276" max="1277" width="10.140625" style="354" bestFit="1" customWidth="1"/>
    <col min="1278" max="1278" width="8.85546875" style="354" bestFit="1" customWidth="1"/>
    <col min="1279" max="1279" width="9.140625" style="354" bestFit="1" customWidth="1"/>
    <col min="1280" max="1282" width="8.85546875" style="354" bestFit="1" customWidth="1"/>
    <col min="1283" max="1283" width="13.28515625" style="354" bestFit="1" customWidth="1"/>
    <col min="1284" max="1285" width="10.140625" style="354" bestFit="1" customWidth="1"/>
    <col min="1286" max="1286" width="5.7109375" style="354" bestFit="1" customWidth="1"/>
    <col min="1287" max="1287" width="6.42578125" style="354" bestFit="1" customWidth="1"/>
    <col min="1288" max="1288" width="6.28515625" style="354" bestFit="1" customWidth="1"/>
    <col min="1289" max="1289" width="7" style="354" bestFit="1" customWidth="1"/>
    <col min="1290" max="1290" width="20.42578125" style="354" bestFit="1" customWidth="1"/>
    <col min="1291" max="1291" width="5.140625" style="354" customWidth="1"/>
    <col min="1292" max="1513" width="8" style="354"/>
    <col min="1514" max="1514" width="7.7109375" style="354" bestFit="1" customWidth="1"/>
    <col min="1515" max="1515" width="15.5703125" style="354" bestFit="1" customWidth="1"/>
    <col min="1516" max="1516" width="31.42578125" style="354" customWidth="1"/>
    <col min="1517" max="1517" width="10.140625" style="354" bestFit="1" customWidth="1"/>
    <col min="1518" max="1518" width="10.42578125" style="354" bestFit="1" customWidth="1"/>
    <col min="1519" max="1519" width="10" style="354" customWidth="1"/>
    <col min="1520" max="1520" width="11" style="354" customWidth="1"/>
    <col min="1521" max="1521" width="10.42578125" style="354" bestFit="1" customWidth="1"/>
    <col min="1522" max="1522" width="11.85546875" style="354" customWidth="1"/>
    <col min="1523" max="1523" width="10.140625" style="354" bestFit="1" customWidth="1"/>
    <col min="1524" max="1524" width="10.140625" style="354" customWidth="1"/>
    <col min="1525" max="1525" width="11.28515625" style="354" customWidth="1"/>
    <col min="1526" max="1528" width="10.140625" style="354" bestFit="1" customWidth="1"/>
    <col min="1529" max="1529" width="10.42578125" style="354" bestFit="1" customWidth="1"/>
    <col min="1530" max="1530" width="10.140625" style="354" bestFit="1" customWidth="1"/>
    <col min="1531" max="1531" width="9.140625" style="354" bestFit="1" customWidth="1"/>
    <col min="1532" max="1533" width="10.140625" style="354" bestFit="1" customWidth="1"/>
    <col min="1534" max="1534" width="8.85546875" style="354" bestFit="1" customWidth="1"/>
    <col min="1535" max="1535" width="9.140625" style="354" bestFit="1" customWidth="1"/>
    <col min="1536" max="1538" width="8.85546875" style="354" bestFit="1" customWidth="1"/>
    <col min="1539" max="1539" width="13.28515625" style="354" bestFit="1" customWidth="1"/>
    <col min="1540" max="1541" width="10.140625" style="354" bestFit="1" customWidth="1"/>
    <col min="1542" max="1542" width="5.7109375" style="354" bestFit="1" customWidth="1"/>
    <col min="1543" max="1543" width="6.42578125" style="354" bestFit="1" customWidth="1"/>
    <col min="1544" max="1544" width="6.28515625" style="354" bestFit="1" customWidth="1"/>
    <col min="1545" max="1545" width="7" style="354" bestFit="1" customWidth="1"/>
    <col min="1546" max="1546" width="20.42578125" style="354" bestFit="1" customWidth="1"/>
    <col min="1547" max="1547" width="5.140625" style="354" customWidth="1"/>
    <col min="1548" max="1769" width="8" style="354"/>
    <col min="1770" max="1770" width="7.7109375" style="354" bestFit="1" customWidth="1"/>
    <col min="1771" max="1771" width="15.5703125" style="354" bestFit="1" customWidth="1"/>
    <col min="1772" max="1772" width="31.42578125" style="354" customWidth="1"/>
    <col min="1773" max="1773" width="10.140625" style="354" bestFit="1" customWidth="1"/>
    <col min="1774" max="1774" width="10.42578125" style="354" bestFit="1" customWidth="1"/>
    <col min="1775" max="1775" width="10" style="354" customWidth="1"/>
    <col min="1776" max="1776" width="11" style="354" customWidth="1"/>
    <col min="1777" max="1777" width="10.42578125" style="354" bestFit="1" customWidth="1"/>
    <col min="1778" max="1778" width="11.85546875" style="354" customWidth="1"/>
    <col min="1779" max="1779" width="10.140625" style="354" bestFit="1" customWidth="1"/>
    <col min="1780" max="1780" width="10.140625" style="354" customWidth="1"/>
    <col min="1781" max="1781" width="11.28515625" style="354" customWidth="1"/>
    <col min="1782" max="1784" width="10.140625" style="354" bestFit="1" customWidth="1"/>
    <col min="1785" max="1785" width="10.42578125" style="354" bestFit="1" customWidth="1"/>
    <col min="1786" max="1786" width="10.140625" style="354" bestFit="1" customWidth="1"/>
    <col min="1787" max="1787" width="9.140625" style="354" bestFit="1" customWidth="1"/>
    <col min="1788" max="1789" width="10.140625" style="354" bestFit="1" customWidth="1"/>
    <col min="1790" max="1790" width="8.85546875" style="354" bestFit="1" customWidth="1"/>
    <col min="1791" max="1791" width="9.140625" style="354" bestFit="1" customWidth="1"/>
    <col min="1792" max="1794" width="8.85546875" style="354" bestFit="1" customWidth="1"/>
    <col min="1795" max="1795" width="13.28515625" style="354" bestFit="1" customWidth="1"/>
    <col min="1796" max="1797" width="10.140625" style="354" bestFit="1" customWidth="1"/>
    <col min="1798" max="1798" width="5.7109375" style="354" bestFit="1" customWidth="1"/>
    <col min="1799" max="1799" width="6.42578125" style="354" bestFit="1" customWidth="1"/>
    <col min="1800" max="1800" width="6.28515625" style="354" bestFit="1" customWidth="1"/>
    <col min="1801" max="1801" width="7" style="354" bestFit="1" customWidth="1"/>
    <col min="1802" max="1802" width="20.42578125" style="354" bestFit="1" customWidth="1"/>
    <col min="1803" max="1803" width="5.140625" style="354" customWidth="1"/>
    <col min="1804" max="2025" width="8" style="354"/>
    <col min="2026" max="2026" width="7.7109375" style="354" bestFit="1" customWidth="1"/>
    <col min="2027" max="2027" width="15.5703125" style="354" bestFit="1" customWidth="1"/>
    <col min="2028" max="2028" width="31.42578125" style="354" customWidth="1"/>
    <col min="2029" max="2029" width="10.140625" style="354" bestFit="1" customWidth="1"/>
    <col min="2030" max="2030" width="10.42578125" style="354" bestFit="1" customWidth="1"/>
    <col min="2031" max="2031" width="10" style="354" customWidth="1"/>
    <col min="2032" max="2032" width="11" style="354" customWidth="1"/>
    <col min="2033" max="2033" width="10.42578125" style="354" bestFit="1" customWidth="1"/>
    <col min="2034" max="2034" width="11.85546875" style="354" customWidth="1"/>
    <col min="2035" max="2035" width="10.140625" style="354" bestFit="1" customWidth="1"/>
    <col min="2036" max="2036" width="10.140625" style="354" customWidth="1"/>
    <col min="2037" max="2037" width="11.28515625" style="354" customWidth="1"/>
    <col min="2038" max="2040" width="10.140625" style="354" bestFit="1" customWidth="1"/>
    <col min="2041" max="2041" width="10.42578125" style="354" bestFit="1" customWidth="1"/>
    <col min="2042" max="2042" width="10.140625" style="354" bestFit="1" customWidth="1"/>
    <col min="2043" max="2043" width="9.140625" style="354" bestFit="1" customWidth="1"/>
    <col min="2044" max="2045" width="10.140625" style="354" bestFit="1" customWidth="1"/>
    <col min="2046" max="2046" width="8.85546875" style="354" bestFit="1" customWidth="1"/>
    <col min="2047" max="2047" width="9.140625" style="354" bestFit="1" customWidth="1"/>
    <col min="2048" max="2050" width="8.85546875" style="354" bestFit="1" customWidth="1"/>
    <col min="2051" max="2051" width="13.28515625" style="354" bestFit="1" customWidth="1"/>
    <col min="2052" max="2053" width="10.140625" style="354" bestFit="1" customWidth="1"/>
    <col min="2054" max="2054" width="5.7109375" style="354" bestFit="1" customWidth="1"/>
    <col min="2055" max="2055" width="6.42578125" style="354" bestFit="1" customWidth="1"/>
    <col min="2056" max="2056" width="6.28515625" style="354" bestFit="1" customWidth="1"/>
    <col min="2057" max="2057" width="7" style="354" bestFit="1" customWidth="1"/>
    <col min="2058" max="2058" width="20.42578125" style="354" bestFit="1" customWidth="1"/>
    <col min="2059" max="2059" width="5.140625" style="354" customWidth="1"/>
    <col min="2060" max="2281" width="8" style="354"/>
    <col min="2282" max="2282" width="7.7109375" style="354" bestFit="1" customWidth="1"/>
    <col min="2283" max="2283" width="15.5703125" style="354" bestFit="1" customWidth="1"/>
    <col min="2284" max="2284" width="31.42578125" style="354" customWidth="1"/>
    <col min="2285" max="2285" width="10.140625" style="354" bestFit="1" customWidth="1"/>
    <col min="2286" max="2286" width="10.42578125" style="354" bestFit="1" customWidth="1"/>
    <col min="2287" max="2287" width="10" style="354" customWidth="1"/>
    <col min="2288" max="2288" width="11" style="354" customWidth="1"/>
    <col min="2289" max="2289" width="10.42578125" style="354" bestFit="1" customWidth="1"/>
    <col min="2290" max="2290" width="11.85546875" style="354" customWidth="1"/>
    <col min="2291" max="2291" width="10.140625" style="354" bestFit="1" customWidth="1"/>
    <col min="2292" max="2292" width="10.140625" style="354" customWidth="1"/>
    <col min="2293" max="2293" width="11.28515625" style="354" customWidth="1"/>
    <col min="2294" max="2296" width="10.140625" style="354" bestFit="1" customWidth="1"/>
    <col min="2297" max="2297" width="10.42578125" style="354" bestFit="1" customWidth="1"/>
    <col min="2298" max="2298" width="10.140625" style="354" bestFit="1" customWidth="1"/>
    <col min="2299" max="2299" width="9.140625" style="354" bestFit="1" customWidth="1"/>
    <col min="2300" max="2301" width="10.140625" style="354" bestFit="1" customWidth="1"/>
    <col min="2302" max="2302" width="8.85546875" style="354" bestFit="1" customWidth="1"/>
    <col min="2303" max="2303" width="9.140625" style="354" bestFit="1" customWidth="1"/>
    <col min="2304" max="2306" width="8.85546875" style="354" bestFit="1" customWidth="1"/>
    <col min="2307" max="2307" width="13.28515625" style="354" bestFit="1" customWidth="1"/>
    <col min="2308" max="2309" width="10.140625" style="354" bestFit="1" customWidth="1"/>
    <col min="2310" max="2310" width="5.7109375" style="354" bestFit="1" customWidth="1"/>
    <col min="2311" max="2311" width="6.42578125" style="354" bestFit="1" customWidth="1"/>
    <col min="2312" max="2312" width="6.28515625" style="354" bestFit="1" customWidth="1"/>
    <col min="2313" max="2313" width="7" style="354" bestFit="1" customWidth="1"/>
    <col min="2314" max="2314" width="20.42578125" style="354" bestFit="1" customWidth="1"/>
    <col min="2315" max="2315" width="5.140625" style="354" customWidth="1"/>
    <col min="2316" max="2537" width="8" style="354"/>
    <col min="2538" max="2538" width="7.7109375" style="354" bestFit="1" customWidth="1"/>
    <col min="2539" max="2539" width="15.5703125" style="354" bestFit="1" customWidth="1"/>
    <col min="2540" max="2540" width="31.42578125" style="354" customWidth="1"/>
    <col min="2541" max="2541" width="10.140625" style="354" bestFit="1" customWidth="1"/>
    <col min="2542" max="2542" width="10.42578125" style="354" bestFit="1" customWidth="1"/>
    <col min="2543" max="2543" width="10" style="354" customWidth="1"/>
    <col min="2544" max="2544" width="11" style="354" customWidth="1"/>
    <col min="2545" max="2545" width="10.42578125" style="354" bestFit="1" customWidth="1"/>
    <col min="2546" max="2546" width="11.85546875" style="354" customWidth="1"/>
    <col min="2547" max="2547" width="10.140625" style="354" bestFit="1" customWidth="1"/>
    <col min="2548" max="2548" width="10.140625" style="354" customWidth="1"/>
    <col min="2549" max="2549" width="11.28515625" style="354" customWidth="1"/>
    <col min="2550" max="2552" width="10.140625" style="354" bestFit="1" customWidth="1"/>
    <col min="2553" max="2553" width="10.42578125" style="354" bestFit="1" customWidth="1"/>
    <col min="2554" max="2554" width="10.140625" style="354" bestFit="1" customWidth="1"/>
    <col min="2555" max="2555" width="9.140625" style="354" bestFit="1" customWidth="1"/>
    <col min="2556" max="2557" width="10.140625" style="354" bestFit="1" customWidth="1"/>
    <col min="2558" max="2558" width="8.85546875" style="354" bestFit="1" customWidth="1"/>
    <col min="2559" max="2559" width="9.140625" style="354" bestFit="1" customWidth="1"/>
    <col min="2560" max="2562" width="8.85546875" style="354" bestFit="1" customWidth="1"/>
    <col min="2563" max="2563" width="13.28515625" style="354" bestFit="1" customWidth="1"/>
    <col min="2564" max="2565" width="10.140625" style="354" bestFit="1" customWidth="1"/>
    <col min="2566" max="2566" width="5.7109375" style="354" bestFit="1" customWidth="1"/>
    <col min="2567" max="2567" width="6.42578125" style="354" bestFit="1" customWidth="1"/>
    <col min="2568" max="2568" width="6.28515625" style="354" bestFit="1" customWidth="1"/>
    <col min="2569" max="2569" width="7" style="354" bestFit="1" customWidth="1"/>
    <col min="2570" max="2570" width="20.42578125" style="354" bestFit="1" customWidth="1"/>
    <col min="2571" max="2571" width="5.140625" style="354" customWidth="1"/>
    <col min="2572" max="2793" width="8" style="354"/>
    <col min="2794" max="2794" width="7.7109375" style="354" bestFit="1" customWidth="1"/>
    <col min="2795" max="2795" width="15.5703125" style="354" bestFit="1" customWidth="1"/>
    <col min="2796" max="2796" width="31.42578125" style="354" customWidth="1"/>
    <col min="2797" max="2797" width="10.140625" style="354" bestFit="1" customWidth="1"/>
    <col min="2798" max="2798" width="10.42578125" style="354" bestFit="1" customWidth="1"/>
    <col min="2799" max="2799" width="10" style="354" customWidth="1"/>
    <col min="2800" max="2800" width="11" style="354" customWidth="1"/>
    <col min="2801" max="2801" width="10.42578125" style="354" bestFit="1" customWidth="1"/>
    <col min="2802" max="2802" width="11.85546875" style="354" customWidth="1"/>
    <col min="2803" max="2803" width="10.140625" style="354" bestFit="1" customWidth="1"/>
    <col min="2804" max="2804" width="10.140625" style="354" customWidth="1"/>
    <col min="2805" max="2805" width="11.28515625" style="354" customWidth="1"/>
    <col min="2806" max="2808" width="10.140625" style="354" bestFit="1" customWidth="1"/>
    <col min="2809" max="2809" width="10.42578125" style="354" bestFit="1" customWidth="1"/>
    <col min="2810" max="2810" width="10.140625" style="354" bestFit="1" customWidth="1"/>
    <col min="2811" max="2811" width="9.140625" style="354" bestFit="1" customWidth="1"/>
    <col min="2812" max="2813" width="10.140625" style="354" bestFit="1" customWidth="1"/>
    <col min="2814" max="2814" width="8.85546875" style="354" bestFit="1" customWidth="1"/>
    <col min="2815" max="2815" width="9.140625" style="354" bestFit="1" customWidth="1"/>
    <col min="2816" max="2818" width="8.85546875" style="354" bestFit="1" customWidth="1"/>
    <col min="2819" max="2819" width="13.28515625" style="354" bestFit="1" customWidth="1"/>
    <col min="2820" max="2821" width="10.140625" style="354" bestFit="1" customWidth="1"/>
    <col min="2822" max="2822" width="5.7109375" style="354" bestFit="1" customWidth="1"/>
    <col min="2823" max="2823" width="6.42578125" style="354" bestFit="1" customWidth="1"/>
    <col min="2824" max="2824" width="6.28515625" style="354" bestFit="1" customWidth="1"/>
    <col min="2825" max="2825" width="7" style="354" bestFit="1" customWidth="1"/>
    <col min="2826" max="2826" width="20.42578125" style="354" bestFit="1" customWidth="1"/>
    <col min="2827" max="2827" width="5.140625" style="354" customWidth="1"/>
    <col min="2828" max="3049" width="8" style="354"/>
    <col min="3050" max="3050" width="7.7109375" style="354" bestFit="1" customWidth="1"/>
    <col min="3051" max="3051" width="15.5703125" style="354" bestFit="1" customWidth="1"/>
    <col min="3052" max="3052" width="31.42578125" style="354" customWidth="1"/>
    <col min="3053" max="3053" width="10.140625" style="354" bestFit="1" customWidth="1"/>
    <col min="3054" max="3054" width="10.42578125" style="354" bestFit="1" customWidth="1"/>
    <col min="3055" max="3055" width="10" style="354" customWidth="1"/>
    <col min="3056" max="3056" width="11" style="354" customWidth="1"/>
    <col min="3057" max="3057" width="10.42578125" style="354" bestFit="1" customWidth="1"/>
    <col min="3058" max="3058" width="11.85546875" style="354" customWidth="1"/>
    <col min="3059" max="3059" width="10.140625" style="354" bestFit="1" customWidth="1"/>
    <col min="3060" max="3060" width="10.140625" style="354" customWidth="1"/>
    <col min="3061" max="3061" width="11.28515625" style="354" customWidth="1"/>
    <col min="3062" max="3064" width="10.140625" style="354" bestFit="1" customWidth="1"/>
    <col min="3065" max="3065" width="10.42578125" style="354" bestFit="1" customWidth="1"/>
    <col min="3066" max="3066" width="10.140625" style="354" bestFit="1" customWidth="1"/>
    <col min="3067" max="3067" width="9.140625" style="354" bestFit="1" customWidth="1"/>
    <col min="3068" max="3069" width="10.140625" style="354" bestFit="1" customWidth="1"/>
    <col min="3070" max="3070" width="8.85546875" style="354" bestFit="1" customWidth="1"/>
    <col min="3071" max="3071" width="9.140625" style="354" bestFit="1" customWidth="1"/>
    <col min="3072" max="3074" width="8.85546875" style="354" bestFit="1" customWidth="1"/>
    <col min="3075" max="3075" width="13.28515625" style="354" bestFit="1" customWidth="1"/>
    <col min="3076" max="3077" width="10.140625" style="354" bestFit="1" customWidth="1"/>
    <col min="3078" max="3078" width="5.7109375" style="354" bestFit="1" customWidth="1"/>
    <col min="3079" max="3079" width="6.42578125" style="354" bestFit="1" customWidth="1"/>
    <col min="3080" max="3080" width="6.28515625" style="354" bestFit="1" customWidth="1"/>
    <col min="3081" max="3081" width="7" style="354" bestFit="1" customWidth="1"/>
    <col min="3082" max="3082" width="20.42578125" style="354" bestFit="1" customWidth="1"/>
    <col min="3083" max="3083" width="5.140625" style="354" customWidth="1"/>
    <col min="3084" max="3305" width="8" style="354"/>
    <col min="3306" max="3306" width="7.7109375" style="354" bestFit="1" customWidth="1"/>
    <col min="3307" max="3307" width="15.5703125" style="354" bestFit="1" customWidth="1"/>
    <col min="3308" max="3308" width="31.42578125" style="354" customWidth="1"/>
    <col min="3309" max="3309" width="10.140625" style="354" bestFit="1" customWidth="1"/>
    <col min="3310" max="3310" width="10.42578125" style="354" bestFit="1" customWidth="1"/>
    <col min="3311" max="3311" width="10" style="354" customWidth="1"/>
    <col min="3312" max="3312" width="11" style="354" customWidth="1"/>
    <col min="3313" max="3313" width="10.42578125" style="354" bestFit="1" customWidth="1"/>
    <col min="3314" max="3314" width="11.85546875" style="354" customWidth="1"/>
    <col min="3315" max="3315" width="10.140625" style="354" bestFit="1" customWidth="1"/>
    <col min="3316" max="3316" width="10.140625" style="354" customWidth="1"/>
    <col min="3317" max="3317" width="11.28515625" style="354" customWidth="1"/>
    <col min="3318" max="3320" width="10.140625" style="354" bestFit="1" customWidth="1"/>
    <col min="3321" max="3321" width="10.42578125" style="354" bestFit="1" customWidth="1"/>
    <col min="3322" max="3322" width="10.140625" style="354" bestFit="1" customWidth="1"/>
    <col min="3323" max="3323" width="9.140625" style="354" bestFit="1" customWidth="1"/>
    <col min="3324" max="3325" width="10.140625" style="354" bestFit="1" customWidth="1"/>
    <col min="3326" max="3326" width="8.85546875" style="354" bestFit="1" customWidth="1"/>
    <col min="3327" max="3327" width="9.140625" style="354" bestFit="1" customWidth="1"/>
    <col min="3328" max="3330" width="8.85546875" style="354" bestFit="1" customWidth="1"/>
    <col min="3331" max="3331" width="13.28515625" style="354" bestFit="1" customWidth="1"/>
    <col min="3332" max="3333" width="10.140625" style="354" bestFit="1" customWidth="1"/>
    <col min="3334" max="3334" width="5.7109375" style="354" bestFit="1" customWidth="1"/>
    <col min="3335" max="3335" width="6.42578125" style="354" bestFit="1" customWidth="1"/>
    <col min="3336" max="3336" width="6.28515625" style="354" bestFit="1" customWidth="1"/>
    <col min="3337" max="3337" width="7" style="354" bestFit="1" customWidth="1"/>
    <col min="3338" max="3338" width="20.42578125" style="354" bestFit="1" customWidth="1"/>
    <col min="3339" max="3339" width="5.140625" style="354" customWidth="1"/>
    <col min="3340" max="3561" width="8" style="354"/>
    <col min="3562" max="3562" width="7.7109375" style="354" bestFit="1" customWidth="1"/>
    <col min="3563" max="3563" width="15.5703125" style="354" bestFit="1" customWidth="1"/>
    <col min="3564" max="3564" width="31.42578125" style="354" customWidth="1"/>
    <col min="3565" max="3565" width="10.140625" style="354" bestFit="1" customWidth="1"/>
    <col min="3566" max="3566" width="10.42578125" style="354" bestFit="1" customWidth="1"/>
    <col min="3567" max="3567" width="10" style="354" customWidth="1"/>
    <col min="3568" max="3568" width="11" style="354" customWidth="1"/>
    <col min="3569" max="3569" width="10.42578125" style="354" bestFit="1" customWidth="1"/>
    <col min="3570" max="3570" width="11.85546875" style="354" customWidth="1"/>
    <col min="3571" max="3571" width="10.140625" style="354" bestFit="1" customWidth="1"/>
    <col min="3572" max="3572" width="10.140625" style="354" customWidth="1"/>
    <col min="3573" max="3573" width="11.28515625" style="354" customWidth="1"/>
    <col min="3574" max="3576" width="10.140625" style="354" bestFit="1" customWidth="1"/>
    <col min="3577" max="3577" width="10.42578125" style="354" bestFit="1" customWidth="1"/>
    <col min="3578" max="3578" width="10.140625" style="354" bestFit="1" customWidth="1"/>
    <col min="3579" max="3579" width="9.140625" style="354" bestFit="1" customWidth="1"/>
    <col min="3580" max="3581" width="10.140625" style="354" bestFit="1" customWidth="1"/>
    <col min="3582" max="3582" width="8.85546875" style="354" bestFit="1" customWidth="1"/>
    <col min="3583" max="3583" width="9.140625" style="354" bestFit="1" customWidth="1"/>
    <col min="3584" max="3586" width="8.85546875" style="354" bestFit="1" customWidth="1"/>
    <col min="3587" max="3587" width="13.28515625" style="354" bestFit="1" customWidth="1"/>
    <col min="3588" max="3589" width="10.140625" style="354" bestFit="1" customWidth="1"/>
    <col min="3590" max="3590" width="5.7109375" style="354" bestFit="1" customWidth="1"/>
    <col min="3591" max="3591" width="6.42578125" style="354" bestFit="1" customWidth="1"/>
    <col min="3592" max="3592" width="6.28515625" style="354" bestFit="1" customWidth="1"/>
    <col min="3593" max="3593" width="7" style="354" bestFit="1" customWidth="1"/>
    <col min="3594" max="3594" width="20.42578125" style="354" bestFit="1" customWidth="1"/>
    <col min="3595" max="3595" width="5.140625" style="354" customWidth="1"/>
    <col min="3596" max="3817" width="8" style="354"/>
    <col min="3818" max="3818" width="7.7109375" style="354" bestFit="1" customWidth="1"/>
    <col min="3819" max="3819" width="15.5703125" style="354" bestFit="1" customWidth="1"/>
    <col min="3820" max="3820" width="31.42578125" style="354" customWidth="1"/>
    <col min="3821" max="3821" width="10.140625" style="354" bestFit="1" customWidth="1"/>
    <col min="3822" max="3822" width="10.42578125" style="354" bestFit="1" customWidth="1"/>
    <col min="3823" max="3823" width="10" style="354" customWidth="1"/>
    <col min="3824" max="3824" width="11" style="354" customWidth="1"/>
    <col min="3825" max="3825" width="10.42578125" style="354" bestFit="1" customWidth="1"/>
    <col min="3826" max="3826" width="11.85546875" style="354" customWidth="1"/>
    <col min="3827" max="3827" width="10.140625" style="354" bestFit="1" customWidth="1"/>
    <col min="3828" max="3828" width="10.140625" style="354" customWidth="1"/>
    <col min="3829" max="3829" width="11.28515625" style="354" customWidth="1"/>
    <col min="3830" max="3832" width="10.140625" style="354" bestFit="1" customWidth="1"/>
    <col min="3833" max="3833" width="10.42578125" style="354" bestFit="1" customWidth="1"/>
    <col min="3834" max="3834" width="10.140625" style="354" bestFit="1" customWidth="1"/>
    <col min="3835" max="3835" width="9.140625" style="354" bestFit="1" customWidth="1"/>
    <col min="3836" max="3837" width="10.140625" style="354" bestFit="1" customWidth="1"/>
    <col min="3838" max="3838" width="8.85546875" style="354" bestFit="1" customWidth="1"/>
    <col min="3839" max="3839" width="9.140625" style="354" bestFit="1" customWidth="1"/>
    <col min="3840" max="3842" width="8.85546875" style="354" bestFit="1" customWidth="1"/>
    <col min="3843" max="3843" width="13.28515625" style="354" bestFit="1" customWidth="1"/>
    <col min="3844" max="3845" width="10.140625" style="354" bestFit="1" customWidth="1"/>
    <col min="3846" max="3846" width="5.7109375" style="354" bestFit="1" customWidth="1"/>
    <col min="3847" max="3847" width="6.42578125" style="354" bestFit="1" customWidth="1"/>
    <col min="3848" max="3848" width="6.28515625" style="354" bestFit="1" customWidth="1"/>
    <col min="3849" max="3849" width="7" style="354" bestFit="1" customWidth="1"/>
    <col min="3850" max="3850" width="20.42578125" style="354" bestFit="1" customWidth="1"/>
    <col min="3851" max="3851" width="5.140625" style="354" customWidth="1"/>
    <col min="3852" max="4073" width="8" style="354"/>
    <col min="4074" max="4074" width="7.7109375" style="354" bestFit="1" customWidth="1"/>
    <col min="4075" max="4075" width="15.5703125" style="354" bestFit="1" customWidth="1"/>
    <col min="4076" max="4076" width="31.42578125" style="354" customWidth="1"/>
    <col min="4077" max="4077" width="10.140625" style="354" bestFit="1" customWidth="1"/>
    <col min="4078" max="4078" width="10.42578125" style="354" bestFit="1" customWidth="1"/>
    <col min="4079" max="4079" width="10" style="354" customWidth="1"/>
    <col min="4080" max="4080" width="11" style="354" customWidth="1"/>
    <col min="4081" max="4081" width="10.42578125" style="354" bestFit="1" customWidth="1"/>
    <col min="4082" max="4082" width="11.85546875" style="354" customWidth="1"/>
    <col min="4083" max="4083" width="10.140625" style="354" bestFit="1" customWidth="1"/>
    <col min="4084" max="4084" width="10.140625" style="354" customWidth="1"/>
    <col min="4085" max="4085" width="11.28515625" style="354" customWidth="1"/>
    <col min="4086" max="4088" width="10.140625" style="354" bestFit="1" customWidth="1"/>
    <col min="4089" max="4089" width="10.42578125" style="354" bestFit="1" customWidth="1"/>
    <col min="4090" max="4090" width="10.140625" style="354" bestFit="1" customWidth="1"/>
    <col min="4091" max="4091" width="9.140625" style="354" bestFit="1" customWidth="1"/>
    <col min="4092" max="4093" width="10.140625" style="354" bestFit="1" customWidth="1"/>
    <col min="4094" max="4094" width="8.85546875" style="354" bestFit="1" customWidth="1"/>
    <col min="4095" max="4095" width="9.140625" style="354" bestFit="1" customWidth="1"/>
    <col min="4096" max="4098" width="8.85546875" style="354" bestFit="1" customWidth="1"/>
    <col min="4099" max="4099" width="13.28515625" style="354" bestFit="1" customWidth="1"/>
    <col min="4100" max="4101" width="10.140625" style="354" bestFit="1" customWidth="1"/>
    <col min="4102" max="4102" width="5.7109375" style="354" bestFit="1" customWidth="1"/>
    <col min="4103" max="4103" width="6.42578125" style="354" bestFit="1" customWidth="1"/>
    <col min="4104" max="4104" width="6.28515625" style="354" bestFit="1" customWidth="1"/>
    <col min="4105" max="4105" width="7" style="354" bestFit="1" customWidth="1"/>
    <col min="4106" max="4106" width="20.42578125" style="354" bestFit="1" customWidth="1"/>
    <col min="4107" max="4107" width="5.140625" style="354" customWidth="1"/>
    <col min="4108" max="4329" width="8" style="354"/>
    <col min="4330" max="4330" width="7.7109375" style="354" bestFit="1" customWidth="1"/>
    <col min="4331" max="4331" width="15.5703125" style="354" bestFit="1" customWidth="1"/>
    <col min="4332" max="4332" width="31.42578125" style="354" customWidth="1"/>
    <col min="4333" max="4333" width="10.140625" style="354" bestFit="1" customWidth="1"/>
    <col min="4334" max="4334" width="10.42578125" style="354" bestFit="1" customWidth="1"/>
    <col min="4335" max="4335" width="10" style="354" customWidth="1"/>
    <col min="4336" max="4336" width="11" style="354" customWidth="1"/>
    <col min="4337" max="4337" width="10.42578125" style="354" bestFit="1" customWidth="1"/>
    <col min="4338" max="4338" width="11.85546875" style="354" customWidth="1"/>
    <col min="4339" max="4339" width="10.140625" style="354" bestFit="1" customWidth="1"/>
    <col min="4340" max="4340" width="10.140625" style="354" customWidth="1"/>
    <col min="4341" max="4341" width="11.28515625" style="354" customWidth="1"/>
    <col min="4342" max="4344" width="10.140625" style="354" bestFit="1" customWidth="1"/>
    <col min="4345" max="4345" width="10.42578125" style="354" bestFit="1" customWidth="1"/>
    <col min="4346" max="4346" width="10.140625" style="354" bestFit="1" customWidth="1"/>
    <col min="4347" max="4347" width="9.140625" style="354" bestFit="1" customWidth="1"/>
    <col min="4348" max="4349" width="10.140625" style="354" bestFit="1" customWidth="1"/>
    <col min="4350" max="4350" width="8.85546875" style="354" bestFit="1" customWidth="1"/>
    <col min="4351" max="4351" width="9.140625" style="354" bestFit="1" customWidth="1"/>
    <col min="4352" max="4354" width="8.85546875" style="354" bestFit="1" customWidth="1"/>
    <col min="4355" max="4355" width="13.28515625" style="354" bestFit="1" customWidth="1"/>
    <col min="4356" max="4357" width="10.140625" style="354" bestFit="1" customWidth="1"/>
    <col min="4358" max="4358" width="5.7109375" style="354" bestFit="1" customWidth="1"/>
    <col min="4359" max="4359" width="6.42578125" style="354" bestFit="1" customWidth="1"/>
    <col min="4360" max="4360" width="6.28515625" style="354" bestFit="1" customWidth="1"/>
    <col min="4361" max="4361" width="7" style="354" bestFit="1" customWidth="1"/>
    <col min="4362" max="4362" width="20.42578125" style="354" bestFit="1" customWidth="1"/>
    <col min="4363" max="4363" width="5.140625" style="354" customWidth="1"/>
    <col min="4364" max="4585" width="8" style="354"/>
    <col min="4586" max="4586" width="7.7109375" style="354" bestFit="1" customWidth="1"/>
    <col min="4587" max="4587" width="15.5703125" style="354" bestFit="1" customWidth="1"/>
    <col min="4588" max="4588" width="31.42578125" style="354" customWidth="1"/>
    <col min="4589" max="4589" width="10.140625" style="354" bestFit="1" customWidth="1"/>
    <col min="4590" max="4590" width="10.42578125" style="354" bestFit="1" customWidth="1"/>
    <col min="4591" max="4591" width="10" style="354" customWidth="1"/>
    <col min="4592" max="4592" width="11" style="354" customWidth="1"/>
    <col min="4593" max="4593" width="10.42578125" style="354" bestFit="1" customWidth="1"/>
    <col min="4594" max="4594" width="11.85546875" style="354" customWidth="1"/>
    <col min="4595" max="4595" width="10.140625" style="354" bestFit="1" customWidth="1"/>
    <col min="4596" max="4596" width="10.140625" style="354" customWidth="1"/>
    <col min="4597" max="4597" width="11.28515625" style="354" customWidth="1"/>
    <col min="4598" max="4600" width="10.140625" style="354" bestFit="1" customWidth="1"/>
    <col min="4601" max="4601" width="10.42578125" style="354" bestFit="1" customWidth="1"/>
    <col min="4602" max="4602" width="10.140625" style="354" bestFit="1" customWidth="1"/>
    <col min="4603" max="4603" width="9.140625" style="354" bestFit="1" customWidth="1"/>
    <col min="4604" max="4605" width="10.140625" style="354" bestFit="1" customWidth="1"/>
    <col min="4606" max="4606" width="8.85546875" style="354" bestFit="1" customWidth="1"/>
    <col min="4607" max="4607" width="9.140625" style="354" bestFit="1" customWidth="1"/>
    <col min="4608" max="4610" width="8.85546875" style="354" bestFit="1" customWidth="1"/>
    <col min="4611" max="4611" width="13.28515625" style="354" bestFit="1" customWidth="1"/>
    <col min="4612" max="4613" width="10.140625" style="354" bestFit="1" customWidth="1"/>
    <col min="4614" max="4614" width="5.7109375" style="354" bestFit="1" customWidth="1"/>
    <col min="4615" max="4615" width="6.42578125" style="354" bestFit="1" customWidth="1"/>
    <col min="4616" max="4616" width="6.28515625" style="354" bestFit="1" customWidth="1"/>
    <col min="4617" max="4617" width="7" style="354" bestFit="1" customWidth="1"/>
    <col min="4618" max="4618" width="20.42578125" style="354" bestFit="1" customWidth="1"/>
    <col min="4619" max="4619" width="5.140625" style="354" customWidth="1"/>
    <col min="4620" max="4841" width="8" style="354"/>
    <col min="4842" max="4842" width="7.7109375" style="354" bestFit="1" customWidth="1"/>
    <col min="4843" max="4843" width="15.5703125" style="354" bestFit="1" customWidth="1"/>
    <col min="4844" max="4844" width="31.42578125" style="354" customWidth="1"/>
    <col min="4845" max="4845" width="10.140625" style="354" bestFit="1" customWidth="1"/>
    <col min="4846" max="4846" width="10.42578125" style="354" bestFit="1" customWidth="1"/>
    <col min="4847" max="4847" width="10" style="354" customWidth="1"/>
    <col min="4848" max="4848" width="11" style="354" customWidth="1"/>
    <col min="4849" max="4849" width="10.42578125" style="354" bestFit="1" customWidth="1"/>
    <col min="4850" max="4850" width="11.85546875" style="354" customWidth="1"/>
    <col min="4851" max="4851" width="10.140625" style="354" bestFit="1" customWidth="1"/>
    <col min="4852" max="4852" width="10.140625" style="354" customWidth="1"/>
    <col min="4853" max="4853" width="11.28515625" style="354" customWidth="1"/>
    <col min="4854" max="4856" width="10.140625" style="354" bestFit="1" customWidth="1"/>
    <col min="4857" max="4857" width="10.42578125" style="354" bestFit="1" customWidth="1"/>
    <col min="4858" max="4858" width="10.140625" style="354" bestFit="1" customWidth="1"/>
    <col min="4859" max="4859" width="9.140625" style="354" bestFit="1" customWidth="1"/>
    <col min="4860" max="4861" width="10.140625" style="354" bestFit="1" customWidth="1"/>
    <col min="4862" max="4862" width="8.85546875" style="354" bestFit="1" customWidth="1"/>
    <col min="4863" max="4863" width="9.140625" style="354" bestFit="1" customWidth="1"/>
    <col min="4864" max="4866" width="8.85546875" style="354" bestFit="1" customWidth="1"/>
    <col min="4867" max="4867" width="13.28515625" style="354" bestFit="1" customWidth="1"/>
    <col min="4868" max="4869" width="10.140625" style="354" bestFit="1" customWidth="1"/>
    <col min="4870" max="4870" width="5.7109375" style="354" bestFit="1" customWidth="1"/>
    <col min="4871" max="4871" width="6.42578125" style="354" bestFit="1" customWidth="1"/>
    <col min="4872" max="4872" width="6.28515625" style="354" bestFit="1" customWidth="1"/>
    <col min="4873" max="4873" width="7" style="354" bestFit="1" customWidth="1"/>
    <col min="4874" max="4874" width="20.42578125" style="354" bestFit="1" customWidth="1"/>
    <col min="4875" max="4875" width="5.140625" style="354" customWidth="1"/>
    <col min="4876" max="5097" width="8" style="354"/>
    <col min="5098" max="5098" width="7.7109375" style="354" bestFit="1" customWidth="1"/>
    <col min="5099" max="5099" width="15.5703125" style="354" bestFit="1" customWidth="1"/>
    <col min="5100" max="5100" width="31.42578125" style="354" customWidth="1"/>
    <col min="5101" max="5101" width="10.140625" style="354" bestFit="1" customWidth="1"/>
    <col min="5102" max="5102" width="10.42578125" style="354" bestFit="1" customWidth="1"/>
    <col min="5103" max="5103" width="10" style="354" customWidth="1"/>
    <col min="5104" max="5104" width="11" style="354" customWidth="1"/>
    <col min="5105" max="5105" width="10.42578125" style="354" bestFit="1" customWidth="1"/>
    <col min="5106" max="5106" width="11.85546875" style="354" customWidth="1"/>
    <col min="5107" max="5107" width="10.140625" style="354" bestFit="1" customWidth="1"/>
    <col min="5108" max="5108" width="10.140625" style="354" customWidth="1"/>
    <col min="5109" max="5109" width="11.28515625" style="354" customWidth="1"/>
    <col min="5110" max="5112" width="10.140625" style="354" bestFit="1" customWidth="1"/>
    <col min="5113" max="5113" width="10.42578125" style="354" bestFit="1" customWidth="1"/>
    <col min="5114" max="5114" width="10.140625" style="354" bestFit="1" customWidth="1"/>
    <col min="5115" max="5115" width="9.140625" style="354" bestFit="1" customWidth="1"/>
    <col min="5116" max="5117" width="10.140625" style="354" bestFit="1" customWidth="1"/>
    <col min="5118" max="5118" width="8.85546875" style="354" bestFit="1" customWidth="1"/>
    <col min="5119" max="5119" width="9.140625" style="354" bestFit="1" customWidth="1"/>
    <col min="5120" max="5122" width="8.85546875" style="354" bestFit="1" customWidth="1"/>
    <col min="5123" max="5123" width="13.28515625" style="354" bestFit="1" customWidth="1"/>
    <col min="5124" max="5125" width="10.140625" style="354" bestFit="1" customWidth="1"/>
    <col min="5126" max="5126" width="5.7109375" style="354" bestFit="1" customWidth="1"/>
    <col min="5127" max="5127" width="6.42578125" style="354" bestFit="1" customWidth="1"/>
    <col min="5128" max="5128" width="6.28515625" style="354" bestFit="1" customWidth="1"/>
    <col min="5129" max="5129" width="7" style="354" bestFit="1" customWidth="1"/>
    <col min="5130" max="5130" width="20.42578125" style="354" bestFit="1" customWidth="1"/>
    <col min="5131" max="5131" width="5.140625" style="354" customWidth="1"/>
    <col min="5132" max="5353" width="8" style="354"/>
    <col min="5354" max="5354" width="7.7109375" style="354" bestFit="1" customWidth="1"/>
    <col min="5355" max="5355" width="15.5703125" style="354" bestFit="1" customWidth="1"/>
    <col min="5356" max="5356" width="31.42578125" style="354" customWidth="1"/>
    <col min="5357" max="5357" width="10.140625" style="354" bestFit="1" customWidth="1"/>
    <col min="5358" max="5358" width="10.42578125" style="354" bestFit="1" customWidth="1"/>
    <col min="5359" max="5359" width="10" style="354" customWidth="1"/>
    <col min="5360" max="5360" width="11" style="354" customWidth="1"/>
    <col min="5361" max="5361" width="10.42578125" style="354" bestFit="1" customWidth="1"/>
    <col min="5362" max="5362" width="11.85546875" style="354" customWidth="1"/>
    <col min="5363" max="5363" width="10.140625" style="354" bestFit="1" customWidth="1"/>
    <col min="5364" max="5364" width="10.140625" style="354" customWidth="1"/>
    <col min="5365" max="5365" width="11.28515625" style="354" customWidth="1"/>
    <col min="5366" max="5368" width="10.140625" style="354" bestFit="1" customWidth="1"/>
    <col min="5369" max="5369" width="10.42578125" style="354" bestFit="1" customWidth="1"/>
    <col min="5370" max="5370" width="10.140625" style="354" bestFit="1" customWidth="1"/>
    <col min="5371" max="5371" width="9.140625" style="354" bestFit="1" customWidth="1"/>
    <col min="5372" max="5373" width="10.140625" style="354" bestFit="1" customWidth="1"/>
    <col min="5374" max="5374" width="8.85546875" style="354" bestFit="1" customWidth="1"/>
    <col min="5375" max="5375" width="9.140625" style="354" bestFit="1" customWidth="1"/>
    <col min="5376" max="5378" width="8.85546875" style="354" bestFit="1" customWidth="1"/>
    <col min="5379" max="5379" width="13.28515625" style="354" bestFit="1" customWidth="1"/>
    <col min="5380" max="5381" width="10.140625" style="354" bestFit="1" customWidth="1"/>
    <col min="5382" max="5382" width="5.7109375" style="354" bestFit="1" customWidth="1"/>
    <col min="5383" max="5383" width="6.42578125" style="354" bestFit="1" customWidth="1"/>
    <col min="5384" max="5384" width="6.28515625" style="354" bestFit="1" customWidth="1"/>
    <col min="5385" max="5385" width="7" style="354" bestFit="1" customWidth="1"/>
    <col min="5386" max="5386" width="20.42578125" style="354" bestFit="1" customWidth="1"/>
    <col min="5387" max="5387" width="5.140625" style="354" customWidth="1"/>
    <col min="5388" max="5609" width="8" style="354"/>
    <col min="5610" max="5610" width="7.7109375" style="354" bestFit="1" customWidth="1"/>
    <col min="5611" max="5611" width="15.5703125" style="354" bestFit="1" customWidth="1"/>
    <col min="5612" max="5612" width="31.42578125" style="354" customWidth="1"/>
    <col min="5613" max="5613" width="10.140625" style="354" bestFit="1" customWidth="1"/>
    <col min="5614" max="5614" width="10.42578125" style="354" bestFit="1" customWidth="1"/>
    <col min="5615" max="5615" width="10" style="354" customWidth="1"/>
    <col min="5616" max="5616" width="11" style="354" customWidth="1"/>
    <col min="5617" max="5617" width="10.42578125" style="354" bestFit="1" customWidth="1"/>
    <col min="5618" max="5618" width="11.85546875" style="354" customWidth="1"/>
    <col min="5619" max="5619" width="10.140625" style="354" bestFit="1" customWidth="1"/>
    <col min="5620" max="5620" width="10.140625" style="354" customWidth="1"/>
    <col min="5621" max="5621" width="11.28515625" style="354" customWidth="1"/>
    <col min="5622" max="5624" width="10.140625" style="354" bestFit="1" customWidth="1"/>
    <col min="5625" max="5625" width="10.42578125" style="354" bestFit="1" customWidth="1"/>
    <col min="5626" max="5626" width="10.140625" style="354" bestFit="1" customWidth="1"/>
    <col min="5627" max="5627" width="9.140625" style="354" bestFit="1" customWidth="1"/>
    <col min="5628" max="5629" width="10.140625" style="354" bestFit="1" customWidth="1"/>
    <col min="5630" max="5630" width="8.85546875" style="354" bestFit="1" customWidth="1"/>
    <col min="5631" max="5631" width="9.140625" style="354" bestFit="1" customWidth="1"/>
    <col min="5632" max="5634" width="8.85546875" style="354" bestFit="1" customWidth="1"/>
    <col min="5635" max="5635" width="13.28515625" style="354" bestFit="1" customWidth="1"/>
    <col min="5636" max="5637" width="10.140625" style="354" bestFit="1" customWidth="1"/>
    <col min="5638" max="5638" width="5.7109375" style="354" bestFit="1" customWidth="1"/>
    <col min="5639" max="5639" width="6.42578125" style="354" bestFit="1" customWidth="1"/>
    <col min="5640" max="5640" width="6.28515625" style="354" bestFit="1" customWidth="1"/>
    <col min="5641" max="5641" width="7" style="354" bestFit="1" customWidth="1"/>
    <col min="5642" max="5642" width="20.42578125" style="354" bestFit="1" customWidth="1"/>
    <col min="5643" max="5643" width="5.140625" style="354" customWidth="1"/>
    <col min="5644" max="5865" width="8" style="354"/>
    <col min="5866" max="5866" width="7.7109375" style="354" bestFit="1" customWidth="1"/>
    <col min="5867" max="5867" width="15.5703125" style="354" bestFit="1" customWidth="1"/>
    <col min="5868" max="5868" width="31.42578125" style="354" customWidth="1"/>
    <col min="5869" max="5869" width="10.140625" style="354" bestFit="1" customWidth="1"/>
    <col min="5870" max="5870" width="10.42578125" style="354" bestFit="1" customWidth="1"/>
    <col min="5871" max="5871" width="10" style="354" customWidth="1"/>
    <col min="5872" max="5872" width="11" style="354" customWidth="1"/>
    <col min="5873" max="5873" width="10.42578125" style="354" bestFit="1" customWidth="1"/>
    <col min="5874" max="5874" width="11.85546875" style="354" customWidth="1"/>
    <col min="5875" max="5875" width="10.140625" style="354" bestFit="1" customWidth="1"/>
    <col min="5876" max="5876" width="10.140625" style="354" customWidth="1"/>
    <col min="5877" max="5877" width="11.28515625" style="354" customWidth="1"/>
    <col min="5878" max="5880" width="10.140625" style="354" bestFit="1" customWidth="1"/>
    <col min="5881" max="5881" width="10.42578125" style="354" bestFit="1" customWidth="1"/>
    <col min="5882" max="5882" width="10.140625" style="354" bestFit="1" customWidth="1"/>
    <col min="5883" max="5883" width="9.140625" style="354" bestFit="1" customWidth="1"/>
    <col min="5884" max="5885" width="10.140625" style="354" bestFit="1" customWidth="1"/>
    <col min="5886" max="5886" width="8.85546875" style="354" bestFit="1" customWidth="1"/>
    <col min="5887" max="5887" width="9.140625" style="354" bestFit="1" customWidth="1"/>
    <col min="5888" max="5890" width="8.85546875" style="354" bestFit="1" customWidth="1"/>
    <col min="5891" max="5891" width="13.28515625" style="354" bestFit="1" customWidth="1"/>
    <col min="5892" max="5893" width="10.140625" style="354" bestFit="1" customWidth="1"/>
    <col min="5894" max="5894" width="5.7109375" style="354" bestFit="1" customWidth="1"/>
    <col min="5895" max="5895" width="6.42578125" style="354" bestFit="1" customWidth="1"/>
    <col min="5896" max="5896" width="6.28515625" style="354" bestFit="1" customWidth="1"/>
    <col min="5897" max="5897" width="7" style="354" bestFit="1" customWidth="1"/>
    <col min="5898" max="5898" width="20.42578125" style="354" bestFit="1" customWidth="1"/>
    <col min="5899" max="5899" width="5.140625" style="354" customWidth="1"/>
    <col min="5900" max="6121" width="8" style="354"/>
    <col min="6122" max="6122" width="7.7109375" style="354" bestFit="1" customWidth="1"/>
    <col min="6123" max="6123" width="15.5703125" style="354" bestFit="1" customWidth="1"/>
    <col min="6124" max="6124" width="31.42578125" style="354" customWidth="1"/>
    <col min="6125" max="6125" width="10.140625" style="354" bestFit="1" customWidth="1"/>
    <col min="6126" max="6126" width="10.42578125" style="354" bestFit="1" customWidth="1"/>
    <col min="6127" max="6127" width="10" style="354" customWidth="1"/>
    <col min="6128" max="6128" width="11" style="354" customWidth="1"/>
    <col min="6129" max="6129" width="10.42578125" style="354" bestFit="1" customWidth="1"/>
    <col min="6130" max="6130" width="11.85546875" style="354" customWidth="1"/>
    <col min="6131" max="6131" width="10.140625" style="354" bestFit="1" customWidth="1"/>
    <col min="6132" max="6132" width="10.140625" style="354" customWidth="1"/>
    <col min="6133" max="6133" width="11.28515625" style="354" customWidth="1"/>
    <col min="6134" max="6136" width="10.140625" style="354" bestFit="1" customWidth="1"/>
    <col min="6137" max="6137" width="10.42578125" style="354" bestFit="1" customWidth="1"/>
    <col min="6138" max="6138" width="10.140625" style="354" bestFit="1" customWidth="1"/>
    <col min="6139" max="6139" width="9.140625" style="354" bestFit="1" customWidth="1"/>
    <col min="6140" max="6141" width="10.140625" style="354" bestFit="1" customWidth="1"/>
    <col min="6142" max="6142" width="8.85546875" style="354" bestFit="1" customWidth="1"/>
    <col min="6143" max="6143" width="9.140625" style="354" bestFit="1" customWidth="1"/>
    <col min="6144" max="6146" width="8.85546875" style="354" bestFit="1" customWidth="1"/>
    <col min="6147" max="6147" width="13.28515625" style="354" bestFit="1" customWidth="1"/>
    <col min="6148" max="6149" width="10.140625" style="354" bestFit="1" customWidth="1"/>
    <col min="6150" max="6150" width="5.7109375" style="354" bestFit="1" customWidth="1"/>
    <col min="6151" max="6151" width="6.42578125" style="354" bestFit="1" customWidth="1"/>
    <col min="6152" max="6152" width="6.28515625" style="354" bestFit="1" customWidth="1"/>
    <col min="6153" max="6153" width="7" style="354" bestFit="1" customWidth="1"/>
    <col min="6154" max="6154" width="20.42578125" style="354" bestFit="1" customWidth="1"/>
    <col min="6155" max="6155" width="5.140625" style="354" customWidth="1"/>
    <col min="6156" max="6377" width="8" style="354"/>
    <col min="6378" max="6378" width="7.7109375" style="354" bestFit="1" customWidth="1"/>
    <col min="6379" max="6379" width="15.5703125" style="354" bestFit="1" customWidth="1"/>
    <col min="6380" max="6380" width="31.42578125" style="354" customWidth="1"/>
    <col min="6381" max="6381" width="10.140625" style="354" bestFit="1" customWidth="1"/>
    <col min="6382" max="6382" width="10.42578125" style="354" bestFit="1" customWidth="1"/>
    <col min="6383" max="6383" width="10" style="354" customWidth="1"/>
    <col min="6384" max="6384" width="11" style="354" customWidth="1"/>
    <col min="6385" max="6385" width="10.42578125" style="354" bestFit="1" customWidth="1"/>
    <col min="6386" max="6386" width="11.85546875" style="354" customWidth="1"/>
    <col min="6387" max="6387" width="10.140625" style="354" bestFit="1" customWidth="1"/>
    <col min="6388" max="6388" width="10.140625" style="354" customWidth="1"/>
    <col min="6389" max="6389" width="11.28515625" style="354" customWidth="1"/>
    <col min="6390" max="6392" width="10.140625" style="354" bestFit="1" customWidth="1"/>
    <col min="6393" max="6393" width="10.42578125" style="354" bestFit="1" customWidth="1"/>
    <col min="6394" max="6394" width="10.140625" style="354" bestFit="1" customWidth="1"/>
    <col min="6395" max="6395" width="9.140625" style="354" bestFit="1" customWidth="1"/>
    <col min="6396" max="6397" width="10.140625" style="354" bestFit="1" customWidth="1"/>
    <col min="6398" max="6398" width="8.85546875" style="354" bestFit="1" customWidth="1"/>
    <col min="6399" max="6399" width="9.140625" style="354" bestFit="1" customWidth="1"/>
    <col min="6400" max="6402" width="8.85546875" style="354" bestFit="1" customWidth="1"/>
    <col min="6403" max="6403" width="13.28515625" style="354" bestFit="1" customWidth="1"/>
    <col min="6404" max="6405" width="10.140625" style="354" bestFit="1" customWidth="1"/>
    <col min="6406" max="6406" width="5.7109375" style="354" bestFit="1" customWidth="1"/>
    <col min="6407" max="6407" width="6.42578125" style="354" bestFit="1" customWidth="1"/>
    <col min="6408" max="6408" width="6.28515625" style="354" bestFit="1" customWidth="1"/>
    <col min="6409" max="6409" width="7" style="354" bestFit="1" customWidth="1"/>
    <col min="6410" max="6410" width="20.42578125" style="354" bestFit="1" customWidth="1"/>
    <col min="6411" max="6411" width="5.140625" style="354" customWidth="1"/>
    <col min="6412" max="6633" width="8" style="354"/>
    <col min="6634" max="6634" width="7.7109375" style="354" bestFit="1" customWidth="1"/>
    <col min="6635" max="6635" width="15.5703125" style="354" bestFit="1" customWidth="1"/>
    <col min="6636" max="6636" width="31.42578125" style="354" customWidth="1"/>
    <col min="6637" max="6637" width="10.140625" style="354" bestFit="1" customWidth="1"/>
    <col min="6638" max="6638" width="10.42578125" style="354" bestFit="1" customWidth="1"/>
    <col min="6639" max="6639" width="10" style="354" customWidth="1"/>
    <col min="6640" max="6640" width="11" style="354" customWidth="1"/>
    <col min="6641" max="6641" width="10.42578125" style="354" bestFit="1" customWidth="1"/>
    <col min="6642" max="6642" width="11.85546875" style="354" customWidth="1"/>
    <col min="6643" max="6643" width="10.140625" style="354" bestFit="1" customWidth="1"/>
    <col min="6644" max="6644" width="10.140625" style="354" customWidth="1"/>
    <col min="6645" max="6645" width="11.28515625" style="354" customWidth="1"/>
    <col min="6646" max="6648" width="10.140625" style="354" bestFit="1" customWidth="1"/>
    <col min="6649" max="6649" width="10.42578125" style="354" bestFit="1" customWidth="1"/>
    <col min="6650" max="6650" width="10.140625" style="354" bestFit="1" customWidth="1"/>
    <col min="6651" max="6651" width="9.140625" style="354" bestFit="1" customWidth="1"/>
    <col min="6652" max="6653" width="10.140625" style="354" bestFit="1" customWidth="1"/>
    <col min="6654" max="6654" width="8.85546875" style="354" bestFit="1" customWidth="1"/>
    <col min="6655" max="6655" width="9.140625" style="354" bestFit="1" customWidth="1"/>
    <col min="6656" max="6658" width="8.85546875" style="354" bestFit="1" customWidth="1"/>
    <col min="6659" max="6659" width="13.28515625" style="354" bestFit="1" customWidth="1"/>
    <col min="6660" max="6661" width="10.140625" style="354" bestFit="1" customWidth="1"/>
    <col min="6662" max="6662" width="5.7109375" style="354" bestFit="1" customWidth="1"/>
    <col min="6663" max="6663" width="6.42578125" style="354" bestFit="1" customWidth="1"/>
    <col min="6664" max="6664" width="6.28515625" style="354" bestFit="1" customWidth="1"/>
    <col min="6665" max="6665" width="7" style="354" bestFit="1" customWidth="1"/>
    <col min="6666" max="6666" width="20.42578125" style="354" bestFit="1" customWidth="1"/>
    <col min="6667" max="6667" width="5.140625" style="354" customWidth="1"/>
    <col min="6668" max="6889" width="8" style="354"/>
    <col min="6890" max="6890" width="7.7109375" style="354" bestFit="1" customWidth="1"/>
    <col min="6891" max="6891" width="15.5703125" style="354" bestFit="1" customWidth="1"/>
    <col min="6892" max="6892" width="31.42578125" style="354" customWidth="1"/>
    <col min="6893" max="6893" width="10.140625" style="354" bestFit="1" customWidth="1"/>
    <col min="6894" max="6894" width="10.42578125" style="354" bestFit="1" customWidth="1"/>
    <col min="6895" max="6895" width="10" style="354" customWidth="1"/>
    <col min="6896" max="6896" width="11" style="354" customWidth="1"/>
    <col min="6897" max="6897" width="10.42578125" style="354" bestFit="1" customWidth="1"/>
    <col min="6898" max="6898" width="11.85546875" style="354" customWidth="1"/>
    <col min="6899" max="6899" width="10.140625" style="354" bestFit="1" customWidth="1"/>
    <col min="6900" max="6900" width="10.140625" style="354" customWidth="1"/>
    <col min="6901" max="6901" width="11.28515625" style="354" customWidth="1"/>
    <col min="6902" max="6904" width="10.140625" style="354" bestFit="1" customWidth="1"/>
    <col min="6905" max="6905" width="10.42578125" style="354" bestFit="1" customWidth="1"/>
    <col min="6906" max="6906" width="10.140625" style="354" bestFit="1" customWidth="1"/>
    <col min="6907" max="6907" width="9.140625" style="354" bestFit="1" customWidth="1"/>
    <col min="6908" max="6909" width="10.140625" style="354" bestFit="1" customWidth="1"/>
    <col min="6910" max="6910" width="8.85546875" style="354" bestFit="1" customWidth="1"/>
    <col min="6911" max="6911" width="9.140625" style="354" bestFit="1" customWidth="1"/>
    <col min="6912" max="6914" width="8.85546875" style="354" bestFit="1" customWidth="1"/>
    <col min="6915" max="6915" width="13.28515625" style="354" bestFit="1" customWidth="1"/>
    <col min="6916" max="6917" width="10.140625" style="354" bestFit="1" customWidth="1"/>
    <col min="6918" max="6918" width="5.7109375" style="354" bestFit="1" customWidth="1"/>
    <col min="6919" max="6919" width="6.42578125" style="354" bestFit="1" customWidth="1"/>
    <col min="6920" max="6920" width="6.28515625" style="354" bestFit="1" customWidth="1"/>
    <col min="6921" max="6921" width="7" style="354" bestFit="1" customWidth="1"/>
    <col min="6922" max="6922" width="20.42578125" style="354" bestFit="1" customWidth="1"/>
    <col min="6923" max="6923" width="5.140625" style="354" customWidth="1"/>
    <col min="6924" max="7145" width="8" style="354"/>
    <col min="7146" max="7146" width="7.7109375" style="354" bestFit="1" customWidth="1"/>
    <col min="7147" max="7147" width="15.5703125" style="354" bestFit="1" customWidth="1"/>
    <col min="7148" max="7148" width="31.42578125" style="354" customWidth="1"/>
    <col min="7149" max="7149" width="10.140625" style="354" bestFit="1" customWidth="1"/>
    <col min="7150" max="7150" width="10.42578125" style="354" bestFit="1" customWidth="1"/>
    <col min="7151" max="7151" width="10" style="354" customWidth="1"/>
    <col min="7152" max="7152" width="11" style="354" customWidth="1"/>
    <col min="7153" max="7153" width="10.42578125" style="354" bestFit="1" customWidth="1"/>
    <col min="7154" max="7154" width="11.85546875" style="354" customWidth="1"/>
    <col min="7155" max="7155" width="10.140625" style="354" bestFit="1" customWidth="1"/>
    <col min="7156" max="7156" width="10.140625" style="354" customWidth="1"/>
    <col min="7157" max="7157" width="11.28515625" style="354" customWidth="1"/>
    <col min="7158" max="7160" width="10.140625" style="354" bestFit="1" customWidth="1"/>
    <col min="7161" max="7161" width="10.42578125" style="354" bestFit="1" customWidth="1"/>
    <col min="7162" max="7162" width="10.140625" style="354" bestFit="1" customWidth="1"/>
    <col min="7163" max="7163" width="9.140625" style="354" bestFit="1" customWidth="1"/>
    <col min="7164" max="7165" width="10.140625" style="354" bestFit="1" customWidth="1"/>
    <col min="7166" max="7166" width="8.85546875" style="354" bestFit="1" customWidth="1"/>
    <col min="7167" max="7167" width="9.140625" style="354" bestFit="1" customWidth="1"/>
    <col min="7168" max="7170" width="8.85546875" style="354" bestFit="1" customWidth="1"/>
    <col min="7171" max="7171" width="13.28515625" style="354" bestFit="1" customWidth="1"/>
    <col min="7172" max="7173" width="10.140625" style="354" bestFit="1" customWidth="1"/>
    <col min="7174" max="7174" width="5.7109375" style="354" bestFit="1" customWidth="1"/>
    <col min="7175" max="7175" width="6.42578125" style="354" bestFit="1" customWidth="1"/>
    <col min="7176" max="7176" width="6.28515625" style="354" bestFit="1" customWidth="1"/>
    <col min="7177" max="7177" width="7" style="354" bestFit="1" customWidth="1"/>
    <col min="7178" max="7178" width="20.42578125" style="354" bestFit="1" customWidth="1"/>
    <col min="7179" max="7179" width="5.140625" style="354" customWidth="1"/>
    <col min="7180" max="7401" width="8" style="354"/>
    <col min="7402" max="7402" width="7.7109375" style="354" bestFit="1" customWidth="1"/>
    <col min="7403" max="7403" width="15.5703125" style="354" bestFit="1" customWidth="1"/>
    <col min="7404" max="7404" width="31.42578125" style="354" customWidth="1"/>
    <col min="7405" max="7405" width="10.140625" style="354" bestFit="1" customWidth="1"/>
    <col min="7406" max="7406" width="10.42578125" style="354" bestFit="1" customWidth="1"/>
    <col min="7407" max="7407" width="10" style="354" customWidth="1"/>
    <col min="7408" max="7408" width="11" style="354" customWidth="1"/>
    <col min="7409" max="7409" width="10.42578125" style="354" bestFit="1" customWidth="1"/>
    <col min="7410" max="7410" width="11.85546875" style="354" customWidth="1"/>
    <col min="7411" max="7411" width="10.140625" style="354" bestFit="1" customWidth="1"/>
    <col min="7412" max="7412" width="10.140625" style="354" customWidth="1"/>
    <col min="7413" max="7413" width="11.28515625" style="354" customWidth="1"/>
    <col min="7414" max="7416" width="10.140625" style="354" bestFit="1" customWidth="1"/>
    <col min="7417" max="7417" width="10.42578125" style="354" bestFit="1" customWidth="1"/>
    <col min="7418" max="7418" width="10.140625" style="354" bestFit="1" customWidth="1"/>
    <col min="7419" max="7419" width="9.140625" style="354" bestFit="1" customWidth="1"/>
    <col min="7420" max="7421" width="10.140625" style="354" bestFit="1" customWidth="1"/>
    <col min="7422" max="7422" width="8.85546875" style="354" bestFit="1" customWidth="1"/>
    <col min="7423" max="7423" width="9.140625" style="354" bestFit="1" customWidth="1"/>
    <col min="7424" max="7426" width="8.85546875" style="354" bestFit="1" customWidth="1"/>
    <col min="7427" max="7427" width="13.28515625" style="354" bestFit="1" customWidth="1"/>
    <col min="7428" max="7429" width="10.140625" style="354" bestFit="1" customWidth="1"/>
    <col min="7430" max="7430" width="5.7109375" style="354" bestFit="1" customWidth="1"/>
    <col min="7431" max="7431" width="6.42578125" style="354" bestFit="1" customWidth="1"/>
    <col min="7432" max="7432" width="6.28515625" style="354" bestFit="1" customWidth="1"/>
    <col min="7433" max="7433" width="7" style="354" bestFit="1" customWidth="1"/>
    <col min="7434" max="7434" width="20.42578125" style="354" bestFit="1" customWidth="1"/>
    <col min="7435" max="7435" width="5.140625" style="354" customWidth="1"/>
    <col min="7436" max="7657" width="8" style="354"/>
    <col min="7658" max="7658" width="7.7109375" style="354" bestFit="1" customWidth="1"/>
    <col min="7659" max="7659" width="15.5703125" style="354" bestFit="1" customWidth="1"/>
    <col min="7660" max="7660" width="31.42578125" style="354" customWidth="1"/>
    <col min="7661" max="7661" width="10.140625" style="354" bestFit="1" customWidth="1"/>
    <col min="7662" max="7662" width="10.42578125" style="354" bestFit="1" customWidth="1"/>
    <col min="7663" max="7663" width="10" style="354" customWidth="1"/>
    <col min="7664" max="7664" width="11" style="354" customWidth="1"/>
    <col min="7665" max="7665" width="10.42578125" style="354" bestFit="1" customWidth="1"/>
    <col min="7666" max="7666" width="11.85546875" style="354" customWidth="1"/>
    <col min="7667" max="7667" width="10.140625" style="354" bestFit="1" customWidth="1"/>
    <col min="7668" max="7668" width="10.140625" style="354" customWidth="1"/>
    <col min="7669" max="7669" width="11.28515625" style="354" customWidth="1"/>
    <col min="7670" max="7672" width="10.140625" style="354" bestFit="1" customWidth="1"/>
    <col min="7673" max="7673" width="10.42578125" style="354" bestFit="1" customWidth="1"/>
    <col min="7674" max="7674" width="10.140625" style="354" bestFit="1" customWidth="1"/>
    <col min="7675" max="7675" width="9.140625" style="354" bestFit="1" customWidth="1"/>
    <col min="7676" max="7677" width="10.140625" style="354" bestFit="1" customWidth="1"/>
    <col min="7678" max="7678" width="8.85546875" style="354" bestFit="1" customWidth="1"/>
    <col min="7679" max="7679" width="9.140625" style="354" bestFit="1" customWidth="1"/>
    <col min="7680" max="7682" width="8.85546875" style="354" bestFit="1" customWidth="1"/>
    <col min="7683" max="7683" width="13.28515625" style="354" bestFit="1" customWidth="1"/>
    <col min="7684" max="7685" width="10.140625" style="354" bestFit="1" customWidth="1"/>
    <col min="7686" max="7686" width="5.7109375" style="354" bestFit="1" customWidth="1"/>
    <col min="7687" max="7687" width="6.42578125" style="354" bestFit="1" customWidth="1"/>
    <col min="7688" max="7688" width="6.28515625" style="354" bestFit="1" customWidth="1"/>
    <col min="7689" max="7689" width="7" style="354" bestFit="1" customWidth="1"/>
    <col min="7690" max="7690" width="20.42578125" style="354" bestFit="1" customWidth="1"/>
    <col min="7691" max="7691" width="5.140625" style="354" customWidth="1"/>
    <col min="7692" max="7913" width="8" style="354"/>
    <col min="7914" max="7914" width="7.7109375" style="354" bestFit="1" customWidth="1"/>
    <col min="7915" max="7915" width="15.5703125" style="354" bestFit="1" customWidth="1"/>
    <col min="7916" max="7916" width="31.42578125" style="354" customWidth="1"/>
    <col min="7917" max="7917" width="10.140625" style="354" bestFit="1" customWidth="1"/>
    <col min="7918" max="7918" width="10.42578125" style="354" bestFit="1" customWidth="1"/>
    <col min="7919" max="7919" width="10" style="354" customWidth="1"/>
    <col min="7920" max="7920" width="11" style="354" customWidth="1"/>
    <col min="7921" max="7921" width="10.42578125" style="354" bestFit="1" customWidth="1"/>
    <col min="7922" max="7922" width="11.85546875" style="354" customWidth="1"/>
    <col min="7923" max="7923" width="10.140625" style="354" bestFit="1" customWidth="1"/>
    <col min="7924" max="7924" width="10.140625" style="354" customWidth="1"/>
    <col min="7925" max="7925" width="11.28515625" style="354" customWidth="1"/>
    <col min="7926" max="7928" width="10.140625" style="354" bestFit="1" customWidth="1"/>
    <col min="7929" max="7929" width="10.42578125" style="354" bestFit="1" customWidth="1"/>
    <col min="7930" max="7930" width="10.140625" style="354" bestFit="1" customWidth="1"/>
    <col min="7931" max="7931" width="9.140625" style="354" bestFit="1" customWidth="1"/>
    <col min="7932" max="7933" width="10.140625" style="354" bestFit="1" customWidth="1"/>
    <col min="7934" max="7934" width="8.85546875" style="354" bestFit="1" customWidth="1"/>
    <col min="7935" max="7935" width="9.140625" style="354" bestFit="1" customWidth="1"/>
    <col min="7936" max="7938" width="8.85546875" style="354" bestFit="1" customWidth="1"/>
    <col min="7939" max="7939" width="13.28515625" style="354" bestFit="1" customWidth="1"/>
    <col min="7940" max="7941" width="10.140625" style="354" bestFit="1" customWidth="1"/>
    <col min="7942" max="7942" width="5.7109375" style="354" bestFit="1" customWidth="1"/>
    <col min="7943" max="7943" width="6.42578125" style="354" bestFit="1" customWidth="1"/>
    <col min="7944" max="7944" width="6.28515625" style="354" bestFit="1" customWidth="1"/>
    <col min="7945" max="7945" width="7" style="354" bestFit="1" customWidth="1"/>
    <col min="7946" max="7946" width="20.42578125" style="354" bestFit="1" customWidth="1"/>
    <col min="7947" max="7947" width="5.140625" style="354" customWidth="1"/>
    <col min="7948" max="8169" width="8" style="354"/>
    <col min="8170" max="8170" width="7.7109375" style="354" bestFit="1" customWidth="1"/>
    <col min="8171" max="8171" width="15.5703125" style="354" bestFit="1" customWidth="1"/>
    <col min="8172" max="8172" width="31.42578125" style="354" customWidth="1"/>
    <col min="8173" max="8173" width="10.140625" style="354" bestFit="1" customWidth="1"/>
    <col min="8174" max="8174" width="10.42578125" style="354" bestFit="1" customWidth="1"/>
    <col min="8175" max="8175" width="10" style="354" customWidth="1"/>
    <col min="8176" max="8176" width="11" style="354" customWidth="1"/>
    <col min="8177" max="8177" width="10.42578125" style="354" bestFit="1" customWidth="1"/>
    <col min="8178" max="8178" width="11.85546875" style="354" customWidth="1"/>
    <col min="8179" max="8179" width="10.140625" style="354" bestFit="1" customWidth="1"/>
    <col min="8180" max="8180" width="10.140625" style="354" customWidth="1"/>
    <col min="8181" max="8181" width="11.28515625" style="354" customWidth="1"/>
    <col min="8182" max="8184" width="10.140625" style="354" bestFit="1" customWidth="1"/>
    <col min="8185" max="8185" width="10.42578125" style="354" bestFit="1" customWidth="1"/>
    <col min="8186" max="8186" width="10.140625" style="354" bestFit="1" customWidth="1"/>
    <col min="8187" max="8187" width="9.140625" style="354" bestFit="1" customWidth="1"/>
    <col min="8188" max="8189" width="10.140625" style="354" bestFit="1" customWidth="1"/>
    <col min="8190" max="8190" width="8.85546875" style="354" bestFit="1" customWidth="1"/>
    <col min="8191" max="8191" width="9.140625" style="354" bestFit="1" customWidth="1"/>
    <col min="8192" max="8194" width="8.85546875" style="354" bestFit="1" customWidth="1"/>
    <col min="8195" max="8195" width="13.28515625" style="354" bestFit="1" customWidth="1"/>
    <col min="8196" max="8197" width="10.140625" style="354" bestFit="1" customWidth="1"/>
    <col min="8198" max="8198" width="5.7109375" style="354" bestFit="1" customWidth="1"/>
    <col min="8199" max="8199" width="6.42578125" style="354" bestFit="1" customWidth="1"/>
    <col min="8200" max="8200" width="6.28515625" style="354" bestFit="1" customWidth="1"/>
    <col min="8201" max="8201" width="7" style="354" bestFit="1" customWidth="1"/>
    <col min="8202" max="8202" width="20.42578125" style="354" bestFit="1" customWidth="1"/>
    <col min="8203" max="8203" width="5.140625" style="354" customWidth="1"/>
    <col min="8204" max="8425" width="8" style="354"/>
    <col min="8426" max="8426" width="7.7109375" style="354" bestFit="1" customWidth="1"/>
    <col min="8427" max="8427" width="15.5703125" style="354" bestFit="1" customWidth="1"/>
    <col min="8428" max="8428" width="31.42578125" style="354" customWidth="1"/>
    <col min="8429" max="8429" width="10.140625" style="354" bestFit="1" customWidth="1"/>
    <col min="8430" max="8430" width="10.42578125" style="354" bestFit="1" customWidth="1"/>
    <col min="8431" max="8431" width="10" style="354" customWidth="1"/>
    <col min="8432" max="8432" width="11" style="354" customWidth="1"/>
    <col min="8433" max="8433" width="10.42578125" style="354" bestFit="1" customWidth="1"/>
    <col min="8434" max="8434" width="11.85546875" style="354" customWidth="1"/>
    <col min="8435" max="8435" width="10.140625" style="354" bestFit="1" customWidth="1"/>
    <col min="8436" max="8436" width="10.140625" style="354" customWidth="1"/>
    <col min="8437" max="8437" width="11.28515625" style="354" customWidth="1"/>
    <col min="8438" max="8440" width="10.140625" style="354" bestFit="1" customWidth="1"/>
    <col min="8441" max="8441" width="10.42578125" style="354" bestFit="1" customWidth="1"/>
    <col min="8442" max="8442" width="10.140625" style="354" bestFit="1" customWidth="1"/>
    <col min="8443" max="8443" width="9.140625" style="354" bestFit="1" customWidth="1"/>
    <col min="8444" max="8445" width="10.140625" style="354" bestFit="1" customWidth="1"/>
    <col min="8446" max="8446" width="8.85546875" style="354" bestFit="1" customWidth="1"/>
    <col min="8447" max="8447" width="9.140625" style="354" bestFit="1" customWidth="1"/>
    <col min="8448" max="8450" width="8.85546875" style="354" bestFit="1" customWidth="1"/>
    <col min="8451" max="8451" width="13.28515625" style="354" bestFit="1" customWidth="1"/>
    <col min="8452" max="8453" width="10.140625" style="354" bestFit="1" customWidth="1"/>
    <col min="8454" max="8454" width="5.7109375" style="354" bestFit="1" customWidth="1"/>
    <col min="8455" max="8455" width="6.42578125" style="354" bestFit="1" customWidth="1"/>
    <col min="8456" max="8456" width="6.28515625" style="354" bestFit="1" customWidth="1"/>
    <col min="8457" max="8457" width="7" style="354" bestFit="1" customWidth="1"/>
    <col min="8458" max="8458" width="20.42578125" style="354" bestFit="1" customWidth="1"/>
    <col min="8459" max="8459" width="5.140625" style="354" customWidth="1"/>
    <col min="8460" max="8681" width="8" style="354"/>
    <col min="8682" max="8682" width="7.7109375" style="354" bestFit="1" customWidth="1"/>
    <col min="8683" max="8683" width="15.5703125" style="354" bestFit="1" customWidth="1"/>
    <col min="8684" max="8684" width="31.42578125" style="354" customWidth="1"/>
    <col min="8685" max="8685" width="10.140625" style="354" bestFit="1" customWidth="1"/>
    <col min="8686" max="8686" width="10.42578125" style="354" bestFit="1" customWidth="1"/>
    <col min="8687" max="8687" width="10" style="354" customWidth="1"/>
    <col min="8688" max="8688" width="11" style="354" customWidth="1"/>
    <col min="8689" max="8689" width="10.42578125" style="354" bestFit="1" customWidth="1"/>
    <col min="8690" max="8690" width="11.85546875" style="354" customWidth="1"/>
    <col min="8691" max="8691" width="10.140625" style="354" bestFit="1" customWidth="1"/>
    <col min="8692" max="8692" width="10.140625" style="354" customWidth="1"/>
    <col min="8693" max="8693" width="11.28515625" style="354" customWidth="1"/>
    <col min="8694" max="8696" width="10.140625" style="354" bestFit="1" customWidth="1"/>
    <col min="8697" max="8697" width="10.42578125" style="354" bestFit="1" customWidth="1"/>
    <col min="8698" max="8698" width="10.140625" style="354" bestFit="1" customWidth="1"/>
    <col min="8699" max="8699" width="9.140625" style="354" bestFit="1" customWidth="1"/>
    <col min="8700" max="8701" width="10.140625" style="354" bestFit="1" customWidth="1"/>
    <col min="8702" max="8702" width="8.85546875" style="354" bestFit="1" customWidth="1"/>
    <col min="8703" max="8703" width="9.140625" style="354" bestFit="1" customWidth="1"/>
    <col min="8704" max="8706" width="8.85546875" style="354" bestFit="1" customWidth="1"/>
    <col min="8707" max="8707" width="13.28515625" style="354" bestFit="1" customWidth="1"/>
    <col min="8708" max="8709" width="10.140625" style="354" bestFit="1" customWidth="1"/>
    <col min="8710" max="8710" width="5.7109375" style="354" bestFit="1" customWidth="1"/>
    <col min="8711" max="8711" width="6.42578125" style="354" bestFit="1" customWidth="1"/>
    <col min="8712" max="8712" width="6.28515625" style="354" bestFit="1" customWidth="1"/>
    <col min="8713" max="8713" width="7" style="354" bestFit="1" customWidth="1"/>
    <col min="8714" max="8714" width="20.42578125" style="354" bestFit="1" customWidth="1"/>
    <col min="8715" max="8715" width="5.140625" style="354" customWidth="1"/>
    <col min="8716" max="8937" width="8" style="354"/>
    <col min="8938" max="8938" width="7.7109375" style="354" bestFit="1" customWidth="1"/>
    <col min="8939" max="8939" width="15.5703125" style="354" bestFit="1" customWidth="1"/>
    <col min="8940" max="8940" width="31.42578125" style="354" customWidth="1"/>
    <col min="8941" max="8941" width="10.140625" style="354" bestFit="1" customWidth="1"/>
    <col min="8942" max="8942" width="10.42578125" style="354" bestFit="1" customWidth="1"/>
    <col min="8943" max="8943" width="10" style="354" customWidth="1"/>
    <col min="8944" max="8944" width="11" style="354" customWidth="1"/>
    <col min="8945" max="8945" width="10.42578125" style="354" bestFit="1" customWidth="1"/>
    <col min="8946" max="8946" width="11.85546875" style="354" customWidth="1"/>
    <col min="8947" max="8947" width="10.140625" style="354" bestFit="1" customWidth="1"/>
    <col min="8948" max="8948" width="10.140625" style="354" customWidth="1"/>
    <col min="8949" max="8949" width="11.28515625" style="354" customWidth="1"/>
    <col min="8950" max="8952" width="10.140625" style="354" bestFit="1" customWidth="1"/>
    <col min="8953" max="8953" width="10.42578125" style="354" bestFit="1" customWidth="1"/>
    <col min="8954" max="8954" width="10.140625" style="354" bestFit="1" customWidth="1"/>
    <col min="8955" max="8955" width="9.140625" style="354" bestFit="1" customWidth="1"/>
    <col min="8956" max="8957" width="10.140625" style="354" bestFit="1" customWidth="1"/>
    <col min="8958" max="8958" width="8.85546875" style="354" bestFit="1" customWidth="1"/>
    <col min="8959" max="8959" width="9.140625" style="354" bestFit="1" customWidth="1"/>
    <col min="8960" max="8962" width="8.85546875" style="354" bestFit="1" customWidth="1"/>
    <col min="8963" max="8963" width="13.28515625" style="354" bestFit="1" customWidth="1"/>
    <col min="8964" max="8965" width="10.140625" style="354" bestFit="1" customWidth="1"/>
    <col min="8966" max="8966" width="5.7109375" style="354" bestFit="1" customWidth="1"/>
    <col min="8967" max="8967" width="6.42578125" style="354" bestFit="1" customWidth="1"/>
    <col min="8968" max="8968" width="6.28515625" style="354" bestFit="1" customWidth="1"/>
    <col min="8969" max="8969" width="7" style="354" bestFit="1" customWidth="1"/>
    <col min="8970" max="8970" width="20.42578125" style="354" bestFit="1" customWidth="1"/>
    <col min="8971" max="8971" width="5.140625" style="354" customWidth="1"/>
    <col min="8972" max="9193" width="8" style="354"/>
    <col min="9194" max="9194" width="7.7109375" style="354" bestFit="1" customWidth="1"/>
    <col min="9195" max="9195" width="15.5703125" style="354" bestFit="1" customWidth="1"/>
    <col min="9196" max="9196" width="31.42578125" style="354" customWidth="1"/>
    <col min="9197" max="9197" width="10.140625" style="354" bestFit="1" customWidth="1"/>
    <col min="9198" max="9198" width="10.42578125" style="354" bestFit="1" customWidth="1"/>
    <col min="9199" max="9199" width="10" style="354" customWidth="1"/>
    <col min="9200" max="9200" width="11" style="354" customWidth="1"/>
    <col min="9201" max="9201" width="10.42578125" style="354" bestFit="1" customWidth="1"/>
    <col min="9202" max="9202" width="11.85546875" style="354" customWidth="1"/>
    <col min="9203" max="9203" width="10.140625" style="354" bestFit="1" customWidth="1"/>
    <col min="9204" max="9204" width="10.140625" style="354" customWidth="1"/>
    <col min="9205" max="9205" width="11.28515625" style="354" customWidth="1"/>
    <col min="9206" max="9208" width="10.140625" style="354" bestFit="1" customWidth="1"/>
    <col min="9209" max="9209" width="10.42578125" style="354" bestFit="1" customWidth="1"/>
    <col min="9210" max="9210" width="10.140625" style="354" bestFit="1" customWidth="1"/>
    <col min="9211" max="9211" width="9.140625" style="354" bestFit="1" customWidth="1"/>
    <col min="9212" max="9213" width="10.140625" style="354" bestFit="1" customWidth="1"/>
    <col min="9214" max="9214" width="8.85546875" style="354" bestFit="1" customWidth="1"/>
    <col min="9215" max="9215" width="9.140625" style="354" bestFit="1" customWidth="1"/>
    <col min="9216" max="9218" width="8.85546875" style="354" bestFit="1" customWidth="1"/>
    <col min="9219" max="9219" width="13.28515625" style="354" bestFit="1" customWidth="1"/>
    <col min="9220" max="9221" width="10.140625" style="354" bestFit="1" customWidth="1"/>
    <col min="9222" max="9222" width="5.7109375" style="354" bestFit="1" customWidth="1"/>
    <col min="9223" max="9223" width="6.42578125" style="354" bestFit="1" customWidth="1"/>
    <col min="9224" max="9224" width="6.28515625" style="354" bestFit="1" customWidth="1"/>
    <col min="9225" max="9225" width="7" style="354" bestFit="1" customWidth="1"/>
    <col min="9226" max="9226" width="20.42578125" style="354" bestFit="1" customWidth="1"/>
    <col min="9227" max="9227" width="5.140625" style="354" customWidth="1"/>
    <col min="9228" max="9449" width="8" style="354"/>
    <col min="9450" max="9450" width="7.7109375" style="354" bestFit="1" customWidth="1"/>
    <col min="9451" max="9451" width="15.5703125" style="354" bestFit="1" customWidth="1"/>
    <col min="9452" max="9452" width="31.42578125" style="354" customWidth="1"/>
    <col min="9453" max="9453" width="10.140625" style="354" bestFit="1" customWidth="1"/>
    <col min="9454" max="9454" width="10.42578125" style="354" bestFit="1" customWidth="1"/>
    <col min="9455" max="9455" width="10" style="354" customWidth="1"/>
    <col min="9456" max="9456" width="11" style="354" customWidth="1"/>
    <col min="9457" max="9457" width="10.42578125" style="354" bestFit="1" customWidth="1"/>
    <col min="9458" max="9458" width="11.85546875" style="354" customWidth="1"/>
    <col min="9459" max="9459" width="10.140625" style="354" bestFit="1" customWidth="1"/>
    <col min="9460" max="9460" width="10.140625" style="354" customWidth="1"/>
    <col min="9461" max="9461" width="11.28515625" style="354" customWidth="1"/>
    <col min="9462" max="9464" width="10.140625" style="354" bestFit="1" customWidth="1"/>
    <col min="9465" max="9465" width="10.42578125" style="354" bestFit="1" customWidth="1"/>
    <col min="9466" max="9466" width="10.140625" style="354" bestFit="1" customWidth="1"/>
    <col min="9467" max="9467" width="9.140625" style="354" bestFit="1" customWidth="1"/>
    <col min="9468" max="9469" width="10.140625" style="354" bestFit="1" customWidth="1"/>
    <col min="9470" max="9470" width="8.85546875" style="354" bestFit="1" customWidth="1"/>
    <col min="9471" max="9471" width="9.140625" style="354" bestFit="1" customWidth="1"/>
    <col min="9472" max="9474" width="8.85546875" style="354" bestFit="1" customWidth="1"/>
    <col min="9475" max="9475" width="13.28515625" style="354" bestFit="1" customWidth="1"/>
    <col min="9476" max="9477" width="10.140625" style="354" bestFit="1" customWidth="1"/>
    <col min="9478" max="9478" width="5.7109375" style="354" bestFit="1" customWidth="1"/>
    <col min="9479" max="9479" width="6.42578125" style="354" bestFit="1" customWidth="1"/>
    <col min="9480" max="9480" width="6.28515625" style="354" bestFit="1" customWidth="1"/>
    <col min="9481" max="9481" width="7" style="354" bestFit="1" customWidth="1"/>
    <col min="9482" max="9482" width="20.42578125" style="354" bestFit="1" customWidth="1"/>
    <col min="9483" max="9483" width="5.140625" style="354" customWidth="1"/>
    <col min="9484" max="9705" width="8" style="354"/>
    <col min="9706" max="9706" width="7.7109375" style="354" bestFit="1" customWidth="1"/>
    <col min="9707" max="9707" width="15.5703125" style="354" bestFit="1" customWidth="1"/>
    <col min="9708" max="9708" width="31.42578125" style="354" customWidth="1"/>
    <col min="9709" max="9709" width="10.140625" style="354" bestFit="1" customWidth="1"/>
    <col min="9710" max="9710" width="10.42578125" style="354" bestFit="1" customWidth="1"/>
    <col min="9711" max="9711" width="10" style="354" customWidth="1"/>
    <col min="9712" max="9712" width="11" style="354" customWidth="1"/>
    <col min="9713" max="9713" width="10.42578125" style="354" bestFit="1" customWidth="1"/>
    <col min="9714" max="9714" width="11.85546875" style="354" customWidth="1"/>
    <col min="9715" max="9715" width="10.140625" style="354" bestFit="1" customWidth="1"/>
    <col min="9716" max="9716" width="10.140625" style="354" customWidth="1"/>
    <col min="9717" max="9717" width="11.28515625" style="354" customWidth="1"/>
    <col min="9718" max="9720" width="10.140625" style="354" bestFit="1" customWidth="1"/>
    <col min="9721" max="9721" width="10.42578125" style="354" bestFit="1" customWidth="1"/>
    <col min="9722" max="9722" width="10.140625" style="354" bestFit="1" customWidth="1"/>
    <col min="9723" max="9723" width="9.140625" style="354" bestFit="1" customWidth="1"/>
    <col min="9724" max="9725" width="10.140625" style="354" bestFit="1" customWidth="1"/>
    <col min="9726" max="9726" width="8.85546875" style="354" bestFit="1" customWidth="1"/>
    <col min="9727" max="9727" width="9.140625" style="354" bestFit="1" customWidth="1"/>
    <col min="9728" max="9730" width="8.85546875" style="354" bestFit="1" customWidth="1"/>
    <col min="9731" max="9731" width="13.28515625" style="354" bestFit="1" customWidth="1"/>
    <col min="9732" max="9733" width="10.140625" style="354" bestFit="1" customWidth="1"/>
    <col min="9734" max="9734" width="5.7109375" style="354" bestFit="1" customWidth="1"/>
    <col min="9735" max="9735" width="6.42578125" style="354" bestFit="1" customWidth="1"/>
    <col min="9736" max="9736" width="6.28515625" style="354" bestFit="1" customWidth="1"/>
    <col min="9737" max="9737" width="7" style="354" bestFit="1" customWidth="1"/>
    <col min="9738" max="9738" width="20.42578125" style="354" bestFit="1" customWidth="1"/>
    <col min="9739" max="9739" width="5.140625" style="354" customWidth="1"/>
    <col min="9740" max="9961" width="8" style="354"/>
    <col min="9962" max="9962" width="7.7109375" style="354" bestFit="1" customWidth="1"/>
    <col min="9963" max="9963" width="15.5703125" style="354" bestFit="1" customWidth="1"/>
    <col min="9964" max="9964" width="31.42578125" style="354" customWidth="1"/>
    <col min="9965" max="9965" width="10.140625" style="354" bestFit="1" customWidth="1"/>
    <col min="9966" max="9966" width="10.42578125" style="354" bestFit="1" customWidth="1"/>
    <col min="9967" max="9967" width="10" style="354" customWidth="1"/>
    <col min="9968" max="9968" width="11" style="354" customWidth="1"/>
    <col min="9969" max="9969" width="10.42578125" style="354" bestFit="1" customWidth="1"/>
    <col min="9970" max="9970" width="11.85546875" style="354" customWidth="1"/>
    <col min="9971" max="9971" width="10.140625" style="354" bestFit="1" customWidth="1"/>
    <col min="9972" max="9972" width="10.140625" style="354" customWidth="1"/>
    <col min="9973" max="9973" width="11.28515625" style="354" customWidth="1"/>
    <col min="9974" max="9976" width="10.140625" style="354" bestFit="1" customWidth="1"/>
    <col min="9977" max="9977" width="10.42578125" style="354" bestFit="1" customWidth="1"/>
    <col min="9978" max="9978" width="10.140625" style="354" bestFit="1" customWidth="1"/>
    <col min="9979" max="9979" width="9.140625" style="354" bestFit="1" customWidth="1"/>
    <col min="9980" max="9981" width="10.140625" style="354" bestFit="1" customWidth="1"/>
    <col min="9982" max="9982" width="8.85546875" style="354" bestFit="1" customWidth="1"/>
    <col min="9983" max="9983" width="9.140625" style="354" bestFit="1" customWidth="1"/>
    <col min="9984" max="9986" width="8.85546875" style="354" bestFit="1" customWidth="1"/>
    <col min="9987" max="9987" width="13.28515625" style="354" bestFit="1" customWidth="1"/>
    <col min="9988" max="9989" width="10.140625" style="354" bestFit="1" customWidth="1"/>
    <col min="9990" max="9990" width="5.7109375" style="354" bestFit="1" customWidth="1"/>
    <col min="9991" max="9991" width="6.42578125" style="354" bestFit="1" customWidth="1"/>
    <col min="9992" max="9992" width="6.28515625" style="354" bestFit="1" customWidth="1"/>
    <col min="9993" max="9993" width="7" style="354" bestFit="1" customWidth="1"/>
    <col min="9994" max="9994" width="20.42578125" style="354" bestFit="1" customWidth="1"/>
    <col min="9995" max="9995" width="5.140625" style="354" customWidth="1"/>
    <col min="9996" max="10217" width="8" style="354"/>
    <col min="10218" max="10218" width="7.7109375" style="354" bestFit="1" customWidth="1"/>
    <col min="10219" max="10219" width="15.5703125" style="354" bestFit="1" customWidth="1"/>
    <col min="10220" max="10220" width="31.42578125" style="354" customWidth="1"/>
    <col min="10221" max="10221" width="10.140625" style="354" bestFit="1" customWidth="1"/>
    <col min="10222" max="10222" width="10.42578125" style="354" bestFit="1" customWidth="1"/>
    <col min="10223" max="10223" width="10" style="354" customWidth="1"/>
    <col min="10224" max="10224" width="11" style="354" customWidth="1"/>
    <col min="10225" max="10225" width="10.42578125" style="354" bestFit="1" customWidth="1"/>
    <col min="10226" max="10226" width="11.85546875" style="354" customWidth="1"/>
    <col min="10227" max="10227" width="10.140625" style="354" bestFit="1" customWidth="1"/>
    <col min="10228" max="10228" width="10.140625" style="354" customWidth="1"/>
    <col min="10229" max="10229" width="11.28515625" style="354" customWidth="1"/>
    <col min="10230" max="10232" width="10.140625" style="354" bestFit="1" customWidth="1"/>
    <col min="10233" max="10233" width="10.42578125" style="354" bestFit="1" customWidth="1"/>
    <col min="10234" max="10234" width="10.140625" style="354" bestFit="1" customWidth="1"/>
    <col min="10235" max="10235" width="9.140625" style="354" bestFit="1" customWidth="1"/>
    <col min="10236" max="10237" width="10.140625" style="354" bestFit="1" customWidth="1"/>
    <col min="10238" max="10238" width="8.85546875" style="354" bestFit="1" customWidth="1"/>
    <col min="10239" max="10239" width="9.140625" style="354" bestFit="1" customWidth="1"/>
    <col min="10240" max="10242" width="8.85546875" style="354" bestFit="1" customWidth="1"/>
    <col min="10243" max="10243" width="13.28515625" style="354" bestFit="1" customWidth="1"/>
    <col min="10244" max="10245" width="10.140625" style="354" bestFit="1" customWidth="1"/>
    <col min="10246" max="10246" width="5.7109375" style="354" bestFit="1" customWidth="1"/>
    <col min="10247" max="10247" width="6.42578125" style="354" bestFit="1" customWidth="1"/>
    <col min="10248" max="10248" width="6.28515625" style="354" bestFit="1" customWidth="1"/>
    <col min="10249" max="10249" width="7" style="354" bestFit="1" customWidth="1"/>
    <col min="10250" max="10250" width="20.42578125" style="354" bestFit="1" customWidth="1"/>
    <col min="10251" max="10251" width="5.140625" style="354" customWidth="1"/>
    <col min="10252" max="10473" width="8" style="354"/>
    <col min="10474" max="10474" width="7.7109375" style="354" bestFit="1" customWidth="1"/>
    <col min="10475" max="10475" width="15.5703125" style="354" bestFit="1" customWidth="1"/>
    <col min="10476" max="10476" width="31.42578125" style="354" customWidth="1"/>
    <col min="10477" max="10477" width="10.140625" style="354" bestFit="1" customWidth="1"/>
    <col min="10478" max="10478" width="10.42578125" style="354" bestFit="1" customWidth="1"/>
    <col min="10479" max="10479" width="10" style="354" customWidth="1"/>
    <col min="10480" max="10480" width="11" style="354" customWidth="1"/>
    <col min="10481" max="10481" width="10.42578125" style="354" bestFit="1" customWidth="1"/>
    <col min="10482" max="10482" width="11.85546875" style="354" customWidth="1"/>
    <col min="10483" max="10483" width="10.140625" style="354" bestFit="1" customWidth="1"/>
    <col min="10484" max="10484" width="10.140625" style="354" customWidth="1"/>
    <col min="10485" max="10485" width="11.28515625" style="354" customWidth="1"/>
    <col min="10486" max="10488" width="10.140625" style="354" bestFit="1" customWidth="1"/>
    <col min="10489" max="10489" width="10.42578125" style="354" bestFit="1" customWidth="1"/>
    <col min="10490" max="10490" width="10.140625" style="354" bestFit="1" customWidth="1"/>
    <col min="10491" max="10491" width="9.140625" style="354" bestFit="1" customWidth="1"/>
    <col min="10492" max="10493" width="10.140625" style="354" bestFit="1" customWidth="1"/>
    <col min="10494" max="10494" width="8.85546875" style="354" bestFit="1" customWidth="1"/>
    <col min="10495" max="10495" width="9.140625" style="354" bestFit="1" customWidth="1"/>
    <col min="10496" max="10498" width="8.85546875" style="354" bestFit="1" customWidth="1"/>
    <col min="10499" max="10499" width="13.28515625" style="354" bestFit="1" customWidth="1"/>
    <col min="10500" max="10501" width="10.140625" style="354" bestFit="1" customWidth="1"/>
    <col min="10502" max="10502" width="5.7109375" style="354" bestFit="1" customWidth="1"/>
    <col min="10503" max="10503" width="6.42578125" style="354" bestFit="1" customWidth="1"/>
    <col min="10504" max="10504" width="6.28515625" style="354" bestFit="1" customWidth="1"/>
    <col min="10505" max="10505" width="7" style="354" bestFit="1" customWidth="1"/>
    <col min="10506" max="10506" width="20.42578125" style="354" bestFit="1" customWidth="1"/>
    <col min="10507" max="10507" width="5.140625" style="354" customWidth="1"/>
    <col min="10508" max="10729" width="8" style="354"/>
    <col min="10730" max="10730" width="7.7109375" style="354" bestFit="1" customWidth="1"/>
    <col min="10731" max="10731" width="15.5703125" style="354" bestFit="1" customWidth="1"/>
    <col min="10732" max="10732" width="31.42578125" style="354" customWidth="1"/>
    <col min="10733" max="10733" width="10.140625" style="354" bestFit="1" customWidth="1"/>
    <col min="10734" max="10734" width="10.42578125" style="354" bestFit="1" customWidth="1"/>
    <col min="10735" max="10735" width="10" style="354" customWidth="1"/>
    <col min="10736" max="10736" width="11" style="354" customWidth="1"/>
    <col min="10737" max="10737" width="10.42578125" style="354" bestFit="1" customWidth="1"/>
    <col min="10738" max="10738" width="11.85546875" style="354" customWidth="1"/>
    <col min="10739" max="10739" width="10.140625" style="354" bestFit="1" customWidth="1"/>
    <col min="10740" max="10740" width="10.140625" style="354" customWidth="1"/>
    <col min="10741" max="10741" width="11.28515625" style="354" customWidth="1"/>
    <col min="10742" max="10744" width="10.140625" style="354" bestFit="1" customWidth="1"/>
    <col min="10745" max="10745" width="10.42578125" style="354" bestFit="1" customWidth="1"/>
    <col min="10746" max="10746" width="10.140625" style="354" bestFit="1" customWidth="1"/>
    <col min="10747" max="10747" width="9.140625" style="354" bestFit="1" customWidth="1"/>
    <col min="10748" max="10749" width="10.140625" style="354" bestFit="1" customWidth="1"/>
    <col min="10750" max="10750" width="8.85546875" style="354" bestFit="1" customWidth="1"/>
    <col min="10751" max="10751" width="9.140625" style="354" bestFit="1" customWidth="1"/>
    <col min="10752" max="10754" width="8.85546875" style="354" bestFit="1" customWidth="1"/>
    <col min="10755" max="10755" width="13.28515625" style="354" bestFit="1" customWidth="1"/>
    <col min="10756" max="10757" width="10.140625" style="354" bestFit="1" customWidth="1"/>
    <col min="10758" max="10758" width="5.7109375" style="354" bestFit="1" customWidth="1"/>
    <col min="10759" max="10759" width="6.42578125" style="354" bestFit="1" customWidth="1"/>
    <col min="10760" max="10760" width="6.28515625" style="354" bestFit="1" customWidth="1"/>
    <col min="10761" max="10761" width="7" style="354" bestFit="1" customWidth="1"/>
    <col min="10762" max="10762" width="20.42578125" style="354" bestFit="1" customWidth="1"/>
    <col min="10763" max="10763" width="5.140625" style="354" customWidth="1"/>
    <col min="10764" max="10985" width="8" style="354"/>
    <col min="10986" max="10986" width="7.7109375" style="354" bestFit="1" customWidth="1"/>
    <col min="10987" max="10987" width="15.5703125" style="354" bestFit="1" customWidth="1"/>
    <col min="10988" max="10988" width="31.42578125" style="354" customWidth="1"/>
    <col min="10989" max="10989" width="10.140625" style="354" bestFit="1" customWidth="1"/>
    <col min="10990" max="10990" width="10.42578125" style="354" bestFit="1" customWidth="1"/>
    <col min="10991" max="10991" width="10" style="354" customWidth="1"/>
    <col min="10992" max="10992" width="11" style="354" customWidth="1"/>
    <col min="10993" max="10993" width="10.42578125" style="354" bestFit="1" customWidth="1"/>
    <col min="10994" max="10994" width="11.85546875" style="354" customWidth="1"/>
    <col min="10995" max="10995" width="10.140625" style="354" bestFit="1" customWidth="1"/>
    <col min="10996" max="10996" width="10.140625" style="354" customWidth="1"/>
    <col min="10997" max="10997" width="11.28515625" style="354" customWidth="1"/>
    <col min="10998" max="11000" width="10.140625" style="354" bestFit="1" customWidth="1"/>
    <col min="11001" max="11001" width="10.42578125" style="354" bestFit="1" customWidth="1"/>
    <col min="11002" max="11002" width="10.140625" style="354" bestFit="1" customWidth="1"/>
    <col min="11003" max="11003" width="9.140625" style="354" bestFit="1" customWidth="1"/>
    <col min="11004" max="11005" width="10.140625" style="354" bestFit="1" customWidth="1"/>
    <col min="11006" max="11006" width="8.85546875" style="354" bestFit="1" customWidth="1"/>
    <col min="11007" max="11007" width="9.140625" style="354" bestFit="1" customWidth="1"/>
    <col min="11008" max="11010" width="8.85546875" style="354" bestFit="1" customWidth="1"/>
    <col min="11011" max="11011" width="13.28515625" style="354" bestFit="1" customWidth="1"/>
    <col min="11012" max="11013" width="10.140625" style="354" bestFit="1" customWidth="1"/>
    <col min="11014" max="11014" width="5.7109375" style="354" bestFit="1" customWidth="1"/>
    <col min="11015" max="11015" width="6.42578125" style="354" bestFit="1" customWidth="1"/>
    <col min="11016" max="11016" width="6.28515625" style="354" bestFit="1" customWidth="1"/>
    <col min="11017" max="11017" width="7" style="354" bestFit="1" customWidth="1"/>
    <col min="11018" max="11018" width="20.42578125" style="354" bestFit="1" customWidth="1"/>
    <col min="11019" max="11019" width="5.140625" style="354" customWidth="1"/>
    <col min="11020" max="11241" width="8" style="354"/>
    <col min="11242" max="11242" width="7.7109375" style="354" bestFit="1" customWidth="1"/>
    <col min="11243" max="11243" width="15.5703125" style="354" bestFit="1" customWidth="1"/>
    <col min="11244" max="11244" width="31.42578125" style="354" customWidth="1"/>
    <col min="11245" max="11245" width="10.140625" style="354" bestFit="1" customWidth="1"/>
    <col min="11246" max="11246" width="10.42578125" style="354" bestFit="1" customWidth="1"/>
    <col min="11247" max="11247" width="10" style="354" customWidth="1"/>
    <col min="11248" max="11248" width="11" style="354" customWidth="1"/>
    <col min="11249" max="11249" width="10.42578125" style="354" bestFit="1" customWidth="1"/>
    <col min="11250" max="11250" width="11.85546875" style="354" customWidth="1"/>
    <col min="11251" max="11251" width="10.140625" style="354" bestFit="1" customWidth="1"/>
    <col min="11252" max="11252" width="10.140625" style="354" customWidth="1"/>
    <col min="11253" max="11253" width="11.28515625" style="354" customWidth="1"/>
    <col min="11254" max="11256" width="10.140625" style="354" bestFit="1" customWidth="1"/>
    <col min="11257" max="11257" width="10.42578125" style="354" bestFit="1" customWidth="1"/>
    <col min="11258" max="11258" width="10.140625" style="354" bestFit="1" customWidth="1"/>
    <col min="11259" max="11259" width="9.140625" style="354" bestFit="1" customWidth="1"/>
    <col min="11260" max="11261" width="10.140625" style="354" bestFit="1" customWidth="1"/>
    <col min="11262" max="11262" width="8.85546875" style="354" bestFit="1" customWidth="1"/>
    <col min="11263" max="11263" width="9.140625" style="354" bestFit="1" customWidth="1"/>
    <col min="11264" max="11266" width="8.85546875" style="354" bestFit="1" customWidth="1"/>
    <col min="11267" max="11267" width="13.28515625" style="354" bestFit="1" customWidth="1"/>
    <col min="11268" max="11269" width="10.140625" style="354" bestFit="1" customWidth="1"/>
    <col min="11270" max="11270" width="5.7109375" style="354" bestFit="1" customWidth="1"/>
    <col min="11271" max="11271" width="6.42578125" style="354" bestFit="1" customWidth="1"/>
    <col min="11272" max="11272" width="6.28515625" style="354" bestFit="1" customWidth="1"/>
    <col min="11273" max="11273" width="7" style="354" bestFit="1" customWidth="1"/>
    <col min="11274" max="11274" width="20.42578125" style="354" bestFit="1" customWidth="1"/>
    <col min="11275" max="11275" width="5.140625" style="354" customWidth="1"/>
    <col min="11276" max="11497" width="8" style="354"/>
    <col min="11498" max="11498" width="7.7109375" style="354" bestFit="1" customWidth="1"/>
    <col min="11499" max="11499" width="15.5703125" style="354" bestFit="1" customWidth="1"/>
    <col min="11500" max="11500" width="31.42578125" style="354" customWidth="1"/>
    <col min="11501" max="11501" width="10.140625" style="354" bestFit="1" customWidth="1"/>
    <col min="11502" max="11502" width="10.42578125" style="354" bestFit="1" customWidth="1"/>
    <col min="11503" max="11503" width="10" style="354" customWidth="1"/>
    <col min="11504" max="11504" width="11" style="354" customWidth="1"/>
    <col min="11505" max="11505" width="10.42578125" style="354" bestFit="1" customWidth="1"/>
    <col min="11506" max="11506" width="11.85546875" style="354" customWidth="1"/>
    <col min="11507" max="11507" width="10.140625" style="354" bestFit="1" customWidth="1"/>
    <col min="11508" max="11508" width="10.140625" style="354" customWidth="1"/>
    <col min="11509" max="11509" width="11.28515625" style="354" customWidth="1"/>
    <col min="11510" max="11512" width="10.140625" style="354" bestFit="1" customWidth="1"/>
    <col min="11513" max="11513" width="10.42578125" style="354" bestFit="1" customWidth="1"/>
    <col min="11514" max="11514" width="10.140625" style="354" bestFit="1" customWidth="1"/>
    <col min="11515" max="11515" width="9.140625" style="354" bestFit="1" customWidth="1"/>
    <col min="11516" max="11517" width="10.140625" style="354" bestFit="1" customWidth="1"/>
    <col min="11518" max="11518" width="8.85546875" style="354" bestFit="1" customWidth="1"/>
    <col min="11519" max="11519" width="9.140625" style="354" bestFit="1" customWidth="1"/>
    <col min="11520" max="11522" width="8.85546875" style="354" bestFit="1" customWidth="1"/>
    <col min="11523" max="11523" width="13.28515625" style="354" bestFit="1" customWidth="1"/>
    <col min="11524" max="11525" width="10.140625" style="354" bestFit="1" customWidth="1"/>
    <col min="11526" max="11526" width="5.7109375" style="354" bestFit="1" customWidth="1"/>
    <col min="11527" max="11527" width="6.42578125" style="354" bestFit="1" customWidth="1"/>
    <col min="11528" max="11528" width="6.28515625" style="354" bestFit="1" customWidth="1"/>
    <col min="11529" max="11529" width="7" style="354" bestFit="1" customWidth="1"/>
    <col min="11530" max="11530" width="20.42578125" style="354" bestFit="1" customWidth="1"/>
    <col min="11531" max="11531" width="5.140625" style="354" customWidth="1"/>
    <col min="11532" max="11753" width="8" style="354"/>
    <col min="11754" max="11754" width="7.7109375" style="354" bestFit="1" customWidth="1"/>
    <col min="11755" max="11755" width="15.5703125" style="354" bestFit="1" customWidth="1"/>
    <col min="11756" max="11756" width="31.42578125" style="354" customWidth="1"/>
    <col min="11757" max="11757" width="10.140625" style="354" bestFit="1" customWidth="1"/>
    <col min="11758" max="11758" width="10.42578125" style="354" bestFit="1" customWidth="1"/>
    <col min="11759" max="11759" width="10" style="354" customWidth="1"/>
    <col min="11760" max="11760" width="11" style="354" customWidth="1"/>
    <col min="11761" max="11761" width="10.42578125" style="354" bestFit="1" customWidth="1"/>
    <col min="11762" max="11762" width="11.85546875" style="354" customWidth="1"/>
    <col min="11763" max="11763" width="10.140625" style="354" bestFit="1" customWidth="1"/>
    <col min="11764" max="11764" width="10.140625" style="354" customWidth="1"/>
    <col min="11765" max="11765" width="11.28515625" style="354" customWidth="1"/>
    <col min="11766" max="11768" width="10.140625" style="354" bestFit="1" customWidth="1"/>
    <col min="11769" max="11769" width="10.42578125" style="354" bestFit="1" customWidth="1"/>
    <col min="11770" max="11770" width="10.140625" style="354" bestFit="1" customWidth="1"/>
    <col min="11771" max="11771" width="9.140625" style="354" bestFit="1" customWidth="1"/>
    <col min="11772" max="11773" width="10.140625" style="354" bestFit="1" customWidth="1"/>
    <col min="11774" max="11774" width="8.85546875" style="354" bestFit="1" customWidth="1"/>
    <col min="11775" max="11775" width="9.140625" style="354" bestFit="1" customWidth="1"/>
    <col min="11776" max="11778" width="8.85546875" style="354" bestFit="1" customWidth="1"/>
    <col min="11779" max="11779" width="13.28515625" style="354" bestFit="1" customWidth="1"/>
    <col min="11780" max="11781" width="10.140625" style="354" bestFit="1" customWidth="1"/>
    <col min="11782" max="11782" width="5.7109375" style="354" bestFit="1" customWidth="1"/>
    <col min="11783" max="11783" width="6.42578125" style="354" bestFit="1" customWidth="1"/>
    <col min="11784" max="11784" width="6.28515625" style="354" bestFit="1" customWidth="1"/>
    <col min="11785" max="11785" width="7" style="354" bestFit="1" customWidth="1"/>
    <col min="11786" max="11786" width="20.42578125" style="354" bestFit="1" customWidth="1"/>
    <col min="11787" max="11787" width="5.140625" style="354" customWidth="1"/>
    <col min="11788" max="12009" width="8" style="354"/>
    <col min="12010" max="12010" width="7.7109375" style="354" bestFit="1" customWidth="1"/>
    <col min="12011" max="12011" width="15.5703125" style="354" bestFit="1" customWidth="1"/>
    <col min="12012" max="12012" width="31.42578125" style="354" customWidth="1"/>
    <col min="12013" max="12013" width="10.140625" style="354" bestFit="1" customWidth="1"/>
    <col min="12014" max="12014" width="10.42578125" style="354" bestFit="1" customWidth="1"/>
    <col min="12015" max="12015" width="10" style="354" customWidth="1"/>
    <col min="12016" max="12016" width="11" style="354" customWidth="1"/>
    <col min="12017" max="12017" width="10.42578125" style="354" bestFit="1" customWidth="1"/>
    <col min="12018" max="12018" width="11.85546875" style="354" customWidth="1"/>
    <col min="12019" max="12019" width="10.140625" style="354" bestFit="1" customWidth="1"/>
    <col min="12020" max="12020" width="10.140625" style="354" customWidth="1"/>
    <col min="12021" max="12021" width="11.28515625" style="354" customWidth="1"/>
    <col min="12022" max="12024" width="10.140625" style="354" bestFit="1" customWidth="1"/>
    <col min="12025" max="12025" width="10.42578125" style="354" bestFit="1" customWidth="1"/>
    <col min="12026" max="12026" width="10.140625" style="354" bestFit="1" customWidth="1"/>
    <col min="12027" max="12027" width="9.140625" style="354" bestFit="1" customWidth="1"/>
    <col min="12028" max="12029" width="10.140625" style="354" bestFit="1" customWidth="1"/>
    <col min="12030" max="12030" width="8.85546875" style="354" bestFit="1" customWidth="1"/>
    <col min="12031" max="12031" width="9.140625" style="354" bestFit="1" customWidth="1"/>
    <col min="12032" max="12034" width="8.85546875" style="354" bestFit="1" customWidth="1"/>
    <col min="12035" max="12035" width="13.28515625" style="354" bestFit="1" customWidth="1"/>
    <col min="12036" max="12037" width="10.140625" style="354" bestFit="1" customWidth="1"/>
    <col min="12038" max="12038" width="5.7109375" style="354" bestFit="1" customWidth="1"/>
    <col min="12039" max="12039" width="6.42578125" style="354" bestFit="1" customWidth="1"/>
    <col min="12040" max="12040" width="6.28515625" style="354" bestFit="1" customWidth="1"/>
    <col min="12041" max="12041" width="7" style="354" bestFit="1" customWidth="1"/>
    <col min="12042" max="12042" width="20.42578125" style="354" bestFit="1" customWidth="1"/>
    <col min="12043" max="12043" width="5.140625" style="354" customWidth="1"/>
    <col min="12044" max="12265" width="8" style="354"/>
    <col min="12266" max="12266" width="7.7109375" style="354" bestFit="1" customWidth="1"/>
    <col min="12267" max="12267" width="15.5703125" style="354" bestFit="1" customWidth="1"/>
    <col min="12268" max="12268" width="31.42578125" style="354" customWidth="1"/>
    <col min="12269" max="12269" width="10.140625" style="354" bestFit="1" customWidth="1"/>
    <col min="12270" max="12270" width="10.42578125" style="354" bestFit="1" customWidth="1"/>
    <col min="12271" max="12271" width="10" style="354" customWidth="1"/>
    <col min="12272" max="12272" width="11" style="354" customWidth="1"/>
    <col min="12273" max="12273" width="10.42578125" style="354" bestFit="1" customWidth="1"/>
    <col min="12274" max="12274" width="11.85546875" style="354" customWidth="1"/>
    <col min="12275" max="12275" width="10.140625" style="354" bestFit="1" customWidth="1"/>
    <col min="12276" max="12276" width="10.140625" style="354" customWidth="1"/>
    <col min="12277" max="12277" width="11.28515625" style="354" customWidth="1"/>
    <col min="12278" max="12280" width="10.140625" style="354" bestFit="1" customWidth="1"/>
    <col min="12281" max="12281" width="10.42578125" style="354" bestFit="1" customWidth="1"/>
    <col min="12282" max="12282" width="10.140625" style="354" bestFit="1" customWidth="1"/>
    <col min="12283" max="12283" width="9.140625" style="354" bestFit="1" customWidth="1"/>
    <col min="12284" max="12285" width="10.140625" style="354" bestFit="1" customWidth="1"/>
    <col min="12286" max="12286" width="8.85546875" style="354" bestFit="1" customWidth="1"/>
    <col min="12287" max="12287" width="9.140625" style="354" bestFit="1" customWidth="1"/>
    <col min="12288" max="12290" width="8.85546875" style="354" bestFit="1" customWidth="1"/>
    <col min="12291" max="12291" width="13.28515625" style="354" bestFit="1" customWidth="1"/>
    <col min="12292" max="12293" width="10.140625" style="354" bestFit="1" customWidth="1"/>
    <col min="12294" max="12294" width="5.7109375" style="354" bestFit="1" customWidth="1"/>
    <col min="12295" max="12295" width="6.42578125" style="354" bestFit="1" customWidth="1"/>
    <col min="12296" max="12296" width="6.28515625" style="354" bestFit="1" customWidth="1"/>
    <col min="12297" max="12297" width="7" style="354" bestFit="1" customWidth="1"/>
    <col min="12298" max="12298" width="20.42578125" style="354" bestFit="1" customWidth="1"/>
    <col min="12299" max="12299" width="5.140625" style="354" customWidth="1"/>
    <col min="12300" max="12521" width="8" style="354"/>
    <col min="12522" max="12522" width="7.7109375" style="354" bestFit="1" customWidth="1"/>
    <col min="12523" max="12523" width="15.5703125" style="354" bestFit="1" customWidth="1"/>
    <col min="12524" max="12524" width="31.42578125" style="354" customWidth="1"/>
    <col min="12525" max="12525" width="10.140625" style="354" bestFit="1" customWidth="1"/>
    <col min="12526" max="12526" width="10.42578125" style="354" bestFit="1" customWidth="1"/>
    <col min="12527" max="12527" width="10" style="354" customWidth="1"/>
    <col min="12528" max="12528" width="11" style="354" customWidth="1"/>
    <col min="12529" max="12529" width="10.42578125" style="354" bestFit="1" customWidth="1"/>
    <col min="12530" max="12530" width="11.85546875" style="354" customWidth="1"/>
    <col min="12531" max="12531" width="10.140625" style="354" bestFit="1" customWidth="1"/>
    <col min="12532" max="12532" width="10.140625" style="354" customWidth="1"/>
    <col min="12533" max="12533" width="11.28515625" style="354" customWidth="1"/>
    <col min="12534" max="12536" width="10.140625" style="354" bestFit="1" customWidth="1"/>
    <col min="12537" max="12537" width="10.42578125" style="354" bestFit="1" customWidth="1"/>
    <col min="12538" max="12538" width="10.140625" style="354" bestFit="1" customWidth="1"/>
    <col min="12539" max="12539" width="9.140625" style="354" bestFit="1" customWidth="1"/>
    <col min="12540" max="12541" width="10.140625" style="354" bestFit="1" customWidth="1"/>
    <col min="12542" max="12542" width="8.85546875" style="354" bestFit="1" customWidth="1"/>
    <col min="12543" max="12543" width="9.140625" style="354" bestFit="1" customWidth="1"/>
    <col min="12544" max="12546" width="8.85546875" style="354" bestFit="1" customWidth="1"/>
    <col min="12547" max="12547" width="13.28515625" style="354" bestFit="1" customWidth="1"/>
    <col min="12548" max="12549" width="10.140625" style="354" bestFit="1" customWidth="1"/>
    <col min="12550" max="12550" width="5.7109375" style="354" bestFit="1" customWidth="1"/>
    <col min="12551" max="12551" width="6.42578125" style="354" bestFit="1" customWidth="1"/>
    <col min="12552" max="12552" width="6.28515625" style="354" bestFit="1" customWidth="1"/>
    <col min="12553" max="12553" width="7" style="354" bestFit="1" customWidth="1"/>
    <col min="12554" max="12554" width="20.42578125" style="354" bestFit="1" customWidth="1"/>
    <col min="12555" max="12555" width="5.140625" style="354" customWidth="1"/>
    <col min="12556" max="12777" width="8" style="354"/>
    <col min="12778" max="12778" width="7.7109375" style="354" bestFit="1" customWidth="1"/>
    <col min="12779" max="12779" width="15.5703125" style="354" bestFit="1" customWidth="1"/>
    <col min="12780" max="12780" width="31.42578125" style="354" customWidth="1"/>
    <col min="12781" max="12781" width="10.140625" style="354" bestFit="1" customWidth="1"/>
    <col min="12782" max="12782" width="10.42578125" style="354" bestFit="1" customWidth="1"/>
    <col min="12783" max="12783" width="10" style="354" customWidth="1"/>
    <col min="12784" max="12784" width="11" style="354" customWidth="1"/>
    <col min="12785" max="12785" width="10.42578125" style="354" bestFit="1" customWidth="1"/>
    <col min="12786" max="12786" width="11.85546875" style="354" customWidth="1"/>
    <col min="12787" max="12787" width="10.140625" style="354" bestFit="1" customWidth="1"/>
    <col min="12788" max="12788" width="10.140625" style="354" customWidth="1"/>
    <col min="12789" max="12789" width="11.28515625" style="354" customWidth="1"/>
    <col min="12790" max="12792" width="10.140625" style="354" bestFit="1" customWidth="1"/>
    <col min="12793" max="12793" width="10.42578125" style="354" bestFit="1" customWidth="1"/>
    <col min="12794" max="12794" width="10.140625" style="354" bestFit="1" customWidth="1"/>
    <col min="12795" max="12795" width="9.140625" style="354" bestFit="1" customWidth="1"/>
    <col min="12796" max="12797" width="10.140625" style="354" bestFit="1" customWidth="1"/>
    <col min="12798" max="12798" width="8.85546875" style="354" bestFit="1" customWidth="1"/>
    <col min="12799" max="12799" width="9.140625" style="354" bestFit="1" customWidth="1"/>
    <col min="12800" max="12802" width="8.85546875" style="354" bestFit="1" customWidth="1"/>
    <col min="12803" max="12803" width="13.28515625" style="354" bestFit="1" customWidth="1"/>
    <col min="12804" max="12805" width="10.140625" style="354" bestFit="1" customWidth="1"/>
    <col min="12806" max="12806" width="5.7109375" style="354" bestFit="1" customWidth="1"/>
    <col min="12807" max="12807" width="6.42578125" style="354" bestFit="1" customWidth="1"/>
    <col min="12808" max="12808" width="6.28515625" style="354" bestFit="1" customWidth="1"/>
    <col min="12809" max="12809" width="7" style="354" bestFit="1" customWidth="1"/>
    <col min="12810" max="12810" width="20.42578125" style="354" bestFit="1" customWidth="1"/>
    <col min="12811" max="12811" width="5.140625" style="354" customWidth="1"/>
    <col min="12812" max="13033" width="8" style="354"/>
    <col min="13034" max="13034" width="7.7109375" style="354" bestFit="1" customWidth="1"/>
    <col min="13035" max="13035" width="15.5703125" style="354" bestFit="1" customWidth="1"/>
    <col min="13036" max="13036" width="31.42578125" style="354" customWidth="1"/>
    <col min="13037" max="13037" width="10.140625" style="354" bestFit="1" customWidth="1"/>
    <col min="13038" max="13038" width="10.42578125" style="354" bestFit="1" customWidth="1"/>
    <col min="13039" max="13039" width="10" style="354" customWidth="1"/>
    <col min="13040" max="13040" width="11" style="354" customWidth="1"/>
    <col min="13041" max="13041" width="10.42578125" style="354" bestFit="1" customWidth="1"/>
    <col min="13042" max="13042" width="11.85546875" style="354" customWidth="1"/>
    <col min="13043" max="13043" width="10.140625" style="354" bestFit="1" customWidth="1"/>
    <col min="13044" max="13044" width="10.140625" style="354" customWidth="1"/>
    <col min="13045" max="13045" width="11.28515625" style="354" customWidth="1"/>
    <col min="13046" max="13048" width="10.140625" style="354" bestFit="1" customWidth="1"/>
    <col min="13049" max="13049" width="10.42578125" style="354" bestFit="1" customWidth="1"/>
    <col min="13050" max="13050" width="10.140625" style="354" bestFit="1" customWidth="1"/>
    <col min="13051" max="13051" width="9.140625" style="354" bestFit="1" customWidth="1"/>
    <col min="13052" max="13053" width="10.140625" style="354" bestFit="1" customWidth="1"/>
    <col min="13054" max="13054" width="8.85546875" style="354" bestFit="1" customWidth="1"/>
    <col min="13055" max="13055" width="9.140625" style="354" bestFit="1" customWidth="1"/>
    <col min="13056" max="13058" width="8.85546875" style="354" bestFit="1" customWidth="1"/>
    <col min="13059" max="13059" width="13.28515625" style="354" bestFit="1" customWidth="1"/>
    <col min="13060" max="13061" width="10.140625" style="354" bestFit="1" customWidth="1"/>
    <col min="13062" max="13062" width="5.7109375" style="354" bestFit="1" customWidth="1"/>
    <col min="13063" max="13063" width="6.42578125" style="354" bestFit="1" customWidth="1"/>
    <col min="13064" max="13064" width="6.28515625" style="354" bestFit="1" customWidth="1"/>
    <col min="13065" max="13065" width="7" style="354" bestFit="1" customWidth="1"/>
    <col min="13066" max="13066" width="20.42578125" style="354" bestFit="1" customWidth="1"/>
    <col min="13067" max="13067" width="5.140625" style="354" customWidth="1"/>
    <col min="13068" max="13289" width="8" style="354"/>
    <col min="13290" max="13290" width="7.7109375" style="354" bestFit="1" customWidth="1"/>
    <col min="13291" max="13291" width="15.5703125" style="354" bestFit="1" customWidth="1"/>
    <col min="13292" max="13292" width="31.42578125" style="354" customWidth="1"/>
    <col min="13293" max="13293" width="10.140625" style="354" bestFit="1" customWidth="1"/>
    <col min="13294" max="13294" width="10.42578125" style="354" bestFit="1" customWidth="1"/>
    <col min="13295" max="13295" width="10" style="354" customWidth="1"/>
    <col min="13296" max="13296" width="11" style="354" customWidth="1"/>
    <col min="13297" max="13297" width="10.42578125" style="354" bestFit="1" customWidth="1"/>
    <col min="13298" max="13298" width="11.85546875" style="354" customWidth="1"/>
    <col min="13299" max="13299" width="10.140625" style="354" bestFit="1" customWidth="1"/>
    <col min="13300" max="13300" width="10.140625" style="354" customWidth="1"/>
    <col min="13301" max="13301" width="11.28515625" style="354" customWidth="1"/>
    <col min="13302" max="13304" width="10.140625" style="354" bestFit="1" customWidth="1"/>
    <col min="13305" max="13305" width="10.42578125" style="354" bestFit="1" customWidth="1"/>
    <col min="13306" max="13306" width="10.140625" style="354" bestFit="1" customWidth="1"/>
    <col min="13307" max="13307" width="9.140625" style="354" bestFit="1" customWidth="1"/>
    <col min="13308" max="13309" width="10.140625" style="354" bestFit="1" customWidth="1"/>
    <col min="13310" max="13310" width="8.85546875" style="354" bestFit="1" customWidth="1"/>
    <col min="13311" max="13311" width="9.140625" style="354" bestFit="1" customWidth="1"/>
    <col min="13312" max="13314" width="8.85546875" style="354" bestFit="1" customWidth="1"/>
    <col min="13315" max="13315" width="13.28515625" style="354" bestFit="1" customWidth="1"/>
    <col min="13316" max="13317" width="10.140625" style="354" bestFit="1" customWidth="1"/>
    <col min="13318" max="13318" width="5.7109375" style="354" bestFit="1" customWidth="1"/>
    <col min="13319" max="13319" width="6.42578125" style="354" bestFit="1" customWidth="1"/>
    <col min="13320" max="13320" width="6.28515625" style="354" bestFit="1" customWidth="1"/>
    <col min="13321" max="13321" width="7" style="354" bestFit="1" customWidth="1"/>
    <col min="13322" max="13322" width="20.42578125" style="354" bestFit="1" customWidth="1"/>
    <col min="13323" max="13323" width="5.140625" style="354" customWidth="1"/>
    <col min="13324" max="13545" width="8" style="354"/>
    <col min="13546" max="13546" width="7.7109375" style="354" bestFit="1" customWidth="1"/>
    <col min="13547" max="13547" width="15.5703125" style="354" bestFit="1" customWidth="1"/>
    <col min="13548" max="13548" width="31.42578125" style="354" customWidth="1"/>
    <col min="13549" max="13549" width="10.140625" style="354" bestFit="1" customWidth="1"/>
    <col min="13550" max="13550" width="10.42578125" style="354" bestFit="1" customWidth="1"/>
    <col min="13551" max="13551" width="10" style="354" customWidth="1"/>
    <col min="13552" max="13552" width="11" style="354" customWidth="1"/>
    <col min="13553" max="13553" width="10.42578125" style="354" bestFit="1" customWidth="1"/>
    <col min="13554" max="13554" width="11.85546875" style="354" customWidth="1"/>
    <col min="13555" max="13555" width="10.140625" style="354" bestFit="1" customWidth="1"/>
    <col min="13556" max="13556" width="10.140625" style="354" customWidth="1"/>
    <col min="13557" max="13557" width="11.28515625" style="354" customWidth="1"/>
    <col min="13558" max="13560" width="10.140625" style="354" bestFit="1" customWidth="1"/>
    <col min="13561" max="13561" width="10.42578125" style="354" bestFit="1" customWidth="1"/>
    <col min="13562" max="13562" width="10.140625" style="354" bestFit="1" customWidth="1"/>
    <col min="13563" max="13563" width="9.140625" style="354" bestFit="1" customWidth="1"/>
    <col min="13564" max="13565" width="10.140625" style="354" bestFit="1" customWidth="1"/>
    <col min="13566" max="13566" width="8.85546875" style="354" bestFit="1" customWidth="1"/>
    <col min="13567" max="13567" width="9.140625" style="354" bestFit="1" customWidth="1"/>
    <col min="13568" max="13570" width="8.85546875" style="354" bestFit="1" customWidth="1"/>
    <col min="13571" max="13571" width="13.28515625" style="354" bestFit="1" customWidth="1"/>
    <col min="13572" max="13573" width="10.140625" style="354" bestFit="1" customWidth="1"/>
    <col min="13574" max="13574" width="5.7109375" style="354" bestFit="1" customWidth="1"/>
    <col min="13575" max="13575" width="6.42578125" style="354" bestFit="1" customWidth="1"/>
    <col min="13576" max="13576" width="6.28515625" style="354" bestFit="1" customWidth="1"/>
    <col min="13577" max="13577" width="7" style="354" bestFit="1" customWidth="1"/>
    <col min="13578" max="13578" width="20.42578125" style="354" bestFit="1" customWidth="1"/>
    <col min="13579" max="13579" width="5.140625" style="354" customWidth="1"/>
    <col min="13580" max="13801" width="8" style="354"/>
    <col min="13802" max="13802" width="7.7109375" style="354" bestFit="1" customWidth="1"/>
    <col min="13803" max="13803" width="15.5703125" style="354" bestFit="1" customWidth="1"/>
    <col min="13804" max="13804" width="31.42578125" style="354" customWidth="1"/>
    <col min="13805" max="13805" width="10.140625" style="354" bestFit="1" customWidth="1"/>
    <col min="13806" max="13806" width="10.42578125" style="354" bestFit="1" customWidth="1"/>
    <col min="13807" max="13807" width="10" style="354" customWidth="1"/>
    <col min="13808" max="13808" width="11" style="354" customWidth="1"/>
    <col min="13809" max="13809" width="10.42578125" style="354" bestFit="1" customWidth="1"/>
    <col min="13810" max="13810" width="11.85546875" style="354" customWidth="1"/>
    <col min="13811" max="13811" width="10.140625" style="354" bestFit="1" customWidth="1"/>
    <col min="13812" max="13812" width="10.140625" style="354" customWidth="1"/>
    <col min="13813" max="13813" width="11.28515625" style="354" customWidth="1"/>
    <col min="13814" max="13816" width="10.140625" style="354" bestFit="1" customWidth="1"/>
    <col min="13817" max="13817" width="10.42578125" style="354" bestFit="1" customWidth="1"/>
    <col min="13818" max="13818" width="10.140625" style="354" bestFit="1" customWidth="1"/>
    <col min="13819" max="13819" width="9.140625" style="354" bestFit="1" customWidth="1"/>
    <col min="13820" max="13821" width="10.140625" style="354" bestFit="1" customWidth="1"/>
    <col min="13822" max="13822" width="8.85546875" style="354" bestFit="1" customWidth="1"/>
    <col min="13823" max="13823" width="9.140625" style="354" bestFit="1" customWidth="1"/>
    <col min="13824" max="13826" width="8.85546875" style="354" bestFit="1" customWidth="1"/>
    <col min="13827" max="13827" width="13.28515625" style="354" bestFit="1" customWidth="1"/>
    <col min="13828" max="13829" width="10.140625" style="354" bestFit="1" customWidth="1"/>
    <col min="13830" max="13830" width="5.7109375" style="354" bestFit="1" customWidth="1"/>
    <col min="13831" max="13831" width="6.42578125" style="354" bestFit="1" customWidth="1"/>
    <col min="13832" max="13832" width="6.28515625" style="354" bestFit="1" customWidth="1"/>
    <col min="13833" max="13833" width="7" style="354" bestFit="1" customWidth="1"/>
    <col min="13834" max="13834" width="20.42578125" style="354" bestFit="1" customWidth="1"/>
    <col min="13835" max="13835" width="5.140625" style="354" customWidth="1"/>
    <col min="13836" max="14057" width="8" style="354"/>
    <col min="14058" max="14058" width="7.7109375" style="354" bestFit="1" customWidth="1"/>
    <col min="14059" max="14059" width="15.5703125" style="354" bestFit="1" customWidth="1"/>
    <col min="14060" max="14060" width="31.42578125" style="354" customWidth="1"/>
    <col min="14061" max="14061" width="10.140625" style="354" bestFit="1" customWidth="1"/>
    <col min="14062" max="14062" width="10.42578125" style="354" bestFit="1" customWidth="1"/>
    <col min="14063" max="14063" width="10" style="354" customWidth="1"/>
    <col min="14064" max="14064" width="11" style="354" customWidth="1"/>
    <col min="14065" max="14065" width="10.42578125" style="354" bestFit="1" customWidth="1"/>
    <col min="14066" max="14066" width="11.85546875" style="354" customWidth="1"/>
    <col min="14067" max="14067" width="10.140625" style="354" bestFit="1" customWidth="1"/>
    <col min="14068" max="14068" width="10.140625" style="354" customWidth="1"/>
    <col min="14069" max="14069" width="11.28515625" style="354" customWidth="1"/>
    <col min="14070" max="14072" width="10.140625" style="354" bestFit="1" customWidth="1"/>
    <col min="14073" max="14073" width="10.42578125" style="354" bestFit="1" customWidth="1"/>
    <col min="14074" max="14074" width="10.140625" style="354" bestFit="1" customWidth="1"/>
    <col min="14075" max="14075" width="9.140625" style="354" bestFit="1" customWidth="1"/>
    <col min="14076" max="14077" width="10.140625" style="354" bestFit="1" customWidth="1"/>
    <col min="14078" max="14078" width="8.85546875" style="354" bestFit="1" customWidth="1"/>
    <col min="14079" max="14079" width="9.140625" style="354" bestFit="1" customWidth="1"/>
    <col min="14080" max="14082" width="8.85546875" style="354" bestFit="1" customWidth="1"/>
    <col min="14083" max="14083" width="13.28515625" style="354" bestFit="1" customWidth="1"/>
    <col min="14084" max="14085" width="10.140625" style="354" bestFit="1" customWidth="1"/>
    <col min="14086" max="14086" width="5.7109375" style="354" bestFit="1" customWidth="1"/>
    <col min="14087" max="14087" width="6.42578125" style="354" bestFit="1" customWidth="1"/>
    <col min="14088" max="14088" width="6.28515625" style="354" bestFit="1" customWidth="1"/>
    <col min="14089" max="14089" width="7" style="354" bestFit="1" customWidth="1"/>
    <col min="14090" max="14090" width="20.42578125" style="354" bestFit="1" customWidth="1"/>
    <col min="14091" max="14091" width="5.140625" style="354" customWidth="1"/>
    <col min="14092" max="14313" width="8" style="354"/>
    <col min="14314" max="14314" width="7.7109375" style="354" bestFit="1" customWidth="1"/>
    <col min="14315" max="14315" width="15.5703125" style="354" bestFit="1" customWidth="1"/>
    <col min="14316" max="14316" width="31.42578125" style="354" customWidth="1"/>
    <col min="14317" max="14317" width="10.140625" style="354" bestFit="1" customWidth="1"/>
    <col min="14318" max="14318" width="10.42578125" style="354" bestFit="1" customWidth="1"/>
    <col min="14319" max="14319" width="10" style="354" customWidth="1"/>
    <col min="14320" max="14320" width="11" style="354" customWidth="1"/>
    <col min="14321" max="14321" width="10.42578125" style="354" bestFit="1" customWidth="1"/>
    <col min="14322" max="14322" width="11.85546875" style="354" customWidth="1"/>
    <col min="14323" max="14323" width="10.140625" style="354" bestFit="1" customWidth="1"/>
    <col min="14324" max="14324" width="10.140625" style="354" customWidth="1"/>
    <col min="14325" max="14325" width="11.28515625" style="354" customWidth="1"/>
    <col min="14326" max="14328" width="10.140625" style="354" bestFit="1" customWidth="1"/>
    <col min="14329" max="14329" width="10.42578125" style="354" bestFit="1" customWidth="1"/>
    <col min="14330" max="14330" width="10.140625" style="354" bestFit="1" customWidth="1"/>
    <col min="14331" max="14331" width="9.140625" style="354" bestFit="1" customWidth="1"/>
    <col min="14332" max="14333" width="10.140625" style="354" bestFit="1" customWidth="1"/>
    <col min="14334" max="14334" width="8.85546875" style="354" bestFit="1" customWidth="1"/>
    <col min="14335" max="14335" width="9.140625" style="354" bestFit="1" customWidth="1"/>
    <col min="14336" max="14338" width="8.85546875" style="354" bestFit="1" customWidth="1"/>
    <col min="14339" max="14339" width="13.28515625" style="354" bestFit="1" customWidth="1"/>
    <col min="14340" max="14341" width="10.140625" style="354" bestFit="1" customWidth="1"/>
    <col min="14342" max="14342" width="5.7109375" style="354" bestFit="1" customWidth="1"/>
    <col min="14343" max="14343" width="6.42578125" style="354" bestFit="1" customWidth="1"/>
    <col min="14344" max="14344" width="6.28515625" style="354" bestFit="1" customWidth="1"/>
    <col min="14345" max="14345" width="7" style="354" bestFit="1" customWidth="1"/>
    <col min="14346" max="14346" width="20.42578125" style="354" bestFit="1" customWidth="1"/>
    <col min="14347" max="14347" width="5.140625" style="354" customWidth="1"/>
    <col min="14348" max="14569" width="8" style="354"/>
    <col min="14570" max="14570" width="7.7109375" style="354" bestFit="1" customWidth="1"/>
    <col min="14571" max="14571" width="15.5703125" style="354" bestFit="1" customWidth="1"/>
    <col min="14572" max="14572" width="31.42578125" style="354" customWidth="1"/>
    <col min="14573" max="14573" width="10.140625" style="354" bestFit="1" customWidth="1"/>
    <col min="14574" max="14574" width="10.42578125" style="354" bestFit="1" customWidth="1"/>
    <col min="14575" max="14575" width="10" style="354" customWidth="1"/>
    <col min="14576" max="14576" width="11" style="354" customWidth="1"/>
    <col min="14577" max="14577" width="10.42578125" style="354" bestFit="1" customWidth="1"/>
    <col min="14578" max="14578" width="11.85546875" style="354" customWidth="1"/>
    <col min="14579" max="14579" width="10.140625" style="354" bestFit="1" customWidth="1"/>
    <col min="14580" max="14580" width="10.140625" style="354" customWidth="1"/>
    <col min="14581" max="14581" width="11.28515625" style="354" customWidth="1"/>
    <col min="14582" max="14584" width="10.140625" style="354" bestFit="1" customWidth="1"/>
    <col min="14585" max="14585" width="10.42578125" style="354" bestFit="1" customWidth="1"/>
    <col min="14586" max="14586" width="10.140625" style="354" bestFit="1" customWidth="1"/>
    <col min="14587" max="14587" width="9.140625" style="354" bestFit="1" customWidth="1"/>
    <col min="14588" max="14589" width="10.140625" style="354" bestFit="1" customWidth="1"/>
    <col min="14590" max="14590" width="8.85546875" style="354" bestFit="1" customWidth="1"/>
    <col min="14591" max="14591" width="9.140625" style="354" bestFit="1" customWidth="1"/>
    <col min="14592" max="14594" width="8.85546875" style="354" bestFit="1" customWidth="1"/>
    <col min="14595" max="14595" width="13.28515625" style="354" bestFit="1" customWidth="1"/>
    <col min="14596" max="14597" width="10.140625" style="354" bestFit="1" customWidth="1"/>
    <col min="14598" max="14598" width="5.7109375" style="354" bestFit="1" customWidth="1"/>
    <col min="14599" max="14599" width="6.42578125" style="354" bestFit="1" customWidth="1"/>
    <col min="14600" max="14600" width="6.28515625" style="354" bestFit="1" customWidth="1"/>
    <col min="14601" max="14601" width="7" style="354" bestFit="1" customWidth="1"/>
    <col min="14602" max="14602" width="20.42578125" style="354" bestFit="1" customWidth="1"/>
    <col min="14603" max="14603" width="5.140625" style="354" customWidth="1"/>
    <col min="14604" max="14825" width="8" style="354"/>
    <col min="14826" max="14826" width="7.7109375" style="354" bestFit="1" customWidth="1"/>
    <col min="14827" max="14827" width="15.5703125" style="354" bestFit="1" customWidth="1"/>
    <col min="14828" max="14828" width="31.42578125" style="354" customWidth="1"/>
    <col min="14829" max="14829" width="10.140625" style="354" bestFit="1" customWidth="1"/>
    <col min="14830" max="14830" width="10.42578125" style="354" bestFit="1" customWidth="1"/>
    <col min="14831" max="14831" width="10" style="354" customWidth="1"/>
    <col min="14832" max="14832" width="11" style="354" customWidth="1"/>
    <col min="14833" max="14833" width="10.42578125" style="354" bestFit="1" customWidth="1"/>
    <col min="14834" max="14834" width="11.85546875" style="354" customWidth="1"/>
    <col min="14835" max="14835" width="10.140625" style="354" bestFit="1" customWidth="1"/>
    <col min="14836" max="14836" width="10.140625" style="354" customWidth="1"/>
    <col min="14837" max="14837" width="11.28515625" style="354" customWidth="1"/>
    <col min="14838" max="14840" width="10.140625" style="354" bestFit="1" customWidth="1"/>
    <col min="14841" max="14841" width="10.42578125" style="354" bestFit="1" customWidth="1"/>
    <col min="14842" max="14842" width="10.140625" style="354" bestFit="1" customWidth="1"/>
    <col min="14843" max="14843" width="9.140625" style="354" bestFit="1" customWidth="1"/>
    <col min="14844" max="14845" width="10.140625" style="354" bestFit="1" customWidth="1"/>
    <col min="14846" max="14846" width="8.85546875" style="354" bestFit="1" customWidth="1"/>
    <col min="14847" max="14847" width="9.140625" style="354" bestFit="1" customWidth="1"/>
    <col min="14848" max="14850" width="8.85546875" style="354" bestFit="1" customWidth="1"/>
    <col min="14851" max="14851" width="13.28515625" style="354" bestFit="1" customWidth="1"/>
    <col min="14852" max="14853" width="10.140625" style="354" bestFit="1" customWidth="1"/>
    <col min="14854" max="14854" width="5.7109375" style="354" bestFit="1" customWidth="1"/>
    <col min="14855" max="14855" width="6.42578125" style="354" bestFit="1" customWidth="1"/>
    <col min="14856" max="14856" width="6.28515625" style="354" bestFit="1" customWidth="1"/>
    <col min="14857" max="14857" width="7" style="354" bestFit="1" customWidth="1"/>
    <col min="14858" max="14858" width="20.42578125" style="354" bestFit="1" customWidth="1"/>
    <col min="14859" max="14859" width="5.140625" style="354" customWidth="1"/>
    <col min="14860" max="15081" width="8" style="354"/>
    <col min="15082" max="15082" width="7.7109375" style="354" bestFit="1" customWidth="1"/>
    <col min="15083" max="15083" width="15.5703125" style="354" bestFit="1" customWidth="1"/>
    <col min="15084" max="15084" width="31.42578125" style="354" customWidth="1"/>
    <col min="15085" max="15085" width="10.140625" style="354" bestFit="1" customWidth="1"/>
    <col min="15086" max="15086" width="10.42578125" style="354" bestFit="1" customWidth="1"/>
    <col min="15087" max="15087" width="10" style="354" customWidth="1"/>
    <col min="15088" max="15088" width="11" style="354" customWidth="1"/>
    <col min="15089" max="15089" width="10.42578125" style="354" bestFit="1" customWidth="1"/>
    <col min="15090" max="15090" width="11.85546875" style="354" customWidth="1"/>
    <col min="15091" max="15091" width="10.140625" style="354" bestFit="1" customWidth="1"/>
    <col min="15092" max="15092" width="10.140625" style="354" customWidth="1"/>
    <col min="15093" max="15093" width="11.28515625" style="354" customWidth="1"/>
    <col min="15094" max="15096" width="10.140625" style="354" bestFit="1" customWidth="1"/>
    <col min="15097" max="15097" width="10.42578125" style="354" bestFit="1" customWidth="1"/>
    <col min="15098" max="15098" width="10.140625" style="354" bestFit="1" customWidth="1"/>
    <col min="15099" max="15099" width="9.140625" style="354" bestFit="1" customWidth="1"/>
    <col min="15100" max="15101" width="10.140625" style="354" bestFit="1" customWidth="1"/>
    <col min="15102" max="15102" width="8.85546875" style="354" bestFit="1" customWidth="1"/>
    <col min="15103" max="15103" width="9.140625" style="354" bestFit="1" customWidth="1"/>
    <col min="15104" max="15106" width="8.85546875" style="354" bestFit="1" customWidth="1"/>
    <col min="15107" max="15107" width="13.28515625" style="354" bestFit="1" customWidth="1"/>
    <col min="15108" max="15109" width="10.140625" style="354" bestFit="1" customWidth="1"/>
    <col min="15110" max="15110" width="5.7109375" style="354" bestFit="1" customWidth="1"/>
    <col min="15111" max="15111" width="6.42578125" style="354" bestFit="1" customWidth="1"/>
    <col min="15112" max="15112" width="6.28515625" style="354" bestFit="1" customWidth="1"/>
    <col min="15113" max="15113" width="7" style="354" bestFit="1" customWidth="1"/>
    <col min="15114" max="15114" width="20.42578125" style="354" bestFit="1" customWidth="1"/>
    <col min="15115" max="15115" width="5.140625" style="354" customWidth="1"/>
    <col min="15116" max="15337" width="8" style="354"/>
    <col min="15338" max="15338" width="7.7109375" style="354" bestFit="1" customWidth="1"/>
    <col min="15339" max="15339" width="15.5703125" style="354" bestFit="1" customWidth="1"/>
    <col min="15340" max="15340" width="31.42578125" style="354" customWidth="1"/>
    <col min="15341" max="15341" width="10.140625" style="354" bestFit="1" customWidth="1"/>
    <col min="15342" max="15342" width="10.42578125" style="354" bestFit="1" customWidth="1"/>
    <col min="15343" max="15343" width="10" style="354" customWidth="1"/>
    <col min="15344" max="15344" width="11" style="354" customWidth="1"/>
    <col min="15345" max="15345" width="10.42578125" style="354" bestFit="1" customWidth="1"/>
    <col min="15346" max="15346" width="11.85546875" style="354" customWidth="1"/>
    <col min="15347" max="15347" width="10.140625" style="354" bestFit="1" customWidth="1"/>
    <col min="15348" max="15348" width="10.140625" style="354" customWidth="1"/>
    <col min="15349" max="15349" width="11.28515625" style="354" customWidth="1"/>
    <col min="15350" max="15352" width="10.140625" style="354" bestFit="1" customWidth="1"/>
    <col min="15353" max="15353" width="10.42578125" style="354" bestFit="1" customWidth="1"/>
    <col min="15354" max="15354" width="10.140625" style="354" bestFit="1" customWidth="1"/>
    <col min="15355" max="15355" width="9.140625" style="354" bestFit="1" customWidth="1"/>
    <col min="15356" max="15357" width="10.140625" style="354" bestFit="1" customWidth="1"/>
    <col min="15358" max="15358" width="8.85546875" style="354" bestFit="1" customWidth="1"/>
    <col min="15359" max="15359" width="9.140625" style="354" bestFit="1" customWidth="1"/>
    <col min="15360" max="15362" width="8.85546875" style="354" bestFit="1" customWidth="1"/>
    <col min="15363" max="15363" width="13.28515625" style="354" bestFit="1" customWidth="1"/>
    <col min="15364" max="15365" width="10.140625" style="354" bestFit="1" customWidth="1"/>
    <col min="15366" max="15366" width="5.7109375" style="354" bestFit="1" customWidth="1"/>
    <col min="15367" max="15367" width="6.42578125" style="354" bestFit="1" customWidth="1"/>
    <col min="15368" max="15368" width="6.28515625" style="354" bestFit="1" customWidth="1"/>
    <col min="15369" max="15369" width="7" style="354" bestFit="1" customWidth="1"/>
    <col min="15370" max="15370" width="20.42578125" style="354" bestFit="1" customWidth="1"/>
    <col min="15371" max="15371" width="5.140625" style="354" customWidth="1"/>
    <col min="15372" max="15593" width="8" style="354"/>
    <col min="15594" max="15594" width="7.7109375" style="354" bestFit="1" customWidth="1"/>
    <col min="15595" max="15595" width="15.5703125" style="354" bestFit="1" customWidth="1"/>
    <col min="15596" max="15596" width="31.42578125" style="354" customWidth="1"/>
    <col min="15597" max="15597" width="10.140625" style="354" bestFit="1" customWidth="1"/>
    <col min="15598" max="15598" width="10.42578125" style="354" bestFit="1" customWidth="1"/>
    <col min="15599" max="15599" width="10" style="354" customWidth="1"/>
    <col min="15600" max="15600" width="11" style="354" customWidth="1"/>
    <col min="15601" max="15601" width="10.42578125" style="354" bestFit="1" customWidth="1"/>
    <col min="15602" max="15602" width="11.85546875" style="354" customWidth="1"/>
    <col min="15603" max="15603" width="10.140625" style="354" bestFit="1" customWidth="1"/>
    <col min="15604" max="15604" width="10.140625" style="354" customWidth="1"/>
    <col min="15605" max="15605" width="11.28515625" style="354" customWidth="1"/>
    <col min="15606" max="15608" width="10.140625" style="354" bestFit="1" customWidth="1"/>
    <col min="15609" max="15609" width="10.42578125" style="354" bestFit="1" customWidth="1"/>
    <col min="15610" max="15610" width="10.140625" style="354" bestFit="1" customWidth="1"/>
    <col min="15611" max="15611" width="9.140625" style="354" bestFit="1" customWidth="1"/>
    <col min="15612" max="15613" width="10.140625" style="354" bestFit="1" customWidth="1"/>
    <col min="15614" max="15614" width="8.85546875" style="354" bestFit="1" customWidth="1"/>
    <col min="15615" max="15615" width="9.140625" style="354" bestFit="1" customWidth="1"/>
    <col min="15616" max="15618" width="8.85546875" style="354" bestFit="1" customWidth="1"/>
    <col min="15619" max="15619" width="13.28515625" style="354" bestFit="1" customWidth="1"/>
    <col min="15620" max="15621" width="10.140625" style="354" bestFit="1" customWidth="1"/>
    <col min="15622" max="15622" width="5.7109375" style="354" bestFit="1" customWidth="1"/>
    <col min="15623" max="15623" width="6.42578125" style="354" bestFit="1" customWidth="1"/>
    <col min="15624" max="15624" width="6.28515625" style="354" bestFit="1" customWidth="1"/>
    <col min="15625" max="15625" width="7" style="354" bestFit="1" customWidth="1"/>
    <col min="15626" max="15626" width="20.42578125" style="354" bestFit="1" customWidth="1"/>
    <col min="15627" max="15627" width="5.140625" style="354" customWidth="1"/>
    <col min="15628" max="15849" width="8" style="354"/>
    <col min="15850" max="15850" width="7.7109375" style="354" bestFit="1" customWidth="1"/>
    <col min="15851" max="15851" width="15.5703125" style="354" bestFit="1" customWidth="1"/>
    <col min="15852" max="15852" width="31.42578125" style="354" customWidth="1"/>
    <col min="15853" max="15853" width="10.140625" style="354" bestFit="1" customWidth="1"/>
    <col min="15854" max="15854" width="10.42578125" style="354" bestFit="1" customWidth="1"/>
    <col min="15855" max="15855" width="10" style="354" customWidth="1"/>
    <col min="15856" max="15856" width="11" style="354" customWidth="1"/>
    <col min="15857" max="15857" width="10.42578125" style="354" bestFit="1" customWidth="1"/>
    <col min="15858" max="15858" width="11.85546875" style="354" customWidth="1"/>
    <col min="15859" max="15859" width="10.140625" style="354" bestFit="1" customWidth="1"/>
    <col min="15860" max="15860" width="10.140625" style="354" customWidth="1"/>
    <col min="15861" max="15861" width="11.28515625" style="354" customWidth="1"/>
    <col min="15862" max="15864" width="10.140625" style="354" bestFit="1" customWidth="1"/>
    <col min="15865" max="15865" width="10.42578125" style="354" bestFit="1" customWidth="1"/>
    <col min="15866" max="15866" width="10.140625" style="354" bestFit="1" customWidth="1"/>
    <col min="15867" max="15867" width="9.140625" style="354" bestFit="1" customWidth="1"/>
    <col min="15868" max="15869" width="10.140625" style="354" bestFit="1" customWidth="1"/>
    <col min="15870" max="15870" width="8.85546875" style="354" bestFit="1" customWidth="1"/>
    <col min="15871" max="15871" width="9.140625" style="354" bestFit="1" customWidth="1"/>
    <col min="15872" max="15874" width="8.85546875" style="354" bestFit="1" customWidth="1"/>
    <col min="15875" max="15875" width="13.28515625" style="354" bestFit="1" customWidth="1"/>
    <col min="15876" max="15877" width="10.140625" style="354" bestFit="1" customWidth="1"/>
    <col min="15878" max="15878" width="5.7109375" style="354" bestFit="1" customWidth="1"/>
    <col min="15879" max="15879" width="6.42578125" style="354" bestFit="1" customWidth="1"/>
    <col min="15880" max="15880" width="6.28515625" style="354" bestFit="1" customWidth="1"/>
    <col min="15881" max="15881" width="7" style="354" bestFit="1" customWidth="1"/>
    <col min="15882" max="15882" width="20.42578125" style="354" bestFit="1" customWidth="1"/>
    <col min="15883" max="15883" width="5.140625" style="354" customWidth="1"/>
    <col min="15884" max="16105" width="8" style="354"/>
    <col min="16106" max="16106" width="7.7109375" style="354" bestFit="1" customWidth="1"/>
    <col min="16107" max="16107" width="15.5703125" style="354" bestFit="1" customWidth="1"/>
    <col min="16108" max="16108" width="31.42578125" style="354" customWidth="1"/>
    <col min="16109" max="16109" width="10.140625" style="354" bestFit="1" customWidth="1"/>
    <col min="16110" max="16110" width="10.42578125" style="354" bestFit="1" customWidth="1"/>
    <col min="16111" max="16111" width="10" style="354" customWidth="1"/>
    <col min="16112" max="16112" width="11" style="354" customWidth="1"/>
    <col min="16113" max="16113" width="10.42578125" style="354" bestFit="1" customWidth="1"/>
    <col min="16114" max="16114" width="11.85546875" style="354" customWidth="1"/>
    <col min="16115" max="16115" width="10.140625" style="354" bestFit="1" customWidth="1"/>
    <col min="16116" max="16116" width="10.140625" style="354" customWidth="1"/>
    <col min="16117" max="16117" width="11.28515625" style="354" customWidth="1"/>
    <col min="16118" max="16120" width="10.140625" style="354" bestFit="1" customWidth="1"/>
    <col min="16121" max="16121" width="10.42578125" style="354" bestFit="1" customWidth="1"/>
    <col min="16122" max="16122" width="10.140625" style="354" bestFit="1" customWidth="1"/>
    <col min="16123" max="16123" width="9.140625" style="354" bestFit="1" customWidth="1"/>
    <col min="16124" max="16125" width="10.140625" style="354" bestFit="1" customWidth="1"/>
    <col min="16126" max="16126" width="8.85546875" style="354" bestFit="1" customWidth="1"/>
    <col min="16127" max="16127" width="9.140625" style="354" bestFit="1" customWidth="1"/>
    <col min="16128" max="16130" width="8.85546875" style="354" bestFit="1" customWidth="1"/>
    <col min="16131" max="16131" width="13.28515625" style="354" bestFit="1" customWidth="1"/>
    <col min="16132" max="16133" width="10.140625" style="354" bestFit="1" customWidth="1"/>
    <col min="16134" max="16134" width="5.7109375" style="354" bestFit="1" customWidth="1"/>
    <col min="16135" max="16135" width="6.42578125" style="354" bestFit="1" customWidth="1"/>
    <col min="16136" max="16136" width="6.28515625" style="354" bestFit="1" customWidth="1"/>
    <col min="16137" max="16137" width="7" style="354" bestFit="1" customWidth="1"/>
    <col min="16138" max="16138" width="20.42578125" style="354" bestFit="1" customWidth="1"/>
    <col min="16139" max="16139" width="5.140625" style="354" customWidth="1"/>
    <col min="16140" max="16384" width="8" style="354"/>
  </cols>
  <sheetData>
    <row r="1" spans="1:11" x14ac:dyDescent="0.25">
      <c r="I1" s="356"/>
      <c r="J1" s="356" t="s">
        <v>0</v>
      </c>
    </row>
    <row r="2" spans="1:11" x14ac:dyDescent="0.25">
      <c r="I2" s="356"/>
      <c r="J2" s="356" t="s">
        <v>420</v>
      </c>
    </row>
    <row r="3" spans="1:11" ht="19.5" thickBot="1" x14ac:dyDescent="0.35">
      <c r="C3" s="389" t="s">
        <v>421</v>
      </c>
      <c r="E3" s="442" t="s">
        <v>422</v>
      </c>
      <c r="F3" s="443"/>
      <c r="G3" s="443"/>
      <c r="H3" s="443"/>
      <c r="I3" s="443"/>
      <c r="J3" s="444"/>
    </row>
    <row r="4" spans="1:11" s="1" customFormat="1" ht="54" x14ac:dyDescent="0.25">
      <c r="A4" s="358" t="s">
        <v>4</v>
      </c>
      <c r="B4" s="359" t="s">
        <v>423</v>
      </c>
      <c r="C4" s="360" t="s">
        <v>424</v>
      </c>
      <c r="D4" s="361" t="s">
        <v>425</v>
      </c>
      <c r="E4" s="362" t="s">
        <v>426</v>
      </c>
      <c r="F4" s="363" t="s">
        <v>427</v>
      </c>
      <c r="G4" s="364" t="s">
        <v>10</v>
      </c>
      <c r="H4" s="364" t="s">
        <v>428</v>
      </c>
      <c r="I4" s="364" t="s">
        <v>12</v>
      </c>
      <c r="J4" s="364" t="s">
        <v>13</v>
      </c>
      <c r="K4" s="365" t="s">
        <v>429</v>
      </c>
    </row>
    <row r="5" spans="1:11" x14ac:dyDescent="0.25">
      <c r="A5" s="366" t="s">
        <v>169</v>
      </c>
      <c r="B5" s="14" t="s">
        <v>15</v>
      </c>
      <c r="C5" s="367" t="s">
        <v>16</v>
      </c>
      <c r="D5" s="29">
        <f>312453+10000</f>
        <v>322453</v>
      </c>
      <c r="E5" s="368">
        <v>210000</v>
      </c>
      <c r="F5" s="369"/>
      <c r="G5" s="29"/>
      <c r="H5" s="29"/>
      <c r="I5" s="29"/>
      <c r="J5" s="29">
        <f>D5-E5-F5-G5-H5-I5</f>
        <v>112453</v>
      </c>
      <c r="K5" s="370">
        <f>SUM(E5:J5)</f>
        <v>322453</v>
      </c>
    </row>
    <row r="6" spans="1:11" x14ac:dyDescent="0.25">
      <c r="A6" s="366"/>
      <c r="B6" s="14" t="s">
        <v>17</v>
      </c>
      <c r="C6" s="367" t="s">
        <v>18</v>
      </c>
      <c r="D6" s="29">
        <v>50000</v>
      </c>
      <c r="E6" s="368"/>
      <c r="F6" s="369"/>
      <c r="G6" s="29"/>
      <c r="H6" s="29"/>
      <c r="I6" s="29"/>
      <c r="J6" s="29">
        <f t="shared" ref="J6:J37" si="0">D6-E6-F6-G6-H6-I6</f>
        <v>50000</v>
      </c>
      <c r="K6" s="370">
        <f t="shared" ref="K6:K44" si="1">SUM(E6:J6)</f>
        <v>50000</v>
      </c>
    </row>
    <row r="7" spans="1:11" x14ac:dyDescent="0.25">
      <c r="A7" s="366"/>
      <c r="B7" s="14" t="s">
        <v>19</v>
      </c>
      <c r="C7" s="367" t="s">
        <v>20</v>
      </c>
      <c r="D7" s="29">
        <v>50000</v>
      </c>
      <c r="E7" s="368"/>
      <c r="F7" s="369"/>
      <c r="G7" s="29"/>
      <c r="H7" s="29"/>
      <c r="I7" s="29"/>
      <c r="J7" s="29">
        <f t="shared" si="0"/>
        <v>50000</v>
      </c>
      <c r="K7" s="370">
        <f t="shared" si="1"/>
        <v>50000</v>
      </c>
    </row>
    <row r="8" spans="1:11" x14ac:dyDescent="0.25">
      <c r="A8" s="366" t="s">
        <v>206</v>
      </c>
      <c r="B8" s="14" t="s">
        <v>21</v>
      </c>
      <c r="C8" s="367" t="s">
        <v>430</v>
      </c>
      <c r="D8" s="29">
        <v>100000</v>
      </c>
      <c r="E8" s="368">
        <v>77570</v>
      </c>
      <c r="F8" s="369"/>
      <c r="G8" s="29"/>
      <c r="H8" s="29"/>
      <c r="I8" s="29"/>
      <c r="J8" s="29">
        <f t="shared" si="0"/>
        <v>22430</v>
      </c>
      <c r="K8" s="370">
        <f t="shared" si="1"/>
        <v>100000</v>
      </c>
    </row>
    <row r="9" spans="1:11" x14ac:dyDescent="0.25">
      <c r="A9" s="366"/>
      <c r="B9" s="14" t="s">
        <v>23</v>
      </c>
      <c r="C9" s="367" t="s">
        <v>24</v>
      </c>
      <c r="D9" s="29">
        <v>125000</v>
      </c>
      <c r="E9" s="368">
        <v>0</v>
      </c>
      <c r="F9" s="369"/>
      <c r="G9" s="29"/>
      <c r="H9" s="29"/>
      <c r="I9" s="29"/>
      <c r="J9" s="29">
        <f t="shared" si="0"/>
        <v>125000</v>
      </c>
      <c r="K9" s="370">
        <f t="shared" si="1"/>
        <v>125000</v>
      </c>
    </row>
    <row r="10" spans="1:11" x14ac:dyDescent="0.25">
      <c r="A10" s="366" t="s">
        <v>220</v>
      </c>
      <c r="B10" s="14" t="s">
        <v>221</v>
      </c>
      <c r="C10" s="367" t="s">
        <v>222</v>
      </c>
      <c r="D10" s="29">
        <v>235014</v>
      </c>
      <c r="E10" s="368">
        <v>0</v>
      </c>
      <c r="F10" s="369"/>
      <c r="G10" s="29"/>
      <c r="H10" s="29"/>
      <c r="I10" s="29"/>
      <c r="J10" s="29">
        <f t="shared" si="0"/>
        <v>235014</v>
      </c>
      <c r="K10" s="370">
        <f t="shared" si="1"/>
        <v>235014</v>
      </c>
    </row>
    <row r="11" spans="1:11" x14ac:dyDescent="0.25">
      <c r="A11" s="366" t="s">
        <v>240</v>
      </c>
      <c r="B11" s="14" t="s">
        <v>241</v>
      </c>
      <c r="C11" s="367" t="s">
        <v>242</v>
      </c>
      <c r="D11" s="29">
        <f>830400+44250</f>
        <v>874650</v>
      </c>
      <c r="E11" s="368"/>
      <c r="F11" s="369">
        <v>620997</v>
      </c>
      <c r="G11" s="29">
        <v>209403</v>
      </c>
      <c r="H11" s="29"/>
      <c r="I11" s="29"/>
      <c r="J11" s="29">
        <f t="shared" si="0"/>
        <v>44250</v>
      </c>
      <c r="K11" s="370">
        <f t="shared" si="1"/>
        <v>874650</v>
      </c>
    </row>
    <row r="12" spans="1:11" x14ac:dyDescent="0.25">
      <c r="A12" s="366"/>
      <c r="B12" s="14" t="s">
        <v>32</v>
      </c>
      <c r="C12" s="371" t="s">
        <v>33</v>
      </c>
      <c r="D12" s="29">
        <v>50000</v>
      </c>
      <c r="E12" s="368"/>
      <c r="F12" s="369"/>
      <c r="G12" s="29"/>
      <c r="H12" s="29"/>
      <c r="I12" s="29"/>
      <c r="J12" s="29">
        <f t="shared" si="0"/>
        <v>50000</v>
      </c>
      <c r="K12" s="370">
        <f t="shared" si="1"/>
        <v>50000</v>
      </c>
    </row>
    <row r="13" spans="1:11" x14ac:dyDescent="0.25">
      <c r="A13" s="366"/>
      <c r="B13" s="14" t="s">
        <v>34</v>
      </c>
      <c r="C13" s="367" t="s">
        <v>35</v>
      </c>
      <c r="D13" s="29">
        <v>50</v>
      </c>
      <c r="E13" s="368"/>
      <c r="F13" s="369"/>
      <c r="G13" s="29"/>
      <c r="H13" s="29"/>
      <c r="I13" s="29"/>
      <c r="J13" s="29">
        <f t="shared" si="0"/>
        <v>50</v>
      </c>
      <c r="K13" s="370">
        <f t="shared" si="1"/>
        <v>50</v>
      </c>
    </row>
    <row r="14" spans="1:11" x14ac:dyDescent="0.25">
      <c r="A14" s="366"/>
      <c r="B14" s="14" t="s">
        <v>39</v>
      </c>
      <c r="C14" s="367" t="s">
        <v>40</v>
      </c>
      <c r="D14" s="29">
        <v>50</v>
      </c>
      <c r="E14" s="368"/>
      <c r="F14" s="369"/>
      <c r="G14" s="29"/>
      <c r="H14" s="29"/>
      <c r="I14" s="29"/>
      <c r="J14" s="29">
        <f t="shared" si="0"/>
        <v>50</v>
      </c>
      <c r="K14" s="370">
        <f t="shared" si="1"/>
        <v>50</v>
      </c>
    </row>
    <row r="15" spans="1:11" x14ac:dyDescent="0.25">
      <c r="A15" s="366" t="s">
        <v>273</v>
      </c>
      <c r="B15" s="14" t="s">
        <v>274</v>
      </c>
      <c r="C15" s="367" t="s">
        <v>275</v>
      </c>
      <c r="D15" s="29">
        <v>533822</v>
      </c>
      <c r="E15" s="368">
        <v>500000</v>
      </c>
      <c r="F15" s="369"/>
      <c r="G15" s="29"/>
      <c r="H15" s="29"/>
      <c r="I15" s="29"/>
      <c r="J15" s="29">
        <f t="shared" si="0"/>
        <v>33822</v>
      </c>
      <c r="K15" s="370">
        <f t="shared" si="1"/>
        <v>533822</v>
      </c>
    </row>
    <row r="16" spans="1:11" x14ac:dyDescent="0.25">
      <c r="A16" s="366" t="s">
        <v>50</v>
      </c>
      <c r="B16" s="14" t="s">
        <v>51</v>
      </c>
      <c r="C16" s="367" t="s">
        <v>52</v>
      </c>
      <c r="D16" s="29">
        <v>400000</v>
      </c>
      <c r="E16" s="368">
        <v>300000</v>
      </c>
      <c r="F16" s="369"/>
      <c r="G16" s="29"/>
      <c r="H16" s="29"/>
      <c r="I16" s="29"/>
      <c r="J16" s="29">
        <f t="shared" si="0"/>
        <v>100000</v>
      </c>
      <c r="K16" s="370">
        <f t="shared" si="1"/>
        <v>400000</v>
      </c>
    </row>
    <row r="17" spans="1:11" x14ac:dyDescent="0.25">
      <c r="A17" s="366"/>
      <c r="B17" s="14" t="s">
        <v>284</v>
      </c>
      <c r="C17" s="367" t="s">
        <v>285</v>
      </c>
      <c r="D17" s="29">
        <v>315000</v>
      </c>
      <c r="E17" s="368"/>
      <c r="F17" s="369"/>
      <c r="G17" s="29"/>
      <c r="H17" s="29"/>
      <c r="I17" s="29"/>
      <c r="J17" s="29">
        <f t="shared" si="0"/>
        <v>315000</v>
      </c>
      <c r="K17" s="370">
        <f t="shared" si="1"/>
        <v>315000</v>
      </c>
    </row>
    <row r="18" spans="1:11" x14ac:dyDescent="0.25">
      <c r="A18" s="366"/>
      <c r="B18" s="14" t="s">
        <v>53</v>
      </c>
      <c r="C18" s="367" t="s">
        <v>54</v>
      </c>
      <c r="D18" s="29">
        <f>40000+200000+230000</f>
        <v>470000</v>
      </c>
      <c r="E18" s="368"/>
      <c r="F18" s="369"/>
      <c r="G18" s="29"/>
      <c r="H18" s="29"/>
      <c r="I18" s="29"/>
      <c r="J18" s="29">
        <f t="shared" si="0"/>
        <v>470000</v>
      </c>
      <c r="K18" s="370">
        <f t="shared" si="1"/>
        <v>470000</v>
      </c>
    </row>
    <row r="19" spans="1:11" x14ac:dyDescent="0.25">
      <c r="A19" s="366"/>
      <c r="B19" s="14" t="s">
        <v>294</v>
      </c>
      <c r="C19" s="367" t="s">
        <v>26</v>
      </c>
      <c r="D19" s="29">
        <f>20000+50000+100000</f>
        <v>170000</v>
      </c>
      <c r="E19" s="368"/>
      <c r="F19" s="369"/>
      <c r="G19" s="29"/>
      <c r="H19" s="29"/>
      <c r="I19" s="29"/>
      <c r="J19" s="29">
        <f t="shared" si="0"/>
        <v>170000</v>
      </c>
      <c r="K19" s="370">
        <f t="shared" si="1"/>
        <v>170000</v>
      </c>
    </row>
    <row r="20" spans="1:11" x14ac:dyDescent="0.25">
      <c r="A20" s="366"/>
      <c r="B20" s="14" t="s">
        <v>286</v>
      </c>
      <c r="C20" s="367" t="s">
        <v>31</v>
      </c>
      <c r="D20" s="29">
        <v>50000</v>
      </c>
      <c r="E20" s="368"/>
      <c r="F20" s="369"/>
      <c r="G20" s="29"/>
      <c r="H20" s="29"/>
      <c r="I20" s="29"/>
      <c r="J20" s="29">
        <f t="shared" si="0"/>
        <v>50000</v>
      </c>
      <c r="K20" s="370">
        <f t="shared" si="1"/>
        <v>50000</v>
      </c>
    </row>
    <row r="21" spans="1:11" x14ac:dyDescent="0.25">
      <c r="A21" s="366"/>
      <c r="B21" s="14" t="s">
        <v>303</v>
      </c>
      <c r="C21" s="367" t="s">
        <v>28</v>
      </c>
      <c r="D21" s="29">
        <v>50</v>
      </c>
      <c r="E21" s="368"/>
      <c r="F21" s="369"/>
      <c r="G21" s="29"/>
      <c r="H21" s="29"/>
      <c r="I21" s="29"/>
      <c r="J21" s="29">
        <f t="shared" si="0"/>
        <v>50</v>
      </c>
      <c r="K21" s="370">
        <f t="shared" si="1"/>
        <v>50</v>
      </c>
    </row>
    <row r="22" spans="1:11" x14ac:dyDescent="0.25">
      <c r="A22" s="366"/>
      <c r="B22" s="14" t="s">
        <v>55</v>
      </c>
      <c r="C22" s="367" t="s">
        <v>56</v>
      </c>
      <c r="D22" s="29">
        <v>50</v>
      </c>
      <c r="E22" s="368"/>
      <c r="F22" s="369"/>
      <c r="G22" s="29"/>
      <c r="H22" s="29"/>
      <c r="I22" s="29"/>
      <c r="J22" s="29">
        <f t="shared" si="0"/>
        <v>50</v>
      </c>
      <c r="K22" s="370">
        <f t="shared" si="1"/>
        <v>50</v>
      </c>
    </row>
    <row r="23" spans="1:11" x14ac:dyDescent="0.25">
      <c r="A23" s="366"/>
      <c r="B23" s="14" t="s">
        <v>57</v>
      </c>
      <c r="C23" s="367" t="s">
        <v>431</v>
      </c>
      <c r="D23" s="29">
        <v>50</v>
      </c>
      <c r="E23" s="368"/>
      <c r="F23" s="369"/>
      <c r="G23" s="29"/>
      <c r="H23" s="29"/>
      <c r="I23" s="29"/>
      <c r="J23" s="29">
        <f t="shared" si="0"/>
        <v>50</v>
      </c>
      <c r="K23" s="370">
        <f t="shared" si="1"/>
        <v>50</v>
      </c>
    </row>
    <row r="24" spans="1:11" x14ac:dyDescent="0.25">
      <c r="A24" s="366"/>
      <c r="B24" s="14" t="s">
        <v>61</v>
      </c>
      <c r="C24" s="367" t="s">
        <v>62</v>
      </c>
      <c r="D24" s="29">
        <v>50</v>
      </c>
      <c r="E24" s="368"/>
      <c r="F24" s="369"/>
      <c r="G24" s="29"/>
      <c r="H24" s="29"/>
      <c r="I24" s="29"/>
      <c r="J24" s="29">
        <f t="shared" si="0"/>
        <v>50</v>
      </c>
      <c r="K24" s="370">
        <f t="shared" si="1"/>
        <v>50</v>
      </c>
    </row>
    <row r="25" spans="1:11" x14ac:dyDescent="0.25">
      <c r="A25" s="366"/>
      <c r="B25" s="21" t="s">
        <v>414</v>
      </c>
      <c r="C25" s="367" t="s">
        <v>64</v>
      </c>
      <c r="D25" s="29">
        <v>3000</v>
      </c>
      <c r="E25" s="368"/>
      <c r="F25" s="369"/>
      <c r="G25" s="29"/>
      <c r="H25" s="29"/>
      <c r="I25" s="29"/>
      <c r="J25" s="29">
        <f t="shared" si="0"/>
        <v>3000</v>
      </c>
      <c r="K25" s="370">
        <f t="shared" si="1"/>
        <v>3000</v>
      </c>
    </row>
    <row r="26" spans="1:11" x14ac:dyDescent="0.25">
      <c r="A26" s="366"/>
      <c r="B26" s="14" t="s">
        <v>68</v>
      </c>
      <c r="C26" s="367" t="s">
        <v>69</v>
      </c>
      <c r="D26" s="29">
        <v>4500</v>
      </c>
      <c r="E26" s="368"/>
      <c r="F26" s="369"/>
      <c r="G26" s="29"/>
      <c r="H26" s="29"/>
      <c r="I26" s="29"/>
      <c r="J26" s="29">
        <f t="shared" si="0"/>
        <v>4500</v>
      </c>
      <c r="K26" s="370">
        <f t="shared" si="1"/>
        <v>4500</v>
      </c>
    </row>
    <row r="27" spans="1:11" x14ac:dyDescent="0.25">
      <c r="A27" s="366"/>
      <c r="B27" s="14" t="s">
        <v>70</v>
      </c>
      <c r="C27" s="367" t="s">
        <v>71</v>
      </c>
      <c r="D27" s="29">
        <v>1000</v>
      </c>
      <c r="E27" s="368"/>
      <c r="F27" s="369"/>
      <c r="G27" s="29"/>
      <c r="H27" s="29"/>
      <c r="I27" s="29"/>
      <c r="J27" s="29">
        <f t="shared" si="0"/>
        <v>1000</v>
      </c>
      <c r="K27" s="370">
        <f t="shared" si="1"/>
        <v>1000</v>
      </c>
    </row>
    <row r="28" spans="1:11" x14ac:dyDescent="0.25">
      <c r="A28" s="366"/>
      <c r="B28" s="14" t="s">
        <v>329</v>
      </c>
      <c r="C28" s="367" t="s">
        <v>81</v>
      </c>
      <c r="D28" s="29">
        <v>20000</v>
      </c>
      <c r="E28" s="368"/>
      <c r="F28" s="369"/>
      <c r="G28" s="29"/>
      <c r="H28" s="29"/>
      <c r="I28" s="29"/>
      <c r="J28" s="29">
        <f t="shared" si="0"/>
        <v>20000</v>
      </c>
      <c r="K28" s="370">
        <f t="shared" si="1"/>
        <v>20000</v>
      </c>
    </row>
    <row r="29" spans="1:11" x14ac:dyDescent="0.25">
      <c r="A29" s="366"/>
      <c r="B29" s="14" t="s">
        <v>74</v>
      </c>
      <c r="C29" s="367" t="s">
        <v>75</v>
      </c>
      <c r="D29" s="29">
        <v>20000</v>
      </c>
      <c r="E29" s="368"/>
      <c r="F29" s="369"/>
      <c r="G29" s="29"/>
      <c r="H29" s="29"/>
      <c r="I29" s="29"/>
      <c r="J29" s="29">
        <f t="shared" si="0"/>
        <v>20000</v>
      </c>
      <c r="K29" s="370">
        <f t="shared" si="1"/>
        <v>20000</v>
      </c>
    </row>
    <row r="30" spans="1:11" x14ac:dyDescent="0.25">
      <c r="A30" s="366"/>
      <c r="B30" s="14" t="s">
        <v>76</v>
      </c>
      <c r="C30" s="367" t="s">
        <v>77</v>
      </c>
      <c r="D30" s="29">
        <v>100</v>
      </c>
      <c r="E30" s="368"/>
      <c r="F30" s="369"/>
      <c r="G30" s="29"/>
      <c r="H30" s="29"/>
      <c r="I30" s="29"/>
      <c r="J30" s="29">
        <f t="shared" si="0"/>
        <v>100</v>
      </c>
      <c r="K30" s="370">
        <f t="shared" si="1"/>
        <v>100</v>
      </c>
    </row>
    <row r="31" spans="1:11" ht="27" x14ac:dyDescent="0.25">
      <c r="A31" s="366" t="s">
        <v>220</v>
      </c>
      <c r="B31" s="14" t="s">
        <v>341</v>
      </c>
      <c r="C31" s="367" t="s">
        <v>342</v>
      </c>
      <c r="D31" s="29">
        <v>6782</v>
      </c>
      <c r="E31" s="368">
        <v>0</v>
      </c>
      <c r="F31" s="369"/>
      <c r="G31" s="29"/>
      <c r="H31" s="29"/>
      <c r="I31" s="29"/>
      <c r="J31" s="29">
        <f t="shared" si="0"/>
        <v>6782</v>
      </c>
      <c r="K31" s="370">
        <f t="shared" si="1"/>
        <v>6782</v>
      </c>
    </row>
    <row r="32" spans="1:11" x14ac:dyDescent="0.25">
      <c r="A32" s="366"/>
      <c r="B32" s="14" t="s">
        <v>343</v>
      </c>
      <c r="C32" s="367" t="s">
        <v>92</v>
      </c>
      <c r="D32" s="29">
        <v>100000</v>
      </c>
      <c r="E32" s="368">
        <v>0</v>
      </c>
      <c r="F32" s="369"/>
      <c r="G32" s="29"/>
      <c r="H32" s="29"/>
      <c r="I32" s="29"/>
      <c r="J32" s="29">
        <f t="shared" si="0"/>
        <v>100000</v>
      </c>
      <c r="K32" s="370">
        <f t="shared" si="1"/>
        <v>100000</v>
      </c>
    </row>
    <row r="33" spans="1:11" x14ac:dyDescent="0.25">
      <c r="A33" s="366"/>
      <c r="B33" s="14" t="s">
        <v>345</v>
      </c>
      <c r="C33" s="367" t="s">
        <v>79</v>
      </c>
      <c r="D33" s="29">
        <v>250000</v>
      </c>
      <c r="E33" s="368">
        <v>0</v>
      </c>
      <c r="F33" s="369"/>
      <c r="G33" s="29">
        <v>250000</v>
      </c>
      <c r="H33" s="29"/>
      <c r="I33" s="29"/>
      <c r="J33" s="29">
        <f t="shared" si="0"/>
        <v>0</v>
      </c>
      <c r="K33" s="370">
        <f t="shared" si="1"/>
        <v>250000</v>
      </c>
    </row>
    <row r="34" spans="1:11" ht="27" x14ac:dyDescent="0.25">
      <c r="A34" s="366" t="s">
        <v>350</v>
      </c>
      <c r="B34" s="14" t="s">
        <v>83</v>
      </c>
      <c r="C34" s="367" t="s">
        <v>84</v>
      </c>
      <c r="D34" s="29">
        <v>412432</v>
      </c>
      <c r="E34" s="368">
        <v>412430</v>
      </c>
      <c r="F34" s="369"/>
      <c r="G34" s="29"/>
      <c r="H34" s="29"/>
      <c r="I34" s="29"/>
      <c r="J34" s="29">
        <f t="shared" si="0"/>
        <v>2</v>
      </c>
      <c r="K34" s="370">
        <f t="shared" si="1"/>
        <v>412432</v>
      </c>
    </row>
    <row r="35" spans="1:11" x14ac:dyDescent="0.25">
      <c r="A35" s="366"/>
      <c r="B35" s="14" t="s">
        <v>85</v>
      </c>
      <c r="C35" s="367" t="s">
        <v>86</v>
      </c>
      <c r="D35" s="29">
        <v>50</v>
      </c>
      <c r="E35" s="368"/>
      <c r="F35" s="369"/>
      <c r="G35" s="29"/>
      <c r="H35" s="29"/>
      <c r="I35" s="29"/>
      <c r="J35" s="29">
        <f t="shared" si="0"/>
        <v>50</v>
      </c>
      <c r="K35" s="370">
        <f t="shared" si="1"/>
        <v>50</v>
      </c>
    </row>
    <row r="36" spans="1:11" x14ac:dyDescent="0.25">
      <c r="A36" s="366"/>
      <c r="B36" s="14" t="s">
        <v>87</v>
      </c>
      <c r="C36" s="367" t="s">
        <v>88</v>
      </c>
      <c r="D36" s="372">
        <v>50</v>
      </c>
      <c r="E36" s="368"/>
      <c r="F36" s="369"/>
      <c r="G36" s="29"/>
      <c r="H36" s="29"/>
      <c r="I36" s="29"/>
      <c r="J36" s="29">
        <f t="shared" si="0"/>
        <v>50</v>
      </c>
      <c r="K36" s="370">
        <f t="shared" si="1"/>
        <v>50</v>
      </c>
    </row>
    <row r="37" spans="1:11" x14ac:dyDescent="0.25">
      <c r="A37" s="366"/>
      <c r="B37" s="14" t="s">
        <v>89</v>
      </c>
      <c r="C37" s="367" t="s">
        <v>90</v>
      </c>
      <c r="D37" s="373">
        <v>50</v>
      </c>
      <c r="E37" s="369"/>
      <c r="F37" s="369"/>
      <c r="G37" s="29"/>
      <c r="H37" s="29"/>
      <c r="I37" s="29"/>
      <c r="J37" s="29">
        <f t="shared" si="0"/>
        <v>50</v>
      </c>
      <c r="K37" s="370">
        <f t="shared" si="1"/>
        <v>50</v>
      </c>
    </row>
    <row r="38" spans="1:11" x14ac:dyDescent="0.25">
      <c r="A38" s="366"/>
      <c r="B38" s="14"/>
      <c r="C38" s="390" t="s">
        <v>93</v>
      </c>
      <c r="D38" s="376">
        <f>SUM(D5:D37)</f>
        <v>4564203</v>
      </c>
      <c r="E38" s="376">
        <f>SUM(E5:E37)</f>
        <v>1500000</v>
      </c>
      <c r="F38" s="376">
        <f t="shared" ref="F38:J38" si="2">SUM(F5:F37)</f>
        <v>620997</v>
      </c>
      <c r="G38" s="376">
        <f t="shared" si="2"/>
        <v>459403</v>
      </c>
      <c r="H38" s="376">
        <f t="shared" si="2"/>
        <v>0</v>
      </c>
      <c r="I38" s="376">
        <f t="shared" si="2"/>
        <v>0</v>
      </c>
      <c r="J38" s="376">
        <f t="shared" si="2"/>
        <v>1983803</v>
      </c>
      <c r="K38" s="376">
        <f>SUM(K5:K37)</f>
        <v>4564203</v>
      </c>
    </row>
    <row r="39" spans="1:11" x14ac:dyDescent="0.25">
      <c r="A39" s="366"/>
      <c r="B39" s="14" t="s">
        <v>94</v>
      </c>
      <c r="C39" s="367" t="s">
        <v>95</v>
      </c>
      <c r="D39" s="29">
        <v>15000</v>
      </c>
      <c r="E39" s="368"/>
      <c r="F39" s="369"/>
      <c r="G39" s="29"/>
      <c r="H39" s="29"/>
      <c r="I39" s="29"/>
      <c r="J39" s="29">
        <f t="shared" ref="J39:J44" si="3">D39-E39-F39-G39-H39-I39</f>
        <v>15000</v>
      </c>
      <c r="K39" s="370">
        <f t="shared" si="1"/>
        <v>15000</v>
      </c>
    </row>
    <row r="40" spans="1:11" x14ac:dyDescent="0.25">
      <c r="A40" s="366" t="s">
        <v>432</v>
      </c>
      <c r="B40" s="14" t="s">
        <v>97</v>
      </c>
      <c r="C40" s="367" t="s">
        <v>98</v>
      </c>
      <c r="D40" s="29">
        <v>52724</v>
      </c>
      <c r="E40" s="368"/>
      <c r="F40" s="369"/>
      <c r="G40" s="29"/>
      <c r="H40" s="29"/>
      <c r="I40" s="29">
        <v>52724</v>
      </c>
      <c r="J40" s="29">
        <f t="shared" si="3"/>
        <v>0</v>
      </c>
      <c r="K40" s="370">
        <f t="shared" si="1"/>
        <v>52724</v>
      </c>
    </row>
    <row r="41" spans="1:11" x14ac:dyDescent="0.25">
      <c r="A41" s="366"/>
      <c r="B41" s="14" t="s">
        <v>99</v>
      </c>
      <c r="C41" s="367" t="s">
        <v>100</v>
      </c>
      <c r="D41" s="29">
        <f>300000+160000</f>
        <v>460000</v>
      </c>
      <c r="E41" s="368">
        <v>0</v>
      </c>
      <c r="F41" s="369"/>
      <c r="G41" s="29"/>
      <c r="H41" s="29"/>
      <c r="I41" s="29"/>
      <c r="J41" s="29">
        <f t="shared" si="3"/>
        <v>460000</v>
      </c>
      <c r="K41" s="370">
        <f t="shared" si="1"/>
        <v>460000</v>
      </c>
    </row>
    <row r="42" spans="1:11" x14ac:dyDescent="0.25">
      <c r="A42" s="366"/>
      <c r="B42" s="21" t="s">
        <v>218</v>
      </c>
      <c r="C42" s="367" t="s">
        <v>433</v>
      </c>
      <c r="D42" s="29">
        <v>600000</v>
      </c>
      <c r="E42" s="368"/>
      <c r="F42" s="369"/>
      <c r="G42" s="29"/>
      <c r="H42" s="29">
        <v>600000</v>
      </c>
      <c r="I42" s="29"/>
      <c r="J42" s="29">
        <f t="shared" si="3"/>
        <v>0</v>
      </c>
      <c r="K42" s="370">
        <f t="shared" si="1"/>
        <v>600000</v>
      </c>
    </row>
    <row r="43" spans="1:11" ht="27" x14ac:dyDescent="0.25">
      <c r="A43" s="366"/>
      <c r="B43" s="14" t="s">
        <v>107</v>
      </c>
      <c r="C43" s="367" t="s">
        <v>108</v>
      </c>
      <c r="D43" s="372">
        <v>66000</v>
      </c>
      <c r="E43" s="368"/>
      <c r="F43" s="369"/>
      <c r="G43" s="29"/>
      <c r="H43" s="29"/>
      <c r="I43" s="29"/>
      <c r="J43" s="29">
        <f t="shared" si="3"/>
        <v>66000</v>
      </c>
      <c r="K43" s="370">
        <f t="shared" si="1"/>
        <v>66000</v>
      </c>
    </row>
    <row r="44" spans="1:11" x14ac:dyDescent="0.25">
      <c r="A44" s="366"/>
      <c r="B44" s="14" t="s">
        <v>415</v>
      </c>
      <c r="C44" s="367" t="s">
        <v>106</v>
      </c>
      <c r="D44" s="373">
        <v>50</v>
      </c>
      <c r="E44" s="369"/>
      <c r="F44" s="369"/>
      <c r="G44" s="29"/>
      <c r="H44" s="29"/>
      <c r="I44" s="29"/>
      <c r="J44" s="29">
        <f t="shared" si="3"/>
        <v>50</v>
      </c>
      <c r="K44" s="370">
        <f t="shared" si="1"/>
        <v>50</v>
      </c>
    </row>
    <row r="45" spans="1:11" x14ac:dyDescent="0.25">
      <c r="A45" s="366"/>
      <c r="B45" s="377"/>
      <c r="C45" s="390" t="s">
        <v>109</v>
      </c>
      <c r="D45" s="378">
        <f>SUM(D39:D44)</f>
        <v>1193774</v>
      </c>
      <c r="E45" s="378">
        <f t="shared" ref="E45:I45" si="4">SUM(E39:E44)</f>
        <v>0</v>
      </c>
      <c r="F45" s="378">
        <f t="shared" si="4"/>
        <v>0</v>
      </c>
      <c r="G45" s="378">
        <f t="shared" si="4"/>
        <v>0</v>
      </c>
      <c r="H45" s="378">
        <f t="shared" si="4"/>
        <v>600000</v>
      </c>
      <c r="I45" s="378">
        <f t="shared" si="4"/>
        <v>52724</v>
      </c>
      <c r="J45" s="378">
        <f>SUM(J39:J44)</f>
        <v>541050</v>
      </c>
      <c r="K45" s="378">
        <f>SUM(K39:K44)</f>
        <v>1193774</v>
      </c>
    </row>
    <row r="46" spans="1:11" ht="15.75" x14ac:dyDescent="0.25">
      <c r="A46" s="366"/>
      <c r="B46" s="377"/>
      <c r="C46" s="379" t="s">
        <v>434</v>
      </c>
      <c r="D46" s="380">
        <f>D38+D45</f>
        <v>5757977</v>
      </c>
      <c r="E46" s="381">
        <f>E38+E45</f>
        <v>1500000</v>
      </c>
      <c r="F46" s="381">
        <f t="shared" ref="F46:K46" si="5">F38+F45</f>
        <v>620997</v>
      </c>
      <c r="G46" s="381">
        <f t="shared" si="5"/>
        <v>459403</v>
      </c>
      <c r="H46" s="381">
        <f t="shared" si="5"/>
        <v>600000</v>
      </c>
      <c r="I46" s="381">
        <f t="shared" si="5"/>
        <v>52724</v>
      </c>
      <c r="J46" s="381">
        <f>J38+J45</f>
        <v>2524853</v>
      </c>
      <c r="K46" s="381">
        <f t="shared" si="5"/>
        <v>5757977</v>
      </c>
    </row>
    <row r="47" spans="1:11" x14ac:dyDescent="0.25">
      <c r="A47" s="382"/>
      <c r="B47" s="383"/>
      <c r="C47" s="384" t="s">
        <v>435</v>
      </c>
      <c r="D47" s="356"/>
      <c r="E47" s="385" t="s">
        <v>436</v>
      </c>
      <c r="F47" s="385" t="s">
        <v>418</v>
      </c>
      <c r="G47" s="385" t="s">
        <v>113</v>
      </c>
      <c r="H47" s="385" t="s">
        <v>437</v>
      </c>
      <c r="I47" s="385" t="s">
        <v>115</v>
      </c>
      <c r="J47" s="386"/>
      <c r="K47" s="387"/>
    </row>
    <row r="48" spans="1:11" x14ac:dyDescent="0.25">
      <c r="A48" s="382"/>
      <c r="B48" s="383"/>
      <c r="C48" s="383"/>
      <c r="D48" s="356"/>
      <c r="F48" s="439">
        <v>1733124</v>
      </c>
      <c r="G48" s="440"/>
      <c r="H48" s="440"/>
      <c r="I48" s="441"/>
      <c r="J48" s="388"/>
      <c r="K48" s="383"/>
    </row>
    <row r="49" spans="1:11" x14ac:dyDescent="0.25">
      <c r="A49" s="382"/>
      <c r="B49" s="383"/>
      <c r="C49" s="383"/>
      <c r="D49" s="356"/>
      <c r="E49" s="383"/>
      <c r="F49" s="383"/>
      <c r="G49" s="383"/>
      <c r="H49" s="383"/>
      <c r="I49" s="383"/>
      <c r="J49" s="383"/>
      <c r="K49" s="383"/>
    </row>
    <row r="50" spans="1:11" x14ac:dyDescent="0.25">
      <c r="A50" s="382"/>
      <c r="B50" s="383"/>
      <c r="C50" s="383"/>
      <c r="D50" s="356"/>
      <c r="E50" s="383"/>
      <c r="F50" s="383"/>
      <c r="G50" s="383"/>
      <c r="H50" s="383"/>
      <c r="I50" s="383"/>
      <c r="J50" s="383"/>
      <c r="K50" s="383"/>
    </row>
    <row r="51" spans="1:11" x14ac:dyDescent="0.25">
      <c r="A51" s="382"/>
      <c r="B51" s="383"/>
      <c r="C51" s="383"/>
      <c r="D51" s="356"/>
      <c r="E51" s="383"/>
      <c r="F51" s="383"/>
      <c r="G51" s="383"/>
      <c r="H51" s="383"/>
      <c r="I51" s="383"/>
      <c r="J51" s="383"/>
      <c r="K51" s="383"/>
    </row>
    <row r="52" spans="1:11" x14ac:dyDescent="0.25">
      <c r="A52" s="382"/>
      <c r="B52" s="383"/>
      <c r="C52" s="383"/>
      <c r="D52" s="356"/>
      <c r="E52" s="383"/>
      <c r="F52" s="383"/>
      <c r="G52" s="383"/>
      <c r="H52" s="383"/>
      <c r="I52" s="383"/>
      <c r="J52" s="383"/>
      <c r="K52" s="383"/>
    </row>
    <row r="53" spans="1:11" x14ac:dyDescent="0.25">
      <c r="A53" s="382"/>
      <c r="B53" s="383"/>
      <c r="C53" s="383"/>
      <c r="D53" s="383"/>
      <c r="E53" s="383"/>
      <c r="F53" s="383"/>
      <c r="G53" s="383"/>
      <c r="H53" s="383"/>
      <c r="I53" s="383"/>
      <c r="J53" s="383"/>
      <c r="K53" s="383"/>
    </row>
    <row r="54" spans="1:11" x14ac:dyDescent="0.25">
      <c r="A54" s="382"/>
      <c r="B54" s="383"/>
      <c r="C54" s="383"/>
      <c r="D54" s="383"/>
      <c r="E54" s="383"/>
      <c r="F54" s="383"/>
      <c r="G54" s="383"/>
      <c r="H54" s="383"/>
      <c r="I54" s="383"/>
      <c r="J54" s="383"/>
      <c r="K54" s="383"/>
    </row>
    <row r="55" spans="1:11" x14ac:dyDescent="0.25">
      <c r="A55" s="382"/>
      <c r="B55" s="383"/>
      <c r="C55" s="383"/>
      <c r="D55" s="383"/>
      <c r="E55" s="383"/>
      <c r="F55" s="383"/>
      <c r="G55" s="383"/>
      <c r="H55" s="383"/>
      <c r="I55" s="383"/>
      <c r="J55" s="383"/>
      <c r="K55" s="383"/>
    </row>
    <row r="56" spans="1:11" x14ac:dyDescent="0.25">
      <c r="A56" s="382"/>
      <c r="B56" s="383"/>
      <c r="C56" s="383"/>
      <c r="D56" s="383"/>
      <c r="E56" s="383"/>
      <c r="F56" s="383"/>
      <c r="G56" s="383"/>
      <c r="H56" s="383"/>
      <c r="I56" s="383"/>
      <c r="J56" s="383"/>
      <c r="K56" s="383"/>
    </row>
    <row r="57" spans="1:11" x14ac:dyDescent="0.25">
      <c r="A57" s="382"/>
      <c r="B57" s="383"/>
      <c r="C57" s="383"/>
      <c r="D57" s="383"/>
      <c r="E57" s="383"/>
      <c r="F57" s="383"/>
      <c r="G57" s="383"/>
      <c r="H57" s="383"/>
      <c r="I57" s="383"/>
      <c r="J57" s="383"/>
      <c r="K57" s="383"/>
    </row>
    <row r="58" spans="1:11" x14ac:dyDescent="0.25">
      <c r="A58" s="382"/>
      <c r="B58" s="383"/>
      <c r="C58" s="383"/>
      <c r="D58" s="383"/>
      <c r="E58" s="383"/>
      <c r="F58" s="383"/>
      <c r="G58" s="383"/>
      <c r="H58" s="383"/>
      <c r="I58" s="383"/>
      <c r="J58" s="383"/>
      <c r="K58" s="383"/>
    </row>
    <row r="59" spans="1:11" x14ac:dyDescent="0.25">
      <c r="A59" s="382"/>
      <c r="B59" s="383"/>
      <c r="C59" s="383"/>
      <c r="D59" s="383"/>
      <c r="E59" s="383"/>
      <c r="F59" s="383"/>
      <c r="G59" s="383"/>
      <c r="H59" s="383"/>
      <c r="I59" s="383"/>
      <c r="J59" s="383"/>
      <c r="K59" s="383"/>
    </row>
    <row r="60" spans="1:11" x14ac:dyDescent="0.25">
      <c r="A60" s="382"/>
      <c r="B60" s="383"/>
      <c r="C60" s="383"/>
      <c r="D60" s="383"/>
      <c r="E60" s="383"/>
      <c r="F60" s="383"/>
      <c r="G60" s="383"/>
      <c r="H60" s="383"/>
      <c r="I60" s="383"/>
      <c r="J60" s="383"/>
      <c r="K60" s="383"/>
    </row>
    <row r="61" spans="1:11" x14ac:dyDescent="0.25">
      <c r="A61" s="382"/>
      <c r="B61" s="383"/>
      <c r="C61" s="383"/>
      <c r="D61" s="383"/>
      <c r="E61" s="383"/>
      <c r="F61" s="383"/>
      <c r="G61" s="383"/>
      <c r="H61" s="383"/>
      <c r="I61" s="383"/>
      <c r="J61" s="383"/>
      <c r="K61" s="383"/>
    </row>
    <row r="62" spans="1:11" x14ac:dyDescent="0.25">
      <c r="A62" s="382"/>
      <c r="B62" s="383"/>
      <c r="C62" s="383"/>
      <c r="D62" s="383"/>
      <c r="E62" s="383"/>
      <c r="F62" s="383"/>
      <c r="G62" s="383"/>
      <c r="H62" s="383"/>
      <c r="I62" s="383"/>
      <c r="J62" s="383"/>
      <c r="K62" s="383"/>
    </row>
    <row r="63" spans="1:11" x14ac:dyDescent="0.25">
      <c r="A63" s="382"/>
      <c r="B63" s="383"/>
      <c r="C63" s="383"/>
      <c r="D63" s="383"/>
      <c r="E63" s="383"/>
      <c r="F63" s="383"/>
      <c r="G63" s="383"/>
      <c r="H63" s="383"/>
      <c r="I63" s="383"/>
      <c r="J63" s="383"/>
      <c r="K63" s="383"/>
    </row>
    <row r="64" spans="1:11" x14ac:dyDescent="0.25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</row>
    <row r="65" spans="1:11" x14ac:dyDescent="0.25">
      <c r="A65" s="382"/>
      <c r="B65" s="383"/>
      <c r="C65" s="383"/>
      <c r="D65" s="383"/>
      <c r="E65" s="383"/>
      <c r="F65" s="383"/>
      <c r="G65" s="383"/>
      <c r="H65" s="383"/>
      <c r="I65" s="383"/>
      <c r="J65" s="383"/>
      <c r="K65" s="383"/>
    </row>
    <row r="66" spans="1:11" x14ac:dyDescent="0.25">
      <c r="A66" s="382"/>
      <c r="B66" s="383"/>
      <c r="C66" s="383"/>
      <c r="D66" s="383"/>
      <c r="E66" s="383"/>
      <c r="F66" s="383"/>
      <c r="G66" s="383"/>
      <c r="H66" s="383"/>
      <c r="I66" s="383"/>
      <c r="J66" s="383"/>
      <c r="K66" s="383"/>
    </row>
    <row r="67" spans="1:11" x14ac:dyDescent="0.25">
      <c r="A67" s="382"/>
      <c r="B67" s="383"/>
      <c r="C67" s="383"/>
      <c r="D67" s="383"/>
      <c r="E67" s="383"/>
      <c r="F67" s="383"/>
      <c r="G67" s="383"/>
      <c r="H67" s="383"/>
      <c r="I67" s="383"/>
      <c r="J67" s="383"/>
      <c r="K67" s="383"/>
    </row>
    <row r="68" spans="1:11" x14ac:dyDescent="0.25">
      <c r="A68" s="382"/>
      <c r="B68" s="383"/>
      <c r="C68" s="383"/>
      <c r="D68" s="383"/>
      <c r="E68" s="383"/>
      <c r="F68" s="383"/>
      <c r="G68" s="383"/>
      <c r="H68" s="383"/>
      <c r="I68" s="383"/>
      <c r="J68" s="383"/>
      <c r="K68" s="383"/>
    </row>
    <row r="69" spans="1:11" x14ac:dyDescent="0.25">
      <c r="A69" s="382"/>
      <c r="B69" s="383"/>
      <c r="C69" s="383"/>
      <c r="D69" s="383"/>
      <c r="E69" s="383"/>
      <c r="F69" s="383"/>
      <c r="G69" s="383"/>
      <c r="H69" s="383"/>
      <c r="I69" s="383"/>
      <c r="J69" s="383"/>
      <c r="K69" s="383"/>
    </row>
    <row r="70" spans="1:11" x14ac:dyDescent="0.25">
      <c r="A70" s="382"/>
      <c r="B70" s="383"/>
      <c r="C70" s="383"/>
      <c r="D70" s="383"/>
      <c r="E70" s="383"/>
      <c r="F70" s="383"/>
      <c r="G70" s="383"/>
      <c r="H70" s="383"/>
      <c r="I70" s="383"/>
      <c r="J70" s="383"/>
      <c r="K70" s="383"/>
    </row>
    <row r="71" spans="1:11" x14ac:dyDescent="0.25">
      <c r="A71" s="382"/>
      <c r="B71" s="383"/>
      <c r="C71" s="383"/>
      <c r="D71" s="383"/>
      <c r="E71" s="383"/>
      <c r="F71" s="383"/>
      <c r="G71" s="383"/>
      <c r="H71" s="383"/>
      <c r="I71" s="383"/>
      <c r="J71" s="383"/>
      <c r="K71" s="383"/>
    </row>
    <row r="72" spans="1:11" x14ac:dyDescent="0.25">
      <c r="A72" s="382"/>
      <c r="B72" s="383"/>
      <c r="C72" s="383"/>
      <c r="D72" s="383"/>
      <c r="E72" s="383"/>
      <c r="F72" s="383"/>
      <c r="G72" s="383"/>
      <c r="H72" s="383"/>
      <c r="I72" s="383"/>
      <c r="J72" s="383"/>
      <c r="K72" s="383"/>
    </row>
    <row r="73" spans="1:11" x14ac:dyDescent="0.25">
      <c r="A73" s="382"/>
      <c r="B73" s="383"/>
      <c r="C73" s="383"/>
      <c r="D73" s="383"/>
      <c r="E73" s="383"/>
      <c r="F73" s="383"/>
      <c r="G73" s="383"/>
      <c r="H73" s="383"/>
      <c r="I73" s="383"/>
      <c r="J73" s="383"/>
      <c r="K73" s="383"/>
    </row>
    <row r="74" spans="1:11" x14ac:dyDescent="0.25">
      <c r="A74" s="382"/>
      <c r="B74" s="383"/>
      <c r="C74" s="383"/>
      <c r="D74" s="383"/>
      <c r="E74" s="383"/>
      <c r="F74" s="383"/>
      <c r="G74" s="383"/>
      <c r="H74" s="383"/>
      <c r="I74" s="383"/>
      <c r="J74" s="383"/>
      <c r="K74" s="383"/>
    </row>
    <row r="75" spans="1:11" x14ac:dyDescent="0.25">
      <c r="A75" s="382"/>
      <c r="B75" s="383"/>
      <c r="C75" s="383"/>
      <c r="D75" s="383"/>
      <c r="E75" s="383"/>
      <c r="F75" s="383"/>
      <c r="G75" s="383"/>
      <c r="H75" s="383"/>
      <c r="I75" s="383"/>
      <c r="J75" s="383"/>
      <c r="K75" s="383"/>
    </row>
    <row r="76" spans="1:11" x14ac:dyDescent="0.25">
      <c r="A76" s="382"/>
      <c r="B76" s="383"/>
      <c r="C76" s="383"/>
      <c r="D76" s="383"/>
      <c r="E76" s="383"/>
      <c r="F76" s="383"/>
      <c r="G76" s="383"/>
      <c r="H76" s="383"/>
      <c r="I76" s="383"/>
      <c r="J76" s="383"/>
      <c r="K76" s="383"/>
    </row>
    <row r="77" spans="1:11" x14ac:dyDescent="0.25">
      <c r="A77" s="382"/>
      <c r="B77" s="383"/>
      <c r="C77" s="383"/>
      <c r="D77" s="383"/>
      <c r="E77" s="383"/>
      <c r="F77" s="383"/>
      <c r="G77" s="383"/>
      <c r="H77" s="383"/>
      <c r="I77" s="383"/>
      <c r="J77" s="383"/>
      <c r="K77" s="383"/>
    </row>
    <row r="78" spans="1:11" x14ac:dyDescent="0.25">
      <c r="A78" s="382"/>
      <c r="B78" s="383"/>
      <c r="C78" s="383"/>
      <c r="D78" s="383"/>
      <c r="E78" s="383"/>
      <c r="F78" s="383"/>
      <c r="G78" s="383"/>
      <c r="H78" s="383"/>
      <c r="I78" s="383"/>
      <c r="J78" s="383"/>
      <c r="K78" s="383"/>
    </row>
    <row r="79" spans="1:11" x14ac:dyDescent="0.25">
      <c r="A79" s="382"/>
      <c r="B79" s="383"/>
      <c r="C79" s="383"/>
      <c r="D79" s="383"/>
      <c r="E79" s="383"/>
      <c r="F79" s="383"/>
      <c r="G79" s="383"/>
      <c r="H79" s="383"/>
      <c r="I79" s="383"/>
      <c r="J79" s="383"/>
      <c r="K79" s="383"/>
    </row>
    <row r="80" spans="1:11" x14ac:dyDescent="0.25">
      <c r="A80" s="382"/>
      <c r="B80" s="383"/>
      <c r="C80" s="383"/>
      <c r="D80" s="383"/>
      <c r="E80" s="383"/>
      <c r="F80" s="383"/>
      <c r="G80" s="383"/>
      <c r="H80" s="383"/>
      <c r="I80" s="383"/>
      <c r="J80" s="383"/>
      <c r="K80" s="383"/>
    </row>
    <row r="81" spans="1:11" x14ac:dyDescent="0.25">
      <c r="A81" s="382"/>
      <c r="B81" s="383"/>
      <c r="C81" s="383"/>
      <c r="D81" s="383"/>
      <c r="E81" s="383"/>
      <c r="F81" s="383"/>
      <c r="G81" s="383"/>
      <c r="H81" s="383"/>
      <c r="I81" s="383"/>
      <c r="J81" s="383"/>
      <c r="K81" s="383"/>
    </row>
    <row r="82" spans="1:11" x14ac:dyDescent="0.25">
      <c r="A82" s="382"/>
      <c r="B82" s="383"/>
      <c r="C82" s="383"/>
      <c r="D82" s="383"/>
      <c r="E82" s="383"/>
      <c r="F82" s="383"/>
      <c r="G82" s="383"/>
      <c r="H82" s="383"/>
      <c r="I82" s="383"/>
      <c r="J82" s="383"/>
      <c r="K82" s="383"/>
    </row>
    <row r="83" spans="1:11" x14ac:dyDescent="0.25">
      <c r="A83" s="382"/>
      <c r="B83" s="383"/>
      <c r="C83" s="383"/>
      <c r="D83" s="383"/>
      <c r="E83" s="383"/>
      <c r="F83" s="383"/>
      <c r="G83" s="383"/>
      <c r="H83" s="383"/>
      <c r="I83" s="383"/>
      <c r="J83" s="383"/>
      <c r="K83" s="383"/>
    </row>
    <row r="84" spans="1:11" x14ac:dyDescent="0.25">
      <c r="A84" s="382"/>
      <c r="B84" s="383"/>
      <c r="C84" s="383"/>
      <c r="D84" s="383"/>
      <c r="E84" s="383"/>
      <c r="F84" s="383"/>
      <c r="G84" s="383"/>
      <c r="H84" s="383"/>
      <c r="I84" s="383"/>
      <c r="J84" s="383"/>
      <c r="K84" s="383"/>
    </row>
    <row r="85" spans="1:11" x14ac:dyDescent="0.25">
      <c r="A85" s="382"/>
      <c r="B85" s="383"/>
      <c r="C85" s="383"/>
      <c r="D85" s="383"/>
      <c r="E85" s="383"/>
      <c r="F85" s="383"/>
      <c r="G85" s="383"/>
      <c r="H85" s="383"/>
      <c r="I85" s="383"/>
      <c r="J85" s="383"/>
      <c r="K85" s="383"/>
    </row>
    <row r="86" spans="1:11" x14ac:dyDescent="0.25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</row>
    <row r="87" spans="1:11" x14ac:dyDescent="0.25">
      <c r="A87" s="382"/>
      <c r="B87" s="383"/>
      <c r="C87" s="383"/>
      <c r="D87" s="383"/>
      <c r="E87" s="383"/>
      <c r="F87" s="383"/>
      <c r="G87" s="383"/>
      <c r="H87" s="383"/>
      <c r="I87" s="383"/>
      <c r="J87" s="383"/>
      <c r="K87" s="383"/>
    </row>
    <row r="88" spans="1:11" x14ac:dyDescent="0.25">
      <c r="A88" s="382"/>
      <c r="B88" s="383"/>
      <c r="C88" s="383"/>
      <c r="D88" s="383"/>
      <c r="E88" s="383"/>
      <c r="F88" s="383"/>
      <c r="G88" s="383"/>
      <c r="H88" s="383"/>
      <c r="I88" s="383"/>
      <c r="J88" s="383"/>
      <c r="K88" s="383"/>
    </row>
    <row r="89" spans="1:11" x14ac:dyDescent="0.25">
      <c r="A89" s="382"/>
      <c r="B89" s="383"/>
      <c r="C89" s="383"/>
      <c r="D89" s="383"/>
      <c r="E89" s="383"/>
      <c r="F89" s="383"/>
      <c r="G89" s="383"/>
      <c r="H89" s="383"/>
      <c r="I89" s="383"/>
      <c r="J89" s="383"/>
      <c r="K89" s="383"/>
    </row>
    <row r="90" spans="1:11" x14ac:dyDescent="0.25">
      <c r="A90" s="382"/>
      <c r="B90" s="383"/>
      <c r="C90" s="383"/>
      <c r="D90" s="383"/>
      <c r="E90" s="383"/>
      <c r="F90" s="383"/>
      <c r="G90" s="383"/>
      <c r="H90" s="383"/>
      <c r="I90" s="383"/>
      <c r="J90" s="383"/>
      <c r="K90" s="383"/>
    </row>
    <row r="91" spans="1:11" x14ac:dyDescent="0.25">
      <c r="A91" s="382"/>
      <c r="B91" s="383"/>
      <c r="C91" s="383"/>
      <c r="D91" s="383"/>
      <c r="E91" s="383"/>
      <c r="F91" s="383"/>
      <c r="G91" s="383"/>
      <c r="H91" s="383"/>
      <c r="I91" s="383"/>
      <c r="J91" s="383"/>
      <c r="K91" s="383"/>
    </row>
    <row r="92" spans="1:11" x14ac:dyDescent="0.25">
      <c r="A92" s="382"/>
      <c r="B92" s="383"/>
      <c r="C92" s="383"/>
      <c r="D92" s="383"/>
      <c r="E92" s="383"/>
      <c r="F92" s="383"/>
      <c r="G92" s="383"/>
      <c r="H92" s="383"/>
      <c r="I92" s="383"/>
      <c r="J92" s="383"/>
      <c r="K92" s="383"/>
    </row>
    <row r="93" spans="1:11" x14ac:dyDescent="0.25">
      <c r="A93" s="382"/>
      <c r="B93" s="383"/>
      <c r="C93" s="383"/>
      <c r="D93" s="383"/>
      <c r="E93" s="383"/>
      <c r="F93" s="383"/>
      <c r="G93" s="383"/>
      <c r="H93" s="383"/>
      <c r="I93" s="383"/>
      <c r="J93" s="383"/>
      <c r="K93" s="383"/>
    </row>
    <row r="94" spans="1:11" x14ac:dyDescent="0.25">
      <c r="A94" s="382"/>
      <c r="B94" s="383"/>
      <c r="C94" s="383"/>
      <c r="D94" s="383"/>
      <c r="E94" s="383"/>
      <c r="F94" s="383"/>
      <c r="G94" s="383"/>
      <c r="H94" s="383"/>
      <c r="I94" s="383"/>
      <c r="J94" s="383"/>
      <c r="K94" s="383"/>
    </row>
    <row r="95" spans="1:11" x14ac:dyDescent="0.25">
      <c r="A95" s="382"/>
      <c r="B95" s="383"/>
      <c r="C95" s="383"/>
      <c r="D95" s="383"/>
      <c r="E95" s="383"/>
      <c r="F95" s="383"/>
      <c r="G95" s="383"/>
      <c r="H95" s="383"/>
      <c r="I95" s="383"/>
      <c r="J95" s="383"/>
      <c r="K95" s="383"/>
    </row>
    <row r="96" spans="1:11" x14ac:dyDescent="0.25">
      <c r="A96" s="382"/>
      <c r="B96" s="383"/>
      <c r="C96" s="383"/>
      <c r="D96" s="383"/>
      <c r="E96" s="383"/>
      <c r="F96" s="383"/>
      <c r="G96" s="383"/>
      <c r="H96" s="383"/>
      <c r="I96" s="383"/>
      <c r="J96" s="383"/>
      <c r="K96" s="383"/>
    </row>
    <row r="97" spans="1:11" x14ac:dyDescent="0.25">
      <c r="A97" s="382"/>
      <c r="B97" s="383"/>
      <c r="C97" s="383"/>
      <c r="D97" s="383"/>
      <c r="E97" s="383"/>
      <c r="F97" s="383"/>
      <c r="G97" s="383"/>
      <c r="H97" s="383"/>
      <c r="I97" s="383"/>
      <c r="J97" s="383"/>
      <c r="K97" s="383"/>
    </row>
    <row r="98" spans="1:11" x14ac:dyDescent="0.25">
      <c r="A98" s="382"/>
      <c r="B98" s="383"/>
      <c r="C98" s="383"/>
      <c r="D98" s="383"/>
      <c r="E98" s="383"/>
      <c r="F98" s="383"/>
      <c r="G98" s="383"/>
      <c r="H98" s="383"/>
      <c r="I98" s="383"/>
      <c r="J98" s="383"/>
      <c r="K98" s="383"/>
    </row>
    <row r="99" spans="1:11" x14ac:dyDescent="0.25">
      <c r="A99" s="382"/>
      <c r="B99" s="383"/>
      <c r="C99" s="383"/>
      <c r="D99" s="383"/>
      <c r="E99" s="383"/>
      <c r="F99" s="383"/>
      <c r="G99" s="383"/>
      <c r="H99" s="383"/>
      <c r="I99" s="383"/>
      <c r="J99" s="383"/>
      <c r="K99" s="383"/>
    </row>
    <row r="100" spans="1:11" x14ac:dyDescent="0.25">
      <c r="A100" s="382"/>
      <c r="B100" s="383"/>
      <c r="C100" s="383"/>
      <c r="D100" s="383"/>
      <c r="E100" s="383"/>
      <c r="F100" s="383"/>
      <c r="G100" s="383"/>
      <c r="H100" s="383"/>
      <c r="I100" s="383"/>
      <c r="J100" s="383"/>
      <c r="K100" s="383"/>
    </row>
    <row r="101" spans="1:11" x14ac:dyDescent="0.25">
      <c r="A101" s="382"/>
      <c r="B101" s="383"/>
      <c r="C101" s="383"/>
      <c r="D101" s="383"/>
      <c r="E101" s="383"/>
      <c r="F101" s="383"/>
      <c r="G101" s="383"/>
      <c r="H101" s="383"/>
      <c r="I101" s="383"/>
      <c r="J101" s="383"/>
      <c r="K101" s="383"/>
    </row>
    <row r="102" spans="1:11" x14ac:dyDescent="0.25">
      <c r="A102" s="382"/>
      <c r="B102" s="383"/>
      <c r="C102" s="383"/>
      <c r="D102" s="383"/>
      <c r="E102" s="383"/>
      <c r="F102" s="383"/>
      <c r="G102" s="383"/>
      <c r="H102" s="383"/>
      <c r="I102" s="383"/>
      <c r="J102" s="383"/>
      <c r="K102" s="383"/>
    </row>
    <row r="103" spans="1:11" x14ac:dyDescent="0.25">
      <c r="A103" s="382"/>
      <c r="B103" s="383"/>
      <c r="C103" s="383"/>
      <c r="D103" s="383"/>
      <c r="E103" s="383"/>
      <c r="F103" s="383"/>
      <c r="G103" s="383"/>
      <c r="H103" s="383"/>
      <c r="I103" s="383"/>
      <c r="J103" s="383"/>
      <c r="K103" s="383"/>
    </row>
    <row r="104" spans="1:11" x14ac:dyDescent="0.25">
      <c r="A104" s="382"/>
      <c r="B104" s="383"/>
      <c r="C104" s="383"/>
      <c r="D104" s="383"/>
      <c r="E104" s="383"/>
      <c r="F104" s="383"/>
      <c r="G104" s="383"/>
      <c r="H104" s="383"/>
      <c r="I104" s="383"/>
      <c r="J104" s="383"/>
      <c r="K104" s="383"/>
    </row>
    <row r="105" spans="1:11" x14ac:dyDescent="0.25">
      <c r="A105" s="382"/>
      <c r="B105" s="383"/>
      <c r="C105" s="383"/>
      <c r="D105" s="383"/>
      <c r="E105" s="383"/>
      <c r="F105" s="383"/>
      <c r="G105" s="383"/>
      <c r="H105" s="383"/>
      <c r="I105" s="383"/>
      <c r="J105" s="383"/>
      <c r="K105" s="383"/>
    </row>
    <row r="106" spans="1:11" x14ac:dyDescent="0.25">
      <c r="A106" s="382"/>
      <c r="B106" s="383"/>
      <c r="C106" s="383"/>
      <c r="D106" s="383"/>
      <c r="E106" s="383"/>
      <c r="F106" s="383"/>
      <c r="G106" s="383"/>
      <c r="H106" s="383"/>
      <c r="I106" s="383"/>
      <c r="J106" s="383"/>
      <c r="K106" s="383"/>
    </row>
    <row r="107" spans="1:11" x14ac:dyDescent="0.25">
      <c r="A107" s="382"/>
      <c r="B107" s="383"/>
      <c r="C107" s="383"/>
      <c r="D107" s="383"/>
      <c r="E107" s="383"/>
      <c r="F107" s="383"/>
      <c r="G107" s="383"/>
      <c r="H107" s="383"/>
      <c r="I107" s="383"/>
      <c r="J107" s="383"/>
      <c r="K107" s="383"/>
    </row>
    <row r="108" spans="1:11" x14ac:dyDescent="0.25">
      <c r="A108" s="382"/>
      <c r="B108" s="383"/>
      <c r="C108" s="383"/>
      <c r="D108" s="383"/>
      <c r="E108" s="383"/>
      <c r="F108" s="383"/>
      <c r="G108" s="383"/>
      <c r="H108" s="383"/>
      <c r="I108" s="383"/>
      <c r="J108" s="383"/>
      <c r="K108" s="383"/>
    </row>
    <row r="109" spans="1:11" x14ac:dyDescent="0.25">
      <c r="A109" s="382"/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</row>
    <row r="110" spans="1:11" x14ac:dyDescent="0.25">
      <c r="A110" s="382"/>
      <c r="B110" s="383"/>
      <c r="C110" s="383"/>
      <c r="D110" s="383"/>
      <c r="E110" s="383"/>
      <c r="F110" s="383"/>
      <c r="G110" s="383"/>
      <c r="H110" s="383"/>
      <c r="I110" s="383"/>
      <c r="J110" s="383"/>
      <c r="K110" s="383"/>
    </row>
  </sheetData>
  <autoFilter ref="A1:K48" xr:uid="{8106B81C-5C88-4A0C-BA49-22FB3363DC78}"/>
  <mergeCells count="2">
    <mergeCell ref="E3:J3"/>
    <mergeCell ref="F48:I48"/>
  </mergeCells>
  <printOptions horizontalCentered="1"/>
  <pageMargins left="7.874015748031496E-2" right="7.874015748031496E-2" top="0.19685039370078741" bottom="0.19685039370078741" header="0" footer="0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1A90-6FAE-4F64-87DF-E3A6F91F6182}">
  <dimension ref="A1:AH107"/>
  <sheetViews>
    <sheetView zoomScaleNormal="100" workbookViewId="0">
      <pane ySplit="5" topLeftCell="A37" activePane="bottomLeft" state="frozen"/>
      <selection pane="bottomLeft" activeCell="A6" sqref="A6"/>
    </sheetView>
  </sheetViews>
  <sheetFormatPr baseColWidth="10" defaultColWidth="8" defaultRowHeight="15" x14ac:dyDescent="0.25"/>
  <cols>
    <col min="1" max="1" width="7.7109375" style="391" bestFit="1" customWidth="1"/>
    <col min="2" max="2" width="15.5703125" style="392" bestFit="1" customWidth="1"/>
    <col min="3" max="3" width="31.42578125" style="392" customWidth="1"/>
    <col min="4" max="4" width="10.140625" style="392" bestFit="1" customWidth="1"/>
    <col min="5" max="5" width="10.42578125" style="392" bestFit="1" customWidth="1"/>
    <col min="6" max="6" width="10" style="392" customWidth="1"/>
    <col min="7" max="7" width="11" style="392" customWidth="1"/>
    <col min="8" max="8" width="10.42578125" style="392" bestFit="1" customWidth="1"/>
    <col min="9" max="9" width="11.85546875" style="392" customWidth="1"/>
    <col min="10" max="10" width="10.140625" style="392" bestFit="1" customWidth="1"/>
    <col min="11" max="11" width="10.140625" style="394" customWidth="1"/>
    <col min="12" max="12" width="11.28515625" style="392" customWidth="1"/>
    <col min="13" max="15" width="10.140625" style="392" bestFit="1" customWidth="1"/>
    <col min="16" max="16" width="10.42578125" style="392" bestFit="1" customWidth="1"/>
    <col min="17" max="17" width="10.140625" style="392" bestFit="1" customWidth="1"/>
    <col min="18" max="18" width="9.140625" style="392" bestFit="1" customWidth="1"/>
    <col min="19" max="20" width="10.140625" style="392" bestFit="1" customWidth="1"/>
    <col min="21" max="21" width="8.85546875" style="392" bestFit="1" customWidth="1"/>
    <col min="22" max="22" width="9.140625" style="392" bestFit="1" customWidth="1"/>
    <col min="23" max="25" width="8.85546875" style="392" bestFit="1" customWidth="1"/>
    <col min="26" max="26" width="13.28515625" style="392" bestFit="1" customWidth="1"/>
    <col min="27" max="28" width="10.140625" style="392" bestFit="1" customWidth="1"/>
    <col min="29" max="29" width="5.7109375" style="392" bestFit="1" customWidth="1"/>
    <col min="30" max="30" width="6.42578125" style="392" bestFit="1" customWidth="1"/>
    <col min="31" max="31" width="6.28515625" style="392" bestFit="1" customWidth="1"/>
    <col min="32" max="32" width="7" style="392" bestFit="1" customWidth="1"/>
    <col min="33" max="33" width="20.42578125" style="392" bestFit="1" customWidth="1"/>
    <col min="34" max="34" width="5.140625" style="391" customWidth="1"/>
    <col min="35" max="256" width="8" style="391"/>
    <col min="257" max="257" width="7.7109375" style="391" bestFit="1" customWidth="1"/>
    <col min="258" max="258" width="15.5703125" style="391" bestFit="1" customWidth="1"/>
    <col min="259" max="259" width="31.42578125" style="391" customWidth="1"/>
    <col min="260" max="260" width="10.140625" style="391" bestFit="1" customWidth="1"/>
    <col min="261" max="261" width="10.42578125" style="391" bestFit="1" customWidth="1"/>
    <col min="262" max="262" width="10" style="391" customWidth="1"/>
    <col min="263" max="263" width="11" style="391" customWidth="1"/>
    <col min="264" max="264" width="10.42578125" style="391" bestFit="1" customWidth="1"/>
    <col min="265" max="265" width="11.85546875" style="391" customWidth="1"/>
    <col min="266" max="266" width="10.140625" style="391" bestFit="1" customWidth="1"/>
    <col min="267" max="267" width="10.140625" style="391" customWidth="1"/>
    <col min="268" max="268" width="11.28515625" style="391" customWidth="1"/>
    <col min="269" max="271" width="10.140625" style="391" bestFit="1" customWidth="1"/>
    <col min="272" max="272" width="10.42578125" style="391" bestFit="1" customWidth="1"/>
    <col min="273" max="273" width="10.140625" style="391" bestFit="1" customWidth="1"/>
    <col min="274" max="274" width="9.140625" style="391" bestFit="1" customWidth="1"/>
    <col min="275" max="276" width="10.140625" style="391" bestFit="1" customWidth="1"/>
    <col min="277" max="277" width="8.85546875" style="391" bestFit="1" customWidth="1"/>
    <col min="278" max="278" width="9.140625" style="391" bestFit="1" customWidth="1"/>
    <col min="279" max="281" width="8.85546875" style="391" bestFit="1" customWidth="1"/>
    <col min="282" max="282" width="13.28515625" style="391" bestFit="1" customWidth="1"/>
    <col min="283" max="284" width="10.140625" style="391" bestFit="1" customWidth="1"/>
    <col min="285" max="285" width="5.7109375" style="391" bestFit="1" customWidth="1"/>
    <col min="286" max="286" width="6.42578125" style="391" bestFit="1" customWidth="1"/>
    <col min="287" max="287" width="6.28515625" style="391" bestFit="1" customWidth="1"/>
    <col min="288" max="288" width="7" style="391" bestFit="1" customWidth="1"/>
    <col min="289" max="289" width="20.42578125" style="391" bestFit="1" customWidth="1"/>
    <col min="290" max="290" width="5.140625" style="391" customWidth="1"/>
    <col min="291" max="512" width="8" style="391"/>
    <col min="513" max="513" width="7.7109375" style="391" bestFit="1" customWidth="1"/>
    <col min="514" max="514" width="15.5703125" style="391" bestFit="1" customWidth="1"/>
    <col min="515" max="515" width="31.42578125" style="391" customWidth="1"/>
    <col min="516" max="516" width="10.140625" style="391" bestFit="1" customWidth="1"/>
    <col min="517" max="517" width="10.42578125" style="391" bestFit="1" customWidth="1"/>
    <col min="518" max="518" width="10" style="391" customWidth="1"/>
    <col min="519" max="519" width="11" style="391" customWidth="1"/>
    <col min="520" max="520" width="10.42578125" style="391" bestFit="1" customWidth="1"/>
    <col min="521" max="521" width="11.85546875" style="391" customWidth="1"/>
    <col min="522" max="522" width="10.140625" style="391" bestFit="1" customWidth="1"/>
    <col min="523" max="523" width="10.140625" style="391" customWidth="1"/>
    <col min="524" max="524" width="11.28515625" style="391" customWidth="1"/>
    <col min="525" max="527" width="10.140625" style="391" bestFit="1" customWidth="1"/>
    <col min="528" max="528" width="10.42578125" style="391" bestFit="1" customWidth="1"/>
    <col min="529" max="529" width="10.140625" style="391" bestFit="1" customWidth="1"/>
    <col min="530" max="530" width="9.140625" style="391" bestFit="1" customWidth="1"/>
    <col min="531" max="532" width="10.140625" style="391" bestFit="1" customWidth="1"/>
    <col min="533" max="533" width="8.85546875" style="391" bestFit="1" customWidth="1"/>
    <col min="534" max="534" width="9.140625" style="391" bestFit="1" customWidth="1"/>
    <col min="535" max="537" width="8.85546875" style="391" bestFit="1" customWidth="1"/>
    <col min="538" max="538" width="13.28515625" style="391" bestFit="1" customWidth="1"/>
    <col min="539" max="540" width="10.140625" style="391" bestFit="1" customWidth="1"/>
    <col min="541" max="541" width="5.7109375" style="391" bestFit="1" customWidth="1"/>
    <col min="542" max="542" width="6.42578125" style="391" bestFit="1" customWidth="1"/>
    <col min="543" max="543" width="6.28515625" style="391" bestFit="1" customWidth="1"/>
    <col min="544" max="544" width="7" style="391" bestFit="1" customWidth="1"/>
    <col min="545" max="545" width="20.42578125" style="391" bestFit="1" customWidth="1"/>
    <col min="546" max="546" width="5.140625" style="391" customWidth="1"/>
    <col min="547" max="768" width="8" style="391"/>
    <col min="769" max="769" width="7.7109375" style="391" bestFit="1" customWidth="1"/>
    <col min="770" max="770" width="15.5703125" style="391" bestFit="1" customWidth="1"/>
    <col min="771" max="771" width="31.42578125" style="391" customWidth="1"/>
    <col min="772" max="772" width="10.140625" style="391" bestFit="1" customWidth="1"/>
    <col min="773" max="773" width="10.42578125" style="391" bestFit="1" customWidth="1"/>
    <col min="774" max="774" width="10" style="391" customWidth="1"/>
    <col min="775" max="775" width="11" style="391" customWidth="1"/>
    <col min="776" max="776" width="10.42578125" style="391" bestFit="1" customWidth="1"/>
    <col min="777" max="777" width="11.85546875" style="391" customWidth="1"/>
    <col min="778" max="778" width="10.140625" style="391" bestFit="1" customWidth="1"/>
    <col min="779" max="779" width="10.140625" style="391" customWidth="1"/>
    <col min="780" max="780" width="11.28515625" style="391" customWidth="1"/>
    <col min="781" max="783" width="10.140625" style="391" bestFit="1" customWidth="1"/>
    <col min="784" max="784" width="10.42578125" style="391" bestFit="1" customWidth="1"/>
    <col min="785" max="785" width="10.140625" style="391" bestFit="1" customWidth="1"/>
    <col min="786" max="786" width="9.140625" style="391" bestFit="1" customWidth="1"/>
    <col min="787" max="788" width="10.140625" style="391" bestFit="1" customWidth="1"/>
    <col min="789" max="789" width="8.85546875" style="391" bestFit="1" customWidth="1"/>
    <col min="790" max="790" width="9.140625" style="391" bestFit="1" customWidth="1"/>
    <col min="791" max="793" width="8.85546875" style="391" bestFit="1" customWidth="1"/>
    <col min="794" max="794" width="13.28515625" style="391" bestFit="1" customWidth="1"/>
    <col min="795" max="796" width="10.140625" style="391" bestFit="1" customWidth="1"/>
    <col min="797" max="797" width="5.7109375" style="391" bestFit="1" customWidth="1"/>
    <col min="798" max="798" width="6.42578125" style="391" bestFit="1" customWidth="1"/>
    <col min="799" max="799" width="6.28515625" style="391" bestFit="1" customWidth="1"/>
    <col min="800" max="800" width="7" style="391" bestFit="1" customWidth="1"/>
    <col min="801" max="801" width="20.42578125" style="391" bestFit="1" customWidth="1"/>
    <col min="802" max="802" width="5.140625" style="391" customWidth="1"/>
    <col min="803" max="1024" width="8" style="391"/>
    <col min="1025" max="1025" width="7.7109375" style="391" bestFit="1" customWidth="1"/>
    <col min="1026" max="1026" width="15.5703125" style="391" bestFit="1" customWidth="1"/>
    <col min="1027" max="1027" width="31.42578125" style="391" customWidth="1"/>
    <col min="1028" max="1028" width="10.140625" style="391" bestFit="1" customWidth="1"/>
    <col min="1029" max="1029" width="10.42578125" style="391" bestFit="1" customWidth="1"/>
    <col min="1030" max="1030" width="10" style="391" customWidth="1"/>
    <col min="1031" max="1031" width="11" style="391" customWidth="1"/>
    <col min="1032" max="1032" width="10.42578125" style="391" bestFit="1" customWidth="1"/>
    <col min="1033" max="1033" width="11.85546875" style="391" customWidth="1"/>
    <col min="1034" max="1034" width="10.140625" style="391" bestFit="1" customWidth="1"/>
    <col min="1035" max="1035" width="10.140625" style="391" customWidth="1"/>
    <col min="1036" max="1036" width="11.28515625" style="391" customWidth="1"/>
    <col min="1037" max="1039" width="10.140625" style="391" bestFit="1" customWidth="1"/>
    <col min="1040" max="1040" width="10.42578125" style="391" bestFit="1" customWidth="1"/>
    <col min="1041" max="1041" width="10.140625" style="391" bestFit="1" customWidth="1"/>
    <col min="1042" max="1042" width="9.140625" style="391" bestFit="1" customWidth="1"/>
    <col min="1043" max="1044" width="10.140625" style="391" bestFit="1" customWidth="1"/>
    <col min="1045" max="1045" width="8.85546875" style="391" bestFit="1" customWidth="1"/>
    <col min="1046" max="1046" width="9.140625" style="391" bestFit="1" customWidth="1"/>
    <col min="1047" max="1049" width="8.85546875" style="391" bestFit="1" customWidth="1"/>
    <col min="1050" max="1050" width="13.28515625" style="391" bestFit="1" customWidth="1"/>
    <col min="1051" max="1052" width="10.140625" style="391" bestFit="1" customWidth="1"/>
    <col min="1053" max="1053" width="5.7109375" style="391" bestFit="1" customWidth="1"/>
    <col min="1054" max="1054" width="6.42578125" style="391" bestFit="1" customWidth="1"/>
    <col min="1055" max="1055" width="6.28515625" style="391" bestFit="1" customWidth="1"/>
    <col min="1056" max="1056" width="7" style="391" bestFit="1" customWidth="1"/>
    <col min="1057" max="1057" width="20.42578125" style="391" bestFit="1" customWidth="1"/>
    <col min="1058" max="1058" width="5.140625" style="391" customWidth="1"/>
    <col min="1059" max="1280" width="8" style="391"/>
    <col min="1281" max="1281" width="7.7109375" style="391" bestFit="1" customWidth="1"/>
    <col min="1282" max="1282" width="15.5703125" style="391" bestFit="1" customWidth="1"/>
    <col min="1283" max="1283" width="31.42578125" style="391" customWidth="1"/>
    <col min="1284" max="1284" width="10.140625" style="391" bestFit="1" customWidth="1"/>
    <col min="1285" max="1285" width="10.42578125" style="391" bestFit="1" customWidth="1"/>
    <col min="1286" max="1286" width="10" style="391" customWidth="1"/>
    <col min="1287" max="1287" width="11" style="391" customWidth="1"/>
    <col min="1288" max="1288" width="10.42578125" style="391" bestFit="1" customWidth="1"/>
    <col min="1289" max="1289" width="11.85546875" style="391" customWidth="1"/>
    <col min="1290" max="1290" width="10.140625" style="391" bestFit="1" customWidth="1"/>
    <col min="1291" max="1291" width="10.140625" style="391" customWidth="1"/>
    <col min="1292" max="1292" width="11.28515625" style="391" customWidth="1"/>
    <col min="1293" max="1295" width="10.140625" style="391" bestFit="1" customWidth="1"/>
    <col min="1296" max="1296" width="10.42578125" style="391" bestFit="1" customWidth="1"/>
    <col min="1297" max="1297" width="10.140625" style="391" bestFit="1" customWidth="1"/>
    <col min="1298" max="1298" width="9.140625" style="391" bestFit="1" customWidth="1"/>
    <col min="1299" max="1300" width="10.140625" style="391" bestFit="1" customWidth="1"/>
    <col min="1301" max="1301" width="8.85546875" style="391" bestFit="1" customWidth="1"/>
    <col min="1302" max="1302" width="9.140625" style="391" bestFit="1" customWidth="1"/>
    <col min="1303" max="1305" width="8.85546875" style="391" bestFit="1" customWidth="1"/>
    <col min="1306" max="1306" width="13.28515625" style="391" bestFit="1" customWidth="1"/>
    <col min="1307" max="1308" width="10.140625" style="391" bestFit="1" customWidth="1"/>
    <col min="1309" max="1309" width="5.7109375" style="391" bestFit="1" customWidth="1"/>
    <col min="1310" max="1310" width="6.42578125" style="391" bestFit="1" customWidth="1"/>
    <col min="1311" max="1311" width="6.28515625" style="391" bestFit="1" customWidth="1"/>
    <col min="1312" max="1312" width="7" style="391" bestFit="1" customWidth="1"/>
    <col min="1313" max="1313" width="20.42578125" style="391" bestFit="1" customWidth="1"/>
    <col min="1314" max="1314" width="5.140625" style="391" customWidth="1"/>
    <col min="1315" max="1536" width="8" style="391"/>
    <col min="1537" max="1537" width="7.7109375" style="391" bestFit="1" customWidth="1"/>
    <col min="1538" max="1538" width="15.5703125" style="391" bestFit="1" customWidth="1"/>
    <col min="1539" max="1539" width="31.42578125" style="391" customWidth="1"/>
    <col min="1540" max="1540" width="10.140625" style="391" bestFit="1" customWidth="1"/>
    <col min="1541" max="1541" width="10.42578125" style="391" bestFit="1" customWidth="1"/>
    <col min="1542" max="1542" width="10" style="391" customWidth="1"/>
    <col min="1543" max="1543" width="11" style="391" customWidth="1"/>
    <col min="1544" max="1544" width="10.42578125" style="391" bestFit="1" customWidth="1"/>
    <col min="1545" max="1545" width="11.85546875" style="391" customWidth="1"/>
    <col min="1546" max="1546" width="10.140625" style="391" bestFit="1" customWidth="1"/>
    <col min="1547" max="1547" width="10.140625" style="391" customWidth="1"/>
    <col min="1548" max="1548" width="11.28515625" style="391" customWidth="1"/>
    <col min="1549" max="1551" width="10.140625" style="391" bestFit="1" customWidth="1"/>
    <col min="1552" max="1552" width="10.42578125" style="391" bestFit="1" customWidth="1"/>
    <col min="1553" max="1553" width="10.140625" style="391" bestFit="1" customWidth="1"/>
    <col min="1554" max="1554" width="9.140625" style="391" bestFit="1" customWidth="1"/>
    <col min="1555" max="1556" width="10.140625" style="391" bestFit="1" customWidth="1"/>
    <col min="1557" max="1557" width="8.85546875" style="391" bestFit="1" customWidth="1"/>
    <col min="1558" max="1558" width="9.140625" style="391" bestFit="1" customWidth="1"/>
    <col min="1559" max="1561" width="8.85546875" style="391" bestFit="1" customWidth="1"/>
    <col min="1562" max="1562" width="13.28515625" style="391" bestFit="1" customWidth="1"/>
    <col min="1563" max="1564" width="10.140625" style="391" bestFit="1" customWidth="1"/>
    <col min="1565" max="1565" width="5.7109375" style="391" bestFit="1" customWidth="1"/>
    <col min="1566" max="1566" width="6.42578125" style="391" bestFit="1" customWidth="1"/>
    <col min="1567" max="1567" width="6.28515625" style="391" bestFit="1" customWidth="1"/>
    <col min="1568" max="1568" width="7" style="391" bestFit="1" customWidth="1"/>
    <col min="1569" max="1569" width="20.42578125" style="391" bestFit="1" customWidth="1"/>
    <col min="1570" max="1570" width="5.140625" style="391" customWidth="1"/>
    <col min="1571" max="1792" width="8" style="391"/>
    <col min="1793" max="1793" width="7.7109375" style="391" bestFit="1" customWidth="1"/>
    <col min="1794" max="1794" width="15.5703125" style="391" bestFit="1" customWidth="1"/>
    <col min="1795" max="1795" width="31.42578125" style="391" customWidth="1"/>
    <col min="1796" max="1796" width="10.140625" style="391" bestFit="1" customWidth="1"/>
    <col min="1797" max="1797" width="10.42578125" style="391" bestFit="1" customWidth="1"/>
    <col min="1798" max="1798" width="10" style="391" customWidth="1"/>
    <col min="1799" max="1799" width="11" style="391" customWidth="1"/>
    <col min="1800" max="1800" width="10.42578125" style="391" bestFit="1" customWidth="1"/>
    <col min="1801" max="1801" width="11.85546875" style="391" customWidth="1"/>
    <col min="1802" max="1802" width="10.140625" style="391" bestFit="1" customWidth="1"/>
    <col min="1803" max="1803" width="10.140625" style="391" customWidth="1"/>
    <col min="1804" max="1804" width="11.28515625" style="391" customWidth="1"/>
    <col min="1805" max="1807" width="10.140625" style="391" bestFit="1" customWidth="1"/>
    <col min="1808" max="1808" width="10.42578125" style="391" bestFit="1" customWidth="1"/>
    <col min="1809" max="1809" width="10.140625" style="391" bestFit="1" customWidth="1"/>
    <col min="1810" max="1810" width="9.140625" style="391" bestFit="1" customWidth="1"/>
    <col min="1811" max="1812" width="10.140625" style="391" bestFit="1" customWidth="1"/>
    <col min="1813" max="1813" width="8.85546875" style="391" bestFit="1" customWidth="1"/>
    <col min="1814" max="1814" width="9.140625" style="391" bestFit="1" customWidth="1"/>
    <col min="1815" max="1817" width="8.85546875" style="391" bestFit="1" customWidth="1"/>
    <col min="1818" max="1818" width="13.28515625" style="391" bestFit="1" customWidth="1"/>
    <col min="1819" max="1820" width="10.140625" style="391" bestFit="1" customWidth="1"/>
    <col min="1821" max="1821" width="5.7109375" style="391" bestFit="1" customWidth="1"/>
    <col min="1822" max="1822" width="6.42578125" style="391" bestFit="1" customWidth="1"/>
    <col min="1823" max="1823" width="6.28515625" style="391" bestFit="1" customWidth="1"/>
    <col min="1824" max="1824" width="7" style="391" bestFit="1" customWidth="1"/>
    <col min="1825" max="1825" width="20.42578125" style="391" bestFit="1" customWidth="1"/>
    <col min="1826" max="1826" width="5.140625" style="391" customWidth="1"/>
    <col min="1827" max="2048" width="8" style="391"/>
    <col min="2049" max="2049" width="7.7109375" style="391" bestFit="1" customWidth="1"/>
    <col min="2050" max="2050" width="15.5703125" style="391" bestFit="1" customWidth="1"/>
    <col min="2051" max="2051" width="31.42578125" style="391" customWidth="1"/>
    <col min="2052" max="2052" width="10.140625" style="391" bestFit="1" customWidth="1"/>
    <col min="2053" max="2053" width="10.42578125" style="391" bestFit="1" customWidth="1"/>
    <col min="2054" max="2054" width="10" style="391" customWidth="1"/>
    <col min="2055" max="2055" width="11" style="391" customWidth="1"/>
    <col min="2056" max="2056" width="10.42578125" style="391" bestFit="1" customWidth="1"/>
    <col min="2057" max="2057" width="11.85546875" style="391" customWidth="1"/>
    <col min="2058" max="2058" width="10.140625" style="391" bestFit="1" customWidth="1"/>
    <col min="2059" max="2059" width="10.140625" style="391" customWidth="1"/>
    <col min="2060" max="2060" width="11.28515625" style="391" customWidth="1"/>
    <col min="2061" max="2063" width="10.140625" style="391" bestFit="1" customWidth="1"/>
    <col min="2064" max="2064" width="10.42578125" style="391" bestFit="1" customWidth="1"/>
    <col min="2065" max="2065" width="10.140625" style="391" bestFit="1" customWidth="1"/>
    <col min="2066" max="2066" width="9.140625" style="391" bestFit="1" customWidth="1"/>
    <col min="2067" max="2068" width="10.140625" style="391" bestFit="1" customWidth="1"/>
    <col min="2069" max="2069" width="8.85546875" style="391" bestFit="1" customWidth="1"/>
    <col min="2070" max="2070" width="9.140625" style="391" bestFit="1" customWidth="1"/>
    <col min="2071" max="2073" width="8.85546875" style="391" bestFit="1" customWidth="1"/>
    <col min="2074" max="2074" width="13.28515625" style="391" bestFit="1" customWidth="1"/>
    <col min="2075" max="2076" width="10.140625" style="391" bestFit="1" customWidth="1"/>
    <col min="2077" max="2077" width="5.7109375" style="391" bestFit="1" customWidth="1"/>
    <col min="2078" max="2078" width="6.42578125" style="391" bestFit="1" customWidth="1"/>
    <col min="2079" max="2079" width="6.28515625" style="391" bestFit="1" customWidth="1"/>
    <col min="2080" max="2080" width="7" style="391" bestFit="1" customWidth="1"/>
    <col min="2081" max="2081" width="20.42578125" style="391" bestFit="1" customWidth="1"/>
    <col min="2082" max="2082" width="5.140625" style="391" customWidth="1"/>
    <col min="2083" max="2304" width="8" style="391"/>
    <col min="2305" max="2305" width="7.7109375" style="391" bestFit="1" customWidth="1"/>
    <col min="2306" max="2306" width="15.5703125" style="391" bestFit="1" customWidth="1"/>
    <col min="2307" max="2307" width="31.42578125" style="391" customWidth="1"/>
    <col min="2308" max="2308" width="10.140625" style="391" bestFit="1" customWidth="1"/>
    <col min="2309" max="2309" width="10.42578125" style="391" bestFit="1" customWidth="1"/>
    <col min="2310" max="2310" width="10" style="391" customWidth="1"/>
    <col min="2311" max="2311" width="11" style="391" customWidth="1"/>
    <col min="2312" max="2312" width="10.42578125" style="391" bestFit="1" customWidth="1"/>
    <col min="2313" max="2313" width="11.85546875" style="391" customWidth="1"/>
    <col min="2314" max="2314" width="10.140625" style="391" bestFit="1" customWidth="1"/>
    <col min="2315" max="2315" width="10.140625" style="391" customWidth="1"/>
    <col min="2316" max="2316" width="11.28515625" style="391" customWidth="1"/>
    <col min="2317" max="2319" width="10.140625" style="391" bestFit="1" customWidth="1"/>
    <col min="2320" max="2320" width="10.42578125" style="391" bestFit="1" customWidth="1"/>
    <col min="2321" max="2321" width="10.140625" style="391" bestFit="1" customWidth="1"/>
    <col min="2322" max="2322" width="9.140625" style="391" bestFit="1" customWidth="1"/>
    <col min="2323" max="2324" width="10.140625" style="391" bestFit="1" customWidth="1"/>
    <col min="2325" max="2325" width="8.85546875" style="391" bestFit="1" customWidth="1"/>
    <col min="2326" max="2326" width="9.140625" style="391" bestFit="1" customWidth="1"/>
    <col min="2327" max="2329" width="8.85546875" style="391" bestFit="1" customWidth="1"/>
    <col min="2330" max="2330" width="13.28515625" style="391" bestFit="1" customWidth="1"/>
    <col min="2331" max="2332" width="10.140625" style="391" bestFit="1" customWidth="1"/>
    <col min="2333" max="2333" width="5.7109375" style="391" bestFit="1" customWidth="1"/>
    <col min="2334" max="2334" width="6.42578125" style="391" bestFit="1" customWidth="1"/>
    <col min="2335" max="2335" width="6.28515625" style="391" bestFit="1" customWidth="1"/>
    <col min="2336" max="2336" width="7" style="391" bestFit="1" customWidth="1"/>
    <col min="2337" max="2337" width="20.42578125" style="391" bestFit="1" customWidth="1"/>
    <col min="2338" max="2338" width="5.140625" style="391" customWidth="1"/>
    <col min="2339" max="2560" width="8" style="391"/>
    <col min="2561" max="2561" width="7.7109375" style="391" bestFit="1" customWidth="1"/>
    <col min="2562" max="2562" width="15.5703125" style="391" bestFit="1" customWidth="1"/>
    <col min="2563" max="2563" width="31.42578125" style="391" customWidth="1"/>
    <col min="2564" max="2564" width="10.140625" style="391" bestFit="1" customWidth="1"/>
    <col min="2565" max="2565" width="10.42578125" style="391" bestFit="1" customWidth="1"/>
    <col min="2566" max="2566" width="10" style="391" customWidth="1"/>
    <col min="2567" max="2567" width="11" style="391" customWidth="1"/>
    <col min="2568" max="2568" width="10.42578125" style="391" bestFit="1" customWidth="1"/>
    <col min="2569" max="2569" width="11.85546875" style="391" customWidth="1"/>
    <col min="2570" max="2570" width="10.140625" style="391" bestFit="1" customWidth="1"/>
    <col min="2571" max="2571" width="10.140625" style="391" customWidth="1"/>
    <col min="2572" max="2572" width="11.28515625" style="391" customWidth="1"/>
    <col min="2573" max="2575" width="10.140625" style="391" bestFit="1" customWidth="1"/>
    <col min="2576" max="2576" width="10.42578125" style="391" bestFit="1" customWidth="1"/>
    <col min="2577" max="2577" width="10.140625" style="391" bestFit="1" customWidth="1"/>
    <col min="2578" max="2578" width="9.140625" style="391" bestFit="1" customWidth="1"/>
    <col min="2579" max="2580" width="10.140625" style="391" bestFit="1" customWidth="1"/>
    <col min="2581" max="2581" width="8.85546875" style="391" bestFit="1" customWidth="1"/>
    <col min="2582" max="2582" width="9.140625" style="391" bestFit="1" customWidth="1"/>
    <col min="2583" max="2585" width="8.85546875" style="391" bestFit="1" customWidth="1"/>
    <col min="2586" max="2586" width="13.28515625" style="391" bestFit="1" customWidth="1"/>
    <col min="2587" max="2588" width="10.140625" style="391" bestFit="1" customWidth="1"/>
    <col min="2589" max="2589" width="5.7109375" style="391" bestFit="1" customWidth="1"/>
    <col min="2590" max="2590" width="6.42578125" style="391" bestFit="1" customWidth="1"/>
    <col min="2591" max="2591" width="6.28515625" style="391" bestFit="1" customWidth="1"/>
    <col min="2592" max="2592" width="7" style="391" bestFit="1" customWidth="1"/>
    <col min="2593" max="2593" width="20.42578125" style="391" bestFit="1" customWidth="1"/>
    <col min="2594" max="2594" width="5.140625" style="391" customWidth="1"/>
    <col min="2595" max="2816" width="8" style="391"/>
    <col min="2817" max="2817" width="7.7109375" style="391" bestFit="1" customWidth="1"/>
    <col min="2818" max="2818" width="15.5703125" style="391" bestFit="1" customWidth="1"/>
    <col min="2819" max="2819" width="31.42578125" style="391" customWidth="1"/>
    <col min="2820" max="2820" width="10.140625" style="391" bestFit="1" customWidth="1"/>
    <col min="2821" max="2821" width="10.42578125" style="391" bestFit="1" customWidth="1"/>
    <col min="2822" max="2822" width="10" style="391" customWidth="1"/>
    <col min="2823" max="2823" width="11" style="391" customWidth="1"/>
    <col min="2824" max="2824" width="10.42578125" style="391" bestFit="1" customWidth="1"/>
    <col min="2825" max="2825" width="11.85546875" style="391" customWidth="1"/>
    <col min="2826" max="2826" width="10.140625" style="391" bestFit="1" customWidth="1"/>
    <col min="2827" max="2827" width="10.140625" style="391" customWidth="1"/>
    <col min="2828" max="2828" width="11.28515625" style="391" customWidth="1"/>
    <col min="2829" max="2831" width="10.140625" style="391" bestFit="1" customWidth="1"/>
    <col min="2832" max="2832" width="10.42578125" style="391" bestFit="1" customWidth="1"/>
    <col min="2833" max="2833" width="10.140625" style="391" bestFit="1" customWidth="1"/>
    <col min="2834" max="2834" width="9.140625" style="391" bestFit="1" customWidth="1"/>
    <col min="2835" max="2836" width="10.140625" style="391" bestFit="1" customWidth="1"/>
    <col min="2837" max="2837" width="8.85546875" style="391" bestFit="1" customWidth="1"/>
    <col min="2838" max="2838" width="9.140625" style="391" bestFit="1" customWidth="1"/>
    <col min="2839" max="2841" width="8.85546875" style="391" bestFit="1" customWidth="1"/>
    <col min="2842" max="2842" width="13.28515625" style="391" bestFit="1" customWidth="1"/>
    <col min="2843" max="2844" width="10.140625" style="391" bestFit="1" customWidth="1"/>
    <col min="2845" max="2845" width="5.7109375" style="391" bestFit="1" customWidth="1"/>
    <col min="2846" max="2846" width="6.42578125" style="391" bestFit="1" customWidth="1"/>
    <col min="2847" max="2847" width="6.28515625" style="391" bestFit="1" customWidth="1"/>
    <col min="2848" max="2848" width="7" style="391" bestFit="1" customWidth="1"/>
    <col min="2849" max="2849" width="20.42578125" style="391" bestFit="1" customWidth="1"/>
    <col min="2850" max="2850" width="5.140625" style="391" customWidth="1"/>
    <col min="2851" max="3072" width="8" style="391"/>
    <col min="3073" max="3073" width="7.7109375" style="391" bestFit="1" customWidth="1"/>
    <col min="3074" max="3074" width="15.5703125" style="391" bestFit="1" customWidth="1"/>
    <col min="3075" max="3075" width="31.42578125" style="391" customWidth="1"/>
    <col min="3076" max="3076" width="10.140625" style="391" bestFit="1" customWidth="1"/>
    <col min="3077" max="3077" width="10.42578125" style="391" bestFit="1" customWidth="1"/>
    <col min="3078" max="3078" width="10" style="391" customWidth="1"/>
    <col min="3079" max="3079" width="11" style="391" customWidth="1"/>
    <col min="3080" max="3080" width="10.42578125" style="391" bestFit="1" customWidth="1"/>
    <col min="3081" max="3081" width="11.85546875" style="391" customWidth="1"/>
    <col min="3082" max="3082" width="10.140625" style="391" bestFit="1" customWidth="1"/>
    <col min="3083" max="3083" width="10.140625" style="391" customWidth="1"/>
    <col min="3084" max="3084" width="11.28515625" style="391" customWidth="1"/>
    <col min="3085" max="3087" width="10.140625" style="391" bestFit="1" customWidth="1"/>
    <col min="3088" max="3088" width="10.42578125" style="391" bestFit="1" customWidth="1"/>
    <col min="3089" max="3089" width="10.140625" style="391" bestFit="1" customWidth="1"/>
    <col min="3090" max="3090" width="9.140625" style="391" bestFit="1" customWidth="1"/>
    <col min="3091" max="3092" width="10.140625" style="391" bestFit="1" customWidth="1"/>
    <col min="3093" max="3093" width="8.85546875" style="391" bestFit="1" customWidth="1"/>
    <col min="3094" max="3094" width="9.140625" style="391" bestFit="1" customWidth="1"/>
    <col min="3095" max="3097" width="8.85546875" style="391" bestFit="1" customWidth="1"/>
    <col min="3098" max="3098" width="13.28515625" style="391" bestFit="1" customWidth="1"/>
    <col min="3099" max="3100" width="10.140625" style="391" bestFit="1" customWidth="1"/>
    <col min="3101" max="3101" width="5.7109375" style="391" bestFit="1" customWidth="1"/>
    <col min="3102" max="3102" width="6.42578125" style="391" bestFit="1" customWidth="1"/>
    <col min="3103" max="3103" width="6.28515625" style="391" bestFit="1" customWidth="1"/>
    <col min="3104" max="3104" width="7" style="391" bestFit="1" customWidth="1"/>
    <col min="3105" max="3105" width="20.42578125" style="391" bestFit="1" customWidth="1"/>
    <col min="3106" max="3106" width="5.140625" style="391" customWidth="1"/>
    <col min="3107" max="3328" width="8" style="391"/>
    <col min="3329" max="3329" width="7.7109375" style="391" bestFit="1" customWidth="1"/>
    <col min="3330" max="3330" width="15.5703125" style="391" bestFit="1" customWidth="1"/>
    <col min="3331" max="3331" width="31.42578125" style="391" customWidth="1"/>
    <col min="3332" max="3332" width="10.140625" style="391" bestFit="1" customWidth="1"/>
    <col min="3333" max="3333" width="10.42578125" style="391" bestFit="1" customWidth="1"/>
    <col min="3334" max="3334" width="10" style="391" customWidth="1"/>
    <col min="3335" max="3335" width="11" style="391" customWidth="1"/>
    <col min="3336" max="3336" width="10.42578125" style="391" bestFit="1" customWidth="1"/>
    <col min="3337" max="3337" width="11.85546875" style="391" customWidth="1"/>
    <col min="3338" max="3338" width="10.140625" style="391" bestFit="1" customWidth="1"/>
    <col min="3339" max="3339" width="10.140625" style="391" customWidth="1"/>
    <col min="3340" max="3340" width="11.28515625" style="391" customWidth="1"/>
    <col min="3341" max="3343" width="10.140625" style="391" bestFit="1" customWidth="1"/>
    <col min="3344" max="3344" width="10.42578125" style="391" bestFit="1" customWidth="1"/>
    <col min="3345" max="3345" width="10.140625" style="391" bestFit="1" customWidth="1"/>
    <col min="3346" max="3346" width="9.140625" style="391" bestFit="1" customWidth="1"/>
    <col min="3347" max="3348" width="10.140625" style="391" bestFit="1" customWidth="1"/>
    <col min="3349" max="3349" width="8.85546875" style="391" bestFit="1" customWidth="1"/>
    <col min="3350" max="3350" width="9.140625" style="391" bestFit="1" customWidth="1"/>
    <col min="3351" max="3353" width="8.85546875" style="391" bestFit="1" customWidth="1"/>
    <col min="3354" max="3354" width="13.28515625" style="391" bestFit="1" customWidth="1"/>
    <col min="3355" max="3356" width="10.140625" style="391" bestFit="1" customWidth="1"/>
    <col min="3357" max="3357" width="5.7109375" style="391" bestFit="1" customWidth="1"/>
    <col min="3358" max="3358" width="6.42578125" style="391" bestFit="1" customWidth="1"/>
    <col min="3359" max="3359" width="6.28515625" style="391" bestFit="1" customWidth="1"/>
    <col min="3360" max="3360" width="7" style="391" bestFit="1" customWidth="1"/>
    <col min="3361" max="3361" width="20.42578125" style="391" bestFit="1" customWidth="1"/>
    <col min="3362" max="3362" width="5.140625" style="391" customWidth="1"/>
    <col min="3363" max="3584" width="8" style="391"/>
    <col min="3585" max="3585" width="7.7109375" style="391" bestFit="1" customWidth="1"/>
    <col min="3586" max="3586" width="15.5703125" style="391" bestFit="1" customWidth="1"/>
    <col min="3587" max="3587" width="31.42578125" style="391" customWidth="1"/>
    <col min="3588" max="3588" width="10.140625" style="391" bestFit="1" customWidth="1"/>
    <col min="3589" max="3589" width="10.42578125" style="391" bestFit="1" customWidth="1"/>
    <col min="3590" max="3590" width="10" style="391" customWidth="1"/>
    <col min="3591" max="3591" width="11" style="391" customWidth="1"/>
    <col min="3592" max="3592" width="10.42578125" style="391" bestFit="1" customWidth="1"/>
    <col min="3593" max="3593" width="11.85546875" style="391" customWidth="1"/>
    <col min="3594" max="3594" width="10.140625" style="391" bestFit="1" customWidth="1"/>
    <col min="3595" max="3595" width="10.140625" style="391" customWidth="1"/>
    <col min="3596" max="3596" width="11.28515625" style="391" customWidth="1"/>
    <col min="3597" max="3599" width="10.140625" style="391" bestFit="1" customWidth="1"/>
    <col min="3600" max="3600" width="10.42578125" style="391" bestFit="1" customWidth="1"/>
    <col min="3601" max="3601" width="10.140625" style="391" bestFit="1" customWidth="1"/>
    <col min="3602" max="3602" width="9.140625" style="391" bestFit="1" customWidth="1"/>
    <col min="3603" max="3604" width="10.140625" style="391" bestFit="1" customWidth="1"/>
    <col min="3605" max="3605" width="8.85546875" style="391" bestFit="1" customWidth="1"/>
    <col min="3606" max="3606" width="9.140625" style="391" bestFit="1" customWidth="1"/>
    <col min="3607" max="3609" width="8.85546875" style="391" bestFit="1" customWidth="1"/>
    <col min="3610" max="3610" width="13.28515625" style="391" bestFit="1" customWidth="1"/>
    <col min="3611" max="3612" width="10.140625" style="391" bestFit="1" customWidth="1"/>
    <col min="3613" max="3613" width="5.7109375" style="391" bestFit="1" customWidth="1"/>
    <col min="3614" max="3614" width="6.42578125" style="391" bestFit="1" customWidth="1"/>
    <col min="3615" max="3615" width="6.28515625" style="391" bestFit="1" customWidth="1"/>
    <col min="3616" max="3616" width="7" style="391" bestFit="1" customWidth="1"/>
    <col min="3617" max="3617" width="20.42578125" style="391" bestFit="1" customWidth="1"/>
    <col min="3618" max="3618" width="5.140625" style="391" customWidth="1"/>
    <col min="3619" max="3840" width="8" style="391"/>
    <col min="3841" max="3841" width="7.7109375" style="391" bestFit="1" customWidth="1"/>
    <col min="3842" max="3842" width="15.5703125" style="391" bestFit="1" customWidth="1"/>
    <col min="3843" max="3843" width="31.42578125" style="391" customWidth="1"/>
    <col min="3844" max="3844" width="10.140625" style="391" bestFit="1" customWidth="1"/>
    <col min="3845" max="3845" width="10.42578125" style="391" bestFit="1" customWidth="1"/>
    <col min="3846" max="3846" width="10" style="391" customWidth="1"/>
    <col min="3847" max="3847" width="11" style="391" customWidth="1"/>
    <col min="3848" max="3848" width="10.42578125" style="391" bestFit="1" customWidth="1"/>
    <col min="3849" max="3849" width="11.85546875" style="391" customWidth="1"/>
    <col min="3850" max="3850" width="10.140625" style="391" bestFit="1" customWidth="1"/>
    <col min="3851" max="3851" width="10.140625" style="391" customWidth="1"/>
    <col min="3852" max="3852" width="11.28515625" style="391" customWidth="1"/>
    <col min="3853" max="3855" width="10.140625" style="391" bestFit="1" customWidth="1"/>
    <col min="3856" max="3856" width="10.42578125" style="391" bestFit="1" customWidth="1"/>
    <col min="3857" max="3857" width="10.140625" style="391" bestFit="1" customWidth="1"/>
    <col min="3858" max="3858" width="9.140625" style="391" bestFit="1" customWidth="1"/>
    <col min="3859" max="3860" width="10.140625" style="391" bestFit="1" customWidth="1"/>
    <col min="3861" max="3861" width="8.85546875" style="391" bestFit="1" customWidth="1"/>
    <col min="3862" max="3862" width="9.140625" style="391" bestFit="1" customWidth="1"/>
    <col min="3863" max="3865" width="8.85546875" style="391" bestFit="1" customWidth="1"/>
    <col min="3866" max="3866" width="13.28515625" style="391" bestFit="1" customWidth="1"/>
    <col min="3867" max="3868" width="10.140625" style="391" bestFit="1" customWidth="1"/>
    <col min="3869" max="3869" width="5.7109375" style="391" bestFit="1" customWidth="1"/>
    <col min="3870" max="3870" width="6.42578125" style="391" bestFit="1" customWidth="1"/>
    <col min="3871" max="3871" width="6.28515625" style="391" bestFit="1" customWidth="1"/>
    <col min="3872" max="3872" width="7" style="391" bestFit="1" customWidth="1"/>
    <col min="3873" max="3873" width="20.42578125" style="391" bestFit="1" customWidth="1"/>
    <col min="3874" max="3874" width="5.140625" style="391" customWidth="1"/>
    <col min="3875" max="4096" width="8" style="391"/>
    <col min="4097" max="4097" width="7.7109375" style="391" bestFit="1" customWidth="1"/>
    <col min="4098" max="4098" width="15.5703125" style="391" bestFit="1" customWidth="1"/>
    <col min="4099" max="4099" width="31.42578125" style="391" customWidth="1"/>
    <col min="4100" max="4100" width="10.140625" style="391" bestFit="1" customWidth="1"/>
    <col min="4101" max="4101" width="10.42578125" style="391" bestFit="1" customWidth="1"/>
    <col min="4102" max="4102" width="10" style="391" customWidth="1"/>
    <col min="4103" max="4103" width="11" style="391" customWidth="1"/>
    <col min="4104" max="4104" width="10.42578125" style="391" bestFit="1" customWidth="1"/>
    <col min="4105" max="4105" width="11.85546875" style="391" customWidth="1"/>
    <col min="4106" max="4106" width="10.140625" style="391" bestFit="1" customWidth="1"/>
    <col min="4107" max="4107" width="10.140625" style="391" customWidth="1"/>
    <col min="4108" max="4108" width="11.28515625" style="391" customWidth="1"/>
    <col min="4109" max="4111" width="10.140625" style="391" bestFit="1" customWidth="1"/>
    <col min="4112" max="4112" width="10.42578125" style="391" bestFit="1" customWidth="1"/>
    <col min="4113" max="4113" width="10.140625" style="391" bestFit="1" customWidth="1"/>
    <col min="4114" max="4114" width="9.140625" style="391" bestFit="1" customWidth="1"/>
    <col min="4115" max="4116" width="10.140625" style="391" bestFit="1" customWidth="1"/>
    <col min="4117" max="4117" width="8.85546875" style="391" bestFit="1" customWidth="1"/>
    <col min="4118" max="4118" width="9.140625" style="391" bestFit="1" customWidth="1"/>
    <col min="4119" max="4121" width="8.85546875" style="391" bestFit="1" customWidth="1"/>
    <col min="4122" max="4122" width="13.28515625" style="391" bestFit="1" customWidth="1"/>
    <col min="4123" max="4124" width="10.140625" style="391" bestFit="1" customWidth="1"/>
    <col min="4125" max="4125" width="5.7109375" style="391" bestFit="1" customWidth="1"/>
    <col min="4126" max="4126" width="6.42578125" style="391" bestFit="1" customWidth="1"/>
    <col min="4127" max="4127" width="6.28515625" style="391" bestFit="1" customWidth="1"/>
    <col min="4128" max="4128" width="7" style="391" bestFit="1" customWidth="1"/>
    <col min="4129" max="4129" width="20.42578125" style="391" bestFit="1" customWidth="1"/>
    <col min="4130" max="4130" width="5.140625" style="391" customWidth="1"/>
    <col min="4131" max="4352" width="8" style="391"/>
    <col min="4353" max="4353" width="7.7109375" style="391" bestFit="1" customWidth="1"/>
    <col min="4354" max="4354" width="15.5703125" style="391" bestFit="1" customWidth="1"/>
    <col min="4355" max="4355" width="31.42578125" style="391" customWidth="1"/>
    <col min="4356" max="4356" width="10.140625" style="391" bestFit="1" customWidth="1"/>
    <col min="4357" max="4357" width="10.42578125" style="391" bestFit="1" customWidth="1"/>
    <col min="4358" max="4358" width="10" style="391" customWidth="1"/>
    <col min="4359" max="4359" width="11" style="391" customWidth="1"/>
    <col min="4360" max="4360" width="10.42578125" style="391" bestFit="1" customWidth="1"/>
    <col min="4361" max="4361" width="11.85546875" style="391" customWidth="1"/>
    <col min="4362" max="4362" width="10.140625" style="391" bestFit="1" customWidth="1"/>
    <col min="4363" max="4363" width="10.140625" style="391" customWidth="1"/>
    <col min="4364" max="4364" width="11.28515625" style="391" customWidth="1"/>
    <col min="4365" max="4367" width="10.140625" style="391" bestFit="1" customWidth="1"/>
    <col min="4368" max="4368" width="10.42578125" style="391" bestFit="1" customWidth="1"/>
    <col min="4369" max="4369" width="10.140625" style="391" bestFit="1" customWidth="1"/>
    <col min="4370" max="4370" width="9.140625" style="391" bestFit="1" customWidth="1"/>
    <col min="4371" max="4372" width="10.140625" style="391" bestFit="1" customWidth="1"/>
    <col min="4373" max="4373" width="8.85546875" style="391" bestFit="1" customWidth="1"/>
    <col min="4374" max="4374" width="9.140625" style="391" bestFit="1" customWidth="1"/>
    <col min="4375" max="4377" width="8.85546875" style="391" bestFit="1" customWidth="1"/>
    <col min="4378" max="4378" width="13.28515625" style="391" bestFit="1" customWidth="1"/>
    <col min="4379" max="4380" width="10.140625" style="391" bestFit="1" customWidth="1"/>
    <col min="4381" max="4381" width="5.7109375" style="391" bestFit="1" customWidth="1"/>
    <col min="4382" max="4382" width="6.42578125" style="391" bestFit="1" customWidth="1"/>
    <col min="4383" max="4383" width="6.28515625" style="391" bestFit="1" customWidth="1"/>
    <col min="4384" max="4384" width="7" style="391" bestFit="1" customWidth="1"/>
    <col min="4385" max="4385" width="20.42578125" style="391" bestFit="1" customWidth="1"/>
    <col min="4386" max="4386" width="5.140625" style="391" customWidth="1"/>
    <col min="4387" max="4608" width="8" style="391"/>
    <col min="4609" max="4609" width="7.7109375" style="391" bestFit="1" customWidth="1"/>
    <col min="4610" max="4610" width="15.5703125" style="391" bestFit="1" customWidth="1"/>
    <col min="4611" max="4611" width="31.42578125" style="391" customWidth="1"/>
    <col min="4612" max="4612" width="10.140625" style="391" bestFit="1" customWidth="1"/>
    <col min="4613" max="4613" width="10.42578125" style="391" bestFit="1" customWidth="1"/>
    <col min="4614" max="4614" width="10" style="391" customWidth="1"/>
    <col min="4615" max="4615" width="11" style="391" customWidth="1"/>
    <col min="4616" max="4616" width="10.42578125" style="391" bestFit="1" customWidth="1"/>
    <col min="4617" max="4617" width="11.85546875" style="391" customWidth="1"/>
    <col min="4618" max="4618" width="10.140625" style="391" bestFit="1" customWidth="1"/>
    <col min="4619" max="4619" width="10.140625" style="391" customWidth="1"/>
    <col min="4620" max="4620" width="11.28515625" style="391" customWidth="1"/>
    <col min="4621" max="4623" width="10.140625" style="391" bestFit="1" customWidth="1"/>
    <col min="4624" max="4624" width="10.42578125" style="391" bestFit="1" customWidth="1"/>
    <col min="4625" max="4625" width="10.140625" style="391" bestFit="1" customWidth="1"/>
    <col min="4626" max="4626" width="9.140625" style="391" bestFit="1" customWidth="1"/>
    <col min="4627" max="4628" width="10.140625" style="391" bestFit="1" customWidth="1"/>
    <col min="4629" max="4629" width="8.85546875" style="391" bestFit="1" customWidth="1"/>
    <col min="4630" max="4630" width="9.140625" style="391" bestFit="1" customWidth="1"/>
    <col min="4631" max="4633" width="8.85546875" style="391" bestFit="1" customWidth="1"/>
    <col min="4634" max="4634" width="13.28515625" style="391" bestFit="1" customWidth="1"/>
    <col min="4635" max="4636" width="10.140625" style="391" bestFit="1" customWidth="1"/>
    <col min="4637" max="4637" width="5.7109375" style="391" bestFit="1" customWidth="1"/>
    <col min="4638" max="4638" width="6.42578125" style="391" bestFit="1" customWidth="1"/>
    <col min="4639" max="4639" width="6.28515625" style="391" bestFit="1" customWidth="1"/>
    <col min="4640" max="4640" width="7" style="391" bestFit="1" customWidth="1"/>
    <col min="4641" max="4641" width="20.42578125" style="391" bestFit="1" customWidth="1"/>
    <col min="4642" max="4642" width="5.140625" style="391" customWidth="1"/>
    <col min="4643" max="4864" width="8" style="391"/>
    <col min="4865" max="4865" width="7.7109375" style="391" bestFit="1" customWidth="1"/>
    <col min="4866" max="4866" width="15.5703125" style="391" bestFit="1" customWidth="1"/>
    <col min="4867" max="4867" width="31.42578125" style="391" customWidth="1"/>
    <col min="4868" max="4868" width="10.140625" style="391" bestFit="1" customWidth="1"/>
    <col min="4869" max="4869" width="10.42578125" style="391" bestFit="1" customWidth="1"/>
    <col min="4870" max="4870" width="10" style="391" customWidth="1"/>
    <col min="4871" max="4871" width="11" style="391" customWidth="1"/>
    <col min="4872" max="4872" width="10.42578125" style="391" bestFit="1" customWidth="1"/>
    <col min="4873" max="4873" width="11.85546875" style="391" customWidth="1"/>
    <col min="4874" max="4874" width="10.140625" style="391" bestFit="1" customWidth="1"/>
    <col min="4875" max="4875" width="10.140625" style="391" customWidth="1"/>
    <col min="4876" max="4876" width="11.28515625" style="391" customWidth="1"/>
    <col min="4877" max="4879" width="10.140625" style="391" bestFit="1" customWidth="1"/>
    <col min="4880" max="4880" width="10.42578125" style="391" bestFit="1" customWidth="1"/>
    <col min="4881" max="4881" width="10.140625" style="391" bestFit="1" customWidth="1"/>
    <col min="4882" max="4882" width="9.140625" style="391" bestFit="1" customWidth="1"/>
    <col min="4883" max="4884" width="10.140625" style="391" bestFit="1" customWidth="1"/>
    <col min="4885" max="4885" width="8.85546875" style="391" bestFit="1" customWidth="1"/>
    <col min="4886" max="4886" width="9.140625" style="391" bestFit="1" customWidth="1"/>
    <col min="4887" max="4889" width="8.85546875" style="391" bestFit="1" customWidth="1"/>
    <col min="4890" max="4890" width="13.28515625" style="391" bestFit="1" customWidth="1"/>
    <col min="4891" max="4892" width="10.140625" style="391" bestFit="1" customWidth="1"/>
    <col min="4893" max="4893" width="5.7109375" style="391" bestFit="1" customWidth="1"/>
    <col min="4894" max="4894" width="6.42578125" style="391" bestFit="1" customWidth="1"/>
    <col min="4895" max="4895" width="6.28515625" style="391" bestFit="1" customWidth="1"/>
    <col min="4896" max="4896" width="7" style="391" bestFit="1" customWidth="1"/>
    <col min="4897" max="4897" width="20.42578125" style="391" bestFit="1" customWidth="1"/>
    <col min="4898" max="4898" width="5.140625" style="391" customWidth="1"/>
    <col min="4899" max="5120" width="8" style="391"/>
    <col min="5121" max="5121" width="7.7109375" style="391" bestFit="1" customWidth="1"/>
    <col min="5122" max="5122" width="15.5703125" style="391" bestFit="1" customWidth="1"/>
    <col min="5123" max="5123" width="31.42578125" style="391" customWidth="1"/>
    <col min="5124" max="5124" width="10.140625" style="391" bestFit="1" customWidth="1"/>
    <col min="5125" max="5125" width="10.42578125" style="391" bestFit="1" customWidth="1"/>
    <col min="5126" max="5126" width="10" style="391" customWidth="1"/>
    <col min="5127" max="5127" width="11" style="391" customWidth="1"/>
    <col min="5128" max="5128" width="10.42578125" style="391" bestFit="1" customWidth="1"/>
    <col min="5129" max="5129" width="11.85546875" style="391" customWidth="1"/>
    <col min="5130" max="5130" width="10.140625" style="391" bestFit="1" customWidth="1"/>
    <col min="5131" max="5131" width="10.140625" style="391" customWidth="1"/>
    <col min="5132" max="5132" width="11.28515625" style="391" customWidth="1"/>
    <col min="5133" max="5135" width="10.140625" style="391" bestFit="1" customWidth="1"/>
    <col min="5136" max="5136" width="10.42578125" style="391" bestFit="1" customWidth="1"/>
    <col min="5137" max="5137" width="10.140625" style="391" bestFit="1" customWidth="1"/>
    <col min="5138" max="5138" width="9.140625" style="391" bestFit="1" customWidth="1"/>
    <col min="5139" max="5140" width="10.140625" style="391" bestFit="1" customWidth="1"/>
    <col min="5141" max="5141" width="8.85546875" style="391" bestFit="1" customWidth="1"/>
    <col min="5142" max="5142" width="9.140625" style="391" bestFit="1" customWidth="1"/>
    <col min="5143" max="5145" width="8.85546875" style="391" bestFit="1" customWidth="1"/>
    <col min="5146" max="5146" width="13.28515625" style="391" bestFit="1" customWidth="1"/>
    <col min="5147" max="5148" width="10.140625" style="391" bestFit="1" customWidth="1"/>
    <col min="5149" max="5149" width="5.7109375" style="391" bestFit="1" customWidth="1"/>
    <col min="5150" max="5150" width="6.42578125" style="391" bestFit="1" customWidth="1"/>
    <col min="5151" max="5151" width="6.28515625" style="391" bestFit="1" customWidth="1"/>
    <col min="5152" max="5152" width="7" style="391" bestFit="1" customWidth="1"/>
    <col min="5153" max="5153" width="20.42578125" style="391" bestFit="1" customWidth="1"/>
    <col min="5154" max="5154" width="5.140625" style="391" customWidth="1"/>
    <col min="5155" max="5376" width="8" style="391"/>
    <col min="5377" max="5377" width="7.7109375" style="391" bestFit="1" customWidth="1"/>
    <col min="5378" max="5378" width="15.5703125" style="391" bestFit="1" customWidth="1"/>
    <col min="5379" max="5379" width="31.42578125" style="391" customWidth="1"/>
    <col min="5380" max="5380" width="10.140625" style="391" bestFit="1" customWidth="1"/>
    <col min="5381" max="5381" width="10.42578125" style="391" bestFit="1" customWidth="1"/>
    <col min="5382" max="5382" width="10" style="391" customWidth="1"/>
    <col min="5383" max="5383" width="11" style="391" customWidth="1"/>
    <col min="5384" max="5384" width="10.42578125" style="391" bestFit="1" customWidth="1"/>
    <col min="5385" max="5385" width="11.85546875" style="391" customWidth="1"/>
    <col min="5386" max="5386" width="10.140625" style="391" bestFit="1" customWidth="1"/>
    <col min="5387" max="5387" width="10.140625" style="391" customWidth="1"/>
    <col min="5388" max="5388" width="11.28515625" style="391" customWidth="1"/>
    <col min="5389" max="5391" width="10.140625" style="391" bestFit="1" customWidth="1"/>
    <col min="5392" max="5392" width="10.42578125" style="391" bestFit="1" customWidth="1"/>
    <col min="5393" max="5393" width="10.140625" style="391" bestFit="1" customWidth="1"/>
    <col min="5394" max="5394" width="9.140625" style="391" bestFit="1" customWidth="1"/>
    <col min="5395" max="5396" width="10.140625" style="391" bestFit="1" customWidth="1"/>
    <col min="5397" max="5397" width="8.85546875" style="391" bestFit="1" customWidth="1"/>
    <col min="5398" max="5398" width="9.140625" style="391" bestFit="1" customWidth="1"/>
    <col min="5399" max="5401" width="8.85546875" style="391" bestFit="1" customWidth="1"/>
    <col min="5402" max="5402" width="13.28515625" style="391" bestFit="1" customWidth="1"/>
    <col min="5403" max="5404" width="10.140625" style="391" bestFit="1" customWidth="1"/>
    <col min="5405" max="5405" width="5.7109375" style="391" bestFit="1" customWidth="1"/>
    <col min="5406" max="5406" width="6.42578125" style="391" bestFit="1" customWidth="1"/>
    <col min="5407" max="5407" width="6.28515625" style="391" bestFit="1" customWidth="1"/>
    <col min="5408" max="5408" width="7" style="391" bestFit="1" customWidth="1"/>
    <col min="5409" max="5409" width="20.42578125" style="391" bestFit="1" customWidth="1"/>
    <col min="5410" max="5410" width="5.140625" style="391" customWidth="1"/>
    <col min="5411" max="5632" width="8" style="391"/>
    <col min="5633" max="5633" width="7.7109375" style="391" bestFit="1" customWidth="1"/>
    <col min="5634" max="5634" width="15.5703125" style="391" bestFit="1" customWidth="1"/>
    <col min="5635" max="5635" width="31.42578125" style="391" customWidth="1"/>
    <col min="5636" max="5636" width="10.140625" style="391" bestFit="1" customWidth="1"/>
    <col min="5637" max="5637" width="10.42578125" style="391" bestFit="1" customWidth="1"/>
    <col min="5638" max="5638" width="10" style="391" customWidth="1"/>
    <col min="5639" max="5639" width="11" style="391" customWidth="1"/>
    <col min="5640" max="5640" width="10.42578125" style="391" bestFit="1" customWidth="1"/>
    <col min="5641" max="5641" width="11.85546875" style="391" customWidth="1"/>
    <col min="5642" max="5642" width="10.140625" style="391" bestFit="1" customWidth="1"/>
    <col min="5643" max="5643" width="10.140625" style="391" customWidth="1"/>
    <col min="5644" max="5644" width="11.28515625" style="391" customWidth="1"/>
    <col min="5645" max="5647" width="10.140625" style="391" bestFit="1" customWidth="1"/>
    <col min="5648" max="5648" width="10.42578125" style="391" bestFit="1" customWidth="1"/>
    <col min="5649" max="5649" width="10.140625" style="391" bestFit="1" customWidth="1"/>
    <col min="5650" max="5650" width="9.140625" style="391" bestFit="1" customWidth="1"/>
    <col min="5651" max="5652" width="10.140625" style="391" bestFit="1" customWidth="1"/>
    <col min="5653" max="5653" width="8.85546875" style="391" bestFit="1" customWidth="1"/>
    <col min="5654" max="5654" width="9.140625" style="391" bestFit="1" customWidth="1"/>
    <col min="5655" max="5657" width="8.85546875" style="391" bestFit="1" customWidth="1"/>
    <col min="5658" max="5658" width="13.28515625" style="391" bestFit="1" customWidth="1"/>
    <col min="5659" max="5660" width="10.140625" style="391" bestFit="1" customWidth="1"/>
    <col min="5661" max="5661" width="5.7109375" style="391" bestFit="1" customWidth="1"/>
    <col min="5662" max="5662" width="6.42578125" style="391" bestFit="1" customWidth="1"/>
    <col min="5663" max="5663" width="6.28515625" style="391" bestFit="1" customWidth="1"/>
    <col min="5664" max="5664" width="7" style="391" bestFit="1" customWidth="1"/>
    <col min="5665" max="5665" width="20.42578125" style="391" bestFit="1" customWidth="1"/>
    <col min="5666" max="5666" width="5.140625" style="391" customWidth="1"/>
    <col min="5667" max="5888" width="8" style="391"/>
    <col min="5889" max="5889" width="7.7109375" style="391" bestFit="1" customWidth="1"/>
    <col min="5890" max="5890" width="15.5703125" style="391" bestFit="1" customWidth="1"/>
    <col min="5891" max="5891" width="31.42578125" style="391" customWidth="1"/>
    <col min="5892" max="5892" width="10.140625" style="391" bestFit="1" customWidth="1"/>
    <col min="5893" max="5893" width="10.42578125" style="391" bestFit="1" customWidth="1"/>
    <col min="5894" max="5894" width="10" style="391" customWidth="1"/>
    <col min="5895" max="5895" width="11" style="391" customWidth="1"/>
    <col min="5896" max="5896" width="10.42578125" style="391" bestFit="1" customWidth="1"/>
    <col min="5897" max="5897" width="11.85546875" style="391" customWidth="1"/>
    <col min="5898" max="5898" width="10.140625" style="391" bestFit="1" customWidth="1"/>
    <col min="5899" max="5899" width="10.140625" style="391" customWidth="1"/>
    <col min="5900" max="5900" width="11.28515625" style="391" customWidth="1"/>
    <col min="5901" max="5903" width="10.140625" style="391" bestFit="1" customWidth="1"/>
    <col min="5904" max="5904" width="10.42578125" style="391" bestFit="1" customWidth="1"/>
    <col min="5905" max="5905" width="10.140625" style="391" bestFit="1" customWidth="1"/>
    <col min="5906" max="5906" width="9.140625" style="391" bestFit="1" customWidth="1"/>
    <col min="5907" max="5908" width="10.140625" style="391" bestFit="1" customWidth="1"/>
    <col min="5909" max="5909" width="8.85546875" style="391" bestFit="1" customWidth="1"/>
    <col min="5910" max="5910" width="9.140625" style="391" bestFit="1" customWidth="1"/>
    <col min="5911" max="5913" width="8.85546875" style="391" bestFit="1" customWidth="1"/>
    <col min="5914" max="5914" width="13.28515625" style="391" bestFit="1" customWidth="1"/>
    <col min="5915" max="5916" width="10.140625" style="391" bestFit="1" customWidth="1"/>
    <col min="5917" max="5917" width="5.7109375" style="391" bestFit="1" customWidth="1"/>
    <col min="5918" max="5918" width="6.42578125" style="391" bestFit="1" customWidth="1"/>
    <col min="5919" max="5919" width="6.28515625" style="391" bestFit="1" customWidth="1"/>
    <col min="5920" max="5920" width="7" style="391" bestFit="1" customWidth="1"/>
    <col min="5921" max="5921" width="20.42578125" style="391" bestFit="1" customWidth="1"/>
    <col min="5922" max="5922" width="5.140625" style="391" customWidth="1"/>
    <col min="5923" max="6144" width="8" style="391"/>
    <col min="6145" max="6145" width="7.7109375" style="391" bestFit="1" customWidth="1"/>
    <col min="6146" max="6146" width="15.5703125" style="391" bestFit="1" customWidth="1"/>
    <col min="6147" max="6147" width="31.42578125" style="391" customWidth="1"/>
    <col min="6148" max="6148" width="10.140625" style="391" bestFit="1" customWidth="1"/>
    <col min="6149" max="6149" width="10.42578125" style="391" bestFit="1" customWidth="1"/>
    <col min="6150" max="6150" width="10" style="391" customWidth="1"/>
    <col min="6151" max="6151" width="11" style="391" customWidth="1"/>
    <col min="6152" max="6152" width="10.42578125" style="391" bestFit="1" customWidth="1"/>
    <col min="6153" max="6153" width="11.85546875" style="391" customWidth="1"/>
    <col min="6154" max="6154" width="10.140625" style="391" bestFit="1" customWidth="1"/>
    <col min="6155" max="6155" width="10.140625" style="391" customWidth="1"/>
    <col min="6156" max="6156" width="11.28515625" style="391" customWidth="1"/>
    <col min="6157" max="6159" width="10.140625" style="391" bestFit="1" customWidth="1"/>
    <col min="6160" max="6160" width="10.42578125" style="391" bestFit="1" customWidth="1"/>
    <col min="6161" max="6161" width="10.140625" style="391" bestFit="1" customWidth="1"/>
    <col min="6162" max="6162" width="9.140625" style="391" bestFit="1" customWidth="1"/>
    <col min="6163" max="6164" width="10.140625" style="391" bestFit="1" customWidth="1"/>
    <col min="6165" max="6165" width="8.85546875" style="391" bestFit="1" customWidth="1"/>
    <col min="6166" max="6166" width="9.140625" style="391" bestFit="1" customWidth="1"/>
    <col min="6167" max="6169" width="8.85546875" style="391" bestFit="1" customWidth="1"/>
    <col min="6170" max="6170" width="13.28515625" style="391" bestFit="1" customWidth="1"/>
    <col min="6171" max="6172" width="10.140625" style="391" bestFit="1" customWidth="1"/>
    <col min="6173" max="6173" width="5.7109375" style="391" bestFit="1" customWidth="1"/>
    <col min="6174" max="6174" width="6.42578125" style="391" bestFit="1" customWidth="1"/>
    <col min="6175" max="6175" width="6.28515625" style="391" bestFit="1" customWidth="1"/>
    <col min="6176" max="6176" width="7" style="391" bestFit="1" customWidth="1"/>
    <col min="6177" max="6177" width="20.42578125" style="391" bestFit="1" customWidth="1"/>
    <col min="6178" max="6178" width="5.140625" style="391" customWidth="1"/>
    <col min="6179" max="6400" width="8" style="391"/>
    <col min="6401" max="6401" width="7.7109375" style="391" bestFit="1" customWidth="1"/>
    <col min="6402" max="6402" width="15.5703125" style="391" bestFit="1" customWidth="1"/>
    <col min="6403" max="6403" width="31.42578125" style="391" customWidth="1"/>
    <col min="6404" max="6404" width="10.140625" style="391" bestFit="1" customWidth="1"/>
    <col min="6405" max="6405" width="10.42578125" style="391" bestFit="1" customWidth="1"/>
    <col min="6406" max="6406" width="10" style="391" customWidth="1"/>
    <col min="6407" max="6407" width="11" style="391" customWidth="1"/>
    <col min="6408" max="6408" width="10.42578125" style="391" bestFit="1" customWidth="1"/>
    <col min="6409" max="6409" width="11.85546875" style="391" customWidth="1"/>
    <col min="6410" max="6410" width="10.140625" style="391" bestFit="1" customWidth="1"/>
    <col min="6411" max="6411" width="10.140625" style="391" customWidth="1"/>
    <col min="6412" max="6412" width="11.28515625" style="391" customWidth="1"/>
    <col min="6413" max="6415" width="10.140625" style="391" bestFit="1" customWidth="1"/>
    <col min="6416" max="6416" width="10.42578125" style="391" bestFit="1" customWidth="1"/>
    <col min="6417" max="6417" width="10.140625" style="391" bestFit="1" customWidth="1"/>
    <col min="6418" max="6418" width="9.140625" style="391" bestFit="1" customWidth="1"/>
    <col min="6419" max="6420" width="10.140625" style="391" bestFit="1" customWidth="1"/>
    <col min="6421" max="6421" width="8.85546875" style="391" bestFit="1" customWidth="1"/>
    <col min="6422" max="6422" width="9.140625" style="391" bestFit="1" customWidth="1"/>
    <col min="6423" max="6425" width="8.85546875" style="391" bestFit="1" customWidth="1"/>
    <col min="6426" max="6426" width="13.28515625" style="391" bestFit="1" customWidth="1"/>
    <col min="6427" max="6428" width="10.140625" style="391" bestFit="1" customWidth="1"/>
    <col min="6429" max="6429" width="5.7109375" style="391" bestFit="1" customWidth="1"/>
    <col min="6430" max="6430" width="6.42578125" style="391" bestFit="1" customWidth="1"/>
    <col min="6431" max="6431" width="6.28515625" style="391" bestFit="1" customWidth="1"/>
    <col min="6432" max="6432" width="7" style="391" bestFit="1" customWidth="1"/>
    <col min="6433" max="6433" width="20.42578125" style="391" bestFit="1" customWidth="1"/>
    <col min="6434" max="6434" width="5.140625" style="391" customWidth="1"/>
    <col min="6435" max="6656" width="8" style="391"/>
    <col min="6657" max="6657" width="7.7109375" style="391" bestFit="1" customWidth="1"/>
    <col min="6658" max="6658" width="15.5703125" style="391" bestFit="1" customWidth="1"/>
    <col min="6659" max="6659" width="31.42578125" style="391" customWidth="1"/>
    <col min="6660" max="6660" width="10.140625" style="391" bestFit="1" customWidth="1"/>
    <col min="6661" max="6661" width="10.42578125" style="391" bestFit="1" customWidth="1"/>
    <col min="6662" max="6662" width="10" style="391" customWidth="1"/>
    <col min="6663" max="6663" width="11" style="391" customWidth="1"/>
    <col min="6664" max="6664" width="10.42578125" style="391" bestFit="1" customWidth="1"/>
    <col min="6665" max="6665" width="11.85546875" style="391" customWidth="1"/>
    <col min="6666" max="6666" width="10.140625" style="391" bestFit="1" customWidth="1"/>
    <col min="6667" max="6667" width="10.140625" style="391" customWidth="1"/>
    <col min="6668" max="6668" width="11.28515625" style="391" customWidth="1"/>
    <col min="6669" max="6671" width="10.140625" style="391" bestFit="1" customWidth="1"/>
    <col min="6672" max="6672" width="10.42578125" style="391" bestFit="1" customWidth="1"/>
    <col min="6673" max="6673" width="10.140625" style="391" bestFit="1" customWidth="1"/>
    <col min="6674" max="6674" width="9.140625" style="391" bestFit="1" customWidth="1"/>
    <col min="6675" max="6676" width="10.140625" style="391" bestFit="1" customWidth="1"/>
    <col min="6677" max="6677" width="8.85546875" style="391" bestFit="1" customWidth="1"/>
    <col min="6678" max="6678" width="9.140625" style="391" bestFit="1" customWidth="1"/>
    <col min="6679" max="6681" width="8.85546875" style="391" bestFit="1" customWidth="1"/>
    <col min="6682" max="6682" width="13.28515625" style="391" bestFit="1" customWidth="1"/>
    <col min="6683" max="6684" width="10.140625" style="391" bestFit="1" customWidth="1"/>
    <col min="6685" max="6685" width="5.7109375" style="391" bestFit="1" customWidth="1"/>
    <col min="6686" max="6686" width="6.42578125" style="391" bestFit="1" customWidth="1"/>
    <col min="6687" max="6687" width="6.28515625" style="391" bestFit="1" customWidth="1"/>
    <col min="6688" max="6688" width="7" style="391" bestFit="1" customWidth="1"/>
    <col min="6689" max="6689" width="20.42578125" style="391" bestFit="1" customWidth="1"/>
    <col min="6690" max="6690" width="5.140625" style="391" customWidth="1"/>
    <col min="6691" max="6912" width="8" style="391"/>
    <col min="6913" max="6913" width="7.7109375" style="391" bestFit="1" customWidth="1"/>
    <col min="6914" max="6914" width="15.5703125" style="391" bestFit="1" customWidth="1"/>
    <col min="6915" max="6915" width="31.42578125" style="391" customWidth="1"/>
    <col min="6916" max="6916" width="10.140625" style="391" bestFit="1" customWidth="1"/>
    <col min="6917" max="6917" width="10.42578125" style="391" bestFit="1" customWidth="1"/>
    <col min="6918" max="6918" width="10" style="391" customWidth="1"/>
    <col min="6919" max="6919" width="11" style="391" customWidth="1"/>
    <col min="6920" max="6920" width="10.42578125" style="391" bestFit="1" customWidth="1"/>
    <col min="6921" max="6921" width="11.85546875" style="391" customWidth="1"/>
    <col min="6922" max="6922" width="10.140625" style="391" bestFit="1" customWidth="1"/>
    <col min="6923" max="6923" width="10.140625" style="391" customWidth="1"/>
    <col min="6924" max="6924" width="11.28515625" style="391" customWidth="1"/>
    <col min="6925" max="6927" width="10.140625" style="391" bestFit="1" customWidth="1"/>
    <col min="6928" max="6928" width="10.42578125" style="391" bestFit="1" customWidth="1"/>
    <col min="6929" max="6929" width="10.140625" style="391" bestFit="1" customWidth="1"/>
    <col min="6930" max="6930" width="9.140625" style="391" bestFit="1" customWidth="1"/>
    <col min="6931" max="6932" width="10.140625" style="391" bestFit="1" customWidth="1"/>
    <col min="6933" max="6933" width="8.85546875" style="391" bestFit="1" customWidth="1"/>
    <col min="6934" max="6934" width="9.140625" style="391" bestFit="1" customWidth="1"/>
    <col min="6935" max="6937" width="8.85546875" style="391" bestFit="1" customWidth="1"/>
    <col min="6938" max="6938" width="13.28515625" style="391" bestFit="1" customWidth="1"/>
    <col min="6939" max="6940" width="10.140625" style="391" bestFit="1" customWidth="1"/>
    <col min="6941" max="6941" width="5.7109375" style="391" bestFit="1" customWidth="1"/>
    <col min="6942" max="6942" width="6.42578125" style="391" bestFit="1" customWidth="1"/>
    <col min="6943" max="6943" width="6.28515625" style="391" bestFit="1" customWidth="1"/>
    <col min="6944" max="6944" width="7" style="391" bestFit="1" customWidth="1"/>
    <col min="6945" max="6945" width="20.42578125" style="391" bestFit="1" customWidth="1"/>
    <col min="6946" max="6946" width="5.140625" style="391" customWidth="1"/>
    <col min="6947" max="7168" width="8" style="391"/>
    <col min="7169" max="7169" width="7.7109375" style="391" bestFit="1" customWidth="1"/>
    <col min="7170" max="7170" width="15.5703125" style="391" bestFit="1" customWidth="1"/>
    <col min="7171" max="7171" width="31.42578125" style="391" customWidth="1"/>
    <col min="7172" max="7172" width="10.140625" style="391" bestFit="1" customWidth="1"/>
    <col min="7173" max="7173" width="10.42578125" style="391" bestFit="1" customWidth="1"/>
    <col min="7174" max="7174" width="10" style="391" customWidth="1"/>
    <col min="7175" max="7175" width="11" style="391" customWidth="1"/>
    <col min="7176" max="7176" width="10.42578125" style="391" bestFit="1" customWidth="1"/>
    <col min="7177" max="7177" width="11.85546875" style="391" customWidth="1"/>
    <col min="7178" max="7178" width="10.140625" style="391" bestFit="1" customWidth="1"/>
    <col min="7179" max="7179" width="10.140625" style="391" customWidth="1"/>
    <col min="7180" max="7180" width="11.28515625" style="391" customWidth="1"/>
    <col min="7181" max="7183" width="10.140625" style="391" bestFit="1" customWidth="1"/>
    <col min="7184" max="7184" width="10.42578125" style="391" bestFit="1" customWidth="1"/>
    <col min="7185" max="7185" width="10.140625" style="391" bestFit="1" customWidth="1"/>
    <col min="7186" max="7186" width="9.140625" style="391" bestFit="1" customWidth="1"/>
    <col min="7187" max="7188" width="10.140625" style="391" bestFit="1" customWidth="1"/>
    <col min="7189" max="7189" width="8.85546875" style="391" bestFit="1" customWidth="1"/>
    <col min="7190" max="7190" width="9.140625" style="391" bestFit="1" customWidth="1"/>
    <col min="7191" max="7193" width="8.85546875" style="391" bestFit="1" customWidth="1"/>
    <col min="7194" max="7194" width="13.28515625" style="391" bestFit="1" customWidth="1"/>
    <col min="7195" max="7196" width="10.140625" style="391" bestFit="1" customWidth="1"/>
    <col min="7197" max="7197" width="5.7109375" style="391" bestFit="1" customWidth="1"/>
    <col min="7198" max="7198" width="6.42578125" style="391" bestFit="1" customWidth="1"/>
    <col min="7199" max="7199" width="6.28515625" style="391" bestFit="1" customWidth="1"/>
    <col min="7200" max="7200" width="7" style="391" bestFit="1" customWidth="1"/>
    <col min="7201" max="7201" width="20.42578125" style="391" bestFit="1" customWidth="1"/>
    <col min="7202" max="7202" width="5.140625" style="391" customWidth="1"/>
    <col min="7203" max="7424" width="8" style="391"/>
    <col min="7425" max="7425" width="7.7109375" style="391" bestFit="1" customWidth="1"/>
    <col min="7426" max="7426" width="15.5703125" style="391" bestFit="1" customWidth="1"/>
    <col min="7427" max="7427" width="31.42578125" style="391" customWidth="1"/>
    <col min="7428" max="7428" width="10.140625" style="391" bestFit="1" customWidth="1"/>
    <col min="7429" max="7429" width="10.42578125" style="391" bestFit="1" customWidth="1"/>
    <col min="7430" max="7430" width="10" style="391" customWidth="1"/>
    <col min="7431" max="7431" width="11" style="391" customWidth="1"/>
    <col min="7432" max="7432" width="10.42578125" style="391" bestFit="1" customWidth="1"/>
    <col min="7433" max="7433" width="11.85546875" style="391" customWidth="1"/>
    <col min="7434" max="7434" width="10.140625" style="391" bestFit="1" customWidth="1"/>
    <col min="7435" max="7435" width="10.140625" style="391" customWidth="1"/>
    <col min="7436" max="7436" width="11.28515625" style="391" customWidth="1"/>
    <col min="7437" max="7439" width="10.140625" style="391" bestFit="1" customWidth="1"/>
    <col min="7440" max="7440" width="10.42578125" style="391" bestFit="1" customWidth="1"/>
    <col min="7441" max="7441" width="10.140625" style="391" bestFit="1" customWidth="1"/>
    <col min="7442" max="7442" width="9.140625" style="391" bestFit="1" customWidth="1"/>
    <col min="7443" max="7444" width="10.140625" style="391" bestFit="1" customWidth="1"/>
    <col min="7445" max="7445" width="8.85546875" style="391" bestFit="1" customWidth="1"/>
    <col min="7446" max="7446" width="9.140625" style="391" bestFit="1" customWidth="1"/>
    <col min="7447" max="7449" width="8.85546875" style="391" bestFit="1" customWidth="1"/>
    <col min="7450" max="7450" width="13.28515625" style="391" bestFit="1" customWidth="1"/>
    <col min="7451" max="7452" width="10.140625" style="391" bestFit="1" customWidth="1"/>
    <col min="7453" max="7453" width="5.7109375" style="391" bestFit="1" customWidth="1"/>
    <col min="7454" max="7454" width="6.42578125" style="391" bestFit="1" customWidth="1"/>
    <col min="7455" max="7455" width="6.28515625" style="391" bestFit="1" customWidth="1"/>
    <col min="7456" max="7456" width="7" style="391" bestFit="1" customWidth="1"/>
    <col min="7457" max="7457" width="20.42578125" style="391" bestFit="1" customWidth="1"/>
    <col min="7458" max="7458" width="5.140625" style="391" customWidth="1"/>
    <col min="7459" max="7680" width="8" style="391"/>
    <col min="7681" max="7681" width="7.7109375" style="391" bestFit="1" customWidth="1"/>
    <col min="7682" max="7682" width="15.5703125" style="391" bestFit="1" customWidth="1"/>
    <col min="7683" max="7683" width="31.42578125" style="391" customWidth="1"/>
    <col min="7684" max="7684" width="10.140625" style="391" bestFit="1" customWidth="1"/>
    <col min="7685" max="7685" width="10.42578125" style="391" bestFit="1" customWidth="1"/>
    <col min="7686" max="7686" width="10" style="391" customWidth="1"/>
    <col min="7687" max="7687" width="11" style="391" customWidth="1"/>
    <col min="7688" max="7688" width="10.42578125" style="391" bestFit="1" customWidth="1"/>
    <col min="7689" max="7689" width="11.85546875" style="391" customWidth="1"/>
    <col min="7690" max="7690" width="10.140625" style="391" bestFit="1" customWidth="1"/>
    <col min="7691" max="7691" width="10.140625" style="391" customWidth="1"/>
    <col min="7692" max="7692" width="11.28515625" style="391" customWidth="1"/>
    <col min="7693" max="7695" width="10.140625" style="391" bestFit="1" customWidth="1"/>
    <col min="7696" max="7696" width="10.42578125" style="391" bestFit="1" customWidth="1"/>
    <col min="7697" max="7697" width="10.140625" style="391" bestFit="1" customWidth="1"/>
    <col min="7698" max="7698" width="9.140625" style="391" bestFit="1" customWidth="1"/>
    <col min="7699" max="7700" width="10.140625" style="391" bestFit="1" customWidth="1"/>
    <col min="7701" max="7701" width="8.85546875" style="391" bestFit="1" customWidth="1"/>
    <col min="7702" max="7702" width="9.140625" style="391" bestFit="1" customWidth="1"/>
    <col min="7703" max="7705" width="8.85546875" style="391" bestFit="1" customWidth="1"/>
    <col min="7706" max="7706" width="13.28515625" style="391" bestFit="1" customWidth="1"/>
    <col min="7707" max="7708" width="10.140625" style="391" bestFit="1" customWidth="1"/>
    <col min="7709" max="7709" width="5.7109375" style="391" bestFit="1" customWidth="1"/>
    <col min="7710" max="7710" width="6.42578125" style="391" bestFit="1" customWidth="1"/>
    <col min="7711" max="7711" width="6.28515625" style="391" bestFit="1" customWidth="1"/>
    <col min="7712" max="7712" width="7" style="391" bestFit="1" customWidth="1"/>
    <col min="7713" max="7713" width="20.42578125" style="391" bestFit="1" customWidth="1"/>
    <col min="7714" max="7714" width="5.140625" style="391" customWidth="1"/>
    <col min="7715" max="7936" width="8" style="391"/>
    <col min="7937" max="7937" width="7.7109375" style="391" bestFit="1" customWidth="1"/>
    <col min="7938" max="7938" width="15.5703125" style="391" bestFit="1" customWidth="1"/>
    <col min="7939" max="7939" width="31.42578125" style="391" customWidth="1"/>
    <col min="7940" max="7940" width="10.140625" style="391" bestFit="1" customWidth="1"/>
    <col min="7941" max="7941" width="10.42578125" style="391" bestFit="1" customWidth="1"/>
    <col min="7942" max="7942" width="10" style="391" customWidth="1"/>
    <col min="7943" max="7943" width="11" style="391" customWidth="1"/>
    <col min="7944" max="7944" width="10.42578125" style="391" bestFit="1" customWidth="1"/>
    <col min="7945" max="7945" width="11.85546875" style="391" customWidth="1"/>
    <col min="7946" max="7946" width="10.140625" style="391" bestFit="1" customWidth="1"/>
    <col min="7947" max="7947" width="10.140625" style="391" customWidth="1"/>
    <col min="7948" max="7948" width="11.28515625" style="391" customWidth="1"/>
    <col min="7949" max="7951" width="10.140625" style="391" bestFit="1" customWidth="1"/>
    <col min="7952" max="7952" width="10.42578125" style="391" bestFit="1" customWidth="1"/>
    <col min="7953" max="7953" width="10.140625" style="391" bestFit="1" customWidth="1"/>
    <col min="7954" max="7954" width="9.140625" style="391" bestFit="1" customWidth="1"/>
    <col min="7955" max="7956" width="10.140625" style="391" bestFit="1" customWidth="1"/>
    <col min="7957" max="7957" width="8.85546875" style="391" bestFit="1" customWidth="1"/>
    <col min="7958" max="7958" width="9.140625" style="391" bestFit="1" customWidth="1"/>
    <col min="7959" max="7961" width="8.85546875" style="391" bestFit="1" customWidth="1"/>
    <col min="7962" max="7962" width="13.28515625" style="391" bestFit="1" customWidth="1"/>
    <col min="7963" max="7964" width="10.140625" style="391" bestFit="1" customWidth="1"/>
    <col min="7965" max="7965" width="5.7109375" style="391" bestFit="1" customWidth="1"/>
    <col min="7966" max="7966" width="6.42578125" style="391" bestFit="1" customWidth="1"/>
    <col min="7967" max="7967" width="6.28515625" style="391" bestFit="1" customWidth="1"/>
    <col min="7968" max="7968" width="7" style="391" bestFit="1" customWidth="1"/>
    <col min="7969" max="7969" width="20.42578125" style="391" bestFit="1" customWidth="1"/>
    <col min="7970" max="7970" width="5.140625" style="391" customWidth="1"/>
    <col min="7971" max="8192" width="8" style="391"/>
    <col min="8193" max="8193" width="7.7109375" style="391" bestFit="1" customWidth="1"/>
    <col min="8194" max="8194" width="15.5703125" style="391" bestFit="1" customWidth="1"/>
    <col min="8195" max="8195" width="31.42578125" style="391" customWidth="1"/>
    <col min="8196" max="8196" width="10.140625" style="391" bestFit="1" customWidth="1"/>
    <col min="8197" max="8197" width="10.42578125" style="391" bestFit="1" customWidth="1"/>
    <col min="8198" max="8198" width="10" style="391" customWidth="1"/>
    <col min="8199" max="8199" width="11" style="391" customWidth="1"/>
    <col min="8200" max="8200" width="10.42578125" style="391" bestFit="1" customWidth="1"/>
    <col min="8201" max="8201" width="11.85546875" style="391" customWidth="1"/>
    <col min="8202" max="8202" width="10.140625" style="391" bestFit="1" customWidth="1"/>
    <col min="8203" max="8203" width="10.140625" style="391" customWidth="1"/>
    <col min="8204" max="8204" width="11.28515625" style="391" customWidth="1"/>
    <col min="8205" max="8207" width="10.140625" style="391" bestFit="1" customWidth="1"/>
    <col min="8208" max="8208" width="10.42578125" style="391" bestFit="1" customWidth="1"/>
    <col min="8209" max="8209" width="10.140625" style="391" bestFit="1" customWidth="1"/>
    <col min="8210" max="8210" width="9.140625" style="391" bestFit="1" customWidth="1"/>
    <col min="8211" max="8212" width="10.140625" style="391" bestFit="1" customWidth="1"/>
    <col min="8213" max="8213" width="8.85546875" style="391" bestFit="1" customWidth="1"/>
    <col min="8214" max="8214" width="9.140625" style="391" bestFit="1" customWidth="1"/>
    <col min="8215" max="8217" width="8.85546875" style="391" bestFit="1" customWidth="1"/>
    <col min="8218" max="8218" width="13.28515625" style="391" bestFit="1" customWidth="1"/>
    <col min="8219" max="8220" width="10.140625" style="391" bestFit="1" customWidth="1"/>
    <col min="8221" max="8221" width="5.7109375" style="391" bestFit="1" customWidth="1"/>
    <col min="8222" max="8222" width="6.42578125" style="391" bestFit="1" customWidth="1"/>
    <col min="8223" max="8223" width="6.28515625" style="391" bestFit="1" customWidth="1"/>
    <col min="8224" max="8224" width="7" style="391" bestFit="1" customWidth="1"/>
    <col min="8225" max="8225" width="20.42578125" style="391" bestFit="1" customWidth="1"/>
    <col min="8226" max="8226" width="5.140625" style="391" customWidth="1"/>
    <col min="8227" max="8448" width="8" style="391"/>
    <col min="8449" max="8449" width="7.7109375" style="391" bestFit="1" customWidth="1"/>
    <col min="8450" max="8450" width="15.5703125" style="391" bestFit="1" customWidth="1"/>
    <col min="8451" max="8451" width="31.42578125" style="391" customWidth="1"/>
    <col min="8452" max="8452" width="10.140625" style="391" bestFit="1" customWidth="1"/>
    <col min="8453" max="8453" width="10.42578125" style="391" bestFit="1" customWidth="1"/>
    <col min="8454" max="8454" width="10" style="391" customWidth="1"/>
    <col min="8455" max="8455" width="11" style="391" customWidth="1"/>
    <col min="8456" max="8456" width="10.42578125" style="391" bestFit="1" customWidth="1"/>
    <col min="8457" max="8457" width="11.85546875" style="391" customWidth="1"/>
    <col min="8458" max="8458" width="10.140625" style="391" bestFit="1" customWidth="1"/>
    <col min="8459" max="8459" width="10.140625" style="391" customWidth="1"/>
    <col min="8460" max="8460" width="11.28515625" style="391" customWidth="1"/>
    <col min="8461" max="8463" width="10.140625" style="391" bestFit="1" customWidth="1"/>
    <col min="8464" max="8464" width="10.42578125" style="391" bestFit="1" customWidth="1"/>
    <col min="8465" max="8465" width="10.140625" style="391" bestFit="1" customWidth="1"/>
    <col min="8466" max="8466" width="9.140625" style="391" bestFit="1" customWidth="1"/>
    <col min="8467" max="8468" width="10.140625" style="391" bestFit="1" customWidth="1"/>
    <col min="8469" max="8469" width="8.85546875" style="391" bestFit="1" customWidth="1"/>
    <col min="8470" max="8470" width="9.140625" style="391" bestFit="1" customWidth="1"/>
    <col min="8471" max="8473" width="8.85546875" style="391" bestFit="1" customWidth="1"/>
    <col min="8474" max="8474" width="13.28515625" style="391" bestFit="1" customWidth="1"/>
    <col min="8475" max="8476" width="10.140625" style="391" bestFit="1" customWidth="1"/>
    <col min="8477" max="8477" width="5.7109375" style="391" bestFit="1" customWidth="1"/>
    <col min="8478" max="8478" width="6.42578125" style="391" bestFit="1" customWidth="1"/>
    <col min="8479" max="8479" width="6.28515625" style="391" bestFit="1" customWidth="1"/>
    <col min="8480" max="8480" width="7" style="391" bestFit="1" customWidth="1"/>
    <col min="8481" max="8481" width="20.42578125" style="391" bestFit="1" customWidth="1"/>
    <col min="8482" max="8482" width="5.140625" style="391" customWidth="1"/>
    <col min="8483" max="8704" width="8" style="391"/>
    <col min="8705" max="8705" width="7.7109375" style="391" bestFit="1" customWidth="1"/>
    <col min="8706" max="8706" width="15.5703125" style="391" bestFit="1" customWidth="1"/>
    <col min="8707" max="8707" width="31.42578125" style="391" customWidth="1"/>
    <col min="8708" max="8708" width="10.140625" style="391" bestFit="1" customWidth="1"/>
    <col min="8709" max="8709" width="10.42578125" style="391" bestFit="1" customWidth="1"/>
    <col min="8710" max="8710" width="10" style="391" customWidth="1"/>
    <col min="8711" max="8711" width="11" style="391" customWidth="1"/>
    <col min="8712" max="8712" width="10.42578125" style="391" bestFit="1" customWidth="1"/>
    <col min="8713" max="8713" width="11.85546875" style="391" customWidth="1"/>
    <col min="8714" max="8714" width="10.140625" style="391" bestFit="1" customWidth="1"/>
    <col min="8715" max="8715" width="10.140625" style="391" customWidth="1"/>
    <col min="8716" max="8716" width="11.28515625" style="391" customWidth="1"/>
    <col min="8717" max="8719" width="10.140625" style="391" bestFit="1" customWidth="1"/>
    <col min="8720" max="8720" width="10.42578125" style="391" bestFit="1" customWidth="1"/>
    <col min="8721" max="8721" width="10.140625" style="391" bestFit="1" customWidth="1"/>
    <col min="8722" max="8722" width="9.140625" style="391" bestFit="1" customWidth="1"/>
    <col min="8723" max="8724" width="10.140625" style="391" bestFit="1" customWidth="1"/>
    <col min="8725" max="8725" width="8.85546875" style="391" bestFit="1" customWidth="1"/>
    <col min="8726" max="8726" width="9.140625" style="391" bestFit="1" customWidth="1"/>
    <col min="8727" max="8729" width="8.85546875" style="391" bestFit="1" customWidth="1"/>
    <col min="8730" max="8730" width="13.28515625" style="391" bestFit="1" customWidth="1"/>
    <col min="8731" max="8732" width="10.140625" style="391" bestFit="1" customWidth="1"/>
    <col min="8733" max="8733" width="5.7109375" style="391" bestFit="1" customWidth="1"/>
    <col min="8734" max="8734" width="6.42578125" style="391" bestFit="1" customWidth="1"/>
    <col min="8735" max="8735" width="6.28515625" style="391" bestFit="1" customWidth="1"/>
    <col min="8736" max="8736" width="7" style="391" bestFit="1" customWidth="1"/>
    <col min="8737" max="8737" width="20.42578125" style="391" bestFit="1" customWidth="1"/>
    <col min="8738" max="8738" width="5.140625" style="391" customWidth="1"/>
    <col min="8739" max="8960" width="8" style="391"/>
    <col min="8961" max="8961" width="7.7109375" style="391" bestFit="1" customWidth="1"/>
    <col min="8962" max="8962" width="15.5703125" style="391" bestFit="1" customWidth="1"/>
    <col min="8963" max="8963" width="31.42578125" style="391" customWidth="1"/>
    <col min="8964" max="8964" width="10.140625" style="391" bestFit="1" customWidth="1"/>
    <col min="8965" max="8965" width="10.42578125" style="391" bestFit="1" customWidth="1"/>
    <col min="8966" max="8966" width="10" style="391" customWidth="1"/>
    <col min="8967" max="8967" width="11" style="391" customWidth="1"/>
    <col min="8968" max="8968" width="10.42578125" style="391" bestFit="1" customWidth="1"/>
    <col min="8969" max="8969" width="11.85546875" style="391" customWidth="1"/>
    <col min="8970" max="8970" width="10.140625" style="391" bestFit="1" customWidth="1"/>
    <col min="8971" max="8971" width="10.140625" style="391" customWidth="1"/>
    <col min="8972" max="8972" width="11.28515625" style="391" customWidth="1"/>
    <col min="8973" max="8975" width="10.140625" style="391" bestFit="1" customWidth="1"/>
    <col min="8976" max="8976" width="10.42578125" style="391" bestFit="1" customWidth="1"/>
    <col min="8977" max="8977" width="10.140625" style="391" bestFit="1" customWidth="1"/>
    <col min="8978" max="8978" width="9.140625" style="391" bestFit="1" customWidth="1"/>
    <col min="8979" max="8980" width="10.140625" style="391" bestFit="1" customWidth="1"/>
    <col min="8981" max="8981" width="8.85546875" style="391" bestFit="1" customWidth="1"/>
    <col min="8982" max="8982" width="9.140625" style="391" bestFit="1" customWidth="1"/>
    <col min="8983" max="8985" width="8.85546875" style="391" bestFit="1" customWidth="1"/>
    <col min="8986" max="8986" width="13.28515625" style="391" bestFit="1" customWidth="1"/>
    <col min="8987" max="8988" width="10.140625" style="391" bestFit="1" customWidth="1"/>
    <col min="8989" max="8989" width="5.7109375" style="391" bestFit="1" customWidth="1"/>
    <col min="8990" max="8990" width="6.42578125" style="391" bestFit="1" customWidth="1"/>
    <col min="8991" max="8991" width="6.28515625" style="391" bestFit="1" customWidth="1"/>
    <col min="8992" max="8992" width="7" style="391" bestFit="1" customWidth="1"/>
    <col min="8993" max="8993" width="20.42578125" style="391" bestFit="1" customWidth="1"/>
    <col min="8994" max="8994" width="5.140625" style="391" customWidth="1"/>
    <col min="8995" max="9216" width="8" style="391"/>
    <col min="9217" max="9217" width="7.7109375" style="391" bestFit="1" customWidth="1"/>
    <col min="9218" max="9218" width="15.5703125" style="391" bestFit="1" customWidth="1"/>
    <col min="9219" max="9219" width="31.42578125" style="391" customWidth="1"/>
    <col min="9220" max="9220" width="10.140625" style="391" bestFit="1" customWidth="1"/>
    <col min="9221" max="9221" width="10.42578125" style="391" bestFit="1" customWidth="1"/>
    <col min="9222" max="9222" width="10" style="391" customWidth="1"/>
    <col min="9223" max="9223" width="11" style="391" customWidth="1"/>
    <col min="9224" max="9224" width="10.42578125" style="391" bestFit="1" customWidth="1"/>
    <col min="9225" max="9225" width="11.85546875" style="391" customWidth="1"/>
    <col min="9226" max="9226" width="10.140625" style="391" bestFit="1" customWidth="1"/>
    <col min="9227" max="9227" width="10.140625" style="391" customWidth="1"/>
    <col min="9228" max="9228" width="11.28515625" style="391" customWidth="1"/>
    <col min="9229" max="9231" width="10.140625" style="391" bestFit="1" customWidth="1"/>
    <col min="9232" max="9232" width="10.42578125" style="391" bestFit="1" customWidth="1"/>
    <col min="9233" max="9233" width="10.140625" style="391" bestFit="1" customWidth="1"/>
    <col min="9234" max="9234" width="9.140625" style="391" bestFit="1" customWidth="1"/>
    <col min="9235" max="9236" width="10.140625" style="391" bestFit="1" customWidth="1"/>
    <col min="9237" max="9237" width="8.85546875" style="391" bestFit="1" customWidth="1"/>
    <col min="9238" max="9238" width="9.140625" style="391" bestFit="1" customWidth="1"/>
    <col min="9239" max="9241" width="8.85546875" style="391" bestFit="1" customWidth="1"/>
    <col min="9242" max="9242" width="13.28515625" style="391" bestFit="1" customWidth="1"/>
    <col min="9243" max="9244" width="10.140625" style="391" bestFit="1" customWidth="1"/>
    <col min="9245" max="9245" width="5.7109375" style="391" bestFit="1" customWidth="1"/>
    <col min="9246" max="9246" width="6.42578125" style="391" bestFit="1" customWidth="1"/>
    <col min="9247" max="9247" width="6.28515625" style="391" bestFit="1" customWidth="1"/>
    <col min="9248" max="9248" width="7" style="391" bestFit="1" customWidth="1"/>
    <col min="9249" max="9249" width="20.42578125" style="391" bestFit="1" customWidth="1"/>
    <col min="9250" max="9250" width="5.140625" style="391" customWidth="1"/>
    <col min="9251" max="9472" width="8" style="391"/>
    <col min="9473" max="9473" width="7.7109375" style="391" bestFit="1" customWidth="1"/>
    <col min="9474" max="9474" width="15.5703125" style="391" bestFit="1" customWidth="1"/>
    <col min="9475" max="9475" width="31.42578125" style="391" customWidth="1"/>
    <col min="9476" max="9476" width="10.140625" style="391" bestFit="1" customWidth="1"/>
    <col min="9477" max="9477" width="10.42578125" style="391" bestFit="1" customWidth="1"/>
    <col min="9478" max="9478" width="10" style="391" customWidth="1"/>
    <col min="9479" max="9479" width="11" style="391" customWidth="1"/>
    <col min="9480" max="9480" width="10.42578125" style="391" bestFit="1" customWidth="1"/>
    <col min="9481" max="9481" width="11.85546875" style="391" customWidth="1"/>
    <col min="9482" max="9482" width="10.140625" style="391" bestFit="1" customWidth="1"/>
    <col min="9483" max="9483" width="10.140625" style="391" customWidth="1"/>
    <col min="9484" max="9484" width="11.28515625" style="391" customWidth="1"/>
    <col min="9485" max="9487" width="10.140625" style="391" bestFit="1" customWidth="1"/>
    <col min="9488" max="9488" width="10.42578125" style="391" bestFit="1" customWidth="1"/>
    <col min="9489" max="9489" width="10.140625" style="391" bestFit="1" customWidth="1"/>
    <col min="9490" max="9490" width="9.140625" style="391" bestFit="1" customWidth="1"/>
    <col min="9491" max="9492" width="10.140625" style="391" bestFit="1" customWidth="1"/>
    <col min="9493" max="9493" width="8.85546875" style="391" bestFit="1" customWidth="1"/>
    <col min="9494" max="9494" width="9.140625" style="391" bestFit="1" customWidth="1"/>
    <col min="9495" max="9497" width="8.85546875" style="391" bestFit="1" customWidth="1"/>
    <col min="9498" max="9498" width="13.28515625" style="391" bestFit="1" customWidth="1"/>
    <col min="9499" max="9500" width="10.140625" style="391" bestFit="1" customWidth="1"/>
    <col min="9501" max="9501" width="5.7109375" style="391" bestFit="1" customWidth="1"/>
    <col min="9502" max="9502" width="6.42578125" style="391" bestFit="1" customWidth="1"/>
    <col min="9503" max="9503" width="6.28515625" style="391" bestFit="1" customWidth="1"/>
    <col min="9504" max="9504" width="7" style="391" bestFit="1" customWidth="1"/>
    <col min="9505" max="9505" width="20.42578125" style="391" bestFit="1" customWidth="1"/>
    <col min="9506" max="9506" width="5.140625" style="391" customWidth="1"/>
    <col min="9507" max="9728" width="8" style="391"/>
    <col min="9729" max="9729" width="7.7109375" style="391" bestFit="1" customWidth="1"/>
    <col min="9730" max="9730" width="15.5703125" style="391" bestFit="1" customWidth="1"/>
    <col min="9731" max="9731" width="31.42578125" style="391" customWidth="1"/>
    <col min="9732" max="9732" width="10.140625" style="391" bestFit="1" customWidth="1"/>
    <col min="9733" max="9733" width="10.42578125" style="391" bestFit="1" customWidth="1"/>
    <col min="9734" max="9734" width="10" style="391" customWidth="1"/>
    <col min="9735" max="9735" width="11" style="391" customWidth="1"/>
    <col min="9736" max="9736" width="10.42578125" style="391" bestFit="1" customWidth="1"/>
    <col min="9737" max="9737" width="11.85546875" style="391" customWidth="1"/>
    <col min="9738" max="9738" width="10.140625" style="391" bestFit="1" customWidth="1"/>
    <col min="9739" max="9739" width="10.140625" style="391" customWidth="1"/>
    <col min="9740" max="9740" width="11.28515625" style="391" customWidth="1"/>
    <col min="9741" max="9743" width="10.140625" style="391" bestFit="1" customWidth="1"/>
    <col min="9744" max="9744" width="10.42578125" style="391" bestFit="1" customWidth="1"/>
    <col min="9745" max="9745" width="10.140625" style="391" bestFit="1" customWidth="1"/>
    <col min="9746" max="9746" width="9.140625" style="391" bestFit="1" customWidth="1"/>
    <col min="9747" max="9748" width="10.140625" style="391" bestFit="1" customWidth="1"/>
    <col min="9749" max="9749" width="8.85546875" style="391" bestFit="1" customWidth="1"/>
    <col min="9750" max="9750" width="9.140625" style="391" bestFit="1" customWidth="1"/>
    <col min="9751" max="9753" width="8.85546875" style="391" bestFit="1" customWidth="1"/>
    <col min="9754" max="9754" width="13.28515625" style="391" bestFit="1" customWidth="1"/>
    <col min="9755" max="9756" width="10.140625" style="391" bestFit="1" customWidth="1"/>
    <col min="9757" max="9757" width="5.7109375" style="391" bestFit="1" customWidth="1"/>
    <col min="9758" max="9758" width="6.42578125" style="391" bestFit="1" customWidth="1"/>
    <col min="9759" max="9759" width="6.28515625" style="391" bestFit="1" customWidth="1"/>
    <col min="9760" max="9760" width="7" style="391" bestFit="1" customWidth="1"/>
    <col min="9761" max="9761" width="20.42578125" style="391" bestFit="1" customWidth="1"/>
    <col min="9762" max="9762" width="5.140625" style="391" customWidth="1"/>
    <col min="9763" max="9984" width="8" style="391"/>
    <col min="9985" max="9985" width="7.7109375" style="391" bestFit="1" customWidth="1"/>
    <col min="9986" max="9986" width="15.5703125" style="391" bestFit="1" customWidth="1"/>
    <col min="9987" max="9987" width="31.42578125" style="391" customWidth="1"/>
    <col min="9988" max="9988" width="10.140625" style="391" bestFit="1" customWidth="1"/>
    <col min="9989" max="9989" width="10.42578125" style="391" bestFit="1" customWidth="1"/>
    <col min="9990" max="9990" width="10" style="391" customWidth="1"/>
    <col min="9991" max="9991" width="11" style="391" customWidth="1"/>
    <col min="9992" max="9992" width="10.42578125" style="391" bestFit="1" customWidth="1"/>
    <col min="9993" max="9993" width="11.85546875" style="391" customWidth="1"/>
    <col min="9994" max="9994" width="10.140625" style="391" bestFit="1" customWidth="1"/>
    <col min="9995" max="9995" width="10.140625" style="391" customWidth="1"/>
    <col min="9996" max="9996" width="11.28515625" style="391" customWidth="1"/>
    <col min="9997" max="9999" width="10.140625" style="391" bestFit="1" customWidth="1"/>
    <col min="10000" max="10000" width="10.42578125" style="391" bestFit="1" customWidth="1"/>
    <col min="10001" max="10001" width="10.140625" style="391" bestFit="1" customWidth="1"/>
    <col min="10002" max="10002" width="9.140625" style="391" bestFit="1" customWidth="1"/>
    <col min="10003" max="10004" width="10.140625" style="391" bestFit="1" customWidth="1"/>
    <col min="10005" max="10005" width="8.85546875" style="391" bestFit="1" customWidth="1"/>
    <col min="10006" max="10006" width="9.140625" style="391" bestFit="1" customWidth="1"/>
    <col min="10007" max="10009" width="8.85546875" style="391" bestFit="1" customWidth="1"/>
    <col min="10010" max="10010" width="13.28515625" style="391" bestFit="1" customWidth="1"/>
    <col min="10011" max="10012" width="10.140625" style="391" bestFit="1" customWidth="1"/>
    <col min="10013" max="10013" width="5.7109375" style="391" bestFit="1" customWidth="1"/>
    <col min="10014" max="10014" width="6.42578125" style="391" bestFit="1" customWidth="1"/>
    <col min="10015" max="10015" width="6.28515625" style="391" bestFit="1" customWidth="1"/>
    <col min="10016" max="10016" width="7" style="391" bestFit="1" customWidth="1"/>
    <col min="10017" max="10017" width="20.42578125" style="391" bestFit="1" customWidth="1"/>
    <col min="10018" max="10018" width="5.140625" style="391" customWidth="1"/>
    <col min="10019" max="10240" width="8" style="391"/>
    <col min="10241" max="10241" width="7.7109375" style="391" bestFit="1" customWidth="1"/>
    <col min="10242" max="10242" width="15.5703125" style="391" bestFit="1" customWidth="1"/>
    <col min="10243" max="10243" width="31.42578125" style="391" customWidth="1"/>
    <col min="10244" max="10244" width="10.140625" style="391" bestFit="1" customWidth="1"/>
    <col min="10245" max="10245" width="10.42578125" style="391" bestFit="1" customWidth="1"/>
    <col min="10246" max="10246" width="10" style="391" customWidth="1"/>
    <col min="10247" max="10247" width="11" style="391" customWidth="1"/>
    <col min="10248" max="10248" width="10.42578125" style="391" bestFit="1" customWidth="1"/>
    <col min="10249" max="10249" width="11.85546875" style="391" customWidth="1"/>
    <col min="10250" max="10250" width="10.140625" style="391" bestFit="1" customWidth="1"/>
    <col min="10251" max="10251" width="10.140625" style="391" customWidth="1"/>
    <col min="10252" max="10252" width="11.28515625" style="391" customWidth="1"/>
    <col min="10253" max="10255" width="10.140625" style="391" bestFit="1" customWidth="1"/>
    <col min="10256" max="10256" width="10.42578125" style="391" bestFit="1" customWidth="1"/>
    <col min="10257" max="10257" width="10.140625" style="391" bestFit="1" customWidth="1"/>
    <col min="10258" max="10258" width="9.140625" style="391" bestFit="1" customWidth="1"/>
    <col min="10259" max="10260" width="10.140625" style="391" bestFit="1" customWidth="1"/>
    <col min="10261" max="10261" width="8.85546875" style="391" bestFit="1" customWidth="1"/>
    <col min="10262" max="10262" width="9.140625" style="391" bestFit="1" customWidth="1"/>
    <col min="10263" max="10265" width="8.85546875" style="391" bestFit="1" customWidth="1"/>
    <col min="10266" max="10266" width="13.28515625" style="391" bestFit="1" customWidth="1"/>
    <col min="10267" max="10268" width="10.140625" style="391" bestFit="1" customWidth="1"/>
    <col min="10269" max="10269" width="5.7109375" style="391" bestFit="1" customWidth="1"/>
    <col min="10270" max="10270" width="6.42578125" style="391" bestFit="1" customWidth="1"/>
    <col min="10271" max="10271" width="6.28515625" style="391" bestFit="1" customWidth="1"/>
    <col min="10272" max="10272" width="7" style="391" bestFit="1" customWidth="1"/>
    <col min="10273" max="10273" width="20.42578125" style="391" bestFit="1" customWidth="1"/>
    <col min="10274" max="10274" width="5.140625" style="391" customWidth="1"/>
    <col min="10275" max="10496" width="8" style="391"/>
    <col min="10497" max="10497" width="7.7109375" style="391" bestFit="1" customWidth="1"/>
    <col min="10498" max="10498" width="15.5703125" style="391" bestFit="1" customWidth="1"/>
    <col min="10499" max="10499" width="31.42578125" style="391" customWidth="1"/>
    <col min="10500" max="10500" width="10.140625" style="391" bestFit="1" customWidth="1"/>
    <col min="10501" max="10501" width="10.42578125" style="391" bestFit="1" customWidth="1"/>
    <col min="10502" max="10502" width="10" style="391" customWidth="1"/>
    <col min="10503" max="10503" width="11" style="391" customWidth="1"/>
    <col min="10504" max="10504" width="10.42578125" style="391" bestFit="1" customWidth="1"/>
    <col min="10505" max="10505" width="11.85546875" style="391" customWidth="1"/>
    <col min="10506" max="10506" width="10.140625" style="391" bestFit="1" customWidth="1"/>
    <col min="10507" max="10507" width="10.140625" style="391" customWidth="1"/>
    <col min="10508" max="10508" width="11.28515625" style="391" customWidth="1"/>
    <col min="10509" max="10511" width="10.140625" style="391" bestFit="1" customWidth="1"/>
    <col min="10512" max="10512" width="10.42578125" style="391" bestFit="1" customWidth="1"/>
    <col min="10513" max="10513" width="10.140625" style="391" bestFit="1" customWidth="1"/>
    <col min="10514" max="10514" width="9.140625" style="391" bestFit="1" customWidth="1"/>
    <col min="10515" max="10516" width="10.140625" style="391" bestFit="1" customWidth="1"/>
    <col min="10517" max="10517" width="8.85546875" style="391" bestFit="1" customWidth="1"/>
    <col min="10518" max="10518" width="9.140625" style="391" bestFit="1" customWidth="1"/>
    <col min="10519" max="10521" width="8.85546875" style="391" bestFit="1" customWidth="1"/>
    <col min="10522" max="10522" width="13.28515625" style="391" bestFit="1" customWidth="1"/>
    <col min="10523" max="10524" width="10.140625" style="391" bestFit="1" customWidth="1"/>
    <col min="10525" max="10525" width="5.7109375" style="391" bestFit="1" customWidth="1"/>
    <col min="10526" max="10526" width="6.42578125" style="391" bestFit="1" customWidth="1"/>
    <col min="10527" max="10527" width="6.28515625" style="391" bestFit="1" customWidth="1"/>
    <col min="10528" max="10528" width="7" style="391" bestFit="1" customWidth="1"/>
    <col min="10529" max="10529" width="20.42578125" style="391" bestFit="1" customWidth="1"/>
    <col min="10530" max="10530" width="5.140625" style="391" customWidth="1"/>
    <col min="10531" max="10752" width="8" style="391"/>
    <col min="10753" max="10753" width="7.7109375" style="391" bestFit="1" customWidth="1"/>
    <col min="10754" max="10754" width="15.5703125" style="391" bestFit="1" customWidth="1"/>
    <col min="10755" max="10755" width="31.42578125" style="391" customWidth="1"/>
    <col min="10756" max="10756" width="10.140625" style="391" bestFit="1" customWidth="1"/>
    <col min="10757" max="10757" width="10.42578125" style="391" bestFit="1" customWidth="1"/>
    <col min="10758" max="10758" width="10" style="391" customWidth="1"/>
    <col min="10759" max="10759" width="11" style="391" customWidth="1"/>
    <col min="10760" max="10760" width="10.42578125" style="391" bestFit="1" customWidth="1"/>
    <col min="10761" max="10761" width="11.85546875" style="391" customWidth="1"/>
    <col min="10762" max="10762" width="10.140625" style="391" bestFit="1" customWidth="1"/>
    <col min="10763" max="10763" width="10.140625" style="391" customWidth="1"/>
    <col min="10764" max="10764" width="11.28515625" style="391" customWidth="1"/>
    <col min="10765" max="10767" width="10.140625" style="391" bestFit="1" customWidth="1"/>
    <col min="10768" max="10768" width="10.42578125" style="391" bestFit="1" customWidth="1"/>
    <col min="10769" max="10769" width="10.140625" style="391" bestFit="1" customWidth="1"/>
    <col min="10770" max="10770" width="9.140625" style="391" bestFit="1" customWidth="1"/>
    <col min="10771" max="10772" width="10.140625" style="391" bestFit="1" customWidth="1"/>
    <col min="10773" max="10773" width="8.85546875" style="391" bestFit="1" customWidth="1"/>
    <col min="10774" max="10774" width="9.140625" style="391" bestFit="1" customWidth="1"/>
    <col min="10775" max="10777" width="8.85546875" style="391" bestFit="1" customWidth="1"/>
    <col min="10778" max="10778" width="13.28515625" style="391" bestFit="1" customWidth="1"/>
    <col min="10779" max="10780" width="10.140625" style="391" bestFit="1" customWidth="1"/>
    <col min="10781" max="10781" width="5.7109375" style="391" bestFit="1" customWidth="1"/>
    <col min="10782" max="10782" width="6.42578125" style="391" bestFit="1" customWidth="1"/>
    <col min="10783" max="10783" width="6.28515625" style="391" bestFit="1" customWidth="1"/>
    <col min="10784" max="10784" width="7" style="391" bestFit="1" customWidth="1"/>
    <col min="10785" max="10785" width="20.42578125" style="391" bestFit="1" customWidth="1"/>
    <col min="10786" max="10786" width="5.140625" style="391" customWidth="1"/>
    <col min="10787" max="11008" width="8" style="391"/>
    <col min="11009" max="11009" width="7.7109375" style="391" bestFit="1" customWidth="1"/>
    <col min="11010" max="11010" width="15.5703125" style="391" bestFit="1" customWidth="1"/>
    <col min="11011" max="11011" width="31.42578125" style="391" customWidth="1"/>
    <col min="11012" max="11012" width="10.140625" style="391" bestFit="1" customWidth="1"/>
    <col min="11013" max="11013" width="10.42578125" style="391" bestFit="1" customWidth="1"/>
    <col min="11014" max="11014" width="10" style="391" customWidth="1"/>
    <col min="11015" max="11015" width="11" style="391" customWidth="1"/>
    <col min="11016" max="11016" width="10.42578125" style="391" bestFit="1" customWidth="1"/>
    <col min="11017" max="11017" width="11.85546875" style="391" customWidth="1"/>
    <col min="11018" max="11018" width="10.140625" style="391" bestFit="1" customWidth="1"/>
    <col min="11019" max="11019" width="10.140625" style="391" customWidth="1"/>
    <col min="11020" max="11020" width="11.28515625" style="391" customWidth="1"/>
    <col min="11021" max="11023" width="10.140625" style="391" bestFit="1" customWidth="1"/>
    <col min="11024" max="11024" width="10.42578125" style="391" bestFit="1" customWidth="1"/>
    <col min="11025" max="11025" width="10.140625" style="391" bestFit="1" customWidth="1"/>
    <col min="11026" max="11026" width="9.140625" style="391" bestFit="1" customWidth="1"/>
    <col min="11027" max="11028" width="10.140625" style="391" bestFit="1" customWidth="1"/>
    <col min="11029" max="11029" width="8.85546875" style="391" bestFit="1" customWidth="1"/>
    <col min="11030" max="11030" width="9.140625" style="391" bestFit="1" customWidth="1"/>
    <col min="11031" max="11033" width="8.85546875" style="391" bestFit="1" customWidth="1"/>
    <col min="11034" max="11034" width="13.28515625" style="391" bestFit="1" customWidth="1"/>
    <col min="11035" max="11036" width="10.140625" style="391" bestFit="1" customWidth="1"/>
    <col min="11037" max="11037" width="5.7109375" style="391" bestFit="1" customWidth="1"/>
    <col min="11038" max="11038" width="6.42578125" style="391" bestFit="1" customWidth="1"/>
    <col min="11039" max="11039" width="6.28515625" style="391" bestFit="1" customWidth="1"/>
    <col min="11040" max="11040" width="7" style="391" bestFit="1" customWidth="1"/>
    <col min="11041" max="11041" width="20.42578125" style="391" bestFit="1" customWidth="1"/>
    <col min="11042" max="11042" width="5.140625" style="391" customWidth="1"/>
    <col min="11043" max="11264" width="8" style="391"/>
    <col min="11265" max="11265" width="7.7109375" style="391" bestFit="1" customWidth="1"/>
    <col min="11266" max="11266" width="15.5703125" style="391" bestFit="1" customWidth="1"/>
    <col min="11267" max="11267" width="31.42578125" style="391" customWidth="1"/>
    <col min="11268" max="11268" width="10.140625" style="391" bestFit="1" customWidth="1"/>
    <col min="11269" max="11269" width="10.42578125" style="391" bestFit="1" customWidth="1"/>
    <col min="11270" max="11270" width="10" style="391" customWidth="1"/>
    <col min="11271" max="11271" width="11" style="391" customWidth="1"/>
    <col min="11272" max="11272" width="10.42578125" style="391" bestFit="1" customWidth="1"/>
    <col min="11273" max="11273" width="11.85546875" style="391" customWidth="1"/>
    <col min="11274" max="11274" width="10.140625" style="391" bestFit="1" customWidth="1"/>
    <col min="11275" max="11275" width="10.140625" style="391" customWidth="1"/>
    <col min="11276" max="11276" width="11.28515625" style="391" customWidth="1"/>
    <col min="11277" max="11279" width="10.140625" style="391" bestFit="1" customWidth="1"/>
    <col min="11280" max="11280" width="10.42578125" style="391" bestFit="1" customWidth="1"/>
    <col min="11281" max="11281" width="10.140625" style="391" bestFit="1" customWidth="1"/>
    <col min="11282" max="11282" width="9.140625" style="391" bestFit="1" customWidth="1"/>
    <col min="11283" max="11284" width="10.140625" style="391" bestFit="1" customWidth="1"/>
    <col min="11285" max="11285" width="8.85546875" style="391" bestFit="1" customWidth="1"/>
    <col min="11286" max="11286" width="9.140625" style="391" bestFit="1" customWidth="1"/>
    <col min="11287" max="11289" width="8.85546875" style="391" bestFit="1" customWidth="1"/>
    <col min="11290" max="11290" width="13.28515625" style="391" bestFit="1" customWidth="1"/>
    <col min="11291" max="11292" width="10.140625" style="391" bestFit="1" customWidth="1"/>
    <col min="11293" max="11293" width="5.7109375" style="391" bestFit="1" customWidth="1"/>
    <col min="11294" max="11294" width="6.42578125" style="391" bestFit="1" customWidth="1"/>
    <col min="11295" max="11295" width="6.28515625" style="391" bestFit="1" customWidth="1"/>
    <col min="11296" max="11296" width="7" style="391" bestFit="1" customWidth="1"/>
    <col min="11297" max="11297" width="20.42578125" style="391" bestFit="1" customWidth="1"/>
    <col min="11298" max="11298" width="5.140625" style="391" customWidth="1"/>
    <col min="11299" max="11520" width="8" style="391"/>
    <col min="11521" max="11521" width="7.7109375" style="391" bestFit="1" customWidth="1"/>
    <col min="11522" max="11522" width="15.5703125" style="391" bestFit="1" customWidth="1"/>
    <col min="11523" max="11523" width="31.42578125" style="391" customWidth="1"/>
    <col min="11524" max="11524" width="10.140625" style="391" bestFit="1" customWidth="1"/>
    <col min="11525" max="11525" width="10.42578125" style="391" bestFit="1" customWidth="1"/>
    <col min="11526" max="11526" width="10" style="391" customWidth="1"/>
    <col min="11527" max="11527" width="11" style="391" customWidth="1"/>
    <col min="11528" max="11528" width="10.42578125" style="391" bestFit="1" customWidth="1"/>
    <col min="11529" max="11529" width="11.85546875" style="391" customWidth="1"/>
    <col min="11530" max="11530" width="10.140625" style="391" bestFit="1" customWidth="1"/>
    <col min="11531" max="11531" width="10.140625" style="391" customWidth="1"/>
    <col min="11532" max="11532" width="11.28515625" style="391" customWidth="1"/>
    <col min="11533" max="11535" width="10.140625" style="391" bestFit="1" customWidth="1"/>
    <col min="11536" max="11536" width="10.42578125" style="391" bestFit="1" customWidth="1"/>
    <col min="11537" max="11537" width="10.140625" style="391" bestFit="1" customWidth="1"/>
    <col min="11538" max="11538" width="9.140625" style="391" bestFit="1" customWidth="1"/>
    <col min="11539" max="11540" width="10.140625" style="391" bestFit="1" customWidth="1"/>
    <col min="11541" max="11541" width="8.85546875" style="391" bestFit="1" customWidth="1"/>
    <col min="11542" max="11542" width="9.140625" style="391" bestFit="1" customWidth="1"/>
    <col min="11543" max="11545" width="8.85546875" style="391" bestFit="1" customWidth="1"/>
    <col min="11546" max="11546" width="13.28515625" style="391" bestFit="1" customWidth="1"/>
    <col min="11547" max="11548" width="10.140625" style="391" bestFit="1" customWidth="1"/>
    <col min="11549" max="11549" width="5.7109375" style="391" bestFit="1" customWidth="1"/>
    <col min="11550" max="11550" width="6.42578125" style="391" bestFit="1" customWidth="1"/>
    <col min="11551" max="11551" width="6.28515625" style="391" bestFit="1" customWidth="1"/>
    <col min="11552" max="11552" width="7" style="391" bestFit="1" customWidth="1"/>
    <col min="11553" max="11553" width="20.42578125" style="391" bestFit="1" customWidth="1"/>
    <col min="11554" max="11554" width="5.140625" style="391" customWidth="1"/>
    <col min="11555" max="11776" width="8" style="391"/>
    <col min="11777" max="11777" width="7.7109375" style="391" bestFit="1" customWidth="1"/>
    <col min="11778" max="11778" width="15.5703125" style="391" bestFit="1" customWidth="1"/>
    <col min="11779" max="11779" width="31.42578125" style="391" customWidth="1"/>
    <col min="11780" max="11780" width="10.140625" style="391" bestFit="1" customWidth="1"/>
    <col min="11781" max="11781" width="10.42578125" style="391" bestFit="1" customWidth="1"/>
    <col min="11782" max="11782" width="10" style="391" customWidth="1"/>
    <col min="11783" max="11783" width="11" style="391" customWidth="1"/>
    <col min="11784" max="11784" width="10.42578125" style="391" bestFit="1" customWidth="1"/>
    <col min="11785" max="11785" width="11.85546875" style="391" customWidth="1"/>
    <col min="11786" max="11786" width="10.140625" style="391" bestFit="1" customWidth="1"/>
    <col min="11787" max="11787" width="10.140625" style="391" customWidth="1"/>
    <col min="11788" max="11788" width="11.28515625" style="391" customWidth="1"/>
    <col min="11789" max="11791" width="10.140625" style="391" bestFit="1" customWidth="1"/>
    <col min="11792" max="11792" width="10.42578125" style="391" bestFit="1" customWidth="1"/>
    <col min="11793" max="11793" width="10.140625" style="391" bestFit="1" customWidth="1"/>
    <col min="11794" max="11794" width="9.140625" style="391" bestFit="1" customWidth="1"/>
    <col min="11795" max="11796" width="10.140625" style="391" bestFit="1" customWidth="1"/>
    <col min="11797" max="11797" width="8.85546875" style="391" bestFit="1" customWidth="1"/>
    <col min="11798" max="11798" width="9.140625" style="391" bestFit="1" customWidth="1"/>
    <col min="11799" max="11801" width="8.85546875" style="391" bestFit="1" customWidth="1"/>
    <col min="11802" max="11802" width="13.28515625" style="391" bestFit="1" customWidth="1"/>
    <col min="11803" max="11804" width="10.140625" style="391" bestFit="1" customWidth="1"/>
    <col min="11805" max="11805" width="5.7109375" style="391" bestFit="1" customWidth="1"/>
    <col min="11806" max="11806" width="6.42578125" style="391" bestFit="1" customWidth="1"/>
    <col min="11807" max="11807" width="6.28515625" style="391" bestFit="1" customWidth="1"/>
    <col min="11808" max="11808" width="7" style="391" bestFit="1" customWidth="1"/>
    <col min="11809" max="11809" width="20.42578125" style="391" bestFit="1" customWidth="1"/>
    <col min="11810" max="11810" width="5.140625" style="391" customWidth="1"/>
    <col min="11811" max="12032" width="8" style="391"/>
    <col min="12033" max="12033" width="7.7109375" style="391" bestFit="1" customWidth="1"/>
    <col min="12034" max="12034" width="15.5703125" style="391" bestFit="1" customWidth="1"/>
    <col min="12035" max="12035" width="31.42578125" style="391" customWidth="1"/>
    <col min="12036" max="12036" width="10.140625" style="391" bestFit="1" customWidth="1"/>
    <col min="12037" max="12037" width="10.42578125" style="391" bestFit="1" customWidth="1"/>
    <col min="12038" max="12038" width="10" style="391" customWidth="1"/>
    <col min="12039" max="12039" width="11" style="391" customWidth="1"/>
    <col min="12040" max="12040" width="10.42578125" style="391" bestFit="1" customWidth="1"/>
    <col min="12041" max="12041" width="11.85546875" style="391" customWidth="1"/>
    <col min="12042" max="12042" width="10.140625" style="391" bestFit="1" customWidth="1"/>
    <col min="12043" max="12043" width="10.140625" style="391" customWidth="1"/>
    <col min="12044" max="12044" width="11.28515625" style="391" customWidth="1"/>
    <col min="12045" max="12047" width="10.140625" style="391" bestFit="1" customWidth="1"/>
    <col min="12048" max="12048" width="10.42578125" style="391" bestFit="1" customWidth="1"/>
    <col min="12049" max="12049" width="10.140625" style="391" bestFit="1" customWidth="1"/>
    <col min="12050" max="12050" width="9.140625" style="391" bestFit="1" customWidth="1"/>
    <col min="12051" max="12052" width="10.140625" style="391" bestFit="1" customWidth="1"/>
    <col min="12053" max="12053" width="8.85546875" style="391" bestFit="1" customWidth="1"/>
    <col min="12054" max="12054" width="9.140625" style="391" bestFit="1" customWidth="1"/>
    <col min="12055" max="12057" width="8.85546875" style="391" bestFit="1" customWidth="1"/>
    <col min="12058" max="12058" width="13.28515625" style="391" bestFit="1" customWidth="1"/>
    <col min="12059" max="12060" width="10.140625" style="391" bestFit="1" customWidth="1"/>
    <col min="12061" max="12061" width="5.7109375" style="391" bestFit="1" customWidth="1"/>
    <col min="12062" max="12062" width="6.42578125" style="391" bestFit="1" customWidth="1"/>
    <col min="12063" max="12063" width="6.28515625" style="391" bestFit="1" customWidth="1"/>
    <col min="12064" max="12064" width="7" style="391" bestFit="1" customWidth="1"/>
    <col min="12065" max="12065" width="20.42578125" style="391" bestFit="1" customWidth="1"/>
    <col min="12066" max="12066" width="5.140625" style="391" customWidth="1"/>
    <col min="12067" max="12288" width="8" style="391"/>
    <col min="12289" max="12289" width="7.7109375" style="391" bestFit="1" customWidth="1"/>
    <col min="12290" max="12290" width="15.5703125" style="391" bestFit="1" customWidth="1"/>
    <col min="12291" max="12291" width="31.42578125" style="391" customWidth="1"/>
    <col min="12292" max="12292" width="10.140625" style="391" bestFit="1" customWidth="1"/>
    <col min="12293" max="12293" width="10.42578125" style="391" bestFit="1" customWidth="1"/>
    <col min="12294" max="12294" width="10" style="391" customWidth="1"/>
    <col min="12295" max="12295" width="11" style="391" customWidth="1"/>
    <col min="12296" max="12296" width="10.42578125" style="391" bestFit="1" customWidth="1"/>
    <col min="12297" max="12297" width="11.85546875" style="391" customWidth="1"/>
    <col min="12298" max="12298" width="10.140625" style="391" bestFit="1" customWidth="1"/>
    <col min="12299" max="12299" width="10.140625" style="391" customWidth="1"/>
    <col min="12300" max="12300" width="11.28515625" style="391" customWidth="1"/>
    <col min="12301" max="12303" width="10.140625" style="391" bestFit="1" customWidth="1"/>
    <col min="12304" max="12304" width="10.42578125" style="391" bestFit="1" customWidth="1"/>
    <col min="12305" max="12305" width="10.140625" style="391" bestFit="1" customWidth="1"/>
    <col min="12306" max="12306" width="9.140625" style="391" bestFit="1" customWidth="1"/>
    <col min="12307" max="12308" width="10.140625" style="391" bestFit="1" customWidth="1"/>
    <col min="12309" max="12309" width="8.85546875" style="391" bestFit="1" customWidth="1"/>
    <col min="12310" max="12310" width="9.140625" style="391" bestFit="1" customWidth="1"/>
    <col min="12311" max="12313" width="8.85546875" style="391" bestFit="1" customWidth="1"/>
    <col min="12314" max="12314" width="13.28515625" style="391" bestFit="1" customWidth="1"/>
    <col min="12315" max="12316" width="10.140625" style="391" bestFit="1" customWidth="1"/>
    <col min="12317" max="12317" width="5.7109375" style="391" bestFit="1" customWidth="1"/>
    <col min="12318" max="12318" width="6.42578125" style="391" bestFit="1" customWidth="1"/>
    <col min="12319" max="12319" width="6.28515625" style="391" bestFit="1" customWidth="1"/>
    <col min="12320" max="12320" width="7" style="391" bestFit="1" customWidth="1"/>
    <col min="12321" max="12321" width="20.42578125" style="391" bestFit="1" customWidth="1"/>
    <col min="12322" max="12322" width="5.140625" style="391" customWidth="1"/>
    <col min="12323" max="12544" width="8" style="391"/>
    <col min="12545" max="12545" width="7.7109375" style="391" bestFit="1" customWidth="1"/>
    <col min="12546" max="12546" width="15.5703125" style="391" bestFit="1" customWidth="1"/>
    <col min="12547" max="12547" width="31.42578125" style="391" customWidth="1"/>
    <col min="12548" max="12548" width="10.140625" style="391" bestFit="1" customWidth="1"/>
    <col min="12549" max="12549" width="10.42578125" style="391" bestFit="1" customWidth="1"/>
    <col min="12550" max="12550" width="10" style="391" customWidth="1"/>
    <col min="12551" max="12551" width="11" style="391" customWidth="1"/>
    <col min="12552" max="12552" width="10.42578125" style="391" bestFit="1" customWidth="1"/>
    <col min="12553" max="12553" width="11.85546875" style="391" customWidth="1"/>
    <col min="12554" max="12554" width="10.140625" style="391" bestFit="1" customWidth="1"/>
    <col min="12555" max="12555" width="10.140625" style="391" customWidth="1"/>
    <col min="12556" max="12556" width="11.28515625" style="391" customWidth="1"/>
    <col min="12557" max="12559" width="10.140625" style="391" bestFit="1" customWidth="1"/>
    <col min="12560" max="12560" width="10.42578125" style="391" bestFit="1" customWidth="1"/>
    <col min="12561" max="12561" width="10.140625" style="391" bestFit="1" customWidth="1"/>
    <col min="12562" max="12562" width="9.140625" style="391" bestFit="1" customWidth="1"/>
    <col min="12563" max="12564" width="10.140625" style="391" bestFit="1" customWidth="1"/>
    <col min="12565" max="12565" width="8.85546875" style="391" bestFit="1" customWidth="1"/>
    <col min="12566" max="12566" width="9.140625" style="391" bestFit="1" customWidth="1"/>
    <col min="12567" max="12569" width="8.85546875" style="391" bestFit="1" customWidth="1"/>
    <col min="12570" max="12570" width="13.28515625" style="391" bestFit="1" customWidth="1"/>
    <col min="12571" max="12572" width="10.140625" style="391" bestFit="1" customWidth="1"/>
    <col min="12573" max="12573" width="5.7109375" style="391" bestFit="1" customWidth="1"/>
    <col min="12574" max="12574" width="6.42578125" style="391" bestFit="1" customWidth="1"/>
    <col min="12575" max="12575" width="6.28515625" style="391" bestFit="1" customWidth="1"/>
    <col min="12576" max="12576" width="7" style="391" bestFit="1" customWidth="1"/>
    <col min="12577" max="12577" width="20.42578125" style="391" bestFit="1" customWidth="1"/>
    <col min="12578" max="12578" width="5.140625" style="391" customWidth="1"/>
    <col min="12579" max="12800" width="8" style="391"/>
    <col min="12801" max="12801" width="7.7109375" style="391" bestFit="1" customWidth="1"/>
    <col min="12802" max="12802" width="15.5703125" style="391" bestFit="1" customWidth="1"/>
    <col min="12803" max="12803" width="31.42578125" style="391" customWidth="1"/>
    <col min="12804" max="12804" width="10.140625" style="391" bestFit="1" customWidth="1"/>
    <col min="12805" max="12805" width="10.42578125" style="391" bestFit="1" customWidth="1"/>
    <col min="12806" max="12806" width="10" style="391" customWidth="1"/>
    <col min="12807" max="12807" width="11" style="391" customWidth="1"/>
    <col min="12808" max="12808" width="10.42578125" style="391" bestFit="1" customWidth="1"/>
    <col min="12809" max="12809" width="11.85546875" style="391" customWidth="1"/>
    <col min="12810" max="12810" width="10.140625" style="391" bestFit="1" customWidth="1"/>
    <col min="12811" max="12811" width="10.140625" style="391" customWidth="1"/>
    <col min="12812" max="12812" width="11.28515625" style="391" customWidth="1"/>
    <col min="12813" max="12815" width="10.140625" style="391" bestFit="1" customWidth="1"/>
    <col min="12816" max="12816" width="10.42578125" style="391" bestFit="1" customWidth="1"/>
    <col min="12817" max="12817" width="10.140625" style="391" bestFit="1" customWidth="1"/>
    <col min="12818" max="12818" width="9.140625" style="391" bestFit="1" customWidth="1"/>
    <col min="12819" max="12820" width="10.140625" style="391" bestFit="1" customWidth="1"/>
    <col min="12821" max="12821" width="8.85546875" style="391" bestFit="1" customWidth="1"/>
    <col min="12822" max="12822" width="9.140625" style="391" bestFit="1" customWidth="1"/>
    <col min="12823" max="12825" width="8.85546875" style="391" bestFit="1" customWidth="1"/>
    <col min="12826" max="12826" width="13.28515625" style="391" bestFit="1" customWidth="1"/>
    <col min="12827" max="12828" width="10.140625" style="391" bestFit="1" customWidth="1"/>
    <col min="12829" max="12829" width="5.7109375" style="391" bestFit="1" customWidth="1"/>
    <col min="12830" max="12830" width="6.42578125" style="391" bestFit="1" customWidth="1"/>
    <col min="12831" max="12831" width="6.28515625" style="391" bestFit="1" customWidth="1"/>
    <col min="12832" max="12832" width="7" style="391" bestFit="1" customWidth="1"/>
    <col min="12833" max="12833" width="20.42578125" style="391" bestFit="1" customWidth="1"/>
    <col min="12834" max="12834" width="5.140625" style="391" customWidth="1"/>
    <col min="12835" max="13056" width="8" style="391"/>
    <col min="13057" max="13057" width="7.7109375" style="391" bestFit="1" customWidth="1"/>
    <col min="13058" max="13058" width="15.5703125" style="391" bestFit="1" customWidth="1"/>
    <col min="13059" max="13059" width="31.42578125" style="391" customWidth="1"/>
    <col min="13060" max="13060" width="10.140625" style="391" bestFit="1" customWidth="1"/>
    <col min="13061" max="13061" width="10.42578125" style="391" bestFit="1" customWidth="1"/>
    <col min="13062" max="13062" width="10" style="391" customWidth="1"/>
    <col min="13063" max="13063" width="11" style="391" customWidth="1"/>
    <col min="13064" max="13064" width="10.42578125" style="391" bestFit="1" customWidth="1"/>
    <col min="13065" max="13065" width="11.85546875" style="391" customWidth="1"/>
    <col min="13066" max="13066" width="10.140625" style="391" bestFit="1" customWidth="1"/>
    <col min="13067" max="13067" width="10.140625" style="391" customWidth="1"/>
    <col min="13068" max="13068" width="11.28515625" style="391" customWidth="1"/>
    <col min="13069" max="13071" width="10.140625" style="391" bestFit="1" customWidth="1"/>
    <col min="13072" max="13072" width="10.42578125" style="391" bestFit="1" customWidth="1"/>
    <col min="13073" max="13073" width="10.140625" style="391" bestFit="1" customWidth="1"/>
    <col min="13074" max="13074" width="9.140625" style="391" bestFit="1" customWidth="1"/>
    <col min="13075" max="13076" width="10.140625" style="391" bestFit="1" customWidth="1"/>
    <col min="13077" max="13077" width="8.85546875" style="391" bestFit="1" customWidth="1"/>
    <col min="13078" max="13078" width="9.140625" style="391" bestFit="1" customWidth="1"/>
    <col min="13079" max="13081" width="8.85546875" style="391" bestFit="1" customWidth="1"/>
    <col min="13082" max="13082" width="13.28515625" style="391" bestFit="1" customWidth="1"/>
    <col min="13083" max="13084" width="10.140625" style="391" bestFit="1" customWidth="1"/>
    <col min="13085" max="13085" width="5.7109375" style="391" bestFit="1" customWidth="1"/>
    <col min="13086" max="13086" width="6.42578125" style="391" bestFit="1" customWidth="1"/>
    <col min="13087" max="13087" width="6.28515625" style="391" bestFit="1" customWidth="1"/>
    <col min="13088" max="13088" width="7" style="391" bestFit="1" customWidth="1"/>
    <col min="13089" max="13089" width="20.42578125" style="391" bestFit="1" customWidth="1"/>
    <col min="13090" max="13090" width="5.140625" style="391" customWidth="1"/>
    <col min="13091" max="13312" width="8" style="391"/>
    <col min="13313" max="13313" width="7.7109375" style="391" bestFit="1" customWidth="1"/>
    <col min="13314" max="13314" width="15.5703125" style="391" bestFit="1" customWidth="1"/>
    <col min="13315" max="13315" width="31.42578125" style="391" customWidth="1"/>
    <col min="13316" max="13316" width="10.140625" style="391" bestFit="1" customWidth="1"/>
    <col min="13317" max="13317" width="10.42578125" style="391" bestFit="1" customWidth="1"/>
    <col min="13318" max="13318" width="10" style="391" customWidth="1"/>
    <col min="13319" max="13319" width="11" style="391" customWidth="1"/>
    <col min="13320" max="13320" width="10.42578125" style="391" bestFit="1" customWidth="1"/>
    <col min="13321" max="13321" width="11.85546875" style="391" customWidth="1"/>
    <col min="13322" max="13322" width="10.140625" style="391" bestFit="1" customWidth="1"/>
    <col min="13323" max="13323" width="10.140625" style="391" customWidth="1"/>
    <col min="13324" max="13324" width="11.28515625" style="391" customWidth="1"/>
    <col min="13325" max="13327" width="10.140625" style="391" bestFit="1" customWidth="1"/>
    <col min="13328" max="13328" width="10.42578125" style="391" bestFit="1" customWidth="1"/>
    <col min="13329" max="13329" width="10.140625" style="391" bestFit="1" customWidth="1"/>
    <col min="13330" max="13330" width="9.140625" style="391" bestFit="1" customWidth="1"/>
    <col min="13331" max="13332" width="10.140625" style="391" bestFit="1" customWidth="1"/>
    <col min="13333" max="13333" width="8.85546875" style="391" bestFit="1" customWidth="1"/>
    <col min="13334" max="13334" width="9.140625" style="391" bestFit="1" customWidth="1"/>
    <col min="13335" max="13337" width="8.85546875" style="391" bestFit="1" customWidth="1"/>
    <col min="13338" max="13338" width="13.28515625" style="391" bestFit="1" customWidth="1"/>
    <col min="13339" max="13340" width="10.140625" style="391" bestFit="1" customWidth="1"/>
    <col min="13341" max="13341" width="5.7109375" style="391" bestFit="1" customWidth="1"/>
    <col min="13342" max="13342" width="6.42578125" style="391" bestFit="1" customWidth="1"/>
    <col min="13343" max="13343" width="6.28515625" style="391" bestFit="1" customWidth="1"/>
    <col min="13344" max="13344" width="7" style="391" bestFit="1" customWidth="1"/>
    <col min="13345" max="13345" width="20.42578125" style="391" bestFit="1" customWidth="1"/>
    <col min="13346" max="13346" width="5.140625" style="391" customWidth="1"/>
    <col min="13347" max="13568" width="8" style="391"/>
    <col min="13569" max="13569" width="7.7109375" style="391" bestFit="1" customWidth="1"/>
    <col min="13570" max="13570" width="15.5703125" style="391" bestFit="1" customWidth="1"/>
    <col min="13571" max="13571" width="31.42578125" style="391" customWidth="1"/>
    <col min="13572" max="13572" width="10.140625" style="391" bestFit="1" customWidth="1"/>
    <col min="13573" max="13573" width="10.42578125" style="391" bestFit="1" customWidth="1"/>
    <col min="13574" max="13574" width="10" style="391" customWidth="1"/>
    <col min="13575" max="13575" width="11" style="391" customWidth="1"/>
    <col min="13576" max="13576" width="10.42578125" style="391" bestFit="1" customWidth="1"/>
    <col min="13577" max="13577" width="11.85546875" style="391" customWidth="1"/>
    <col min="13578" max="13578" width="10.140625" style="391" bestFit="1" customWidth="1"/>
    <col min="13579" max="13579" width="10.140625" style="391" customWidth="1"/>
    <col min="13580" max="13580" width="11.28515625" style="391" customWidth="1"/>
    <col min="13581" max="13583" width="10.140625" style="391" bestFit="1" customWidth="1"/>
    <col min="13584" max="13584" width="10.42578125" style="391" bestFit="1" customWidth="1"/>
    <col min="13585" max="13585" width="10.140625" style="391" bestFit="1" customWidth="1"/>
    <col min="13586" max="13586" width="9.140625" style="391" bestFit="1" customWidth="1"/>
    <col min="13587" max="13588" width="10.140625" style="391" bestFit="1" customWidth="1"/>
    <col min="13589" max="13589" width="8.85546875" style="391" bestFit="1" customWidth="1"/>
    <col min="13590" max="13590" width="9.140625" style="391" bestFit="1" customWidth="1"/>
    <col min="13591" max="13593" width="8.85546875" style="391" bestFit="1" customWidth="1"/>
    <col min="13594" max="13594" width="13.28515625" style="391" bestFit="1" customWidth="1"/>
    <col min="13595" max="13596" width="10.140625" style="391" bestFit="1" customWidth="1"/>
    <col min="13597" max="13597" width="5.7109375" style="391" bestFit="1" customWidth="1"/>
    <col min="13598" max="13598" width="6.42578125" style="391" bestFit="1" customWidth="1"/>
    <col min="13599" max="13599" width="6.28515625" style="391" bestFit="1" customWidth="1"/>
    <col min="13600" max="13600" width="7" style="391" bestFit="1" customWidth="1"/>
    <col min="13601" max="13601" width="20.42578125" style="391" bestFit="1" customWidth="1"/>
    <col min="13602" max="13602" width="5.140625" style="391" customWidth="1"/>
    <col min="13603" max="13824" width="8" style="391"/>
    <col min="13825" max="13825" width="7.7109375" style="391" bestFit="1" customWidth="1"/>
    <col min="13826" max="13826" width="15.5703125" style="391" bestFit="1" customWidth="1"/>
    <col min="13827" max="13827" width="31.42578125" style="391" customWidth="1"/>
    <col min="13828" max="13828" width="10.140625" style="391" bestFit="1" customWidth="1"/>
    <col min="13829" max="13829" width="10.42578125" style="391" bestFit="1" customWidth="1"/>
    <col min="13830" max="13830" width="10" style="391" customWidth="1"/>
    <col min="13831" max="13831" width="11" style="391" customWidth="1"/>
    <col min="13832" max="13832" width="10.42578125" style="391" bestFit="1" customWidth="1"/>
    <col min="13833" max="13833" width="11.85546875" style="391" customWidth="1"/>
    <col min="13834" max="13834" width="10.140625" style="391" bestFit="1" customWidth="1"/>
    <col min="13835" max="13835" width="10.140625" style="391" customWidth="1"/>
    <col min="13836" max="13836" width="11.28515625" style="391" customWidth="1"/>
    <col min="13837" max="13839" width="10.140625" style="391" bestFit="1" customWidth="1"/>
    <col min="13840" max="13840" width="10.42578125" style="391" bestFit="1" customWidth="1"/>
    <col min="13841" max="13841" width="10.140625" style="391" bestFit="1" customWidth="1"/>
    <col min="13842" max="13842" width="9.140625" style="391" bestFit="1" customWidth="1"/>
    <col min="13843" max="13844" width="10.140625" style="391" bestFit="1" customWidth="1"/>
    <col min="13845" max="13845" width="8.85546875" style="391" bestFit="1" customWidth="1"/>
    <col min="13846" max="13846" width="9.140625" style="391" bestFit="1" customWidth="1"/>
    <col min="13847" max="13849" width="8.85546875" style="391" bestFit="1" customWidth="1"/>
    <col min="13850" max="13850" width="13.28515625" style="391" bestFit="1" customWidth="1"/>
    <col min="13851" max="13852" width="10.140625" style="391" bestFit="1" customWidth="1"/>
    <col min="13853" max="13853" width="5.7109375" style="391" bestFit="1" customWidth="1"/>
    <col min="13854" max="13854" width="6.42578125" style="391" bestFit="1" customWidth="1"/>
    <col min="13855" max="13855" width="6.28515625" style="391" bestFit="1" customWidth="1"/>
    <col min="13856" max="13856" width="7" style="391" bestFit="1" customWidth="1"/>
    <col min="13857" max="13857" width="20.42578125" style="391" bestFit="1" customWidth="1"/>
    <col min="13858" max="13858" width="5.140625" style="391" customWidth="1"/>
    <col min="13859" max="14080" width="8" style="391"/>
    <col min="14081" max="14081" width="7.7109375" style="391" bestFit="1" customWidth="1"/>
    <col min="14082" max="14082" width="15.5703125" style="391" bestFit="1" customWidth="1"/>
    <col min="14083" max="14083" width="31.42578125" style="391" customWidth="1"/>
    <col min="14084" max="14084" width="10.140625" style="391" bestFit="1" customWidth="1"/>
    <col min="14085" max="14085" width="10.42578125" style="391" bestFit="1" customWidth="1"/>
    <col min="14086" max="14086" width="10" style="391" customWidth="1"/>
    <col min="14087" max="14087" width="11" style="391" customWidth="1"/>
    <col min="14088" max="14088" width="10.42578125" style="391" bestFit="1" customWidth="1"/>
    <col min="14089" max="14089" width="11.85546875" style="391" customWidth="1"/>
    <col min="14090" max="14090" width="10.140625" style="391" bestFit="1" customWidth="1"/>
    <col min="14091" max="14091" width="10.140625" style="391" customWidth="1"/>
    <col min="14092" max="14092" width="11.28515625" style="391" customWidth="1"/>
    <col min="14093" max="14095" width="10.140625" style="391" bestFit="1" customWidth="1"/>
    <col min="14096" max="14096" width="10.42578125" style="391" bestFit="1" customWidth="1"/>
    <col min="14097" max="14097" width="10.140625" style="391" bestFit="1" customWidth="1"/>
    <col min="14098" max="14098" width="9.140625" style="391" bestFit="1" customWidth="1"/>
    <col min="14099" max="14100" width="10.140625" style="391" bestFit="1" customWidth="1"/>
    <col min="14101" max="14101" width="8.85546875" style="391" bestFit="1" customWidth="1"/>
    <col min="14102" max="14102" width="9.140625" style="391" bestFit="1" customWidth="1"/>
    <col min="14103" max="14105" width="8.85546875" style="391" bestFit="1" customWidth="1"/>
    <col min="14106" max="14106" width="13.28515625" style="391" bestFit="1" customWidth="1"/>
    <col min="14107" max="14108" width="10.140625" style="391" bestFit="1" customWidth="1"/>
    <col min="14109" max="14109" width="5.7109375" style="391" bestFit="1" customWidth="1"/>
    <col min="14110" max="14110" width="6.42578125" style="391" bestFit="1" customWidth="1"/>
    <col min="14111" max="14111" width="6.28515625" style="391" bestFit="1" customWidth="1"/>
    <col min="14112" max="14112" width="7" style="391" bestFit="1" customWidth="1"/>
    <col min="14113" max="14113" width="20.42578125" style="391" bestFit="1" customWidth="1"/>
    <col min="14114" max="14114" width="5.140625" style="391" customWidth="1"/>
    <col min="14115" max="14336" width="8" style="391"/>
    <col min="14337" max="14337" width="7.7109375" style="391" bestFit="1" customWidth="1"/>
    <col min="14338" max="14338" width="15.5703125" style="391" bestFit="1" customWidth="1"/>
    <col min="14339" max="14339" width="31.42578125" style="391" customWidth="1"/>
    <col min="14340" max="14340" width="10.140625" style="391" bestFit="1" customWidth="1"/>
    <col min="14341" max="14341" width="10.42578125" style="391" bestFit="1" customWidth="1"/>
    <col min="14342" max="14342" width="10" style="391" customWidth="1"/>
    <col min="14343" max="14343" width="11" style="391" customWidth="1"/>
    <col min="14344" max="14344" width="10.42578125" style="391" bestFit="1" customWidth="1"/>
    <col min="14345" max="14345" width="11.85546875" style="391" customWidth="1"/>
    <col min="14346" max="14346" width="10.140625" style="391" bestFit="1" customWidth="1"/>
    <col min="14347" max="14347" width="10.140625" style="391" customWidth="1"/>
    <col min="14348" max="14348" width="11.28515625" style="391" customWidth="1"/>
    <col min="14349" max="14351" width="10.140625" style="391" bestFit="1" customWidth="1"/>
    <col min="14352" max="14352" width="10.42578125" style="391" bestFit="1" customWidth="1"/>
    <col min="14353" max="14353" width="10.140625" style="391" bestFit="1" customWidth="1"/>
    <col min="14354" max="14354" width="9.140625" style="391" bestFit="1" customWidth="1"/>
    <col min="14355" max="14356" width="10.140625" style="391" bestFit="1" customWidth="1"/>
    <col min="14357" max="14357" width="8.85546875" style="391" bestFit="1" customWidth="1"/>
    <col min="14358" max="14358" width="9.140625" style="391" bestFit="1" customWidth="1"/>
    <col min="14359" max="14361" width="8.85546875" style="391" bestFit="1" customWidth="1"/>
    <col min="14362" max="14362" width="13.28515625" style="391" bestFit="1" customWidth="1"/>
    <col min="14363" max="14364" width="10.140625" style="391" bestFit="1" customWidth="1"/>
    <col min="14365" max="14365" width="5.7109375" style="391" bestFit="1" customWidth="1"/>
    <col min="14366" max="14366" width="6.42578125" style="391" bestFit="1" customWidth="1"/>
    <col min="14367" max="14367" width="6.28515625" style="391" bestFit="1" customWidth="1"/>
    <col min="14368" max="14368" width="7" style="391" bestFit="1" customWidth="1"/>
    <col min="14369" max="14369" width="20.42578125" style="391" bestFit="1" customWidth="1"/>
    <col min="14370" max="14370" width="5.140625" style="391" customWidth="1"/>
    <col min="14371" max="14592" width="8" style="391"/>
    <col min="14593" max="14593" width="7.7109375" style="391" bestFit="1" customWidth="1"/>
    <col min="14594" max="14594" width="15.5703125" style="391" bestFit="1" customWidth="1"/>
    <col min="14595" max="14595" width="31.42578125" style="391" customWidth="1"/>
    <col min="14596" max="14596" width="10.140625" style="391" bestFit="1" customWidth="1"/>
    <col min="14597" max="14597" width="10.42578125" style="391" bestFit="1" customWidth="1"/>
    <col min="14598" max="14598" width="10" style="391" customWidth="1"/>
    <col min="14599" max="14599" width="11" style="391" customWidth="1"/>
    <col min="14600" max="14600" width="10.42578125" style="391" bestFit="1" customWidth="1"/>
    <col min="14601" max="14601" width="11.85546875" style="391" customWidth="1"/>
    <col min="14602" max="14602" width="10.140625" style="391" bestFit="1" customWidth="1"/>
    <col min="14603" max="14603" width="10.140625" style="391" customWidth="1"/>
    <col min="14604" max="14604" width="11.28515625" style="391" customWidth="1"/>
    <col min="14605" max="14607" width="10.140625" style="391" bestFit="1" customWidth="1"/>
    <col min="14608" max="14608" width="10.42578125" style="391" bestFit="1" customWidth="1"/>
    <col min="14609" max="14609" width="10.140625" style="391" bestFit="1" customWidth="1"/>
    <col min="14610" max="14610" width="9.140625" style="391" bestFit="1" customWidth="1"/>
    <col min="14611" max="14612" width="10.140625" style="391" bestFit="1" customWidth="1"/>
    <col min="14613" max="14613" width="8.85546875" style="391" bestFit="1" customWidth="1"/>
    <col min="14614" max="14614" width="9.140625" style="391" bestFit="1" customWidth="1"/>
    <col min="14615" max="14617" width="8.85546875" style="391" bestFit="1" customWidth="1"/>
    <col min="14618" max="14618" width="13.28515625" style="391" bestFit="1" customWidth="1"/>
    <col min="14619" max="14620" width="10.140625" style="391" bestFit="1" customWidth="1"/>
    <col min="14621" max="14621" width="5.7109375" style="391" bestFit="1" customWidth="1"/>
    <col min="14622" max="14622" width="6.42578125" style="391" bestFit="1" customWidth="1"/>
    <col min="14623" max="14623" width="6.28515625" style="391" bestFit="1" customWidth="1"/>
    <col min="14624" max="14624" width="7" style="391" bestFit="1" customWidth="1"/>
    <col min="14625" max="14625" width="20.42578125" style="391" bestFit="1" customWidth="1"/>
    <col min="14626" max="14626" width="5.140625" style="391" customWidth="1"/>
    <col min="14627" max="14848" width="8" style="391"/>
    <col min="14849" max="14849" width="7.7109375" style="391" bestFit="1" customWidth="1"/>
    <col min="14850" max="14850" width="15.5703125" style="391" bestFit="1" customWidth="1"/>
    <col min="14851" max="14851" width="31.42578125" style="391" customWidth="1"/>
    <col min="14852" max="14852" width="10.140625" style="391" bestFit="1" customWidth="1"/>
    <col min="14853" max="14853" width="10.42578125" style="391" bestFit="1" customWidth="1"/>
    <col min="14854" max="14854" width="10" style="391" customWidth="1"/>
    <col min="14855" max="14855" width="11" style="391" customWidth="1"/>
    <col min="14856" max="14856" width="10.42578125" style="391" bestFit="1" customWidth="1"/>
    <col min="14857" max="14857" width="11.85546875" style="391" customWidth="1"/>
    <col min="14858" max="14858" width="10.140625" style="391" bestFit="1" customWidth="1"/>
    <col min="14859" max="14859" width="10.140625" style="391" customWidth="1"/>
    <col min="14860" max="14860" width="11.28515625" style="391" customWidth="1"/>
    <col min="14861" max="14863" width="10.140625" style="391" bestFit="1" customWidth="1"/>
    <col min="14864" max="14864" width="10.42578125" style="391" bestFit="1" customWidth="1"/>
    <col min="14865" max="14865" width="10.140625" style="391" bestFit="1" customWidth="1"/>
    <col min="14866" max="14866" width="9.140625" style="391" bestFit="1" customWidth="1"/>
    <col min="14867" max="14868" width="10.140625" style="391" bestFit="1" customWidth="1"/>
    <col min="14869" max="14869" width="8.85546875" style="391" bestFit="1" customWidth="1"/>
    <col min="14870" max="14870" width="9.140625" style="391" bestFit="1" customWidth="1"/>
    <col min="14871" max="14873" width="8.85546875" style="391" bestFit="1" customWidth="1"/>
    <col min="14874" max="14874" width="13.28515625" style="391" bestFit="1" customWidth="1"/>
    <col min="14875" max="14876" width="10.140625" style="391" bestFit="1" customWidth="1"/>
    <col min="14877" max="14877" width="5.7109375" style="391" bestFit="1" customWidth="1"/>
    <col min="14878" max="14878" width="6.42578125" style="391" bestFit="1" customWidth="1"/>
    <col min="14879" max="14879" width="6.28515625" style="391" bestFit="1" customWidth="1"/>
    <col min="14880" max="14880" width="7" style="391" bestFit="1" customWidth="1"/>
    <col min="14881" max="14881" width="20.42578125" style="391" bestFit="1" customWidth="1"/>
    <col min="14882" max="14882" width="5.140625" style="391" customWidth="1"/>
    <col min="14883" max="15104" width="8" style="391"/>
    <col min="15105" max="15105" width="7.7109375" style="391" bestFit="1" customWidth="1"/>
    <col min="15106" max="15106" width="15.5703125" style="391" bestFit="1" customWidth="1"/>
    <col min="15107" max="15107" width="31.42578125" style="391" customWidth="1"/>
    <col min="15108" max="15108" width="10.140625" style="391" bestFit="1" customWidth="1"/>
    <col min="15109" max="15109" width="10.42578125" style="391" bestFit="1" customWidth="1"/>
    <col min="15110" max="15110" width="10" style="391" customWidth="1"/>
    <col min="15111" max="15111" width="11" style="391" customWidth="1"/>
    <col min="15112" max="15112" width="10.42578125" style="391" bestFit="1" customWidth="1"/>
    <col min="15113" max="15113" width="11.85546875" style="391" customWidth="1"/>
    <col min="15114" max="15114" width="10.140625" style="391" bestFit="1" customWidth="1"/>
    <col min="15115" max="15115" width="10.140625" style="391" customWidth="1"/>
    <col min="15116" max="15116" width="11.28515625" style="391" customWidth="1"/>
    <col min="15117" max="15119" width="10.140625" style="391" bestFit="1" customWidth="1"/>
    <col min="15120" max="15120" width="10.42578125" style="391" bestFit="1" customWidth="1"/>
    <col min="15121" max="15121" width="10.140625" style="391" bestFit="1" customWidth="1"/>
    <col min="15122" max="15122" width="9.140625" style="391" bestFit="1" customWidth="1"/>
    <col min="15123" max="15124" width="10.140625" style="391" bestFit="1" customWidth="1"/>
    <col min="15125" max="15125" width="8.85546875" style="391" bestFit="1" customWidth="1"/>
    <col min="15126" max="15126" width="9.140625" style="391" bestFit="1" customWidth="1"/>
    <col min="15127" max="15129" width="8.85546875" style="391" bestFit="1" customWidth="1"/>
    <col min="15130" max="15130" width="13.28515625" style="391" bestFit="1" customWidth="1"/>
    <col min="15131" max="15132" width="10.140625" style="391" bestFit="1" customWidth="1"/>
    <col min="15133" max="15133" width="5.7109375" style="391" bestFit="1" customWidth="1"/>
    <col min="15134" max="15134" width="6.42578125" style="391" bestFit="1" customWidth="1"/>
    <col min="15135" max="15135" width="6.28515625" style="391" bestFit="1" customWidth="1"/>
    <col min="15136" max="15136" width="7" style="391" bestFit="1" customWidth="1"/>
    <col min="15137" max="15137" width="20.42578125" style="391" bestFit="1" customWidth="1"/>
    <col min="15138" max="15138" width="5.140625" style="391" customWidth="1"/>
    <col min="15139" max="15360" width="8" style="391"/>
    <col min="15361" max="15361" width="7.7109375" style="391" bestFit="1" customWidth="1"/>
    <col min="15362" max="15362" width="15.5703125" style="391" bestFit="1" customWidth="1"/>
    <col min="15363" max="15363" width="31.42578125" style="391" customWidth="1"/>
    <col min="15364" max="15364" width="10.140625" style="391" bestFit="1" customWidth="1"/>
    <col min="15365" max="15365" width="10.42578125" style="391" bestFit="1" customWidth="1"/>
    <col min="15366" max="15366" width="10" style="391" customWidth="1"/>
    <col min="15367" max="15367" width="11" style="391" customWidth="1"/>
    <col min="15368" max="15368" width="10.42578125" style="391" bestFit="1" customWidth="1"/>
    <col min="15369" max="15369" width="11.85546875" style="391" customWidth="1"/>
    <col min="15370" max="15370" width="10.140625" style="391" bestFit="1" customWidth="1"/>
    <col min="15371" max="15371" width="10.140625" style="391" customWidth="1"/>
    <col min="15372" max="15372" width="11.28515625" style="391" customWidth="1"/>
    <col min="15373" max="15375" width="10.140625" style="391" bestFit="1" customWidth="1"/>
    <col min="15376" max="15376" width="10.42578125" style="391" bestFit="1" customWidth="1"/>
    <col min="15377" max="15377" width="10.140625" style="391" bestFit="1" customWidth="1"/>
    <col min="15378" max="15378" width="9.140625" style="391" bestFit="1" customWidth="1"/>
    <col min="15379" max="15380" width="10.140625" style="391" bestFit="1" customWidth="1"/>
    <col min="15381" max="15381" width="8.85546875" style="391" bestFit="1" customWidth="1"/>
    <col min="15382" max="15382" width="9.140625" style="391" bestFit="1" customWidth="1"/>
    <col min="15383" max="15385" width="8.85546875" style="391" bestFit="1" customWidth="1"/>
    <col min="15386" max="15386" width="13.28515625" style="391" bestFit="1" customWidth="1"/>
    <col min="15387" max="15388" width="10.140625" style="391" bestFit="1" customWidth="1"/>
    <col min="15389" max="15389" width="5.7109375" style="391" bestFit="1" customWidth="1"/>
    <col min="15390" max="15390" width="6.42578125" style="391" bestFit="1" customWidth="1"/>
    <col min="15391" max="15391" width="6.28515625" style="391" bestFit="1" customWidth="1"/>
    <col min="15392" max="15392" width="7" style="391" bestFit="1" customWidth="1"/>
    <col min="15393" max="15393" width="20.42578125" style="391" bestFit="1" customWidth="1"/>
    <col min="15394" max="15394" width="5.140625" style="391" customWidth="1"/>
    <col min="15395" max="15616" width="8" style="391"/>
    <col min="15617" max="15617" width="7.7109375" style="391" bestFit="1" customWidth="1"/>
    <col min="15618" max="15618" width="15.5703125" style="391" bestFit="1" customWidth="1"/>
    <col min="15619" max="15619" width="31.42578125" style="391" customWidth="1"/>
    <col min="15620" max="15620" width="10.140625" style="391" bestFit="1" customWidth="1"/>
    <col min="15621" max="15621" width="10.42578125" style="391" bestFit="1" customWidth="1"/>
    <col min="15622" max="15622" width="10" style="391" customWidth="1"/>
    <col min="15623" max="15623" width="11" style="391" customWidth="1"/>
    <col min="15624" max="15624" width="10.42578125" style="391" bestFit="1" customWidth="1"/>
    <col min="15625" max="15625" width="11.85546875" style="391" customWidth="1"/>
    <col min="15626" max="15626" width="10.140625" style="391" bestFit="1" customWidth="1"/>
    <col min="15627" max="15627" width="10.140625" style="391" customWidth="1"/>
    <col min="15628" max="15628" width="11.28515625" style="391" customWidth="1"/>
    <col min="15629" max="15631" width="10.140625" style="391" bestFit="1" customWidth="1"/>
    <col min="15632" max="15632" width="10.42578125" style="391" bestFit="1" customWidth="1"/>
    <col min="15633" max="15633" width="10.140625" style="391" bestFit="1" customWidth="1"/>
    <col min="15634" max="15634" width="9.140625" style="391" bestFit="1" customWidth="1"/>
    <col min="15635" max="15636" width="10.140625" style="391" bestFit="1" customWidth="1"/>
    <col min="15637" max="15637" width="8.85546875" style="391" bestFit="1" customWidth="1"/>
    <col min="15638" max="15638" width="9.140625" style="391" bestFit="1" customWidth="1"/>
    <col min="15639" max="15641" width="8.85546875" style="391" bestFit="1" customWidth="1"/>
    <col min="15642" max="15642" width="13.28515625" style="391" bestFit="1" customWidth="1"/>
    <col min="15643" max="15644" width="10.140625" style="391" bestFit="1" customWidth="1"/>
    <col min="15645" max="15645" width="5.7109375" style="391" bestFit="1" customWidth="1"/>
    <col min="15646" max="15646" width="6.42578125" style="391" bestFit="1" customWidth="1"/>
    <col min="15647" max="15647" width="6.28515625" style="391" bestFit="1" customWidth="1"/>
    <col min="15648" max="15648" width="7" style="391" bestFit="1" customWidth="1"/>
    <col min="15649" max="15649" width="20.42578125" style="391" bestFit="1" customWidth="1"/>
    <col min="15650" max="15650" width="5.140625" style="391" customWidth="1"/>
    <col min="15651" max="15872" width="8" style="391"/>
    <col min="15873" max="15873" width="7.7109375" style="391" bestFit="1" customWidth="1"/>
    <col min="15874" max="15874" width="15.5703125" style="391" bestFit="1" customWidth="1"/>
    <col min="15875" max="15875" width="31.42578125" style="391" customWidth="1"/>
    <col min="15876" max="15876" width="10.140625" style="391" bestFit="1" customWidth="1"/>
    <col min="15877" max="15877" width="10.42578125" style="391" bestFit="1" customWidth="1"/>
    <col min="15878" max="15878" width="10" style="391" customWidth="1"/>
    <col min="15879" max="15879" width="11" style="391" customWidth="1"/>
    <col min="15880" max="15880" width="10.42578125" style="391" bestFit="1" customWidth="1"/>
    <col min="15881" max="15881" width="11.85546875" style="391" customWidth="1"/>
    <col min="15882" max="15882" width="10.140625" style="391" bestFit="1" customWidth="1"/>
    <col min="15883" max="15883" width="10.140625" style="391" customWidth="1"/>
    <col min="15884" max="15884" width="11.28515625" style="391" customWidth="1"/>
    <col min="15885" max="15887" width="10.140625" style="391" bestFit="1" customWidth="1"/>
    <col min="15888" max="15888" width="10.42578125" style="391" bestFit="1" customWidth="1"/>
    <col min="15889" max="15889" width="10.140625" style="391" bestFit="1" customWidth="1"/>
    <col min="15890" max="15890" width="9.140625" style="391" bestFit="1" customWidth="1"/>
    <col min="15891" max="15892" width="10.140625" style="391" bestFit="1" customWidth="1"/>
    <col min="15893" max="15893" width="8.85546875" style="391" bestFit="1" customWidth="1"/>
    <col min="15894" max="15894" width="9.140625" style="391" bestFit="1" customWidth="1"/>
    <col min="15895" max="15897" width="8.85546875" style="391" bestFit="1" customWidth="1"/>
    <col min="15898" max="15898" width="13.28515625" style="391" bestFit="1" customWidth="1"/>
    <col min="15899" max="15900" width="10.140625" style="391" bestFit="1" customWidth="1"/>
    <col min="15901" max="15901" width="5.7109375" style="391" bestFit="1" customWidth="1"/>
    <col min="15902" max="15902" width="6.42578125" style="391" bestFit="1" customWidth="1"/>
    <col min="15903" max="15903" width="6.28515625" style="391" bestFit="1" customWidth="1"/>
    <col min="15904" max="15904" width="7" style="391" bestFit="1" customWidth="1"/>
    <col min="15905" max="15905" width="20.42578125" style="391" bestFit="1" customWidth="1"/>
    <col min="15906" max="15906" width="5.140625" style="391" customWidth="1"/>
    <col min="15907" max="16128" width="8" style="391"/>
    <col min="16129" max="16129" width="7.7109375" style="391" bestFit="1" customWidth="1"/>
    <col min="16130" max="16130" width="15.5703125" style="391" bestFit="1" customWidth="1"/>
    <col min="16131" max="16131" width="31.42578125" style="391" customWidth="1"/>
    <col min="16132" max="16132" width="10.140625" style="391" bestFit="1" customWidth="1"/>
    <col min="16133" max="16133" width="10.42578125" style="391" bestFit="1" customWidth="1"/>
    <col min="16134" max="16134" width="10" style="391" customWidth="1"/>
    <col min="16135" max="16135" width="11" style="391" customWidth="1"/>
    <col min="16136" max="16136" width="10.42578125" style="391" bestFit="1" customWidth="1"/>
    <col min="16137" max="16137" width="11.85546875" style="391" customWidth="1"/>
    <col min="16138" max="16138" width="10.140625" style="391" bestFit="1" customWidth="1"/>
    <col min="16139" max="16139" width="10.140625" style="391" customWidth="1"/>
    <col min="16140" max="16140" width="11.28515625" style="391" customWidth="1"/>
    <col min="16141" max="16143" width="10.140625" style="391" bestFit="1" customWidth="1"/>
    <col min="16144" max="16144" width="10.42578125" style="391" bestFit="1" customWidth="1"/>
    <col min="16145" max="16145" width="10.140625" style="391" bestFit="1" customWidth="1"/>
    <col min="16146" max="16146" width="9.140625" style="391" bestFit="1" customWidth="1"/>
    <col min="16147" max="16148" width="10.140625" style="391" bestFit="1" customWidth="1"/>
    <col min="16149" max="16149" width="8.85546875" style="391" bestFit="1" customWidth="1"/>
    <col min="16150" max="16150" width="9.140625" style="391" bestFit="1" customWidth="1"/>
    <col min="16151" max="16153" width="8.85546875" style="391" bestFit="1" customWidth="1"/>
    <col min="16154" max="16154" width="13.28515625" style="391" bestFit="1" customWidth="1"/>
    <col min="16155" max="16156" width="10.140625" style="391" bestFit="1" customWidth="1"/>
    <col min="16157" max="16157" width="5.7109375" style="391" bestFit="1" customWidth="1"/>
    <col min="16158" max="16158" width="6.42578125" style="391" bestFit="1" customWidth="1"/>
    <col min="16159" max="16159" width="6.28515625" style="391" bestFit="1" customWidth="1"/>
    <col min="16160" max="16160" width="7" style="391" bestFit="1" customWidth="1"/>
    <col min="16161" max="16161" width="20.42578125" style="391" bestFit="1" customWidth="1"/>
    <col min="16162" max="16162" width="5.140625" style="391" customWidth="1"/>
    <col min="16163" max="16384" width="8" style="391"/>
  </cols>
  <sheetData>
    <row r="1" spans="1:34" x14ac:dyDescent="0.25">
      <c r="H1" s="393"/>
      <c r="I1" s="393" t="s">
        <v>0</v>
      </c>
    </row>
    <row r="2" spans="1:34" x14ac:dyDescent="0.25">
      <c r="H2" s="393"/>
      <c r="I2" s="393" t="s">
        <v>438</v>
      </c>
    </row>
    <row r="3" spans="1:34" x14ac:dyDescent="0.25">
      <c r="I3" s="391"/>
    </row>
    <row r="4" spans="1:34" ht="19.5" thickBot="1" x14ac:dyDescent="0.35">
      <c r="C4" s="389" t="s">
        <v>439</v>
      </c>
      <c r="E4" s="436" t="s">
        <v>440</v>
      </c>
      <c r="F4" s="437"/>
      <c r="G4" s="437"/>
      <c r="H4" s="437"/>
      <c r="I4" s="438"/>
    </row>
    <row r="5" spans="1:34" s="12" customFormat="1" ht="38.25" customHeight="1" x14ac:dyDescent="0.25">
      <c r="A5" s="395" t="s">
        <v>4</v>
      </c>
      <c r="B5" s="5" t="s">
        <v>441</v>
      </c>
      <c r="C5" s="396" t="s">
        <v>442</v>
      </c>
      <c r="D5" s="397" t="s">
        <v>443</v>
      </c>
      <c r="E5" s="398" t="s">
        <v>444</v>
      </c>
      <c r="F5" s="399" t="s">
        <v>445</v>
      </c>
      <c r="G5" s="399" t="s">
        <v>446</v>
      </c>
      <c r="H5" s="399" t="s">
        <v>447</v>
      </c>
      <c r="I5" s="399" t="s">
        <v>13</v>
      </c>
      <c r="J5" s="400" t="s">
        <v>448</v>
      </c>
      <c r="K5" s="401" t="s">
        <v>449</v>
      </c>
      <c r="L5" s="402"/>
      <c r="M5" s="403" t="s">
        <v>450</v>
      </c>
      <c r="N5" s="403" t="s">
        <v>150</v>
      </c>
      <c r="O5" s="403" t="s">
        <v>133</v>
      </c>
      <c r="P5" s="403" t="s">
        <v>151</v>
      </c>
      <c r="Q5" s="403" t="s">
        <v>152</v>
      </c>
      <c r="R5" s="403" t="s">
        <v>153</v>
      </c>
      <c r="S5" s="403" t="s">
        <v>154</v>
      </c>
      <c r="T5" s="403" t="s">
        <v>155</v>
      </c>
      <c r="U5" s="403" t="s">
        <v>156</v>
      </c>
      <c r="V5" s="403" t="s">
        <v>157</v>
      </c>
      <c r="W5" s="403" t="s">
        <v>158</v>
      </c>
      <c r="X5" s="403" t="s">
        <v>159</v>
      </c>
      <c r="Y5" s="403" t="s">
        <v>160</v>
      </c>
      <c r="Z5" s="403" t="s">
        <v>161</v>
      </c>
      <c r="AA5" s="403" t="s">
        <v>162</v>
      </c>
      <c r="AB5" s="403" t="s">
        <v>163</v>
      </c>
      <c r="AC5" s="403" t="s">
        <v>164</v>
      </c>
      <c r="AD5" s="403" t="s">
        <v>165</v>
      </c>
      <c r="AE5" s="403" t="s">
        <v>166</v>
      </c>
      <c r="AF5" s="403" t="s">
        <v>167</v>
      </c>
      <c r="AG5" s="403" t="s">
        <v>451</v>
      </c>
      <c r="AH5" s="404"/>
    </row>
    <row r="6" spans="1:34" x14ac:dyDescent="0.25">
      <c r="A6" s="405"/>
      <c r="B6" s="406" t="s">
        <v>452</v>
      </c>
      <c r="C6" s="407" t="s">
        <v>16</v>
      </c>
      <c r="D6" s="408">
        <v>310730</v>
      </c>
      <c r="E6" s="409"/>
      <c r="F6" s="408"/>
      <c r="G6" s="408"/>
      <c r="H6" s="408">
        <v>29264</v>
      </c>
      <c r="I6" s="408">
        <f t="shared" ref="I6:I35" si="0">D6-E6-F6-G6-H6</f>
        <v>281466</v>
      </c>
      <c r="J6" s="410">
        <f t="shared" ref="J6:J39" si="1">SUM(E6:I6)</f>
        <v>310730</v>
      </c>
      <c r="K6" s="411">
        <f t="shared" ref="K6:K35" si="2">J6-D6</f>
        <v>0</v>
      </c>
      <c r="L6" s="412"/>
      <c r="M6" s="412">
        <v>54991.950000000012</v>
      </c>
      <c r="N6" s="412">
        <v>0</v>
      </c>
      <c r="O6" s="412">
        <v>379515.94999999995</v>
      </c>
      <c r="P6" s="412">
        <v>0</v>
      </c>
      <c r="Q6" s="412">
        <v>365554.34</v>
      </c>
      <c r="R6" s="412">
        <v>0</v>
      </c>
      <c r="S6" s="412">
        <v>365554.34</v>
      </c>
      <c r="T6" s="412">
        <v>146760.74000000002</v>
      </c>
      <c r="U6" s="412">
        <v>218793.60000000001</v>
      </c>
      <c r="V6" s="412">
        <v>0</v>
      </c>
      <c r="W6" s="412">
        <v>218793.60000000001</v>
      </c>
      <c r="X6" s="412">
        <v>91369.450000000012</v>
      </c>
      <c r="Y6" s="412">
        <v>127424.15</v>
      </c>
      <c r="Z6" s="412">
        <v>0</v>
      </c>
      <c r="AA6" s="412">
        <v>13961.61</v>
      </c>
      <c r="AB6" s="412">
        <v>160722.34999999995</v>
      </c>
      <c r="AC6" s="412">
        <v>3.6787940006210551</v>
      </c>
      <c r="AD6" s="412">
        <v>69.035567294998401</v>
      </c>
      <c r="AE6" s="412">
        <v>57.650699529229279</v>
      </c>
      <c r="AF6" s="412">
        <v>58.239432049200701</v>
      </c>
      <c r="AG6" s="412" t="s">
        <v>453</v>
      </c>
      <c r="AH6" s="413"/>
    </row>
    <row r="7" spans="1:34" x14ac:dyDescent="0.25">
      <c r="A7" s="405"/>
      <c r="B7" s="406" t="s">
        <v>17</v>
      </c>
      <c r="C7" s="407" t="s">
        <v>18</v>
      </c>
      <c r="D7" s="408">
        <v>50000</v>
      </c>
      <c r="E7" s="409"/>
      <c r="F7" s="408"/>
      <c r="G7" s="408"/>
      <c r="H7" s="408"/>
      <c r="I7" s="408">
        <f t="shared" si="0"/>
        <v>50000</v>
      </c>
      <c r="J7" s="410">
        <f t="shared" si="1"/>
        <v>50000</v>
      </c>
      <c r="K7" s="411">
        <f t="shared" si="2"/>
        <v>0</v>
      </c>
      <c r="L7" s="412"/>
      <c r="M7" s="412">
        <v>370000</v>
      </c>
      <c r="N7" s="412">
        <v>0</v>
      </c>
      <c r="O7" s="412">
        <v>420000</v>
      </c>
      <c r="P7" s="412">
        <v>0</v>
      </c>
      <c r="Q7" s="412">
        <v>391528.43</v>
      </c>
      <c r="R7" s="412">
        <v>391315.21</v>
      </c>
      <c r="S7" s="412">
        <v>213.22</v>
      </c>
      <c r="T7" s="412">
        <v>213.22</v>
      </c>
      <c r="U7" s="412">
        <v>0</v>
      </c>
      <c r="V7" s="412">
        <v>0</v>
      </c>
      <c r="W7" s="412">
        <v>0</v>
      </c>
      <c r="X7" s="412">
        <v>0</v>
      </c>
      <c r="Y7" s="412">
        <v>0</v>
      </c>
      <c r="Z7" s="412">
        <v>0</v>
      </c>
      <c r="AA7" s="412">
        <v>28471.57</v>
      </c>
      <c r="AB7" s="412">
        <v>420000</v>
      </c>
      <c r="AC7" s="412">
        <v>6.778945238095238</v>
      </c>
      <c r="AD7" s="412">
        <v>5.0766666666666668E-2</v>
      </c>
      <c r="AE7" s="412">
        <v>0</v>
      </c>
      <c r="AF7" s="412">
        <v>0</v>
      </c>
      <c r="AG7" s="412" t="s">
        <v>454</v>
      </c>
      <c r="AH7" s="413"/>
    </row>
    <row r="8" spans="1:34" x14ac:dyDescent="0.25">
      <c r="A8" s="405"/>
      <c r="B8" s="406" t="s">
        <v>19</v>
      </c>
      <c r="C8" s="407" t="s">
        <v>20</v>
      </c>
      <c r="D8" s="408">
        <v>50000</v>
      </c>
      <c r="E8" s="409"/>
      <c r="F8" s="408"/>
      <c r="G8" s="408"/>
      <c r="H8" s="408"/>
      <c r="I8" s="408">
        <f t="shared" si="0"/>
        <v>50000</v>
      </c>
      <c r="J8" s="410">
        <f>SUM(E8:I8)</f>
        <v>50000</v>
      </c>
      <c r="K8" s="411">
        <f t="shared" si="2"/>
        <v>0</v>
      </c>
      <c r="L8" s="412"/>
      <c r="M8" s="412">
        <v>0</v>
      </c>
      <c r="N8" s="412">
        <v>0</v>
      </c>
      <c r="O8" s="412">
        <v>50000</v>
      </c>
      <c r="P8" s="412">
        <v>0</v>
      </c>
      <c r="Q8" s="412">
        <v>50000</v>
      </c>
      <c r="R8" s="412">
        <v>0</v>
      </c>
      <c r="S8" s="412">
        <v>50000</v>
      </c>
      <c r="T8" s="412">
        <v>11580.11</v>
      </c>
      <c r="U8" s="412">
        <v>38419.89</v>
      </c>
      <c r="V8" s="412">
        <v>0</v>
      </c>
      <c r="W8" s="412">
        <v>38419.89</v>
      </c>
      <c r="X8" s="412">
        <v>0</v>
      </c>
      <c r="Y8" s="412">
        <v>38419.89</v>
      </c>
      <c r="Z8" s="412">
        <v>0</v>
      </c>
      <c r="AA8" s="412">
        <v>0</v>
      </c>
      <c r="AB8" s="412">
        <v>11580.11</v>
      </c>
      <c r="AC8" s="412">
        <v>0</v>
      </c>
      <c r="AD8" s="412">
        <v>100</v>
      </c>
      <c r="AE8" s="412">
        <v>76.839780000000005</v>
      </c>
      <c r="AF8" s="412">
        <v>100</v>
      </c>
      <c r="AG8" s="412" t="s">
        <v>455</v>
      </c>
      <c r="AH8" s="413"/>
    </row>
    <row r="9" spans="1:34" x14ac:dyDescent="0.25">
      <c r="A9" s="405"/>
      <c r="B9" s="406" t="s">
        <v>456</v>
      </c>
      <c r="C9" s="414" t="s">
        <v>62</v>
      </c>
      <c r="D9" s="408">
        <v>100</v>
      </c>
      <c r="E9" s="409"/>
      <c r="F9" s="408"/>
      <c r="G9" s="408"/>
      <c r="H9" s="408"/>
      <c r="I9" s="408">
        <f t="shared" si="0"/>
        <v>100</v>
      </c>
      <c r="J9" s="410">
        <f t="shared" si="1"/>
        <v>100</v>
      </c>
      <c r="K9" s="411">
        <f t="shared" si="2"/>
        <v>0</v>
      </c>
      <c r="L9" s="412"/>
      <c r="M9" s="412">
        <v>3150</v>
      </c>
      <c r="N9" s="412">
        <v>0</v>
      </c>
      <c r="O9" s="412">
        <v>3250</v>
      </c>
      <c r="P9" s="412">
        <v>0</v>
      </c>
      <c r="Q9" s="412">
        <v>0</v>
      </c>
      <c r="R9" s="412">
        <v>0</v>
      </c>
      <c r="S9" s="412">
        <v>0</v>
      </c>
      <c r="T9" s="412">
        <v>0</v>
      </c>
      <c r="U9" s="412">
        <v>0</v>
      </c>
      <c r="V9" s="412">
        <v>0</v>
      </c>
      <c r="W9" s="412">
        <v>0</v>
      </c>
      <c r="X9" s="412">
        <v>0</v>
      </c>
      <c r="Y9" s="412">
        <v>0</v>
      </c>
      <c r="Z9" s="412">
        <v>0</v>
      </c>
      <c r="AA9" s="412">
        <v>3250</v>
      </c>
      <c r="AB9" s="412">
        <v>3250</v>
      </c>
      <c r="AC9" s="412">
        <v>100</v>
      </c>
      <c r="AD9" s="412">
        <v>0</v>
      </c>
      <c r="AE9" s="412">
        <v>0</v>
      </c>
      <c r="AF9" s="412">
        <v>0</v>
      </c>
      <c r="AG9" s="412" t="s">
        <v>457</v>
      </c>
      <c r="AH9" s="413"/>
    </row>
    <row r="10" spans="1:34" x14ac:dyDescent="0.25">
      <c r="A10" s="415" t="s">
        <v>226</v>
      </c>
      <c r="B10" s="406" t="s">
        <v>23</v>
      </c>
      <c r="C10" s="407" t="s">
        <v>24</v>
      </c>
      <c r="D10" s="408">
        <v>122000</v>
      </c>
      <c r="E10" s="409">
        <v>100000</v>
      </c>
      <c r="F10" s="408"/>
      <c r="G10" s="408"/>
      <c r="H10" s="408"/>
      <c r="I10" s="408">
        <f t="shared" si="0"/>
        <v>22000</v>
      </c>
      <c r="J10" s="410">
        <f t="shared" si="1"/>
        <v>122000</v>
      </c>
      <c r="K10" s="411">
        <f t="shared" si="2"/>
        <v>0</v>
      </c>
      <c r="L10" s="412"/>
      <c r="M10" s="412">
        <v>53000</v>
      </c>
      <c r="N10" s="412">
        <v>0</v>
      </c>
      <c r="O10" s="412">
        <v>103000</v>
      </c>
      <c r="P10" s="412">
        <v>0</v>
      </c>
      <c r="Q10" s="412">
        <v>70731.41</v>
      </c>
      <c r="R10" s="412">
        <v>26530.740000000005</v>
      </c>
      <c r="S10" s="412">
        <v>44200.67</v>
      </c>
      <c r="T10" s="412">
        <v>18282.469999999998</v>
      </c>
      <c r="U10" s="412">
        <v>25918.2</v>
      </c>
      <c r="V10" s="412">
        <v>5408.7000000000007</v>
      </c>
      <c r="W10" s="412">
        <v>20509.5</v>
      </c>
      <c r="X10" s="412">
        <v>0</v>
      </c>
      <c r="Y10" s="412">
        <v>20509.5</v>
      </c>
      <c r="Z10" s="412">
        <v>0</v>
      </c>
      <c r="AA10" s="412">
        <v>32268.59</v>
      </c>
      <c r="AB10" s="412">
        <v>77081.8</v>
      </c>
      <c r="AC10" s="412">
        <v>31.328728155339807</v>
      </c>
      <c r="AD10" s="412">
        <v>42.913271844660194</v>
      </c>
      <c r="AE10" s="412">
        <v>25.163300970873788</v>
      </c>
      <c r="AF10" s="412">
        <v>79.131652661064422</v>
      </c>
      <c r="AG10" s="412" t="s">
        <v>458</v>
      </c>
      <c r="AH10" s="413"/>
    </row>
    <row r="11" spans="1:34" x14ac:dyDescent="0.25">
      <c r="A11" s="405" t="s">
        <v>237</v>
      </c>
      <c r="B11" s="406" t="s">
        <v>238</v>
      </c>
      <c r="C11" s="407" t="s">
        <v>239</v>
      </c>
      <c r="D11" s="408">
        <v>1343774</v>
      </c>
      <c r="E11" s="409">
        <v>1100000</v>
      </c>
      <c r="F11" s="408"/>
      <c r="G11" s="408">
        <v>200524</v>
      </c>
      <c r="H11" s="408"/>
      <c r="I11" s="408">
        <f t="shared" si="0"/>
        <v>43250</v>
      </c>
      <c r="J11" s="410">
        <f t="shared" si="1"/>
        <v>1343774</v>
      </c>
      <c r="K11" s="411">
        <f t="shared" si="2"/>
        <v>0</v>
      </c>
      <c r="L11" s="412"/>
      <c r="M11" s="412">
        <v>2202920</v>
      </c>
      <c r="N11" s="412">
        <v>0</v>
      </c>
      <c r="O11" s="412">
        <v>2240920</v>
      </c>
      <c r="P11" s="412">
        <v>0</v>
      </c>
      <c r="Q11" s="412">
        <v>2240920</v>
      </c>
      <c r="R11" s="412">
        <v>0</v>
      </c>
      <c r="S11" s="412">
        <v>2240920</v>
      </c>
      <c r="T11" s="412">
        <v>2237072.2000000002</v>
      </c>
      <c r="U11" s="412">
        <v>3847.8</v>
      </c>
      <c r="V11" s="412">
        <v>0</v>
      </c>
      <c r="W11" s="412">
        <v>3847.8</v>
      </c>
      <c r="X11" s="412">
        <v>0</v>
      </c>
      <c r="Y11" s="412">
        <v>3847.8</v>
      </c>
      <c r="Z11" s="412">
        <v>0</v>
      </c>
      <c r="AA11" s="412">
        <v>0</v>
      </c>
      <c r="AB11" s="412">
        <v>2237072.2000000002</v>
      </c>
      <c r="AC11" s="412">
        <v>0</v>
      </c>
      <c r="AD11" s="412">
        <v>100</v>
      </c>
      <c r="AE11" s="412">
        <v>0.1717062634989201</v>
      </c>
      <c r="AF11" s="412">
        <v>100</v>
      </c>
      <c r="AG11" s="412" t="s">
        <v>459</v>
      </c>
      <c r="AH11" s="413"/>
    </row>
    <row r="12" spans="1:34" x14ac:dyDescent="0.25">
      <c r="A12" s="405"/>
      <c r="B12" s="406" t="s">
        <v>34</v>
      </c>
      <c r="C12" s="407" t="s">
        <v>35</v>
      </c>
      <c r="D12" s="408">
        <v>100</v>
      </c>
      <c r="E12" s="409"/>
      <c r="F12" s="408"/>
      <c r="G12" s="408"/>
      <c r="H12" s="408"/>
      <c r="I12" s="408">
        <f t="shared" si="0"/>
        <v>100</v>
      </c>
      <c r="J12" s="410">
        <f t="shared" si="1"/>
        <v>100</v>
      </c>
      <c r="K12" s="411">
        <f t="shared" si="2"/>
        <v>0</v>
      </c>
      <c r="L12" s="412"/>
      <c r="M12" s="412">
        <v>0</v>
      </c>
      <c r="N12" s="412">
        <v>0</v>
      </c>
      <c r="O12" s="412">
        <v>100</v>
      </c>
      <c r="P12" s="412">
        <v>0</v>
      </c>
      <c r="Q12" s="412">
        <v>0</v>
      </c>
      <c r="R12" s="412">
        <v>0</v>
      </c>
      <c r="S12" s="412">
        <v>0</v>
      </c>
      <c r="T12" s="412">
        <v>0</v>
      </c>
      <c r="U12" s="412">
        <v>0</v>
      </c>
      <c r="V12" s="412">
        <v>0</v>
      </c>
      <c r="W12" s="412">
        <v>0</v>
      </c>
      <c r="X12" s="412">
        <v>0</v>
      </c>
      <c r="Y12" s="412">
        <v>0</v>
      </c>
      <c r="Z12" s="412">
        <v>0</v>
      </c>
      <c r="AA12" s="412">
        <v>100</v>
      </c>
      <c r="AB12" s="412">
        <v>100</v>
      </c>
      <c r="AC12" s="412">
        <v>100</v>
      </c>
      <c r="AD12" s="412">
        <v>0</v>
      </c>
      <c r="AE12" s="412">
        <v>0</v>
      </c>
      <c r="AF12" s="412">
        <v>0</v>
      </c>
      <c r="AG12" s="412" t="s">
        <v>460</v>
      </c>
      <c r="AH12" s="413"/>
    </row>
    <row r="13" spans="1:34" ht="16.5" customHeight="1" x14ac:dyDescent="0.25">
      <c r="A13" s="405" t="s">
        <v>461</v>
      </c>
      <c r="B13" s="406" t="s">
        <v>462</v>
      </c>
      <c r="C13" s="407" t="s">
        <v>463</v>
      </c>
      <c r="D13" s="408">
        <v>258900</v>
      </c>
      <c r="E13" s="409"/>
      <c r="F13" s="408">
        <v>258900</v>
      </c>
      <c r="G13" s="408"/>
      <c r="H13" s="408"/>
      <c r="I13" s="408">
        <f t="shared" si="0"/>
        <v>0</v>
      </c>
      <c r="J13" s="410">
        <f t="shared" si="1"/>
        <v>258900</v>
      </c>
      <c r="K13" s="411">
        <f t="shared" si="2"/>
        <v>0</v>
      </c>
      <c r="L13" s="412"/>
      <c r="M13" s="412">
        <v>0</v>
      </c>
      <c r="N13" s="412">
        <v>0</v>
      </c>
      <c r="O13" s="412">
        <v>1322523</v>
      </c>
      <c r="P13" s="412">
        <v>0</v>
      </c>
      <c r="Q13" s="412">
        <v>1322476.43</v>
      </c>
      <c r="R13" s="412">
        <v>0</v>
      </c>
      <c r="S13" s="412">
        <v>1322476.43</v>
      </c>
      <c r="T13" s="412">
        <v>1322476.43</v>
      </c>
      <c r="U13" s="412">
        <v>0</v>
      </c>
      <c r="V13" s="412">
        <v>0</v>
      </c>
      <c r="W13" s="412">
        <v>0</v>
      </c>
      <c r="X13" s="412">
        <v>0</v>
      </c>
      <c r="Y13" s="412">
        <v>0</v>
      </c>
      <c r="Z13" s="412">
        <v>0</v>
      </c>
      <c r="AA13" s="412">
        <v>46.57</v>
      </c>
      <c r="AB13" s="412">
        <v>1322523</v>
      </c>
      <c r="AC13" s="412">
        <v>3.5212998186042888E-3</v>
      </c>
      <c r="AD13" s="412">
        <v>99.996478700181385</v>
      </c>
      <c r="AE13" s="412">
        <v>0</v>
      </c>
      <c r="AF13" s="412">
        <v>0</v>
      </c>
      <c r="AG13" s="412" t="s">
        <v>464</v>
      </c>
      <c r="AH13" s="413"/>
    </row>
    <row r="14" spans="1:34" ht="30" x14ac:dyDescent="0.25">
      <c r="A14" s="415" t="s">
        <v>270</v>
      </c>
      <c r="B14" s="406" t="s">
        <v>39</v>
      </c>
      <c r="C14" s="407" t="s">
        <v>40</v>
      </c>
      <c r="D14" s="408">
        <v>100000</v>
      </c>
      <c r="E14" s="409">
        <f>D14</f>
        <v>100000</v>
      </c>
      <c r="F14" s="408"/>
      <c r="G14" s="408"/>
      <c r="H14" s="408"/>
      <c r="I14" s="408">
        <f t="shared" si="0"/>
        <v>0</v>
      </c>
      <c r="J14" s="410">
        <f t="shared" si="1"/>
        <v>100000</v>
      </c>
      <c r="K14" s="411">
        <f t="shared" si="2"/>
        <v>0</v>
      </c>
      <c r="L14" s="412"/>
      <c r="M14" s="412">
        <v>0</v>
      </c>
      <c r="N14" s="412">
        <v>0</v>
      </c>
      <c r="O14" s="412">
        <v>75000</v>
      </c>
      <c r="P14" s="412">
        <v>0</v>
      </c>
      <c r="Q14" s="412">
        <v>75000</v>
      </c>
      <c r="R14" s="412">
        <v>0</v>
      </c>
      <c r="S14" s="412">
        <v>75000</v>
      </c>
      <c r="T14" s="412">
        <v>75000</v>
      </c>
      <c r="U14" s="412">
        <v>0</v>
      </c>
      <c r="V14" s="412">
        <v>0</v>
      </c>
      <c r="W14" s="412">
        <v>0</v>
      </c>
      <c r="X14" s="412">
        <v>0</v>
      </c>
      <c r="Y14" s="412">
        <v>0</v>
      </c>
      <c r="Z14" s="412">
        <v>0</v>
      </c>
      <c r="AA14" s="412">
        <v>0</v>
      </c>
      <c r="AB14" s="412">
        <v>75000</v>
      </c>
      <c r="AC14" s="412">
        <v>0</v>
      </c>
      <c r="AD14" s="412">
        <v>100</v>
      </c>
      <c r="AE14" s="412">
        <v>0</v>
      </c>
      <c r="AF14" s="412">
        <v>0</v>
      </c>
      <c r="AG14" s="412" t="s">
        <v>465</v>
      </c>
      <c r="AH14" s="413"/>
    </row>
    <row r="15" spans="1:34" ht="30" x14ac:dyDescent="0.25">
      <c r="A15" s="405"/>
      <c r="B15" s="406" t="s">
        <v>466</v>
      </c>
      <c r="C15" s="407" t="s">
        <v>467</v>
      </c>
      <c r="D15" s="408">
        <v>5000</v>
      </c>
      <c r="E15" s="409"/>
      <c r="F15" s="408"/>
      <c r="G15" s="408"/>
      <c r="H15" s="408"/>
      <c r="I15" s="408">
        <f t="shared" si="0"/>
        <v>5000</v>
      </c>
      <c r="J15" s="410">
        <f t="shared" si="1"/>
        <v>5000</v>
      </c>
      <c r="K15" s="411">
        <f t="shared" si="2"/>
        <v>0</v>
      </c>
      <c r="L15" s="412"/>
      <c r="M15" s="412">
        <v>0</v>
      </c>
      <c r="N15" s="412">
        <v>0</v>
      </c>
      <c r="O15" s="412">
        <v>20000</v>
      </c>
      <c r="P15" s="412">
        <v>0</v>
      </c>
      <c r="Q15" s="412">
        <v>0</v>
      </c>
      <c r="R15" s="412">
        <v>0</v>
      </c>
      <c r="S15" s="412">
        <v>0</v>
      </c>
      <c r="T15" s="412">
        <v>0</v>
      </c>
      <c r="U15" s="412">
        <v>0</v>
      </c>
      <c r="V15" s="412">
        <v>0</v>
      </c>
      <c r="W15" s="412">
        <v>0</v>
      </c>
      <c r="X15" s="412">
        <v>0</v>
      </c>
      <c r="Y15" s="412">
        <v>0</v>
      </c>
      <c r="Z15" s="412">
        <v>0</v>
      </c>
      <c r="AA15" s="412">
        <v>20000</v>
      </c>
      <c r="AB15" s="412">
        <v>20000</v>
      </c>
      <c r="AC15" s="412">
        <v>100</v>
      </c>
      <c r="AD15" s="412">
        <v>0</v>
      </c>
      <c r="AE15" s="412">
        <v>0</v>
      </c>
      <c r="AF15" s="412">
        <v>0</v>
      </c>
      <c r="AG15" s="412" t="s">
        <v>468</v>
      </c>
      <c r="AH15" s="413"/>
    </row>
    <row r="16" spans="1:34" ht="30" x14ac:dyDescent="0.25">
      <c r="A16" s="405"/>
      <c r="B16" s="406" t="s">
        <v>55</v>
      </c>
      <c r="C16" s="407" t="s">
        <v>56</v>
      </c>
      <c r="D16" s="408">
        <v>100</v>
      </c>
      <c r="E16" s="409"/>
      <c r="F16" s="408"/>
      <c r="G16" s="408"/>
      <c r="H16" s="408"/>
      <c r="I16" s="408">
        <f t="shared" si="0"/>
        <v>100</v>
      </c>
      <c r="J16" s="410">
        <f t="shared" si="1"/>
        <v>100</v>
      </c>
      <c r="K16" s="411">
        <f t="shared" si="2"/>
        <v>0</v>
      </c>
      <c r="L16" s="412"/>
      <c r="M16" s="412">
        <v>0</v>
      </c>
      <c r="N16" s="412">
        <v>0</v>
      </c>
      <c r="O16" s="412">
        <v>100</v>
      </c>
      <c r="P16" s="412">
        <v>0</v>
      </c>
      <c r="Q16" s="412">
        <v>0</v>
      </c>
      <c r="R16" s="412">
        <v>0</v>
      </c>
      <c r="S16" s="412">
        <v>0</v>
      </c>
      <c r="T16" s="412">
        <v>0</v>
      </c>
      <c r="U16" s="412">
        <v>0</v>
      </c>
      <c r="V16" s="412">
        <v>0</v>
      </c>
      <c r="W16" s="412">
        <v>0</v>
      </c>
      <c r="X16" s="412">
        <v>0</v>
      </c>
      <c r="Y16" s="412">
        <v>0</v>
      </c>
      <c r="Z16" s="412">
        <v>0</v>
      </c>
      <c r="AA16" s="412">
        <v>100</v>
      </c>
      <c r="AB16" s="412">
        <v>100</v>
      </c>
      <c r="AC16" s="412">
        <v>100</v>
      </c>
      <c r="AD16" s="412">
        <v>0</v>
      </c>
      <c r="AE16" s="412">
        <v>0</v>
      </c>
      <c r="AF16" s="412">
        <v>0</v>
      </c>
      <c r="AG16" s="412" t="s">
        <v>469</v>
      </c>
      <c r="AH16" s="413"/>
    </row>
    <row r="17" spans="1:34" ht="30" x14ac:dyDescent="0.25">
      <c r="A17" s="405"/>
      <c r="B17" s="406" t="s">
        <v>57</v>
      </c>
      <c r="C17" s="407" t="s">
        <v>431</v>
      </c>
      <c r="D17" s="408">
        <v>100</v>
      </c>
      <c r="E17" s="409"/>
      <c r="F17" s="408"/>
      <c r="G17" s="408"/>
      <c r="H17" s="408"/>
      <c r="I17" s="408">
        <f t="shared" si="0"/>
        <v>100</v>
      </c>
      <c r="J17" s="410">
        <f t="shared" si="1"/>
        <v>100</v>
      </c>
      <c r="K17" s="411">
        <f t="shared" si="2"/>
        <v>0</v>
      </c>
      <c r="L17" s="412"/>
      <c r="M17" s="412">
        <v>3570</v>
      </c>
      <c r="N17" s="412">
        <v>0</v>
      </c>
      <c r="O17" s="412">
        <v>3670</v>
      </c>
      <c r="P17" s="412">
        <v>0</v>
      </c>
      <c r="Q17" s="412">
        <v>3569.5</v>
      </c>
      <c r="R17" s="412">
        <v>0</v>
      </c>
      <c r="S17" s="412">
        <v>3569.5</v>
      </c>
      <c r="T17" s="412">
        <v>0</v>
      </c>
      <c r="U17" s="412">
        <v>3569.5</v>
      </c>
      <c r="V17" s="412">
        <v>0</v>
      </c>
      <c r="W17" s="412">
        <v>3569.5</v>
      </c>
      <c r="X17" s="412">
        <v>0</v>
      </c>
      <c r="Y17" s="412">
        <v>3569.5</v>
      </c>
      <c r="Z17" s="412">
        <v>0</v>
      </c>
      <c r="AA17" s="412">
        <v>100.5</v>
      </c>
      <c r="AB17" s="412">
        <v>100.5</v>
      </c>
      <c r="AC17" s="412">
        <v>2.73841961852861</v>
      </c>
      <c r="AD17" s="412">
        <v>97.26158038147139</v>
      </c>
      <c r="AE17" s="412">
        <v>97.26158038147139</v>
      </c>
      <c r="AF17" s="412">
        <v>100</v>
      </c>
      <c r="AG17" s="412" t="s">
        <v>470</v>
      </c>
      <c r="AH17" s="413"/>
    </row>
    <row r="18" spans="1:34" x14ac:dyDescent="0.25">
      <c r="A18" s="405"/>
      <c r="B18" s="406" t="s">
        <v>414</v>
      </c>
      <c r="C18" s="407" t="s">
        <v>64</v>
      </c>
      <c r="D18" s="408">
        <v>3000</v>
      </c>
      <c r="E18" s="409"/>
      <c r="F18" s="408"/>
      <c r="G18" s="408"/>
      <c r="H18" s="408"/>
      <c r="I18" s="408">
        <f t="shared" si="0"/>
        <v>3000</v>
      </c>
      <c r="J18" s="410">
        <f t="shared" si="1"/>
        <v>3000</v>
      </c>
      <c r="K18" s="411">
        <f t="shared" si="2"/>
        <v>0</v>
      </c>
      <c r="L18" s="412"/>
      <c r="M18" s="412">
        <v>0</v>
      </c>
      <c r="N18" s="412">
        <v>0</v>
      </c>
      <c r="O18" s="412">
        <v>1000</v>
      </c>
      <c r="P18" s="412">
        <v>0</v>
      </c>
      <c r="Q18" s="412">
        <v>0</v>
      </c>
      <c r="R18" s="412">
        <v>0</v>
      </c>
      <c r="S18" s="412">
        <v>0</v>
      </c>
      <c r="T18" s="412">
        <v>0</v>
      </c>
      <c r="U18" s="412">
        <v>0</v>
      </c>
      <c r="V18" s="412">
        <v>0</v>
      </c>
      <c r="W18" s="412">
        <v>0</v>
      </c>
      <c r="X18" s="412">
        <v>0</v>
      </c>
      <c r="Y18" s="412">
        <v>0</v>
      </c>
      <c r="Z18" s="412">
        <v>0</v>
      </c>
      <c r="AA18" s="412">
        <v>1000</v>
      </c>
      <c r="AB18" s="412">
        <v>1000</v>
      </c>
      <c r="AC18" s="412">
        <v>100</v>
      </c>
      <c r="AD18" s="412">
        <v>0</v>
      </c>
      <c r="AE18" s="412">
        <v>0</v>
      </c>
      <c r="AF18" s="412">
        <v>0</v>
      </c>
      <c r="AG18" s="412" t="s">
        <v>471</v>
      </c>
      <c r="AH18" s="413"/>
    </row>
    <row r="19" spans="1:34" ht="30" x14ac:dyDescent="0.25">
      <c r="A19" s="405"/>
      <c r="B19" s="406" t="s">
        <v>68</v>
      </c>
      <c r="C19" s="407" t="s">
        <v>69</v>
      </c>
      <c r="D19" s="408">
        <v>4500</v>
      </c>
      <c r="E19" s="409"/>
      <c r="F19" s="408"/>
      <c r="G19" s="408"/>
      <c r="H19" s="408"/>
      <c r="I19" s="408">
        <f t="shared" si="0"/>
        <v>4500</v>
      </c>
      <c r="J19" s="410">
        <f t="shared" si="1"/>
        <v>4500</v>
      </c>
      <c r="K19" s="411">
        <f t="shared" si="2"/>
        <v>0</v>
      </c>
      <c r="L19" s="412"/>
      <c r="M19" s="412">
        <v>0</v>
      </c>
      <c r="N19" s="412">
        <v>0</v>
      </c>
      <c r="O19" s="412">
        <v>1000</v>
      </c>
      <c r="P19" s="412">
        <v>0</v>
      </c>
      <c r="Q19" s="412">
        <v>925.65</v>
      </c>
      <c r="R19" s="412">
        <v>0</v>
      </c>
      <c r="S19" s="412">
        <v>925.65</v>
      </c>
      <c r="T19" s="412">
        <v>925.65</v>
      </c>
      <c r="U19" s="412">
        <v>0</v>
      </c>
      <c r="V19" s="412">
        <v>0</v>
      </c>
      <c r="W19" s="412">
        <v>0</v>
      </c>
      <c r="X19" s="412">
        <v>0</v>
      </c>
      <c r="Y19" s="412">
        <v>0</v>
      </c>
      <c r="Z19" s="412">
        <v>0</v>
      </c>
      <c r="AA19" s="412">
        <v>74.349999999999994</v>
      </c>
      <c r="AB19" s="412">
        <v>1000</v>
      </c>
      <c r="AC19" s="412">
        <v>7.4349999999999996</v>
      </c>
      <c r="AD19" s="412">
        <v>92.564999999999998</v>
      </c>
      <c r="AE19" s="412">
        <v>0</v>
      </c>
      <c r="AF19" s="412">
        <v>0</v>
      </c>
      <c r="AG19" s="412" t="s">
        <v>472</v>
      </c>
      <c r="AH19" s="413"/>
    </row>
    <row r="20" spans="1:34" ht="15" customHeight="1" x14ac:dyDescent="0.25">
      <c r="A20" s="405"/>
      <c r="B20" s="406" t="s">
        <v>70</v>
      </c>
      <c r="C20" s="407" t="s">
        <v>71</v>
      </c>
      <c r="D20" s="408">
        <v>1000</v>
      </c>
      <c r="E20" s="409"/>
      <c r="F20" s="408"/>
      <c r="G20" s="408"/>
      <c r="H20" s="408"/>
      <c r="I20" s="408">
        <f t="shared" si="0"/>
        <v>1000</v>
      </c>
      <c r="J20" s="410">
        <f t="shared" si="1"/>
        <v>1000</v>
      </c>
      <c r="K20" s="411">
        <f t="shared" si="2"/>
        <v>0</v>
      </c>
      <c r="L20" s="412"/>
      <c r="M20" s="412">
        <v>0</v>
      </c>
      <c r="N20" s="412">
        <v>0</v>
      </c>
      <c r="O20" s="412">
        <v>4000</v>
      </c>
      <c r="P20" s="412">
        <v>0</v>
      </c>
      <c r="Q20" s="412">
        <v>1659</v>
      </c>
      <c r="R20" s="412">
        <v>0</v>
      </c>
      <c r="S20" s="412">
        <v>1659</v>
      </c>
      <c r="T20" s="412">
        <v>1659</v>
      </c>
      <c r="U20" s="412">
        <v>0</v>
      </c>
      <c r="V20" s="412">
        <v>0</v>
      </c>
      <c r="W20" s="412">
        <v>0</v>
      </c>
      <c r="X20" s="412">
        <v>0</v>
      </c>
      <c r="Y20" s="412">
        <v>0</v>
      </c>
      <c r="Z20" s="412">
        <v>0</v>
      </c>
      <c r="AA20" s="412">
        <v>2341</v>
      </c>
      <c r="AB20" s="412">
        <v>4000</v>
      </c>
      <c r="AC20" s="412">
        <v>58.525000000000006</v>
      </c>
      <c r="AD20" s="412">
        <v>41.475000000000001</v>
      </c>
      <c r="AE20" s="412">
        <v>0</v>
      </c>
      <c r="AF20" s="412">
        <v>0</v>
      </c>
      <c r="AG20" s="412" t="s">
        <v>473</v>
      </c>
      <c r="AH20" s="413"/>
    </row>
    <row r="21" spans="1:34" ht="30" x14ac:dyDescent="0.25">
      <c r="A21" s="405"/>
      <c r="B21" s="406" t="s">
        <v>329</v>
      </c>
      <c r="C21" s="407" t="s">
        <v>81</v>
      </c>
      <c r="D21" s="408">
        <v>30000</v>
      </c>
      <c r="E21" s="409"/>
      <c r="F21" s="408"/>
      <c r="G21" s="408"/>
      <c r="H21" s="408"/>
      <c r="I21" s="408">
        <f t="shared" si="0"/>
        <v>30000</v>
      </c>
      <c r="J21" s="410">
        <f t="shared" si="1"/>
        <v>30000</v>
      </c>
      <c r="K21" s="411">
        <f t="shared" si="2"/>
        <v>0</v>
      </c>
      <c r="L21" s="412"/>
      <c r="M21" s="412">
        <v>46500</v>
      </c>
      <c r="N21" s="412">
        <v>0</v>
      </c>
      <c r="O21" s="412">
        <v>272519</v>
      </c>
      <c r="P21" s="412">
        <v>106664.18</v>
      </c>
      <c r="Q21" s="412">
        <v>103485.3</v>
      </c>
      <c r="R21" s="412">
        <v>12731.720000000001</v>
      </c>
      <c r="S21" s="412">
        <v>90753.58</v>
      </c>
      <c r="T21" s="412">
        <v>90753.58</v>
      </c>
      <c r="U21" s="412">
        <v>0</v>
      </c>
      <c r="V21" s="412">
        <v>0</v>
      </c>
      <c r="W21" s="412">
        <v>0</v>
      </c>
      <c r="X21" s="412">
        <v>0</v>
      </c>
      <c r="Y21" s="412">
        <v>0</v>
      </c>
      <c r="Z21" s="412">
        <v>0</v>
      </c>
      <c r="AA21" s="412">
        <v>62369.52</v>
      </c>
      <c r="AB21" s="412">
        <v>272519</v>
      </c>
      <c r="AC21" s="412">
        <v>22.886301505583095</v>
      </c>
      <c r="AD21" s="412">
        <v>33.301744098576613</v>
      </c>
      <c r="AE21" s="412">
        <v>0</v>
      </c>
      <c r="AF21" s="412">
        <v>0</v>
      </c>
      <c r="AG21" s="412" t="s">
        <v>474</v>
      </c>
      <c r="AH21" s="413"/>
    </row>
    <row r="22" spans="1:34" x14ac:dyDescent="0.25">
      <c r="A22" s="405"/>
      <c r="B22" s="416" t="s">
        <v>475</v>
      </c>
      <c r="C22" s="407" t="s">
        <v>476</v>
      </c>
      <c r="D22" s="408">
        <v>53940</v>
      </c>
      <c r="E22" s="409"/>
      <c r="F22" s="408"/>
      <c r="G22" s="408"/>
      <c r="H22" s="408"/>
      <c r="I22" s="408">
        <f t="shared" si="0"/>
        <v>53940</v>
      </c>
      <c r="J22" s="410">
        <f t="shared" si="1"/>
        <v>53940</v>
      </c>
      <c r="K22" s="411">
        <f t="shared" si="2"/>
        <v>0</v>
      </c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2"/>
      <c r="AG22" s="412"/>
      <c r="AH22" s="413"/>
    </row>
    <row r="23" spans="1:34" x14ac:dyDescent="0.25">
      <c r="A23" s="405"/>
      <c r="B23" s="406" t="s">
        <v>74</v>
      </c>
      <c r="C23" s="407" t="s">
        <v>75</v>
      </c>
      <c r="D23" s="408">
        <v>20000</v>
      </c>
      <c r="E23" s="409"/>
      <c r="F23" s="408"/>
      <c r="G23" s="408"/>
      <c r="H23" s="408"/>
      <c r="I23" s="408">
        <f t="shared" si="0"/>
        <v>20000</v>
      </c>
      <c r="J23" s="410">
        <f t="shared" si="1"/>
        <v>20000</v>
      </c>
      <c r="K23" s="411">
        <f t="shared" si="2"/>
        <v>0</v>
      </c>
      <c r="L23" s="412"/>
      <c r="M23" s="412">
        <v>0</v>
      </c>
      <c r="N23" s="412">
        <v>0</v>
      </c>
      <c r="O23" s="412">
        <v>100</v>
      </c>
      <c r="P23" s="412">
        <v>0</v>
      </c>
      <c r="Q23" s="412">
        <v>0</v>
      </c>
      <c r="R23" s="412">
        <v>0</v>
      </c>
      <c r="S23" s="412">
        <v>0</v>
      </c>
      <c r="T23" s="412">
        <v>0</v>
      </c>
      <c r="U23" s="412">
        <v>0</v>
      </c>
      <c r="V23" s="412">
        <v>0</v>
      </c>
      <c r="W23" s="412">
        <v>0</v>
      </c>
      <c r="X23" s="412">
        <v>0</v>
      </c>
      <c r="Y23" s="412">
        <v>0</v>
      </c>
      <c r="Z23" s="412">
        <v>0</v>
      </c>
      <c r="AA23" s="412">
        <v>100</v>
      </c>
      <c r="AB23" s="412">
        <v>100</v>
      </c>
      <c r="AC23" s="412">
        <v>100</v>
      </c>
      <c r="AD23" s="412">
        <v>0</v>
      </c>
      <c r="AE23" s="412">
        <v>0</v>
      </c>
      <c r="AF23" s="412">
        <v>0</v>
      </c>
      <c r="AG23" s="412" t="s">
        <v>477</v>
      </c>
      <c r="AH23" s="413"/>
    </row>
    <row r="24" spans="1:34" x14ac:dyDescent="0.25">
      <c r="A24" s="405"/>
      <c r="B24" s="406" t="s">
        <v>76</v>
      </c>
      <c r="C24" s="407" t="s">
        <v>77</v>
      </c>
      <c r="D24" s="408">
        <v>100</v>
      </c>
      <c r="E24" s="409"/>
      <c r="F24" s="408"/>
      <c r="G24" s="408"/>
      <c r="H24" s="408"/>
      <c r="I24" s="408">
        <f t="shared" si="0"/>
        <v>100</v>
      </c>
      <c r="J24" s="410">
        <f t="shared" si="1"/>
        <v>100</v>
      </c>
      <c r="K24" s="411">
        <f t="shared" si="2"/>
        <v>0</v>
      </c>
      <c r="L24" s="412"/>
      <c r="M24" s="412">
        <v>60000</v>
      </c>
      <c r="N24" s="412">
        <v>0</v>
      </c>
      <c r="O24" s="412">
        <v>60100</v>
      </c>
      <c r="P24" s="412">
        <v>0</v>
      </c>
      <c r="Q24" s="412">
        <v>0</v>
      </c>
      <c r="R24" s="412">
        <v>0</v>
      </c>
      <c r="S24" s="412">
        <v>0</v>
      </c>
      <c r="T24" s="412">
        <v>0</v>
      </c>
      <c r="U24" s="412">
        <v>0</v>
      </c>
      <c r="V24" s="412">
        <v>0</v>
      </c>
      <c r="W24" s="412">
        <v>0</v>
      </c>
      <c r="X24" s="412">
        <v>0</v>
      </c>
      <c r="Y24" s="412">
        <v>0</v>
      </c>
      <c r="Z24" s="412">
        <v>0</v>
      </c>
      <c r="AA24" s="412">
        <v>60100</v>
      </c>
      <c r="AB24" s="412">
        <v>60100</v>
      </c>
      <c r="AC24" s="412">
        <v>100</v>
      </c>
      <c r="AD24" s="412">
        <v>0</v>
      </c>
      <c r="AE24" s="412">
        <v>0</v>
      </c>
      <c r="AF24" s="412">
        <v>0</v>
      </c>
      <c r="AG24" s="412" t="s">
        <v>478</v>
      </c>
      <c r="AH24" s="413"/>
    </row>
    <row r="25" spans="1:34" x14ac:dyDescent="0.25">
      <c r="A25" s="415" t="s">
        <v>479</v>
      </c>
      <c r="B25" s="406" t="s">
        <v>480</v>
      </c>
      <c r="C25" s="407" t="s">
        <v>481</v>
      </c>
      <c r="D25" s="408">
        <v>360000</v>
      </c>
      <c r="E25" s="409">
        <f>D25</f>
        <v>360000</v>
      </c>
      <c r="F25" s="408"/>
      <c r="G25" s="408"/>
      <c r="H25" s="408"/>
      <c r="I25" s="408">
        <f t="shared" si="0"/>
        <v>0</v>
      </c>
      <c r="J25" s="410">
        <f t="shared" si="1"/>
        <v>360000</v>
      </c>
      <c r="K25" s="411">
        <f t="shared" si="2"/>
        <v>0</v>
      </c>
      <c r="L25" s="412"/>
      <c r="M25" s="412">
        <v>0</v>
      </c>
      <c r="N25" s="412">
        <v>0</v>
      </c>
      <c r="O25" s="412">
        <v>222000</v>
      </c>
      <c r="P25" s="412">
        <v>0</v>
      </c>
      <c r="Q25" s="412">
        <v>221994.6</v>
      </c>
      <c r="R25" s="412">
        <v>221994.6</v>
      </c>
      <c r="S25" s="412">
        <v>0</v>
      </c>
      <c r="T25" s="412">
        <v>0</v>
      </c>
      <c r="U25" s="412">
        <v>0</v>
      </c>
      <c r="V25" s="412">
        <v>0</v>
      </c>
      <c r="W25" s="412">
        <v>0</v>
      </c>
      <c r="X25" s="412">
        <v>0</v>
      </c>
      <c r="Y25" s="412">
        <v>0</v>
      </c>
      <c r="Z25" s="412">
        <v>0</v>
      </c>
      <c r="AA25" s="412">
        <v>5.4</v>
      </c>
      <c r="AB25" s="412">
        <v>222000</v>
      </c>
      <c r="AC25" s="412">
        <v>2.4324324324324327E-3</v>
      </c>
      <c r="AD25" s="412">
        <v>0</v>
      </c>
      <c r="AE25" s="412">
        <v>0</v>
      </c>
      <c r="AF25" s="412">
        <v>0</v>
      </c>
      <c r="AG25" s="412" t="s">
        <v>482</v>
      </c>
      <c r="AH25" s="413"/>
    </row>
    <row r="26" spans="1:34" x14ac:dyDescent="0.25">
      <c r="A26" s="405"/>
      <c r="B26" s="406" t="s">
        <v>483</v>
      </c>
      <c r="C26" s="407" t="s">
        <v>430</v>
      </c>
      <c r="D26" s="408">
        <v>100</v>
      </c>
      <c r="E26" s="409"/>
      <c r="F26" s="408"/>
      <c r="G26" s="408"/>
      <c r="H26" s="408"/>
      <c r="I26" s="408">
        <f t="shared" si="0"/>
        <v>100</v>
      </c>
      <c r="J26" s="410">
        <f t="shared" si="1"/>
        <v>100</v>
      </c>
      <c r="K26" s="411">
        <f t="shared" si="2"/>
        <v>0</v>
      </c>
      <c r="L26" s="412"/>
      <c r="M26" s="412">
        <v>0</v>
      </c>
      <c r="N26" s="412">
        <v>0</v>
      </c>
      <c r="O26" s="412">
        <v>100</v>
      </c>
      <c r="P26" s="412">
        <v>0</v>
      </c>
      <c r="Q26" s="412">
        <v>0</v>
      </c>
      <c r="R26" s="412">
        <v>0</v>
      </c>
      <c r="S26" s="412">
        <v>0</v>
      </c>
      <c r="T26" s="412">
        <v>0</v>
      </c>
      <c r="U26" s="412">
        <v>0</v>
      </c>
      <c r="V26" s="412">
        <v>0</v>
      </c>
      <c r="W26" s="412">
        <v>0</v>
      </c>
      <c r="X26" s="412">
        <v>0</v>
      </c>
      <c r="Y26" s="412">
        <v>0</v>
      </c>
      <c r="Z26" s="412">
        <v>0</v>
      </c>
      <c r="AA26" s="412">
        <v>100</v>
      </c>
      <c r="AB26" s="412">
        <v>100</v>
      </c>
      <c r="AC26" s="412">
        <v>100</v>
      </c>
      <c r="AD26" s="412">
        <v>0</v>
      </c>
      <c r="AE26" s="412">
        <v>0</v>
      </c>
      <c r="AF26" s="412">
        <v>0</v>
      </c>
      <c r="AG26" s="412" t="s">
        <v>484</v>
      </c>
      <c r="AH26" s="413"/>
    </row>
    <row r="27" spans="1:34" x14ac:dyDescent="0.25">
      <c r="A27" s="415" t="s">
        <v>344</v>
      </c>
      <c r="B27" s="406" t="s">
        <v>343</v>
      </c>
      <c r="C27" s="407" t="s">
        <v>92</v>
      </c>
      <c r="D27" s="408">
        <v>100000</v>
      </c>
      <c r="E27" s="409">
        <f>D27</f>
        <v>100000</v>
      </c>
      <c r="F27" s="408"/>
      <c r="G27" s="408"/>
      <c r="H27" s="408"/>
      <c r="I27" s="408">
        <f t="shared" si="0"/>
        <v>0</v>
      </c>
      <c r="J27" s="410">
        <f t="shared" si="1"/>
        <v>100000</v>
      </c>
      <c r="K27" s="411">
        <f t="shared" si="2"/>
        <v>0</v>
      </c>
      <c r="L27" s="412"/>
      <c r="M27" s="412">
        <v>0</v>
      </c>
      <c r="N27" s="412">
        <v>0</v>
      </c>
      <c r="O27" s="412">
        <v>100000</v>
      </c>
      <c r="P27" s="412">
        <v>0</v>
      </c>
      <c r="Q27" s="412">
        <v>100000</v>
      </c>
      <c r="R27" s="412">
        <v>0</v>
      </c>
      <c r="S27" s="412">
        <v>100000</v>
      </c>
      <c r="T27" s="412">
        <v>100000</v>
      </c>
      <c r="U27" s="412">
        <v>0</v>
      </c>
      <c r="V27" s="412">
        <v>0</v>
      </c>
      <c r="W27" s="412">
        <v>0</v>
      </c>
      <c r="X27" s="412">
        <v>0</v>
      </c>
      <c r="Y27" s="412">
        <v>0</v>
      </c>
      <c r="Z27" s="412">
        <v>0</v>
      </c>
      <c r="AA27" s="412">
        <v>0</v>
      </c>
      <c r="AB27" s="412">
        <v>100000</v>
      </c>
      <c r="AC27" s="412">
        <v>0</v>
      </c>
      <c r="AD27" s="412">
        <v>100</v>
      </c>
      <c r="AE27" s="412">
        <v>0</v>
      </c>
      <c r="AF27" s="412">
        <v>0</v>
      </c>
      <c r="AG27" s="412" t="s">
        <v>485</v>
      </c>
      <c r="AH27" s="413"/>
    </row>
    <row r="28" spans="1:34" x14ac:dyDescent="0.25">
      <c r="A28" s="405"/>
      <c r="B28" s="406" t="s">
        <v>345</v>
      </c>
      <c r="C28" s="407" t="s">
        <v>79</v>
      </c>
      <c r="D28" s="408">
        <v>100</v>
      </c>
      <c r="E28" s="409"/>
      <c r="F28" s="408"/>
      <c r="G28" s="408"/>
      <c r="H28" s="408"/>
      <c r="I28" s="408">
        <f t="shared" si="0"/>
        <v>100</v>
      </c>
      <c r="J28" s="410">
        <f t="shared" si="1"/>
        <v>100</v>
      </c>
      <c r="K28" s="411">
        <f t="shared" si="2"/>
        <v>0</v>
      </c>
      <c r="L28" s="412"/>
      <c r="M28" s="412">
        <v>-60000</v>
      </c>
      <c r="N28" s="412">
        <v>0</v>
      </c>
      <c r="O28" s="412">
        <v>250000</v>
      </c>
      <c r="P28" s="412">
        <v>0</v>
      </c>
      <c r="Q28" s="412">
        <v>223271.41</v>
      </c>
      <c r="R28" s="412">
        <v>223271.41</v>
      </c>
      <c r="S28" s="412">
        <v>0</v>
      </c>
      <c r="T28" s="412">
        <v>0</v>
      </c>
      <c r="U28" s="412">
        <v>0</v>
      </c>
      <c r="V28" s="412">
        <v>0</v>
      </c>
      <c r="W28" s="412">
        <v>0</v>
      </c>
      <c r="X28" s="412">
        <v>0</v>
      </c>
      <c r="Y28" s="412">
        <v>0</v>
      </c>
      <c r="Z28" s="412">
        <v>0</v>
      </c>
      <c r="AA28" s="412">
        <v>26728.59</v>
      </c>
      <c r="AB28" s="412">
        <v>250000</v>
      </c>
      <c r="AC28" s="412">
        <v>10.691435999999999</v>
      </c>
      <c r="AD28" s="412">
        <v>0</v>
      </c>
      <c r="AE28" s="412">
        <v>0</v>
      </c>
      <c r="AF28" s="412">
        <v>0</v>
      </c>
      <c r="AG28" s="412" t="s">
        <v>486</v>
      </c>
      <c r="AH28" s="413"/>
    </row>
    <row r="29" spans="1:34" ht="30" x14ac:dyDescent="0.25">
      <c r="A29" s="415" t="s">
        <v>487</v>
      </c>
      <c r="B29" s="406" t="s">
        <v>83</v>
      </c>
      <c r="C29" s="407" t="s">
        <v>84</v>
      </c>
      <c r="D29" s="408">
        <v>668000</v>
      </c>
      <c r="E29" s="409">
        <f>D29</f>
        <v>668000</v>
      </c>
      <c r="F29" s="408"/>
      <c r="G29" s="408"/>
      <c r="H29" s="408"/>
      <c r="I29" s="408">
        <f t="shared" si="0"/>
        <v>0</v>
      </c>
      <c r="J29" s="410">
        <f t="shared" si="1"/>
        <v>668000</v>
      </c>
      <c r="K29" s="411">
        <f t="shared" si="2"/>
        <v>0</v>
      </c>
      <c r="L29" s="412"/>
      <c r="M29" s="412">
        <v>0</v>
      </c>
      <c r="N29" s="412">
        <v>0</v>
      </c>
      <c r="O29" s="412">
        <v>668000</v>
      </c>
      <c r="P29" s="412">
        <v>0</v>
      </c>
      <c r="Q29" s="412">
        <v>668000</v>
      </c>
      <c r="R29" s="412">
        <v>0</v>
      </c>
      <c r="S29" s="412">
        <v>668000</v>
      </c>
      <c r="T29" s="412">
        <v>162651.71000000002</v>
      </c>
      <c r="U29" s="412">
        <v>505348.29</v>
      </c>
      <c r="V29" s="412">
        <v>56149.81</v>
      </c>
      <c r="W29" s="412">
        <v>449198.48</v>
      </c>
      <c r="X29" s="412">
        <v>0</v>
      </c>
      <c r="Y29" s="412">
        <v>449198.48</v>
      </c>
      <c r="Z29" s="412">
        <v>0</v>
      </c>
      <c r="AA29" s="412">
        <v>0</v>
      </c>
      <c r="AB29" s="412">
        <v>162651.71000000002</v>
      </c>
      <c r="AC29" s="412">
        <v>0</v>
      </c>
      <c r="AD29" s="412">
        <v>100</v>
      </c>
      <c r="AE29" s="412">
        <v>75.65094161676646</v>
      </c>
      <c r="AF29" s="412">
        <v>88.888888888888886</v>
      </c>
      <c r="AG29" s="412" t="s">
        <v>488</v>
      </c>
      <c r="AH29" s="413"/>
    </row>
    <row r="30" spans="1:34" ht="30" x14ac:dyDescent="0.25">
      <c r="A30" s="405"/>
      <c r="B30" s="406" t="s">
        <v>85</v>
      </c>
      <c r="C30" s="407" t="s">
        <v>86</v>
      </c>
      <c r="D30" s="408">
        <v>50000</v>
      </c>
      <c r="E30" s="409"/>
      <c r="F30" s="408"/>
      <c r="G30" s="408"/>
      <c r="H30" s="408"/>
      <c r="I30" s="408">
        <f t="shared" si="0"/>
        <v>50000</v>
      </c>
      <c r="J30" s="410">
        <f t="shared" si="1"/>
        <v>50000</v>
      </c>
      <c r="K30" s="411">
        <f t="shared" si="2"/>
        <v>0</v>
      </c>
      <c r="L30" s="412"/>
      <c r="M30" s="412">
        <v>462630</v>
      </c>
      <c r="N30" s="412">
        <v>0</v>
      </c>
      <c r="O30" s="412">
        <v>512630</v>
      </c>
      <c r="P30" s="412">
        <v>0</v>
      </c>
      <c r="Q30" s="412">
        <v>326654.02</v>
      </c>
      <c r="R30" s="412">
        <v>0</v>
      </c>
      <c r="S30" s="412">
        <v>326654.02</v>
      </c>
      <c r="T30" s="412">
        <v>310139.94</v>
      </c>
      <c r="U30" s="412">
        <v>16514.080000000002</v>
      </c>
      <c r="V30" s="412">
        <v>0</v>
      </c>
      <c r="W30" s="412">
        <v>16514.080000000002</v>
      </c>
      <c r="X30" s="412">
        <v>0</v>
      </c>
      <c r="Y30" s="412">
        <v>16514.080000000002</v>
      </c>
      <c r="Z30" s="412">
        <v>0</v>
      </c>
      <c r="AA30" s="412">
        <v>185975.98</v>
      </c>
      <c r="AB30" s="412">
        <v>496115.92</v>
      </c>
      <c r="AC30" s="412">
        <v>36.278793671849094</v>
      </c>
      <c r="AD30" s="412">
        <v>63.721206328150913</v>
      </c>
      <c r="AE30" s="412">
        <v>3.2214423658389091</v>
      </c>
      <c r="AF30" s="412">
        <v>100</v>
      </c>
      <c r="AG30" s="412" t="s">
        <v>489</v>
      </c>
      <c r="AH30" s="413"/>
    </row>
    <row r="31" spans="1:34" x14ac:dyDescent="0.25">
      <c r="A31" s="405"/>
      <c r="B31" s="406" t="s">
        <v>490</v>
      </c>
      <c r="C31" s="407" t="s">
        <v>31</v>
      </c>
      <c r="D31" s="408">
        <v>110000</v>
      </c>
      <c r="E31" s="409"/>
      <c r="F31" s="408"/>
      <c r="G31" s="408"/>
      <c r="H31" s="408"/>
      <c r="I31" s="408">
        <f t="shared" si="0"/>
        <v>110000</v>
      </c>
      <c r="J31" s="410">
        <f t="shared" si="1"/>
        <v>110000</v>
      </c>
      <c r="K31" s="411">
        <f t="shared" si="2"/>
        <v>0</v>
      </c>
      <c r="L31" s="412"/>
      <c r="M31" s="412">
        <v>8898.4599999999991</v>
      </c>
      <c r="N31" s="412">
        <v>0</v>
      </c>
      <c r="O31" s="412">
        <v>158898.46</v>
      </c>
      <c r="P31" s="412">
        <v>0</v>
      </c>
      <c r="Q31" s="412">
        <v>33811.43</v>
      </c>
      <c r="R31" s="412">
        <v>0</v>
      </c>
      <c r="S31" s="412">
        <v>33811.43</v>
      </c>
      <c r="T31" s="412">
        <v>27761.49</v>
      </c>
      <c r="U31" s="412">
        <v>6049.94</v>
      </c>
      <c r="V31" s="412">
        <v>0</v>
      </c>
      <c r="W31" s="412">
        <v>6049.94</v>
      </c>
      <c r="X31" s="412">
        <v>0</v>
      </c>
      <c r="Y31" s="412">
        <v>6049.94</v>
      </c>
      <c r="Z31" s="412">
        <v>0</v>
      </c>
      <c r="AA31" s="412">
        <v>125087.03</v>
      </c>
      <c r="AB31" s="412">
        <v>152848.51999999999</v>
      </c>
      <c r="AC31" s="412">
        <v>78.72136079858798</v>
      </c>
      <c r="AD31" s="412">
        <v>21.278639201412023</v>
      </c>
      <c r="AE31" s="412">
        <v>3.8074251946809303</v>
      </c>
      <c r="AF31" s="412">
        <v>100</v>
      </c>
      <c r="AG31" s="412" t="s">
        <v>491</v>
      </c>
      <c r="AH31" s="413"/>
    </row>
    <row r="32" spans="1:34" x14ac:dyDescent="0.25">
      <c r="A32" s="405"/>
      <c r="B32" s="406" t="s">
        <v>492</v>
      </c>
      <c r="C32" s="407" t="s">
        <v>493</v>
      </c>
      <c r="D32" s="408">
        <v>45000</v>
      </c>
      <c r="E32" s="409"/>
      <c r="F32" s="408"/>
      <c r="G32" s="408"/>
      <c r="H32" s="408"/>
      <c r="I32" s="408">
        <f t="shared" si="0"/>
        <v>45000</v>
      </c>
      <c r="J32" s="410">
        <f t="shared" si="1"/>
        <v>45000</v>
      </c>
      <c r="K32" s="411">
        <f t="shared" si="2"/>
        <v>0</v>
      </c>
      <c r="L32" s="412"/>
      <c r="M32" s="412">
        <v>0</v>
      </c>
      <c r="N32" s="412">
        <v>0</v>
      </c>
      <c r="O32" s="412">
        <v>100000</v>
      </c>
      <c r="P32" s="412">
        <v>0</v>
      </c>
      <c r="Q32" s="412">
        <v>54675.3</v>
      </c>
      <c r="R32" s="412">
        <v>0</v>
      </c>
      <c r="S32" s="412">
        <v>54675.3</v>
      </c>
      <c r="T32" s="412">
        <v>13570.710000000006</v>
      </c>
      <c r="U32" s="412">
        <v>41104.589999999997</v>
      </c>
      <c r="V32" s="412">
        <v>0</v>
      </c>
      <c r="W32" s="412">
        <v>41104.589999999997</v>
      </c>
      <c r="X32" s="412">
        <v>0</v>
      </c>
      <c r="Y32" s="412">
        <v>41104.589999999997</v>
      </c>
      <c r="Z32" s="412">
        <v>0</v>
      </c>
      <c r="AA32" s="412">
        <v>45324.7</v>
      </c>
      <c r="AB32" s="412">
        <v>58895.41</v>
      </c>
      <c r="AC32" s="412">
        <v>45.324699999999993</v>
      </c>
      <c r="AD32" s="412">
        <v>54.675300000000007</v>
      </c>
      <c r="AE32" s="412">
        <v>41.104589999999995</v>
      </c>
      <c r="AF32" s="412">
        <v>100</v>
      </c>
      <c r="AG32" s="412" t="s">
        <v>494</v>
      </c>
      <c r="AH32" s="413"/>
    </row>
    <row r="33" spans="1:34" ht="30" x14ac:dyDescent="0.25">
      <c r="A33" s="405"/>
      <c r="B33" s="406" t="s">
        <v>495</v>
      </c>
      <c r="C33" s="407" t="s">
        <v>28</v>
      </c>
      <c r="D33" s="417">
        <v>100</v>
      </c>
      <c r="E33" s="409"/>
      <c r="F33" s="408"/>
      <c r="G33" s="408"/>
      <c r="H33" s="408"/>
      <c r="I33" s="408">
        <f t="shared" si="0"/>
        <v>100</v>
      </c>
      <c r="J33" s="410">
        <f t="shared" si="1"/>
        <v>100</v>
      </c>
      <c r="K33" s="411">
        <f t="shared" si="2"/>
        <v>0</v>
      </c>
      <c r="L33" s="412"/>
      <c r="M33" s="412">
        <v>0</v>
      </c>
      <c r="N33" s="412">
        <v>0</v>
      </c>
      <c r="O33" s="412">
        <v>90</v>
      </c>
      <c r="P33" s="412">
        <v>0</v>
      </c>
      <c r="Q33" s="412">
        <v>0</v>
      </c>
      <c r="R33" s="412">
        <v>0</v>
      </c>
      <c r="S33" s="412">
        <v>0</v>
      </c>
      <c r="T33" s="412">
        <v>0</v>
      </c>
      <c r="U33" s="412">
        <v>0</v>
      </c>
      <c r="V33" s="412">
        <v>0</v>
      </c>
      <c r="W33" s="412">
        <v>0</v>
      </c>
      <c r="X33" s="412">
        <v>0</v>
      </c>
      <c r="Y33" s="412">
        <v>0</v>
      </c>
      <c r="Z33" s="412">
        <v>0</v>
      </c>
      <c r="AA33" s="412">
        <v>90</v>
      </c>
      <c r="AB33" s="412">
        <v>90</v>
      </c>
      <c r="AC33" s="412">
        <v>100</v>
      </c>
      <c r="AD33" s="412">
        <v>0</v>
      </c>
      <c r="AE33" s="412">
        <v>0</v>
      </c>
      <c r="AF33" s="412">
        <v>0</v>
      </c>
      <c r="AG33" s="412" t="s">
        <v>494</v>
      </c>
      <c r="AH33" s="413"/>
    </row>
    <row r="34" spans="1:34" x14ac:dyDescent="0.25">
      <c r="A34" s="405" t="s">
        <v>496</v>
      </c>
      <c r="B34" s="406" t="s">
        <v>89</v>
      </c>
      <c r="C34" s="407" t="s">
        <v>90</v>
      </c>
      <c r="D34" s="418">
        <v>100</v>
      </c>
      <c r="E34" s="419"/>
      <c r="F34" s="408"/>
      <c r="G34" s="408"/>
      <c r="H34" s="408"/>
      <c r="I34" s="408">
        <f t="shared" si="0"/>
        <v>100</v>
      </c>
      <c r="J34" s="410">
        <f t="shared" si="1"/>
        <v>100</v>
      </c>
      <c r="K34" s="411">
        <f t="shared" si="2"/>
        <v>0</v>
      </c>
      <c r="L34" s="412"/>
      <c r="M34" s="412">
        <v>0</v>
      </c>
      <c r="N34" s="412">
        <v>0</v>
      </c>
      <c r="O34" s="412">
        <v>600000</v>
      </c>
      <c r="P34" s="412">
        <v>0</v>
      </c>
      <c r="Q34" s="412">
        <v>438910.58</v>
      </c>
      <c r="R34" s="412">
        <v>0</v>
      </c>
      <c r="S34" s="412">
        <v>438910.58</v>
      </c>
      <c r="T34" s="412">
        <v>438910.58</v>
      </c>
      <c r="U34" s="412">
        <v>0</v>
      </c>
      <c r="V34" s="412">
        <v>0</v>
      </c>
      <c r="W34" s="412">
        <v>0</v>
      </c>
      <c r="X34" s="412">
        <v>0</v>
      </c>
      <c r="Y34" s="412">
        <v>0</v>
      </c>
      <c r="Z34" s="412">
        <v>0</v>
      </c>
      <c r="AA34" s="412">
        <v>161089.42000000001</v>
      </c>
      <c r="AB34" s="412">
        <v>600000</v>
      </c>
      <c r="AC34" s="412">
        <v>26.848236666666669</v>
      </c>
      <c r="AD34" s="412">
        <v>73.151763333333335</v>
      </c>
      <c r="AE34" s="412">
        <v>0</v>
      </c>
      <c r="AF34" s="412">
        <v>0</v>
      </c>
      <c r="AG34" s="412" t="s">
        <v>497</v>
      </c>
      <c r="AH34" s="413"/>
    </row>
    <row r="35" spans="1:34" x14ac:dyDescent="0.25">
      <c r="A35" s="405" t="s">
        <v>498</v>
      </c>
      <c r="B35" s="406" t="s">
        <v>87</v>
      </c>
      <c r="C35" s="407" t="s">
        <v>88</v>
      </c>
      <c r="D35" s="420">
        <v>100</v>
      </c>
      <c r="E35" s="409"/>
      <c r="F35" s="408"/>
      <c r="G35" s="408"/>
      <c r="H35" s="408"/>
      <c r="I35" s="408">
        <f t="shared" si="0"/>
        <v>100</v>
      </c>
      <c r="J35" s="410">
        <f t="shared" si="1"/>
        <v>100</v>
      </c>
      <c r="K35" s="411">
        <f t="shared" si="2"/>
        <v>0</v>
      </c>
      <c r="L35" s="412"/>
      <c r="M35" s="412">
        <v>0</v>
      </c>
      <c r="N35" s="412">
        <v>0</v>
      </c>
      <c r="O35" s="412">
        <v>10</v>
      </c>
      <c r="P35" s="412">
        <v>0</v>
      </c>
      <c r="Q35" s="412">
        <v>0</v>
      </c>
      <c r="R35" s="412">
        <v>0</v>
      </c>
      <c r="S35" s="412">
        <v>0</v>
      </c>
      <c r="T35" s="412">
        <v>0</v>
      </c>
      <c r="U35" s="412">
        <v>0</v>
      </c>
      <c r="V35" s="412">
        <v>0</v>
      </c>
      <c r="W35" s="412">
        <v>0</v>
      </c>
      <c r="X35" s="412">
        <v>0</v>
      </c>
      <c r="Y35" s="412">
        <v>0</v>
      </c>
      <c r="Z35" s="412">
        <v>0</v>
      </c>
      <c r="AA35" s="412">
        <v>10</v>
      </c>
      <c r="AB35" s="412">
        <v>10</v>
      </c>
      <c r="AC35" s="412">
        <v>100</v>
      </c>
      <c r="AD35" s="412">
        <v>0</v>
      </c>
      <c r="AE35" s="412">
        <v>0</v>
      </c>
      <c r="AF35" s="412">
        <v>0</v>
      </c>
      <c r="AG35" s="412" t="s">
        <v>499</v>
      </c>
      <c r="AH35" s="413"/>
    </row>
    <row r="36" spans="1:34" ht="20.25" customHeight="1" x14ac:dyDescent="0.25">
      <c r="A36" s="405"/>
      <c r="B36" s="408"/>
      <c r="C36" s="374" t="s">
        <v>93</v>
      </c>
      <c r="D36" s="375">
        <f>SUM(D6:D35)</f>
        <v>3686844</v>
      </c>
      <c r="E36" s="409"/>
      <c r="F36" s="408"/>
      <c r="G36" s="408"/>
      <c r="H36" s="408"/>
      <c r="I36" s="408"/>
      <c r="J36" s="410"/>
      <c r="K36" s="411"/>
      <c r="L36" s="412"/>
      <c r="M36" s="412"/>
      <c r="N36" s="412"/>
      <c r="O36" s="412"/>
      <c r="P36" s="412"/>
      <c r="Q36" s="412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12"/>
      <c r="AD36" s="412"/>
      <c r="AE36" s="412"/>
      <c r="AF36" s="412"/>
      <c r="AG36" s="412"/>
      <c r="AH36" s="413"/>
    </row>
    <row r="37" spans="1:34" ht="30" x14ac:dyDescent="0.25">
      <c r="A37" s="405"/>
      <c r="B37" s="406" t="s">
        <v>94</v>
      </c>
      <c r="C37" s="407" t="s">
        <v>95</v>
      </c>
      <c r="D37" s="408">
        <v>15000</v>
      </c>
      <c r="E37" s="409"/>
      <c r="F37" s="408"/>
      <c r="G37" s="408"/>
      <c r="H37" s="408"/>
      <c r="I37" s="408">
        <f>D37-E37-F37-G37-H37</f>
        <v>15000</v>
      </c>
      <c r="J37" s="410">
        <f t="shared" si="1"/>
        <v>15000</v>
      </c>
      <c r="K37" s="411">
        <f>J37-D37</f>
        <v>0</v>
      </c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2"/>
      <c r="AG37" s="412"/>
      <c r="AH37" s="413"/>
    </row>
    <row r="38" spans="1:34" ht="30" x14ac:dyDescent="0.25">
      <c r="A38" s="405"/>
      <c r="B38" s="406" t="s">
        <v>97</v>
      </c>
      <c r="C38" s="407" t="s">
        <v>98</v>
      </c>
      <c r="D38" s="408">
        <v>44503</v>
      </c>
      <c r="E38" s="409"/>
      <c r="F38" s="408"/>
      <c r="G38" s="408"/>
      <c r="H38" s="408"/>
      <c r="I38" s="408">
        <f>D38-E38-F38-G38-H38</f>
        <v>44503</v>
      </c>
      <c r="J38" s="410">
        <f t="shared" si="1"/>
        <v>44503</v>
      </c>
      <c r="K38" s="411">
        <f>J38-D38</f>
        <v>0</v>
      </c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2"/>
      <c r="AH38" s="413"/>
    </row>
    <row r="39" spans="1:34" x14ac:dyDescent="0.25">
      <c r="A39" s="405"/>
      <c r="B39" s="416" t="s">
        <v>99</v>
      </c>
      <c r="C39" s="407" t="s">
        <v>100</v>
      </c>
      <c r="D39" s="408">
        <v>300000</v>
      </c>
      <c r="E39" s="409"/>
      <c r="F39" s="408"/>
      <c r="G39" s="408"/>
      <c r="H39" s="408"/>
      <c r="I39" s="408">
        <f>D39-E39-F39-G39-H39</f>
        <v>300000</v>
      </c>
      <c r="J39" s="410">
        <f t="shared" si="1"/>
        <v>300000</v>
      </c>
      <c r="K39" s="411">
        <f>J39-D39</f>
        <v>0</v>
      </c>
      <c r="L39" s="412"/>
      <c r="M39" s="412"/>
      <c r="N39" s="412"/>
      <c r="O39" s="412"/>
      <c r="P39" s="412"/>
      <c r="Q39" s="412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2"/>
      <c r="AD39" s="412"/>
      <c r="AE39" s="412"/>
      <c r="AF39" s="412"/>
      <c r="AG39" s="412"/>
      <c r="AH39" s="413"/>
    </row>
    <row r="40" spans="1:34" ht="30" x14ac:dyDescent="0.25">
      <c r="A40" s="405"/>
      <c r="B40" s="406" t="s">
        <v>107</v>
      </c>
      <c r="C40" s="407" t="s">
        <v>108</v>
      </c>
      <c r="D40" s="417">
        <v>64709</v>
      </c>
      <c r="E40" s="409"/>
      <c r="F40" s="408"/>
      <c r="G40" s="408"/>
      <c r="H40" s="408"/>
      <c r="I40" s="408">
        <f>D40-E40-F40-G40-H40</f>
        <v>64709</v>
      </c>
      <c r="J40" s="410">
        <f>SUM(E40:I40)</f>
        <v>64709</v>
      </c>
      <c r="K40" s="411">
        <f>J40-D40</f>
        <v>0</v>
      </c>
      <c r="L40" s="412"/>
      <c r="M40" s="412"/>
      <c r="N40" s="412"/>
      <c r="O40" s="412"/>
      <c r="P40" s="412"/>
      <c r="Q40" s="412"/>
      <c r="R40" s="412"/>
      <c r="S40" s="412"/>
      <c r="T40" s="412"/>
      <c r="U40" s="412"/>
      <c r="V40" s="412"/>
      <c r="W40" s="412"/>
      <c r="X40" s="412"/>
      <c r="Y40" s="412"/>
      <c r="Z40" s="412"/>
      <c r="AA40" s="412"/>
      <c r="AB40" s="412"/>
      <c r="AC40" s="412"/>
      <c r="AD40" s="412"/>
      <c r="AE40" s="412"/>
      <c r="AF40" s="412"/>
      <c r="AG40" s="412"/>
      <c r="AH40" s="413"/>
    </row>
    <row r="41" spans="1:34" ht="30" x14ac:dyDescent="0.25">
      <c r="A41" s="405"/>
      <c r="B41" s="406" t="s">
        <v>415</v>
      </c>
      <c r="C41" s="407" t="s">
        <v>106</v>
      </c>
      <c r="D41" s="418">
        <v>36650</v>
      </c>
      <c r="E41" s="419"/>
      <c r="F41" s="408"/>
      <c r="G41" s="408"/>
      <c r="H41" s="408"/>
      <c r="I41" s="408">
        <f>D41-E41-F41-G41-H41</f>
        <v>36650</v>
      </c>
      <c r="J41" s="410">
        <f>SUM(E41:I41)</f>
        <v>36650</v>
      </c>
      <c r="K41" s="411">
        <f>J41-D41</f>
        <v>0</v>
      </c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2"/>
      <c r="AG41" s="412"/>
      <c r="AH41" s="413"/>
    </row>
    <row r="42" spans="1:34" ht="20.25" customHeight="1" thickBot="1" x14ac:dyDescent="0.3">
      <c r="A42" s="405"/>
      <c r="B42" s="421"/>
      <c r="C42" s="374" t="s">
        <v>500</v>
      </c>
      <c r="D42" s="422">
        <f>SUM(D37:D41)</f>
        <v>460862</v>
      </c>
      <c r="E42" s="423">
        <f t="shared" ref="E42:J42" si="3">SUM(E6:E41)</f>
        <v>2428000</v>
      </c>
      <c r="F42" s="424">
        <f t="shared" si="3"/>
        <v>258900</v>
      </c>
      <c r="G42" s="424">
        <f t="shared" si="3"/>
        <v>200524</v>
      </c>
      <c r="H42" s="424">
        <f t="shared" si="3"/>
        <v>29264</v>
      </c>
      <c r="I42" s="425">
        <f t="shared" si="3"/>
        <v>1231018</v>
      </c>
      <c r="J42" s="426">
        <f t="shared" si="3"/>
        <v>4147706</v>
      </c>
      <c r="K42" s="411">
        <f>J42-D43</f>
        <v>0</v>
      </c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2"/>
      <c r="AG42" s="412"/>
      <c r="AH42" s="413"/>
    </row>
    <row r="43" spans="1:34" ht="19.5" customHeight="1" x14ac:dyDescent="0.25">
      <c r="A43" s="405"/>
      <c r="B43" s="421"/>
      <c r="C43" s="374" t="s">
        <v>501</v>
      </c>
      <c r="D43" s="380">
        <f>D36+D42</f>
        <v>4147706</v>
      </c>
      <c r="E43" s="427" t="s">
        <v>502</v>
      </c>
      <c r="F43" s="427" t="s">
        <v>503</v>
      </c>
      <c r="G43" s="427" t="s">
        <v>504</v>
      </c>
      <c r="H43" s="427" t="s">
        <v>505</v>
      </c>
      <c r="I43" s="428"/>
      <c r="J43" s="412"/>
      <c r="K43" s="411"/>
      <c r="L43" s="412"/>
    </row>
    <row r="44" spans="1:34" ht="15.75" thickBot="1" x14ac:dyDescent="0.3">
      <c r="A44" s="429"/>
      <c r="B44" s="412"/>
      <c r="C44" s="412" t="s">
        <v>506</v>
      </c>
      <c r="D44" s="393"/>
      <c r="E44" s="391"/>
      <c r="F44" s="445">
        <f>SUM(F42:H42)</f>
        <v>488688</v>
      </c>
      <c r="G44" s="446"/>
      <c r="H44" s="447"/>
      <c r="I44" s="412"/>
      <c r="J44" s="412"/>
      <c r="K44" s="411"/>
      <c r="L44" s="412"/>
    </row>
    <row r="45" spans="1:34" x14ac:dyDescent="0.25">
      <c r="A45" s="429"/>
      <c r="B45" s="412"/>
      <c r="C45" s="412"/>
      <c r="D45" s="393"/>
      <c r="F45" s="391"/>
      <c r="G45" s="391"/>
      <c r="H45" s="391"/>
      <c r="I45" s="412"/>
      <c r="J45" s="412"/>
      <c r="K45" s="411"/>
      <c r="L45" s="412"/>
    </row>
    <row r="46" spans="1:34" x14ac:dyDescent="0.25">
      <c r="A46" s="429"/>
      <c r="B46" s="412"/>
      <c r="C46" s="412"/>
      <c r="D46" s="393"/>
      <c r="E46" s="412"/>
      <c r="F46" s="412"/>
      <c r="G46" s="412"/>
      <c r="H46" s="412"/>
      <c r="I46" s="412"/>
      <c r="J46" s="412"/>
      <c r="K46" s="411"/>
      <c r="L46" s="412"/>
    </row>
    <row r="47" spans="1:34" x14ac:dyDescent="0.25">
      <c r="A47" s="429"/>
      <c r="B47" s="412"/>
      <c r="C47" s="412"/>
      <c r="D47" s="393"/>
      <c r="E47" s="412"/>
      <c r="F47" s="412"/>
      <c r="G47" s="412"/>
      <c r="H47" s="412"/>
      <c r="I47" s="412"/>
      <c r="J47" s="412"/>
      <c r="K47" s="411"/>
      <c r="L47" s="412"/>
    </row>
    <row r="48" spans="1:34" x14ac:dyDescent="0.25">
      <c r="A48" s="429"/>
      <c r="B48" s="412"/>
      <c r="C48" s="412"/>
      <c r="D48" s="393"/>
      <c r="E48" s="412"/>
      <c r="F48" s="412"/>
      <c r="G48" s="412"/>
      <c r="H48" s="412"/>
      <c r="I48" s="412"/>
      <c r="J48" s="412"/>
      <c r="K48" s="411"/>
      <c r="L48" s="412"/>
    </row>
    <row r="49" spans="1:34" x14ac:dyDescent="0.25">
      <c r="A49" s="429"/>
      <c r="B49" s="412"/>
      <c r="C49" s="412"/>
      <c r="D49" s="393"/>
      <c r="E49" s="412"/>
      <c r="F49" s="412"/>
      <c r="G49" s="412"/>
      <c r="H49" s="412"/>
      <c r="I49" s="412"/>
      <c r="J49" s="412"/>
      <c r="K49" s="411"/>
      <c r="L49" s="412"/>
      <c r="M49" s="412">
        <v>620000</v>
      </c>
      <c r="N49" s="412">
        <v>620000</v>
      </c>
      <c r="O49" s="412">
        <v>620000</v>
      </c>
      <c r="P49" s="412">
        <v>0</v>
      </c>
      <c r="Q49" s="412">
        <v>583019.04</v>
      </c>
      <c r="R49" s="412">
        <v>0</v>
      </c>
      <c r="S49" s="412">
        <v>583019.04</v>
      </c>
      <c r="T49" s="412">
        <v>0</v>
      </c>
      <c r="U49" s="412">
        <v>583019.04</v>
      </c>
      <c r="V49" s="412">
        <v>0</v>
      </c>
      <c r="W49" s="412">
        <v>583019.04</v>
      </c>
      <c r="X49" s="412">
        <v>0</v>
      </c>
      <c r="Y49" s="412">
        <v>583019.04</v>
      </c>
      <c r="Z49" s="412">
        <v>342460.88</v>
      </c>
      <c r="AA49" s="412">
        <v>36980.959999999999</v>
      </c>
      <c r="AB49" s="412">
        <v>36980.959999999963</v>
      </c>
      <c r="AC49" s="412">
        <v>5.9646709677419354</v>
      </c>
      <c r="AD49" s="412">
        <v>94.035329032258076</v>
      </c>
      <c r="AE49" s="412">
        <v>94.035329032258076</v>
      </c>
      <c r="AF49" s="412">
        <v>100</v>
      </c>
      <c r="AG49" s="412" t="s">
        <v>507</v>
      </c>
      <c r="AH49" s="413"/>
    </row>
    <row r="50" spans="1:34" x14ac:dyDescent="0.25">
      <c r="A50" s="429"/>
      <c r="B50" s="412"/>
      <c r="C50" s="412"/>
      <c r="D50" s="412"/>
      <c r="E50" s="412"/>
      <c r="F50" s="412"/>
      <c r="G50" s="412"/>
      <c r="H50" s="412"/>
      <c r="I50" s="412"/>
      <c r="J50" s="412"/>
      <c r="K50" s="411"/>
      <c r="L50" s="412"/>
      <c r="M50" s="412">
        <v>1980000</v>
      </c>
      <c r="N50" s="412">
        <v>1980000</v>
      </c>
      <c r="O50" s="412">
        <v>1980000</v>
      </c>
      <c r="P50" s="412">
        <v>0</v>
      </c>
      <c r="Q50" s="412">
        <v>0</v>
      </c>
      <c r="R50" s="412">
        <v>0</v>
      </c>
      <c r="S50" s="412">
        <v>0</v>
      </c>
      <c r="T50" s="412">
        <v>0</v>
      </c>
      <c r="U50" s="412">
        <v>0</v>
      </c>
      <c r="V50" s="412">
        <v>0</v>
      </c>
      <c r="W50" s="412">
        <v>0</v>
      </c>
      <c r="X50" s="412">
        <v>0</v>
      </c>
      <c r="Y50" s="412">
        <v>0</v>
      </c>
      <c r="Z50" s="412">
        <v>0</v>
      </c>
      <c r="AA50" s="412">
        <v>1980000</v>
      </c>
      <c r="AB50" s="412">
        <v>1980000</v>
      </c>
      <c r="AC50" s="412">
        <v>100</v>
      </c>
      <c r="AD50" s="412">
        <v>0</v>
      </c>
      <c r="AE50" s="412">
        <v>0</v>
      </c>
      <c r="AF50" s="412">
        <v>0</v>
      </c>
      <c r="AG50" s="412" t="s">
        <v>508</v>
      </c>
      <c r="AH50" s="413"/>
    </row>
    <row r="51" spans="1:34" x14ac:dyDescent="0.25">
      <c r="A51" s="429"/>
      <c r="B51" s="412"/>
      <c r="C51" s="412"/>
      <c r="D51" s="412"/>
      <c r="E51" s="412"/>
      <c r="F51" s="412"/>
      <c r="G51" s="412"/>
      <c r="H51" s="412"/>
      <c r="I51" s="412"/>
      <c r="J51" s="412"/>
      <c r="K51" s="411"/>
      <c r="L51" s="412"/>
      <c r="M51" s="412">
        <v>168775.56</v>
      </c>
      <c r="N51" s="412">
        <v>168775.56</v>
      </c>
      <c r="O51" s="412">
        <v>168775.56</v>
      </c>
      <c r="P51" s="412">
        <v>0</v>
      </c>
      <c r="Q51" s="412">
        <v>0</v>
      </c>
      <c r="R51" s="412">
        <v>0</v>
      </c>
      <c r="S51" s="412">
        <v>0</v>
      </c>
      <c r="T51" s="412">
        <v>0</v>
      </c>
      <c r="U51" s="412">
        <v>0</v>
      </c>
      <c r="V51" s="412">
        <v>0</v>
      </c>
      <c r="W51" s="412">
        <v>0</v>
      </c>
      <c r="X51" s="412">
        <v>0</v>
      </c>
      <c r="Y51" s="412">
        <v>0</v>
      </c>
      <c r="Z51" s="412">
        <v>0</v>
      </c>
      <c r="AA51" s="412">
        <v>168775.56</v>
      </c>
      <c r="AB51" s="412">
        <v>168775.56</v>
      </c>
      <c r="AC51" s="412">
        <v>100</v>
      </c>
      <c r="AD51" s="412">
        <v>0</v>
      </c>
      <c r="AE51" s="412">
        <v>0</v>
      </c>
      <c r="AF51" s="412">
        <v>0</v>
      </c>
      <c r="AG51" s="412" t="s">
        <v>509</v>
      </c>
      <c r="AH51" s="413"/>
    </row>
    <row r="52" spans="1:34" x14ac:dyDescent="0.25">
      <c r="A52" s="429"/>
      <c r="B52" s="412"/>
      <c r="C52" s="412"/>
      <c r="D52" s="412"/>
      <c r="E52" s="412"/>
      <c r="F52" s="412"/>
      <c r="G52" s="412"/>
      <c r="H52" s="412"/>
      <c r="I52" s="412"/>
      <c r="J52" s="412"/>
      <c r="K52" s="411"/>
      <c r="L52" s="412"/>
      <c r="M52" s="412">
        <v>2125000</v>
      </c>
      <c r="N52" s="412">
        <v>2125000</v>
      </c>
      <c r="O52" s="412">
        <v>2125000</v>
      </c>
      <c r="P52" s="412">
        <v>0</v>
      </c>
      <c r="Q52" s="412">
        <v>55121.27</v>
      </c>
      <c r="R52" s="412">
        <v>0</v>
      </c>
      <c r="S52" s="412">
        <v>55121.27</v>
      </c>
      <c r="T52" s="412">
        <v>27560.639999999996</v>
      </c>
      <c r="U52" s="412">
        <v>27560.63</v>
      </c>
      <c r="V52" s="412">
        <v>0</v>
      </c>
      <c r="W52" s="412">
        <v>27560.63</v>
      </c>
      <c r="X52" s="412">
        <v>0</v>
      </c>
      <c r="Y52" s="412">
        <v>27560.63</v>
      </c>
      <c r="Z52" s="412">
        <v>0</v>
      </c>
      <c r="AA52" s="412">
        <v>2069878.73</v>
      </c>
      <c r="AB52" s="412">
        <v>2097439.37</v>
      </c>
      <c r="AC52" s="412">
        <v>97.40605788235294</v>
      </c>
      <c r="AD52" s="412">
        <v>2.5939421176470585</v>
      </c>
      <c r="AE52" s="412">
        <v>1.2969708235294117</v>
      </c>
      <c r="AF52" s="412">
        <v>100</v>
      </c>
      <c r="AG52" s="412" t="s">
        <v>510</v>
      </c>
      <c r="AH52" s="413"/>
    </row>
    <row r="53" spans="1:34" x14ac:dyDescent="0.25">
      <c r="A53" s="429"/>
      <c r="B53" s="412"/>
      <c r="C53" s="412"/>
      <c r="D53" s="412"/>
      <c r="E53" s="412"/>
      <c r="F53" s="412"/>
      <c r="G53" s="412"/>
      <c r="H53" s="412"/>
      <c r="I53" s="412"/>
      <c r="J53" s="412"/>
      <c r="K53" s="411"/>
      <c r="L53" s="412"/>
      <c r="M53" s="412">
        <v>322546.68</v>
      </c>
      <c r="N53" s="412">
        <v>322546.68</v>
      </c>
      <c r="O53" s="412">
        <v>322546.68</v>
      </c>
      <c r="P53" s="412">
        <v>0</v>
      </c>
      <c r="Q53" s="412">
        <v>201704.39</v>
      </c>
      <c r="R53" s="412">
        <v>0</v>
      </c>
      <c r="S53" s="412">
        <v>201704.39</v>
      </c>
      <c r="T53" s="412">
        <v>0</v>
      </c>
      <c r="U53" s="412">
        <v>201704.39</v>
      </c>
      <c r="V53" s="412">
        <v>0</v>
      </c>
      <c r="W53" s="412">
        <v>201704.39</v>
      </c>
      <c r="X53" s="412">
        <v>0</v>
      </c>
      <c r="Y53" s="412">
        <v>201704.39</v>
      </c>
      <c r="Z53" s="412">
        <v>0</v>
      </c>
      <c r="AA53" s="412">
        <v>120842.29</v>
      </c>
      <c r="AB53" s="412">
        <v>120842.28999999998</v>
      </c>
      <c r="AC53" s="412">
        <v>37.465054670536368</v>
      </c>
      <c r="AD53" s="412">
        <v>62.534945329463632</v>
      </c>
      <c r="AE53" s="412">
        <v>62.534945329463632</v>
      </c>
      <c r="AF53" s="412">
        <v>100</v>
      </c>
      <c r="AG53" s="412" t="s">
        <v>511</v>
      </c>
      <c r="AH53" s="413"/>
    </row>
    <row r="54" spans="1:34" x14ac:dyDescent="0.25">
      <c r="A54" s="429"/>
      <c r="B54" s="412"/>
      <c r="C54" s="412"/>
      <c r="D54" s="412"/>
      <c r="E54" s="412"/>
      <c r="F54" s="412"/>
      <c r="G54" s="412"/>
      <c r="H54" s="412"/>
      <c r="I54" s="412"/>
      <c r="J54" s="412"/>
      <c r="K54" s="411"/>
      <c r="L54" s="412"/>
      <c r="M54" s="412">
        <v>114236.1</v>
      </c>
      <c r="N54" s="412">
        <v>114236.1</v>
      </c>
      <c r="O54" s="412">
        <v>114236.1</v>
      </c>
      <c r="P54" s="412">
        <v>0</v>
      </c>
      <c r="Q54" s="412">
        <v>110079.01</v>
      </c>
      <c r="R54" s="412">
        <v>0</v>
      </c>
      <c r="S54" s="412">
        <v>110079.01</v>
      </c>
      <c r="T54" s="412">
        <v>110079.01</v>
      </c>
      <c r="U54" s="412">
        <v>0</v>
      </c>
      <c r="V54" s="412">
        <v>0</v>
      </c>
      <c r="W54" s="412">
        <v>0</v>
      </c>
      <c r="X54" s="412">
        <v>0</v>
      </c>
      <c r="Y54" s="412">
        <v>0</v>
      </c>
      <c r="Z54" s="412">
        <v>0</v>
      </c>
      <c r="AA54" s="412">
        <v>4157.09</v>
      </c>
      <c r="AB54" s="412">
        <v>114236.1</v>
      </c>
      <c r="AC54" s="412">
        <v>3.6390335454379135</v>
      </c>
      <c r="AD54" s="412">
        <v>96.360966454562075</v>
      </c>
      <c r="AE54" s="412">
        <v>0</v>
      </c>
      <c r="AF54" s="412">
        <v>0</v>
      </c>
      <c r="AG54" s="412" t="s">
        <v>512</v>
      </c>
      <c r="AH54" s="413"/>
    </row>
    <row r="55" spans="1:34" x14ac:dyDescent="0.25">
      <c r="A55" s="429"/>
      <c r="B55" s="412"/>
      <c r="C55" s="412"/>
      <c r="D55" s="412"/>
      <c r="E55" s="412"/>
      <c r="F55" s="412"/>
      <c r="G55" s="412"/>
      <c r="H55" s="412"/>
      <c r="I55" s="412"/>
      <c r="J55" s="412"/>
      <c r="K55" s="411"/>
      <c r="L55" s="412"/>
      <c r="M55" s="412">
        <v>131373.4</v>
      </c>
      <c r="N55" s="412">
        <v>131373.4</v>
      </c>
      <c r="O55" s="412">
        <v>131373.4</v>
      </c>
      <c r="P55" s="412">
        <v>0</v>
      </c>
      <c r="Q55" s="412">
        <v>64571.65</v>
      </c>
      <c r="R55" s="412">
        <v>48018.850000000006</v>
      </c>
      <c r="S55" s="412">
        <v>16552.8</v>
      </c>
      <c r="T55" s="412">
        <v>16552.8</v>
      </c>
      <c r="U55" s="412">
        <v>0</v>
      </c>
      <c r="V55" s="412">
        <v>0</v>
      </c>
      <c r="W55" s="412">
        <v>0</v>
      </c>
      <c r="X55" s="412">
        <v>0</v>
      </c>
      <c r="Y55" s="412">
        <v>0</v>
      </c>
      <c r="Z55" s="412">
        <v>0</v>
      </c>
      <c r="AA55" s="412">
        <v>66801.75</v>
      </c>
      <c r="AB55" s="412">
        <v>131373.4</v>
      </c>
      <c r="AC55" s="412">
        <v>50.848763905021876</v>
      </c>
      <c r="AD55" s="412">
        <v>12.599810920627769</v>
      </c>
      <c r="AE55" s="412">
        <v>0</v>
      </c>
      <c r="AF55" s="412">
        <v>0</v>
      </c>
      <c r="AG55" s="412" t="s">
        <v>513</v>
      </c>
      <c r="AH55" s="413"/>
    </row>
    <row r="56" spans="1:34" x14ac:dyDescent="0.25">
      <c r="A56" s="429"/>
      <c r="B56" s="412"/>
      <c r="C56" s="412"/>
      <c r="D56" s="412"/>
      <c r="E56" s="412"/>
      <c r="F56" s="412"/>
      <c r="G56" s="412"/>
      <c r="H56" s="412"/>
      <c r="I56" s="412"/>
      <c r="J56" s="412"/>
      <c r="K56" s="411"/>
      <c r="L56" s="412"/>
      <c r="M56" s="412">
        <v>333844.96000000002</v>
      </c>
      <c r="N56" s="412">
        <v>333844.96000000002</v>
      </c>
      <c r="O56" s="412">
        <v>333844.96000000002</v>
      </c>
      <c r="P56" s="412">
        <v>0</v>
      </c>
      <c r="Q56" s="412">
        <v>12329.34</v>
      </c>
      <c r="R56" s="412">
        <v>0</v>
      </c>
      <c r="S56" s="412">
        <v>12329.34</v>
      </c>
      <c r="T56" s="412">
        <v>0</v>
      </c>
      <c r="U56" s="412">
        <v>12329.34</v>
      </c>
      <c r="V56" s="412">
        <v>0</v>
      </c>
      <c r="W56" s="412">
        <v>12329.34</v>
      </c>
      <c r="X56" s="412">
        <v>0</v>
      </c>
      <c r="Y56" s="412">
        <v>12329.34</v>
      </c>
      <c r="Z56" s="412">
        <v>12329.34</v>
      </c>
      <c r="AA56" s="412">
        <v>321515.62</v>
      </c>
      <c r="AB56" s="412">
        <v>321515.62</v>
      </c>
      <c r="AC56" s="412">
        <v>96.306866516720817</v>
      </c>
      <c r="AD56" s="412">
        <v>3.6931334832791847</v>
      </c>
      <c r="AE56" s="412">
        <v>3.6931334832791847</v>
      </c>
      <c r="AF56" s="412">
        <v>100</v>
      </c>
      <c r="AG56" s="412" t="s">
        <v>514</v>
      </c>
      <c r="AH56" s="413"/>
    </row>
    <row r="57" spans="1:34" x14ac:dyDescent="0.25">
      <c r="A57" s="429"/>
      <c r="B57" s="412"/>
      <c r="C57" s="412"/>
      <c r="D57" s="412"/>
      <c r="E57" s="412"/>
      <c r="F57" s="412"/>
      <c r="G57" s="412"/>
      <c r="H57" s="412"/>
      <c r="I57" s="412"/>
      <c r="J57" s="412"/>
      <c r="K57" s="411"/>
      <c r="L57" s="412"/>
      <c r="M57" s="412">
        <v>136170.21</v>
      </c>
      <c r="N57" s="412">
        <v>136170.21</v>
      </c>
      <c r="O57" s="412">
        <v>136170.21</v>
      </c>
      <c r="P57" s="412">
        <v>0</v>
      </c>
      <c r="Q57" s="412">
        <v>136170.21</v>
      </c>
      <c r="R57" s="412">
        <v>0</v>
      </c>
      <c r="S57" s="412">
        <v>136170.21</v>
      </c>
      <c r="T57" s="412">
        <v>21989.989999999991</v>
      </c>
      <c r="U57" s="412">
        <v>114180.22</v>
      </c>
      <c r="V57" s="412">
        <v>0</v>
      </c>
      <c r="W57" s="412">
        <v>114180.22</v>
      </c>
      <c r="X57" s="412">
        <v>0</v>
      </c>
      <c r="Y57" s="412">
        <v>114180.22</v>
      </c>
      <c r="Z57" s="412">
        <v>0</v>
      </c>
      <c r="AA57" s="412">
        <v>0</v>
      </c>
      <c r="AB57" s="412">
        <v>21989.989999999991</v>
      </c>
      <c r="AC57" s="412">
        <v>0</v>
      </c>
      <c r="AD57" s="412">
        <v>100</v>
      </c>
      <c r="AE57" s="412">
        <v>83.851100765725491</v>
      </c>
      <c r="AF57" s="412">
        <v>100</v>
      </c>
      <c r="AG57" s="412" t="s">
        <v>515</v>
      </c>
      <c r="AH57" s="413"/>
    </row>
    <row r="58" spans="1:34" x14ac:dyDescent="0.25">
      <c r="A58" s="429"/>
      <c r="B58" s="412"/>
      <c r="C58" s="412"/>
      <c r="D58" s="412"/>
      <c r="E58" s="412"/>
      <c r="F58" s="412"/>
      <c r="G58" s="412"/>
      <c r="H58" s="412"/>
      <c r="I58" s="412"/>
      <c r="J58" s="412"/>
      <c r="K58" s="411"/>
      <c r="L58" s="412"/>
      <c r="M58" s="412">
        <v>3526.06</v>
      </c>
      <c r="N58" s="412">
        <v>3526.06</v>
      </c>
      <c r="O58" s="412">
        <v>3526.06</v>
      </c>
      <c r="P58" s="412">
        <v>0</v>
      </c>
      <c r="Q58" s="412">
        <v>0</v>
      </c>
      <c r="R58" s="412">
        <v>0</v>
      </c>
      <c r="S58" s="412">
        <v>0</v>
      </c>
      <c r="T58" s="412">
        <v>0</v>
      </c>
      <c r="U58" s="412">
        <v>0</v>
      </c>
      <c r="V58" s="412">
        <v>0</v>
      </c>
      <c r="W58" s="412">
        <v>0</v>
      </c>
      <c r="X58" s="412">
        <v>0</v>
      </c>
      <c r="Y58" s="412">
        <v>0</v>
      </c>
      <c r="Z58" s="412">
        <v>0</v>
      </c>
      <c r="AA58" s="412">
        <v>3526.06</v>
      </c>
      <c r="AB58" s="412">
        <v>3526.06</v>
      </c>
      <c r="AC58" s="412">
        <v>100</v>
      </c>
      <c r="AD58" s="412">
        <v>0</v>
      </c>
      <c r="AE58" s="412">
        <v>0</v>
      </c>
      <c r="AF58" s="412">
        <v>0</v>
      </c>
      <c r="AG58" s="412" t="s">
        <v>516</v>
      </c>
      <c r="AH58" s="413"/>
    </row>
    <row r="59" spans="1:34" x14ac:dyDescent="0.25">
      <c r="A59" s="429"/>
      <c r="B59" s="412"/>
      <c r="C59" s="412"/>
      <c r="D59" s="412"/>
      <c r="E59" s="412"/>
      <c r="F59" s="412"/>
      <c r="G59" s="412"/>
      <c r="H59" s="412"/>
      <c r="I59" s="412"/>
      <c r="J59" s="412"/>
      <c r="K59" s="411"/>
      <c r="L59" s="412"/>
      <c r="M59" s="412">
        <v>1566396.77</v>
      </c>
      <c r="N59" s="412">
        <v>1566396.77</v>
      </c>
      <c r="O59" s="412">
        <v>1566396.77</v>
      </c>
      <c r="P59" s="412">
        <v>0</v>
      </c>
      <c r="Q59" s="412">
        <v>503448.85</v>
      </c>
      <c r="R59" s="412">
        <v>213821.44999999995</v>
      </c>
      <c r="S59" s="412">
        <v>289627.40000000002</v>
      </c>
      <c r="T59" s="412">
        <v>226028.41000000003</v>
      </c>
      <c r="U59" s="412">
        <v>63598.99</v>
      </c>
      <c r="V59" s="412">
        <v>18132.93</v>
      </c>
      <c r="W59" s="412">
        <v>45466.06</v>
      </c>
      <c r="X59" s="412">
        <v>0</v>
      </c>
      <c r="Y59" s="412">
        <v>45466.06</v>
      </c>
      <c r="Z59" s="412">
        <v>0</v>
      </c>
      <c r="AA59" s="412">
        <v>1062947.92</v>
      </c>
      <c r="AB59" s="412">
        <v>1502797.78</v>
      </c>
      <c r="AC59" s="412">
        <v>67.859430021679628</v>
      </c>
      <c r="AD59" s="412">
        <v>18.490040681072141</v>
      </c>
      <c r="AE59" s="412">
        <v>4.0602094704268312</v>
      </c>
      <c r="AF59" s="412">
        <v>71.488650999017437</v>
      </c>
      <c r="AG59" s="412" t="s">
        <v>517</v>
      </c>
      <c r="AH59" s="413"/>
    </row>
    <row r="60" spans="1:34" x14ac:dyDescent="0.25">
      <c r="A60" s="429"/>
      <c r="B60" s="412"/>
      <c r="C60" s="412"/>
      <c r="D60" s="412"/>
      <c r="E60" s="412"/>
      <c r="F60" s="412"/>
      <c r="G60" s="412"/>
      <c r="H60" s="412"/>
      <c r="I60" s="412"/>
      <c r="J60" s="412"/>
      <c r="K60" s="411"/>
      <c r="L60" s="412"/>
      <c r="M60" s="412">
        <v>230478.1</v>
      </c>
      <c r="N60" s="412">
        <v>230478.1</v>
      </c>
      <c r="O60" s="412">
        <v>230478.1</v>
      </c>
      <c r="P60" s="412">
        <v>0</v>
      </c>
      <c r="Q60" s="412">
        <v>230478.1</v>
      </c>
      <c r="R60" s="412">
        <v>0</v>
      </c>
      <c r="S60" s="412">
        <v>230478.1</v>
      </c>
      <c r="T60" s="412">
        <v>110323.52</v>
      </c>
      <c r="U60" s="412">
        <v>120154.58</v>
      </c>
      <c r="V60" s="412">
        <v>0</v>
      </c>
      <c r="W60" s="412">
        <v>120154.58</v>
      </c>
      <c r="X60" s="412">
        <v>0</v>
      </c>
      <c r="Y60" s="412">
        <v>120154.58</v>
      </c>
      <c r="Z60" s="412">
        <v>0</v>
      </c>
      <c r="AA60" s="412">
        <v>0</v>
      </c>
      <c r="AB60" s="412">
        <v>110323.52</v>
      </c>
      <c r="AC60" s="412">
        <v>0</v>
      </c>
      <c r="AD60" s="412">
        <v>100</v>
      </c>
      <c r="AE60" s="412">
        <v>52.132753610863681</v>
      </c>
      <c r="AF60" s="412">
        <v>100</v>
      </c>
      <c r="AG60" s="412" t="s">
        <v>518</v>
      </c>
      <c r="AH60" s="413"/>
    </row>
    <row r="61" spans="1:34" x14ac:dyDescent="0.25">
      <c r="A61" s="429"/>
      <c r="B61" s="412"/>
      <c r="C61" s="412"/>
      <c r="D61" s="412"/>
      <c r="E61" s="412"/>
      <c r="F61" s="412"/>
      <c r="G61" s="412"/>
      <c r="H61" s="412"/>
      <c r="I61" s="412"/>
      <c r="J61" s="412"/>
      <c r="K61" s="411"/>
      <c r="L61" s="412"/>
      <c r="M61" s="412">
        <v>163172.6</v>
      </c>
      <c r="N61" s="412">
        <v>163172.6</v>
      </c>
      <c r="O61" s="412">
        <v>163172.6</v>
      </c>
      <c r="P61" s="412">
        <v>0</v>
      </c>
      <c r="Q61" s="412">
        <v>160906.57</v>
      </c>
      <c r="R61" s="412">
        <v>0</v>
      </c>
      <c r="S61" s="412">
        <v>160906.57</v>
      </c>
      <c r="T61" s="412">
        <v>80695.010000000009</v>
      </c>
      <c r="U61" s="412">
        <v>80211.56</v>
      </c>
      <c r="V61" s="412">
        <v>0</v>
      </c>
      <c r="W61" s="412">
        <v>80211.56</v>
      </c>
      <c r="X61" s="412">
        <v>0</v>
      </c>
      <c r="Y61" s="412">
        <v>80211.56</v>
      </c>
      <c r="Z61" s="412">
        <v>0</v>
      </c>
      <c r="AA61" s="412">
        <v>2266.0300000000002</v>
      </c>
      <c r="AB61" s="412">
        <v>82961.040000000008</v>
      </c>
      <c r="AC61" s="412">
        <v>1.3887319317091229</v>
      </c>
      <c r="AD61" s="412">
        <v>98.611268068290883</v>
      </c>
      <c r="AE61" s="412">
        <v>49.15749335366354</v>
      </c>
      <c r="AF61" s="412">
        <v>100</v>
      </c>
      <c r="AG61" s="412" t="s">
        <v>519</v>
      </c>
      <c r="AH61" s="413"/>
    </row>
    <row r="62" spans="1:34" x14ac:dyDescent="0.25">
      <c r="A62" s="429"/>
      <c r="B62" s="412"/>
      <c r="C62" s="412"/>
      <c r="D62" s="412"/>
      <c r="E62" s="412"/>
      <c r="F62" s="412"/>
      <c r="G62" s="412"/>
      <c r="H62" s="412"/>
      <c r="I62" s="412"/>
      <c r="J62" s="412"/>
      <c r="K62" s="411"/>
      <c r="L62" s="412"/>
      <c r="M62" s="412">
        <v>52709.95</v>
      </c>
      <c r="N62" s="412">
        <v>52709.95</v>
      </c>
      <c r="O62" s="412">
        <v>52709.95</v>
      </c>
      <c r="P62" s="412">
        <v>0</v>
      </c>
      <c r="Q62" s="412">
        <v>34444.93</v>
      </c>
      <c r="R62" s="412">
        <v>0</v>
      </c>
      <c r="S62" s="412">
        <v>34444.93</v>
      </c>
      <c r="T62" s="412">
        <v>10161.970000000001</v>
      </c>
      <c r="U62" s="412">
        <v>24282.959999999999</v>
      </c>
      <c r="V62" s="412">
        <v>0</v>
      </c>
      <c r="W62" s="412">
        <v>24282.959999999999</v>
      </c>
      <c r="X62" s="412">
        <v>0</v>
      </c>
      <c r="Y62" s="412">
        <v>24282.959999999999</v>
      </c>
      <c r="Z62" s="412">
        <v>0</v>
      </c>
      <c r="AA62" s="412">
        <v>18265.02</v>
      </c>
      <c r="AB62" s="412">
        <v>28426.989999999998</v>
      </c>
      <c r="AC62" s="412">
        <v>34.651939529443688</v>
      </c>
      <c r="AD62" s="412">
        <v>65.34806047055632</v>
      </c>
      <c r="AE62" s="412">
        <v>46.069024918445187</v>
      </c>
      <c r="AF62" s="412">
        <v>100</v>
      </c>
      <c r="AG62" s="412" t="s">
        <v>520</v>
      </c>
      <c r="AH62" s="413"/>
    </row>
    <row r="63" spans="1:34" x14ac:dyDescent="0.25">
      <c r="A63" s="429"/>
      <c r="B63" s="412"/>
      <c r="C63" s="412"/>
      <c r="D63" s="412"/>
      <c r="E63" s="412"/>
      <c r="F63" s="412"/>
      <c r="G63" s="412"/>
      <c r="H63" s="412"/>
      <c r="I63" s="412"/>
      <c r="J63" s="412"/>
      <c r="K63" s="411"/>
      <c r="L63" s="412"/>
      <c r="M63" s="412">
        <v>750001.31</v>
      </c>
      <c r="N63" s="412">
        <v>750001.31</v>
      </c>
      <c r="O63" s="412">
        <v>750001.31</v>
      </c>
      <c r="P63" s="412">
        <v>0</v>
      </c>
      <c r="Q63" s="412">
        <v>200839.7</v>
      </c>
      <c r="R63" s="412">
        <v>0</v>
      </c>
      <c r="S63" s="412">
        <v>200839.7</v>
      </c>
      <c r="T63" s="412">
        <v>129243.97000000002</v>
      </c>
      <c r="U63" s="412">
        <v>71595.73</v>
      </c>
      <c r="V63" s="412">
        <v>0</v>
      </c>
      <c r="W63" s="412">
        <v>71595.73</v>
      </c>
      <c r="X63" s="412">
        <v>0</v>
      </c>
      <c r="Y63" s="412">
        <v>71595.73</v>
      </c>
      <c r="Z63" s="412">
        <v>0</v>
      </c>
      <c r="AA63" s="412">
        <v>549161.61</v>
      </c>
      <c r="AB63" s="412">
        <v>678405.58000000007</v>
      </c>
      <c r="AC63" s="412">
        <v>73.221420106586208</v>
      </c>
      <c r="AD63" s="412">
        <v>26.778579893413784</v>
      </c>
      <c r="AE63" s="412">
        <v>9.5460806595124481</v>
      </c>
      <c r="AF63" s="412">
        <v>100</v>
      </c>
      <c r="AG63" s="412" t="s">
        <v>521</v>
      </c>
      <c r="AH63" s="413"/>
    </row>
    <row r="64" spans="1:34" x14ac:dyDescent="0.25">
      <c r="A64" s="429"/>
      <c r="B64" s="412"/>
      <c r="C64" s="412"/>
      <c r="D64" s="412"/>
      <c r="E64" s="412"/>
      <c r="F64" s="412"/>
      <c r="G64" s="412"/>
      <c r="H64" s="412"/>
      <c r="I64" s="412"/>
      <c r="J64" s="412"/>
      <c r="K64" s="411"/>
      <c r="L64" s="412"/>
      <c r="M64" s="412">
        <v>39783.050000000003</v>
      </c>
      <c r="N64" s="412">
        <v>39783.050000000003</v>
      </c>
      <c r="O64" s="412">
        <v>39783.050000000003</v>
      </c>
      <c r="P64" s="412">
        <v>0</v>
      </c>
      <c r="Q64" s="412">
        <v>39670.28</v>
      </c>
      <c r="R64" s="412">
        <v>0</v>
      </c>
      <c r="S64" s="412">
        <v>39670.28</v>
      </c>
      <c r="T64" s="412">
        <v>3569.5</v>
      </c>
      <c r="U64" s="412">
        <v>36100.78</v>
      </c>
      <c r="V64" s="412">
        <v>0</v>
      </c>
      <c r="W64" s="412">
        <v>36100.78</v>
      </c>
      <c r="X64" s="412">
        <v>0</v>
      </c>
      <c r="Y64" s="412">
        <v>36100.78</v>
      </c>
      <c r="Z64" s="412">
        <v>0</v>
      </c>
      <c r="AA64" s="412">
        <v>112.77</v>
      </c>
      <c r="AB64" s="412">
        <v>3682.2700000000041</v>
      </c>
      <c r="AC64" s="412">
        <v>0.28346242935119353</v>
      </c>
      <c r="AD64" s="412">
        <v>99.716537570648796</v>
      </c>
      <c r="AE64" s="412">
        <v>90.744123439505003</v>
      </c>
      <c r="AF64" s="412">
        <v>100</v>
      </c>
      <c r="AG64" s="412" t="s">
        <v>522</v>
      </c>
      <c r="AH64" s="413"/>
    </row>
    <row r="65" spans="1:34" x14ac:dyDescent="0.25">
      <c r="A65" s="429"/>
      <c r="B65" s="412"/>
      <c r="C65" s="412"/>
      <c r="D65" s="412"/>
      <c r="E65" s="412"/>
      <c r="F65" s="412"/>
      <c r="G65" s="412"/>
      <c r="H65" s="412"/>
      <c r="I65" s="412"/>
      <c r="J65" s="412"/>
      <c r="K65" s="411"/>
      <c r="L65" s="412"/>
      <c r="M65" s="412">
        <v>165554.1</v>
      </c>
      <c r="N65" s="412">
        <v>165554.1</v>
      </c>
      <c r="O65" s="412">
        <v>165554.1</v>
      </c>
      <c r="P65" s="412">
        <v>0</v>
      </c>
      <c r="Q65" s="412">
        <v>106438.5</v>
      </c>
      <c r="R65" s="412">
        <v>0</v>
      </c>
      <c r="S65" s="412">
        <v>106438.5</v>
      </c>
      <c r="T65" s="412">
        <v>0</v>
      </c>
      <c r="U65" s="412">
        <v>106438.5</v>
      </c>
      <c r="V65" s="412">
        <v>0</v>
      </c>
      <c r="W65" s="412">
        <v>106438.5</v>
      </c>
      <c r="X65" s="412">
        <v>0</v>
      </c>
      <c r="Y65" s="412">
        <v>106438.5</v>
      </c>
      <c r="Z65" s="412">
        <v>0</v>
      </c>
      <c r="AA65" s="412">
        <v>59115.6</v>
      </c>
      <c r="AB65" s="412">
        <v>59115.600000000006</v>
      </c>
      <c r="AC65" s="412">
        <v>35.707723336359528</v>
      </c>
      <c r="AD65" s="412">
        <v>64.292276663640465</v>
      </c>
      <c r="AE65" s="412">
        <v>64.292276663640465</v>
      </c>
      <c r="AF65" s="412">
        <v>100</v>
      </c>
      <c r="AG65" s="412" t="s">
        <v>523</v>
      </c>
      <c r="AH65" s="413"/>
    </row>
    <row r="66" spans="1:34" x14ac:dyDescent="0.25">
      <c r="A66" s="429"/>
      <c r="B66" s="412"/>
      <c r="C66" s="412"/>
      <c r="D66" s="412"/>
      <c r="E66" s="412"/>
      <c r="F66" s="412"/>
      <c r="G66" s="412"/>
      <c r="H66" s="412"/>
      <c r="I66" s="412"/>
      <c r="J66" s="412"/>
      <c r="K66" s="411"/>
      <c r="L66" s="412"/>
      <c r="M66" s="412">
        <v>40000</v>
      </c>
      <c r="N66" s="412">
        <v>40000</v>
      </c>
      <c r="O66" s="412">
        <v>40000</v>
      </c>
      <c r="P66" s="412">
        <v>0</v>
      </c>
      <c r="Q66" s="412">
        <v>33333.33</v>
      </c>
      <c r="R66" s="412">
        <v>0</v>
      </c>
      <c r="S66" s="412">
        <v>33333.33</v>
      </c>
      <c r="T66" s="412">
        <v>2.9999999998835847E-2</v>
      </c>
      <c r="U66" s="412">
        <v>33333.300000000003</v>
      </c>
      <c r="V66" s="412">
        <v>0</v>
      </c>
      <c r="W66" s="412">
        <v>33333.300000000003</v>
      </c>
      <c r="X66" s="412">
        <v>0</v>
      </c>
      <c r="Y66" s="412">
        <v>33333.300000000003</v>
      </c>
      <c r="Z66" s="412">
        <v>0</v>
      </c>
      <c r="AA66" s="412">
        <v>6666.67</v>
      </c>
      <c r="AB66" s="412">
        <v>6666.6999999999971</v>
      </c>
      <c r="AC66" s="412">
        <v>16.666675000000001</v>
      </c>
      <c r="AD66" s="412">
        <v>83.333325000000002</v>
      </c>
      <c r="AE66" s="412">
        <v>83.333250000000007</v>
      </c>
      <c r="AF66" s="412">
        <v>100</v>
      </c>
      <c r="AG66" s="412" t="s">
        <v>524</v>
      </c>
      <c r="AH66" s="413"/>
    </row>
    <row r="67" spans="1:34" x14ac:dyDescent="0.25">
      <c r="A67" s="429"/>
      <c r="B67" s="412"/>
      <c r="C67" s="412"/>
      <c r="D67" s="412"/>
      <c r="E67" s="412"/>
      <c r="F67" s="412"/>
      <c r="G67" s="412"/>
      <c r="H67" s="412"/>
      <c r="I67" s="412"/>
      <c r="J67" s="412"/>
      <c r="K67" s="411"/>
      <c r="L67" s="412"/>
      <c r="M67" s="412">
        <v>9655.7999999999993</v>
      </c>
      <c r="N67" s="412">
        <v>9655.7999999999993</v>
      </c>
      <c r="O67" s="412">
        <v>9655.7999999999993</v>
      </c>
      <c r="P67" s="412">
        <v>0</v>
      </c>
      <c r="Q67" s="412">
        <v>9655.7999999999993</v>
      </c>
      <c r="R67" s="412">
        <v>0</v>
      </c>
      <c r="S67" s="412">
        <v>9655.7999999999993</v>
      </c>
      <c r="T67" s="412">
        <v>0</v>
      </c>
      <c r="U67" s="412">
        <v>9655.7999999999993</v>
      </c>
      <c r="V67" s="412">
        <v>0</v>
      </c>
      <c r="W67" s="412">
        <v>9655.7999999999993</v>
      </c>
      <c r="X67" s="412">
        <v>0</v>
      </c>
      <c r="Y67" s="412">
        <v>9655.7999999999993</v>
      </c>
      <c r="Z67" s="412">
        <v>0</v>
      </c>
      <c r="AA67" s="412">
        <v>0</v>
      </c>
      <c r="AB67" s="412">
        <v>0</v>
      </c>
      <c r="AC67" s="412">
        <v>0</v>
      </c>
      <c r="AD67" s="412">
        <v>100</v>
      </c>
      <c r="AE67" s="412">
        <v>100</v>
      </c>
      <c r="AF67" s="412">
        <v>100</v>
      </c>
      <c r="AG67" s="412" t="s">
        <v>525</v>
      </c>
      <c r="AH67" s="413"/>
    </row>
    <row r="68" spans="1:34" x14ac:dyDescent="0.25">
      <c r="A68" s="429"/>
      <c r="B68" s="412"/>
      <c r="C68" s="412"/>
      <c r="D68" s="412"/>
      <c r="E68" s="412"/>
      <c r="F68" s="412"/>
      <c r="G68" s="412"/>
      <c r="H68" s="412"/>
      <c r="I68" s="412"/>
      <c r="J68" s="412"/>
      <c r="K68" s="411"/>
      <c r="L68" s="412"/>
      <c r="M68" s="412">
        <v>3553.77</v>
      </c>
      <c r="N68" s="412">
        <v>3553.77</v>
      </c>
      <c r="O68" s="412">
        <v>3553.77</v>
      </c>
      <c r="P68" s="412">
        <v>0</v>
      </c>
      <c r="Q68" s="412">
        <v>3553.77</v>
      </c>
      <c r="R68" s="412">
        <v>0</v>
      </c>
      <c r="S68" s="412">
        <v>3553.77</v>
      </c>
      <c r="T68" s="412">
        <v>3553.77</v>
      </c>
      <c r="U68" s="412">
        <v>0</v>
      </c>
      <c r="V68" s="412">
        <v>0</v>
      </c>
      <c r="W68" s="412">
        <v>0</v>
      </c>
      <c r="X68" s="412">
        <v>0</v>
      </c>
      <c r="Y68" s="412">
        <v>0</v>
      </c>
      <c r="Z68" s="412">
        <v>0</v>
      </c>
      <c r="AA68" s="412">
        <v>0</v>
      </c>
      <c r="AB68" s="412">
        <v>3553.77</v>
      </c>
      <c r="AC68" s="412">
        <v>0</v>
      </c>
      <c r="AD68" s="412">
        <v>100</v>
      </c>
      <c r="AE68" s="412">
        <v>0</v>
      </c>
      <c r="AF68" s="412">
        <v>0</v>
      </c>
      <c r="AG68" s="412" t="s">
        <v>526</v>
      </c>
      <c r="AH68" s="413"/>
    </row>
    <row r="69" spans="1:34" x14ac:dyDescent="0.25">
      <c r="A69" s="429"/>
      <c r="B69" s="412"/>
      <c r="C69" s="412"/>
      <c r="D69" s="412"/>
      <c r="E69" s="412"/>
      <c r="F69" s="412"/>
      <c r="G69" s="412"/>
      <c r="H69" s="412"/>
      <c r="I69" s="412"/>
      <c r="J69" s="412"/>
      <c r="K69" s="411"/>
      <c r="L69" s="412"/>
      <c r="M69" s="412">
        <v>5762.72</v>
      </c>
      <c r="N69" s="412">
        <v>5762.72</v>
      </c>
      <c r="O69" s="412">
        <v>5762.72</v>
      </c>
      <c r="P69" s="412">
        <v>0</v>
      </c>
      <c r="Q69" s="412">
        <v>0</v>
      </c>
      <c r="R69" s="412">
        <v>0</v>
      </c>
      <c r="S69" s="412">
        <v>0</v>
      </c>
      <c r="T69" s="412">
        <v>0</v>
      </c>
      <c r="U69" s="412">
        <v>0</v>
      </c>
      <c r="V69" s="412">
        <v>0</v>
      </c>
      <c r="W69" s="412">
        <v>0</v>
      </c>
      <c r="X69" s="412">
        <v>0</v>
      </c>
      <c r="Y69" s="412">
        <v>0</v>
      </c>
      <c r="Z69" s="412">
        <v>0</v>
      </c>
      <c r="AA69" s="412">
        <v>5762.72</v>
      </c>
      <c r="AB69" s="412">
        <v>5762.72</v>
      </c>
      <c r="AC69" s="412">
        <v>100</v>
      </c>
      <c r="AD69" s="412">
        <v>0</v>
      </c>
      <c r="AE69" s="412">
        <v>0</v>
      </c>
      <c r="AF69" s="412">
        <v>0</v>
      </c>
      <c r="AG69" s="412" t="s">
        <v>527</v>
      </c>
      <c r="AH69" s="413"/>
    </row>
    <row r="70" spans="1:34" x14ac:dyDescent="0.25">
      <c r="A70" s="429"/>
      <c r="B70" s="412"/>
      <c r="C70" s="412"/>
      <c r="D70" s="412"/>
      <c r="E70" s="412"/>
      <c r="F70" s="412"/>
      <c r="G70" s="412"/>
      <c r="H70" s="412"/>
      <c r="I70" s="412"/>
      <c r="J70" s="412"/>
      <c r="K70" s="411"/>
      <c r="L70" s="412"/>
      <c r="M70" s="412">
        <v>452173</v>
      </c>
      <c r="N70" s="412">
        <v>452173</v>
      </c>
      <c r="O70" s="412">
        <v>452173</v>
      </c>
      <c r="P70" s="412">
        <v>0</v>
      </c>
      <c r="Q70" s="412">
        <v>0</v>
      </c>
      <c r="R70" s="412">
        <v>0</v>
      </c>
      <c r="S70" s="412">
        <v>0</v>
      </c>
      <c r="T70" s="412">
        <v>0</v>
      </c>
      <c r="U70" s="412">
        <v>0</v>
      </c>
      <c r="V70" s="412">
        <v>0</v>
      </c>
      <c r="W70" s="412">
        <v>0</v>
      </c>
      <c r="X70" s="412">
        <v>0</v>
      </c>
      <c r="Y70" s="412">
        <v>0</v>
      </c>
      <c r="Z70" s="412">
        <v>0</v>
      </c>
      <c r="AA70" s="412">
        <v>452173</v>
      </c>
      <c r="AB70" s="412">
        <v>452173</v>
      </c>
      <c r="AC70" s="412">
        <v>100</v>
      </c>
      <c r="AD70" s="412">
        <v>0</v>
      </c>
      <c r="AE70" s="412">
        <v>0</v>
      </c>
      <c r="AF70" s="412">
        <v>0</v>
      </c>
      <c r="AG70" s="412" t="s">
        <v>528</v>
      </c>
      <c r="AH70" s="413"/>
    </row>
    <row r="71" spans="1:34" x14ac:dyDescent="0.25">
      <c r="A71" s="429"/>
      <c r="B71" s="412"/>
      <c r="C71" s="412"/>
      <c r="D71" s="412"/>
      <c r="E71" s="412"/>
      <c r="F71" s="412"/>
      <c r="G71" s="412"/>
      <c r="H71" s="412"/>
      <c r="I71" s="412"/>
      <c r="J71" s="412"/>
      <c r="K71" s="411"/>
      <c r="L71" s="412"/>
      <c r="M71" s="412">
        <v>72992.800000000003</v>
      </c>
      <c r="N71" s="412">
        <v>72992.800000000003</v>
      </c>
      <c r="O71" s="412">
        <v>72992.800000000003</v>
      </c>
      <c r="P71" s="412">
        <v>0</v>
      </c>
      <c r="Q71" s="412">
        <v>72992.800000000003</v>
      </c>
      <c r="R71" s="412">
        <v>0</v>
      </c>
      <c r="S71" s="412">
        <v>72992.800000000003</v>
      </c>
      <c r="T71" s="412">
        <v>26921.010000000002</v>
      </c>
      <c r="U71" s="412">
        <v>46071.79</v>
      </c>
      <c r="V71" s="412">
        <v>0</v>
      </c>
      <c r="W71" s="412">
        <v>46071.79</v>
      </c>
      <c r="X71" s="412">
        <v>0</v>
      </c>
      <c r="Y71" s="412">
        <v>46071.79</v>
      </c>
      <c r="Z71" s="412">
        <v>0</v>
      </c>
      <c r="AA71" s="412">
        <v>0</v>
      </c>
      <c r="AB71" s="412">
        <v>26921.010000000002</v>
      </c>
      <c r="AC71" s="412">
        <v>0</v>
      </c>
      <c r="AD71" s="412">
        <v>100</v>
      </c>
      <c r="AE71" s="412">
        <v>63.11826645915761</v>
      </c>
      <c r="AF71" s="412">
        <v>100</v>
      </c>
      <c r="AG71" s="412" t="s">
        <v>529</v>
      </c>
      <c r="AH71" s="413"/>
    </row>
    <row r="72" spans="1:34" x14ac:dyDescent="0.25">
      <c r="A72" s="429"/>
      <c r="B72" s="412"/>
      <c r="C72" s="412"/>
      <c r="D72" s="412"/>
      <c r="E72" s="412"/>
      <c r="F72" s="412"/>
      <c r="G72" s="412"/>
      <c r="H72" s="412"/>
      <c r="I72" s="412"/>
      <c r="J72" s="412"/>
      <c r="K72" s="411"/>
      <c r="L72" s="412"/>
      <c r="M72" s="412">
        <v>60254.879999999997</v>
      </c>
      <c r="N72" s="412">
        <v>60254.879999999997</v>
      </c>
      <c r="O72" s="412">
        <v>60254.879999999997</v>
      </c>
      <c r="P72" s="412">
        <v>0</v>
      </c>
      <c r="Q72" s="412">
        <v>57433.01</v>
      </c>
      <c r="R72" s="412">
        <v>0</v>
      </c>
      <c r="S72" s="412">
        <v>57433.01</v>
      </c>
      <c r="T72" s="412">
        <v>56791.71</v>
      </c>
      <c r="U72" s="412">
        <v>641.29999999999995</v>
      </c>
      <c r="V72" s="412">
        <v>0</v>
      </c>
      <c r="W72" s="412">
        <v>641.29999999999995</v>
      </c>
      <c r="X72" s="412">
        <v>0</v>
      </c>
      <c r="Y72" s="412">
        <v>641.29999999999995</v>
      </c>
      <c r="Z72" s="412">
        <v>0</v>
      </c>
      <c r="AA72" s="412">
        <v>2821.87</v>
      </c>
      <c r="AB72" s="412">
        <v>59613.579999999994</v>
      </c>
      <c r="AC72" s="412">
        <v>4.6832223381741036</v>
      </c>
      <c r="AD72" s="412">
        <v>95.316777661825896</v>
      </c>
      <c r="AE72" s="412">
        <v>1.0643121353822296</v>
      </c>
      <c r="AF72" s="412">
        <v>100</v>
      </c>
      <c r="AG72" s="412" t="s">
        <v>530</v>
      </c>
      <c r="AH72" s="413"/>
    </row>
    <row r="73" spans="1:34" x14ac:dyDescent="0.25">
      <c r="A73" s="429"/>
      <c r="B73" s="412"/>
      <c r="C73" s="412"/>
      <c r="D73" s="412"/>
      <c r="E73" s="412"/>
      <c r="F73" s="412"/>
      <c r="G73" s="412"/>
      <c r="H73" s="412"/>
      <c r="I73" s="412"/>
      <c r="J73" s="412"/>
      <c r="K73" s="411"/>
      <c r="L73" s="412"/>
      <c r="M73" s="412">
        <v>997683.81</v>
      </c>
      <c r="N73" s="412">
        <v>997683.81</v>
      </c>
      <c r="O73" s="412">
        <v>997683.81</v>
      </c>
      <c r="P73" s="412">
        <v>0</v>
      </c>
      <c r="Q73" s="412">
        <v>997683.81</v>
      </c>
      <c r="R73" s="412">
        <v>0</v>
      </c>
      <c r="S73" s="412">
        <v>997683.81</v>
      </c>
      <c r="T73" s="412">
        <v>164172</v>
      </c>
      <c r="U73" s="412">
        <v>833511.81</v>
      </c>
      <c r="V73" s="412">
        <v>0</v>
      </c>
      <c r="W73" s="412">
        <v>833511.81</v>
      </c>
      <c r="X73" s="412">
        <v>0</v>
      </c>
      <c r="Y73" s="412">
        <v>833511.81</v>
      </c>
      <c r="Z73" s="412">
        <v>0</v>
      </c>
      <c r="AA73" s="412">
        <v>0</v>
      </c>
      <c r="AB73" s="412">
        <v>164172</v>
      </c>
      <c r="AC73" s="412">
        <v>0</v>
      </c>
      <c r="AD73" s="412">
        <v>100</v>
      </c>
      <c r="AE73" s="412">
        <v>83.544686367116654</v>
      </c>
      <c r="AF73" s="412">
        <v>100</v>
      </c>
      <c r="AG73" s="412" t="s">
        <v>531</v>
      </c>
      <c r="AH73" s="413"/>
    </row>
    <row r="74" spans="1:34" x14ac:dyDescent="0.25">
      <c r="A74" s="429"/>
      <c r="B74" s="412"/>
      <c r="C74" s="412"/>
      <c r="D74" s="412"/>
      <c r="E74" s="412"/>
      <c r="F74" s="412"/>
      <c r="G74" s="412"/>
      <c r="H74" s="412"/>
      <c r="I74" s="412"/>
      <c r="J74" s="412"/>
      <c r="K74" s="411"/>
      <c r="L74" s="412"/>
      <c r="M74" s="412">
        <v>0</v>
      </c>
      <c r="N74" s="412">
        <v>0</v>
      </c>
      <c r="O74" s="412">
        <v>0</v>
      </c>
      <c r="P74" s="412">
        <v>0</v>
      </c>
      <c r="Q74" s="412">
        <v>0</v>
      </c>
      <c r="R74" s="412">
        <v>0</v>
      </c>
      <c r="S74" s="412">
        <v>0</v>
      </c>
      <c r="T74" s="412">
        <v>0</v>
      </c>
      <c r="U74" s="412">
        <v>0</v>
      </c>
      <c r="V74" s="412">
        <v>0</v>
      </c>
      <c r="W74" s="412">
        <v>0</v>
      </c>
      <c r="X74" s="412">
        <v>0</v>
      </c>
      <c r="Y74" s="412">
        <v>0</v>
      </c>
      <c r="Z74" s="412">
        <v>0</v>
      </c>
      <c r="AA74" s="412">
        <v>0</v>
      </c>
      <c r="AB74" s="412">
        <v>0</v>
      </c>
      <c r="AC74" s="412">
        <v>0</v>
      </c>
      <c r="AD74" s="412">
        <v>0</v>
      </c>
      <c r="AE74" s="412">
        <v>0</v>
      </c>
      <c r="AF74" s="412">
        <v>0</v>
      </c>
      <c r="AG74" s="412" t="s">
        <v>532</v>
      </c>
      <c r="AH74" s="413"/>
    </row>
    <row r="75" spans="1:34" x14ac:dyDescent="0.25">
      <c r="A75" s="429"/>
      <c r="B75" s="412"/>
      <c r="C75" s="412"/>
      <c r="D75" s="412"/>
      <c r="E75" s="412"/>
      <c r="F75" s="412"/>
      <c r="G75" s="412"/>
      <c r="H75" s="412"/>
      <c r="I75" s="412"/>
      <c r="J75" s="412"/>
      <c r="K75" s="411"/>
      <c r="L75" s="412"/>
      <c r="M75" s="412">
        <v>532455</v>
      </c>
      <c r="N75" s="412">
        <v>532455</v>
      </c>
      <c r="O75" s="412">
        <v>532455</v>
      </c>
      <c r="P75" s="412">
        <v>0</v>
      </c>
      <c r="Q75" s="412">
        <v>532455</v>
      </c>
      <c r="R75" s="412">
        <v>0</v>
      </c>
      <c r="S75" s="412">
        <v>532455</v>
      </c>
      <c r="T75" s="412">
        <v>87514.19</v>
      </c>
      <c r="U75" s="412">
        <v>444940.81</v>
      </c>
      <c r="V75" s="412">
        <v>0</v>
      </c>
      <c r="W75" s="412">
        <v>444940.81</v>
      </c>
      <c r="X75" s="412">
        <v>0</v>
      </c>
      <c r="Y75" s="412">
        <v>444940.81</v>
      </c>
      <c r="Z75" s="412">
        <v>0</v>
      </c>
      <c r="AA75" s="412">
        <v>0</v>
      </c>
      <c r="AB75" s="412">
        <v>87514.19</v>
      </c>
      <c r="AC75" s="412">
        <v>0</v>
      </c>
      <c r="AD75" s="412">
        <v>100</v>
      </c>
      <c r="AE75" s="412">
        <v>83.564021372698164</v>
      </c>
      <c r="AF75" s="412">
        <v>100</v>
      </c>
      <c r="AG75" s="412" t="s">
        <v>533</v>
      </c>
      <c r="AH75" s="413"/>
    </row>
    <row r="76" spans="1:34" x14ac:dyDescent="0.25">
      <c r="A76" s="429"/>
      <c r="B76" s="412"/>
      <c r="C76" s="412"/>
      <c r="D76" s="412"/>
      <c r="E76" s="412"/>
      <c r="F76" s="412"/>
      <c r="G76" s="412"/>
      <c r="H76" s="412"/>
      <c r="I76" s="412"/>
      <c r="J76" s="412"/>
      <c r="K76" s="411"/>
      <c r="L76" s="412"/>
      <c r="M76" s="412">
        <v>269026.81</v>
      </c>
      <c r="N76" s="412">
        <v>269026.81</v>
      </c>
      <c r="O76" s="412">
        <v>269026.81</v>
      </c>
      <c r="P76" s="412">
        <v>0</v>
      </c>
      <c r="Q76" s="412">
        <v>269025.78999999998</v>
      </c>
      <c r="R76" s="412">
        <v>105.0899999999674</v>
      </c>
      <c r="S76" s="412">
        <v>268920.7</v>
      </c>
      <c r="T76" s="412">
        <v>33257.53</v>
      </c>
      <c r="U76" s="412">
        <v>235663.17</v>
      </c>
      <c r="V76" s="412">
        <v>0</v>
      </c>
      <c r="W76" s="412">
        <v>235663.17</v>
      </c>
      <c r="X76" s="412">
        <v>0</v>
      </c>
      <c r="Y76" s="412">
        <v>235663.17</v>
      </c>
      <c r="Z76" s="412">
        <v>0</v>
      </c>
      <c r="AA76" s="412">
        <v>1.02</v>
      </c>
      <c r="AB76" s="412">
        <v>33363.639999999985</v>
      </c>
      <c r="AC76" s="412">
        <v>3.791443685482499E-4</v>
      </c>
      <c r="AD76" s="412">
        <v>99.960557834366028</v>
      </c>
      <c r="AE76" s="412">
        <v>87.598395862479279</v>
      </c>
      <c r="AF76" s="412">
        <v>100</v>
      </c>
      <c r="AG76" s="412" t="s">
        <v>534</v>
      </c>
      <c r="AH76" s="413"/>
    </row>
    <row r="77" spans="1:34" x14ac:dyDescent="0.25">
      <c r="A77" s="429"/>
      <c r="B77" s="412"/>
      <c r="C77" s="412"/>
      <c r="D77" s="412"/>
      <c r="E77" s="412"/>
      <c r="F77" s="412"/>
      <c r="G77" s="412"/>
      <c r="H77" s="412"/>
      <c r="I77" s="412"/>
      <c r="J77" s="412"/>
      <c r="K77" s="411"/>
      <c r="L77" s="412"/>
      <c r="M77" s="412">
        <v>252102.35</v>
      </c>
      <c r="N77" s="412">
        <v>252102.35</v>
      </c>
      <c r="O77" s="412">
        <v>252102.35</v>
      </c>
      <c r="P77" s="412">
        <v>0</v>
      </c>
      <c r="Q77" s="412">
        <v>252102.35</v>
      </c>
      <c r="R77" s="412">
        <v>11684.790000000008</v>
      </c>
      <c r="S77" s="412">
        <v>240417.56</v>
      </c>
      <c r="T77" s="412">
        <v>115579.2</v>
      </c>
      <c r="U77" s="412">
        <v>124838.36</v>
      </c>
      <c r="V77" s="412">
        <v>0</v>
      </c>
      <c r="W77" s="412">
        <v>124838.36</v>
      </c>
      <c r="X77" s="412">
        <v>0</v>
      </c>
      <c r="Y77" s="412">
        <v>124838.36</v>
      </c>
      <c r="Z77" s="412">
        <v>0</v>
      </c>
      <c r="AA77" s="412">
        <v>0</v>
      </c>
      <c r="AB77" s="412">
        <v>127263.99</v>
      </c>
      <c r="AC77" s="412">
        <v>0</v>
      </c>
      <c r="AD77" s="412">
        <v>95.36506105555938</v>
      </c>
      <c r="AE77" s="412">
        <v>49.518919597536474</v>
      </c>
      <c r="AF77" s="412">
        <v>100</v>
      </c>
      <c r="AG77" s="412" t="s">
        <v>535</v>
      </c>
      <c r="AH77" s="413"/>
    </row>
    <row r="78" spans="1:34" x14ac:dyDescent="0.25">
      <c r="A78" s="429"/>
      <c r="B78" s="412"/>
      <c r="C78" s="412"/>
      <c r="D78" s="412"/>
      <c r="E78" s="412"/>
      <c r="F78" s="412"/>
      <c r="G78" s="412"/>
      <c r="H78" s="412"/>
      <c r="I78" s="412"/>
      <c r="J78" s="412"/>
      <c r="K78" s="411"/>
      <c r="L78" s="412"/>
      <c r="M78" s="412">
        <v>90674.93</v>
      </c>
      <c r="N78" s="412">
        <v>90674.93</v>
      </c>
      <c r="O78" s="412">
        <v>90674.93</v>
      </c>
      <c r="P78" s="412">
        <v>0</v>
      </c>
      <c r="Q78" s="412">
        <v>67549.929999999993</v>
      </c>
      <c r="R78" s="412">
        <v>0</v>
      </c>
      <c r="S78" s="412">
        <v>67549.929999999993</v>
      </c>
      <c r="T78" s="412">
        <v>11674.429999999993</v>
      </c>
      <c r="U78" s="412">
        <v>55875.5</v>
      </c>
      <c r="V78" s="412">
        <v>0</v>
      </c>
      <c r="W78" s="412">
        <v>55875.5</v>
      </c>
      <c r="X78" s="412">
        <v>0</v>
      </c>
      <c r="Y78" s="412">
        <v>55875.5</v>
      </c>
      <c r="Z78" s="412">
        <v>0</v>
      </c>
      <c r="AA78" s="412">
        <v>23125</v>
      </c>
      <c r="AB78" s="412">
        <v>34799.429999999993</v>
      </c>
      <c r="AC78" s="412">
        <v>25.503190352614556</v>
      </c>
      <c r="AD78" s="412">
        <v>74.496809647385447</v>
      </c>
      <c r="AE78" s="412">
        <v>61.621773515568201</v>
      </c>
      <c r="AF78" s="412">
        <v>100</v>
      </c>
      <c r="AG78" s="412" t="s">
        <v>536</v>
      </c>
      <c r="AH78" s="413"/>
    </row>
    <row r="79" spans="1:34" x14ac:dyDescent="0.25">
      <c r="A79" s="429"/>
      <c r="B79" s="412"/>
      <c r="C79" s="412"/>
      <c r="D79" s="412"/>
      <c r="E79" s="412"/>
      <c r="F79" s="412"/>
      <c r="G79" s="412"/>
      <c r="H79" s="412"/>
      <c r="I79" s="412"/>
      <c r="J79" s="412"/>
      <c r="K79" s="411"/>
      <c r="L79" s="412"/>
      <c r="M79" s="412">
        <v>42483.96</v>
      </c>
      <c r="N79" s="412">
        <v>42483.96</v>
      </c>
      <c r="O79" s="412">
        <v>42483.96</v>
      </c>
      <c r="P79" s="412">
        <v>0</v>
      </c>
      <c r="Q79" s="412">
        <v>0</v>
      </c>
      <c r="R79" s="412">
        <v>0</v>
      </c>
      <c r="S79" s="412">
        <v>0</v>
      </c>
      <c r="T79" s="412">
        <v>0</v>
      </c>
      <c r="U79" s="412">
        <v>0</v>
      </c>
      <c r="V79" s="412">
        <v>0</v>
      </c>
      <c r="W79" s="412">
        <v>0</v>
      </c>
      <c r="X79" s="412">
        <v>0</v>
      </c>
      <c r="Y79" s="412">
        <v>0</v>
      </c>
      <c r="Z79" s="412">
        <v>0</v>
      </c>
      <c r="AA79" s="412">
        <v>42483.96</v>
      </c>
      <c r="AB79" s="412">
        <v>42483.96</v>
      </c>
      <c r="AC79" s="412">
        <v>100</v>
      </c>
      <c r="AD79" s="412">
        <v>0</v>
      </c>
      <c r="AE79" s="412">
        <v>0</v>
      </c>
      <c r="AF79" s="412">
        <v>0</v>
      </c>
      <c r="AG79" s="412" t="s">
        <v>537</v>
      </c>
      <c r="AH79" s="413"/>
    </row>
    <row r="80" spans="1:34" x14ac:dyDescent="0.25">
      <c r="A80" s="429"/>
      <c r="B80" s="412"/>
      <c r="C80" s="412"/>
      <c r="D80" s="412"/>
      <c r="E80" s="412"/>
      <c r="F80" s="412"/>
      <c r="G80" s="412"/>
      <c r="H80" s="412"/>
      <c r="I80" s="412"/>
      <c r="J80" s="412"/>
      <c r="K80" s="411"/>
      <c r="L80" s="412"/>
      <c r="M80" s="412">
        <v>6810.74</v>
      </c>
      <c r="N80" s="412">
        <v>6810.74</v>
      </c>
      <c r="O80" s="412">
        <v>6810.74</v>
      </c>
      <c r="P80" s="412">
        <v>0</v>
      </c>
      <c r="Q80" s="412">
        <v>6215.95</v>
      </c>
      <c r="R80" s="412">
        <v>0</v>
      </c>
      <c r="S80" s="412">
        <v>6215.95</v>
      </c>
      <c r="T80" s="412">
        <v>0</v>
      </c>
      <c r="U80" s="412">
        <v>6215.95</v>
      </c>
      <c r="V80" s="412">
        <v>0</v>
      </c>
      <c r="W80" s="412">
        <v>6215.95</v>
      </c>
      <c r="X80" s="412">
        <v>0</v>
      </c>
      <c r="Y80" s="412">
        <v>6215.95</v>
      </c>
      <c r="Z80" s="412">
        <v>0</v>
      </c>
      <c r="AA80" s="412">
        <v>594.79</v>
      </c>
      <c r="AB80" s="412">
        <v>594.79</v>
      </c>
      <c r="AC80" s="412">
        <v>8.7331185744867668</v>
      </c>
      <c r="AD80" s="412">
        <v>91.266881425513233</v>
      </c>
      <c r="AE80" s="412">
        <v>91.266881425513233</v>
      </c>
      <c r="AF80" s="412">
        <v>100</v>
      </c>
      <c r="AG80" s="412" t="s">
        <v>538</v>
      </c>
      <c r="AH80" s="413"/>
    </row>
    <row r="81" spans="1:34" x14ac:dyDescent="0.25">
      <c r="A81" s="429"/>
      <c r="B81" s="412"/>
      <c r="C81" s="412"/>
      <c r="D81" s="412"/>
      <c r="E81" s="412"/>
      <c r="F81" s="412"/>
      <c r="G81" s="412"/>
      <c r="H81" s="412"/>
      <c r="I81" s="412"/>
      <c r="J81" s="412"/>
      <c r="K81" s="411"/>
      <c r="L81" s="412"/>
      <c r="M81" s="412">
        <v>33000</v>
      </c>
      <c r="N81" s="412">
        <v>33000</v>
      </c>
      <c r="O81" s="412">
        <v>33000</v>
      </c>
      <c r="P81" s="412">
        <v>0</v>
      </c>
      <c r="Q81" s="412">
        <v>21217.96</v>
      </c>
      <c r="R81" s="412">
        <v>0</v>
      </c>
      <c r="S81" s="412">
        <v>21217.96</v>
      </c>
      <c r="T81" s="412">
        <v>21217.96</v>
      </c>
      <c r="U81" s="412">
        <v>0</v>
      </c>
      <c r="V81" s="412">
        <v>0</v>
      </c>
      <c r="W81" s="412">
        <v>0</v>
      </c>
      <c r="X81" s="412">
        <v>0</v>
      </c>
      <c r="Y81" s="412">
        <v>0</v>
      </c>
      <c r="Z81" s="412">
        <v>0</v>
      </c>
      <c r="AA81" s="412">
        <v>11782.04</v>
      </c>
      <c r="AB81" s="412">
        <v>33000</v>
      </c>
      <c r="AC81" s="412">
        <v>35.703151515151518</v>
      </c>
      <c r="AD81" s="412">
        <v>64.296848484848482</v>
      </c>
      <c r="AE81" s="412">
        <v>0</v>
      </c>
      <c r="AF81" s="412">
        <v>0</v>
      </c>
      <c r="AG81" s="412" t="s">
        <v>539</v>
      </c>
      <c r="AH81" s="413"/>
    </row>
    <row r="82" spans="1:34" x14ac:dyDescent="0.25">
      <c r="A82" s="429"/>
      <c r="B82" s="412"/>
      <c r="C82" s="412"/>
      <c r="D82" s="412"/>
      <c r="E82" s="412"/>
      <c r="F82" s="412"/>
      <c r="G82" s="412"/>
      <c r="H82" s="412"/>
      <c r="I82" s="412"/>
      <c r="J82" s="412"/>
      <c r="K82" s="411"/>
      <c r="L82" s="412"/>
      <c r="M82" s="412">
        <v>69017.52</v>
      </c>
      <c r="N82" s="412">
        <v>69017.52</v>
      </c>
      <c r="O82" s="412">
        <v>69017.52</v>
      </c>
      <c r="P82" s="412">
        <v>0</v>
      </c>
      <c r="Q82" s="412">
        <v>59856.56</v>
      </c>
      <c r="R82" s="412">
        <v>5203</v>
      </c>
      <c r="S82" s="412">
        <v>54653.56</v>
      </c>
      <c r="T82" s="412">
        <v>46753.71</v>
      </c>
      <c r="U82" s="412">
        <v>7899.85</v>
      </c>
      <c r="V82" s="412">
        <v>0</v>
      </c>
      <c r="W82" s="412">
        <v>7899.85</v>
      </c>
      <c r="X82" s="412">
        <v>0</v>
      </c>
      <c r="Y82" s="412">
        <v>7899.85</v>
      </c>
      <c r="Z82" s="412">
        <v>0</v>
      </c>
      <c r="AA82" s="412">
        <v>9160.9599999999991</v>
      </c>
      <c r="AB82" s="412">
        <v>61117.670000000006</v>
      </c>
      <c r="AC82" s="412">
        <v>13.273383338027791</v>
      </c>
      <c r="AD82" s="412">
        <v>79.187951117339466</v>
      </c>
      <c r="AE82" s="412">
        <v>11.446151643814497</v>
      </c>
      <c r="AF82" s="412">
        <v>100</v>
      </c>
      <c r="AG82" s="412" t="s">
        <v>540</v>
      </c>
      <c r="AH82" s="413"/>
    </row>
    <row r="83" spans="1:34" x14ac:dyDescent="0.25">
      <c r="A83" s="429"/>
      <c r="B83" s="412"/>
      <c r="C83" s="412"/>
      <c r="D83" s="412"/>
      <c r="E83" s="412"/>
      <c r="F83" s="412"/>
      <c r="G83" s="412"/>
      <c r="H83" s="412"/>
      <c r="I83" s="412"/>
      <c r="J83" s="412"/>
      <c r="K83" s="411"/>
      <c r="L83" s="412"/>
      <c r="M83" s="412">
        <v>46812.25</v>
      </c>
      <c r="N83" s="412">
        <v>46812.25</v>
      </c>
      <c r="O83" s="412">
        <v>46812.25</v>
      </c>
      <c r="P83" s="412">
        <v>0</v>
      </c>
      <c r="Q83" s="412">
        <v>21961.55</v>
      </c>
      <c r="R83" s="412">
        <v>0</v>
      </c>
      <c r="S83" s="412">
        <v>21961.55</v>
      </c>
      <c r="T83" s="412">
        <v>21961.55</v>
      </c>
      <c r="U83" s="412">
        <v>0</v>
      </c>
      <c r="V83" s="412">
        <v>0</v>
      </c>
      <c r="W83" s="412">
        <v>0</v>
      </c>
      <c r="X83" s="412">
        <v>0</v>
      </c>
      <c r="Y83" s="412">
        <v>0</v>
      </c>
      <c r="Z83" s="412">
        <v>0</v>
      </c>
      <c r="AA83" s="412">
        <v>24850.7</v>
      </c>
      <c r="AB83" s="412">
        <v>46812.25</v>
      </c>
      <c r="AC83" s="412">
        <v>53.085890979391081</v>
      </c>
      <c r="AD83" s="412">
        <v>46.914109020608919</v>
      </c>
      <c r="AE83" s="412">
        <v>0</v>
      </c>
      <c r="AF83" s="412">
        <v>0</v>
      </c>
      <c r="AG83" s="412" t="s">
        <v>541</v>
      </c>
      <c r="AH83" s="413"/>
    </row>
    <row r="84" spans="1:34" x14ac:dyDescent="0.25">
      <c r="A84" s="429"/>
      <c r="B84" s="412"/>
      <c r="C84" s="412"/>
      <c r="D84" s="412"/>
      <c r="E84" s="412"/>
      <c r="F84" s="412"/>
      <c r="G84" s="412"/>
      <c r="H84" s="412"/>
      <c r="I84" s="412"/>
      <c r="J84" s="412"/>
      <c r="K84" s="411"/>
      <c r="L84" s="412"/>
      <c r="M84" s="412">
        <v>1155340.8</v>
      </c>
      <c r="N84" s="412">
        <v>1155340.8</v>
      </c>
      <c r="O84" s="412">
        <v>1155340.8</v>
      </c>
      <c r="P84" s="412">
        <v>0</v>
      </c>
      <c r="Q84" s="412">
        <v>1155340.8</v>
      </c>
      <c r="R84" s="412">
        <v>0</v>
      </c>
      <c r="S84" s="412">
        <v>1155340.8</v>
      </c>
      <c r="T84" s="412">
        <v>1155340.8</v>
      </c>
      <c r="U84" s="412">
        <v>0</v>
      </c>
      <c r="V84" s="412">
        <v>0</v>
      </c>
      <c r="W84" s="412">
        <v>0</v>
      </c>
      <c r="X84" s="412">
        <v>0</v>
      </c>
      <c r="Y84" s="412">
        <v>0</v>
      </c>
      <c r="Z84" s="412">
        <v>0</v>
      </c>
      <c r="AA84" s="412">
        <v>0</v>
      </c>
      <c r="AB84" s="412">
        <v>1155340.8</v>
      </c>
      <c r="AC84" s="412">
        <v>0</v>
      </c>
      <c r="AD84" s="412">
        <v>100</v>
      </c>
      <c r="AE84" s="412">
        <v>0</v>
      </c>
      <c r="AF84" s="412">
        <v>0</v>
      </c>
      <c r="AG84" s="412" t="s">
        <v>542</v>
      </c>
      <c r="AH84" s="413"/>
    </row>
    <row r="85" spans="1:34" x14ac:dyDescent="0.25">
      <c r="A85" s="429"/>
      <c r="B85" s="412"/>
      <c r="C85" s="412"/>
      <c r="D85" s="412"/>
      <c r="E85" s="412"/>
      <c r="F85" s="412"/>
      <c r="G85" s="412"/>
      <c r="H85" s="412"/>
      <c r="I85" s="412"/>
      <c r="J85" s="412"/>
      <c r="K85" s="411"/>
      <c r="L85" s="412"/>
      <c r="M85" s="412">
        <v>146672.5</v>
      </c>
      <c r="N85" s="412">
        <v>146672.5</v>
      </c>
      <c r="O85" s="412">
        <v>146672.5</v>
      </c>
      <c r="P85" s="412">
        <v>0</v>
      </c>
      <c r="Q85" s="412">
        <v>63333.82</v>
      </c>
      <c r="R85" s="412">
        <v>0</v>
      </c>
      <c r="S85" s="412">
        <v>63333.82</v>
      </c>
      <c r="T85" s="412">
        <v>41555.509999999995</v>
      </c>
      <c r="U85" s="412">
        <v>21778.31</v>
      </c>
      <c r="V85" s="412">
        <v>0</v>
      </c>
      <c r="W85" s="412">
        <v>21778.31</v>
      </c>
      <c r="X85" s="412">
        <v>0</v>
      </c>
      <c r="Y85" s="412">
        <v>21778.31</v>
      </c>
      <c r="Z85" s="412">
        <v>0</v>
      </c>
      <c r="AA85" s="412">
        <v>83338.679999999993</v>
      </c>
      <c r="AB85" s="412">
        <v>124894.19</v>
      </c>
      <c r="AC85" s="412">
        <v>56.819567403569174</v>
      </c>
      <c r="AD85" s="412">
        <v>43.180432596430826</v>
      </c>
      <c r="AE85" s="412">
        <v>14.848257171589768</v>
      </c>
      <c r="AF85" s="412">
        <v>100</v>
      </c>
      <c r="AG85" s="412" t="s">
        <v>543</v>
      </c>
      <c r="AH85" s="413"/>
    </row>
    <row r="86" spans="1:34" x14ac:dyDescent="0.25">
      <c r="A86" s="429"/>
      <c r="B86" s="412"/>
      <c r="C86" s="412"/>
      <c r="D86" s="412"/>
      <c r="E86" s="412"/>
      <c r="F86" s="412"/>
      <c r="G86" s="412"/>
      <c r="H86" s="412"/>
      <c r="I86" s="412"/>
      <c r="J86" s="412"/>
      <c r="K86" s="411"/>
      <c r="L86" s="412"/>
      <c r="M86" s="412">
        <v>85300.49</v>
      </c>
      <c r="N86" s="412">
        <v>85300.49</v>
      </c>
      <c r="O86" s="412">
        <v>85300.49</v>
      </c>
      <c r="P86" s="412">
        <v>0</v>
      </c>
      <c r="Q86" s="412">
        <v>85300.49</v>
      </c>
      <c r="R86" s="412">
        <v>0</v>
      </c>
      <c r="S86" s="412">
        <v>85300.49</v>
      </c>
      <c r="T86" s="412">
        <v>0</v>
      </c>
      <c r="U86" s="412">
        <v>85300.49</v>
      </c>
      <c r="V86" s="412">
        <v>0</v>
      </c>
      <c r="W86" s="412">
        <v>85300.49</v>
      </c>
      <c r="X86" s="412">
        <v>85300.49</v>
      </c>
      <c r="Y86" s="412">
        <v>0</v>
      </c>
      <c r="Z86" s="412">
        <v>0</v>
      </c>
      <c r="AA86" s="412">
        <v>0</v>
      </c>
      <c r="AB86" s="412">
        <v>0</v>
      </c>
      <c r="AC86" s="412">
        <v>0</v>
      </c>
      <c r="AD86" s="412">
        <v>100</v>
      </c>
      <c r="AE86" s="412">
        <v>100</v>
      </c>
      <c r="AF86" s="412">
        <v>0</v>
      </c>
      <c r="AG86" s="412" t="s">
        <v>544</v>
      </c>
      <c r="AH86" s="413"/>
    </row>
    <row r="87" spans="1:34" x14ac:dyDescent="0.25">
      <c r="A87" s="429"/>
      <c r="B87" s="412"/>
      <c r="C87" s="412"/>
      <c r="D87" s="412"/>
      <c r="E87" s="412"/>
      <c r="F87" s="412"/>
      <c r="G87" s="412"/>
      <c r="H87" s="412"/>
      <c r="I87" s="412"/>
      <c r="J87" s="412"/>
      <c r="K87" s="411"/>
      <c r="L87" s="412"/>
      <c r="M87" s="412">
        <v>111758.6</v>
      </c>
      <c r="N87" s="412">
        <v>111758.6</v>
      </c>
      <c r="O87" s="412">
        <v>111758.6</v>
      </c>
      <c r="P87" s="412">
        <v>0</v>
      </c>
      <c r="Q87" s="412">
        <v>0</v>
      </c>
      <c r="R87" s="412">
        <v>0</v>
      </c>
      <c r="S87" s="412">
        <v>0</v>
      </c>
      <c r="T87" s="412">
        <v>0</v>
      </c>
      <c r="U87" s="412">
        <v>0</v>
      </c>
      <c r="V87" s="412">
        <v>0</v>
      </c>
      <c r="W87" s="412">
        <v>0</v>
      </c>
      <c r="X87" s="412">
        <v>0</v>
      </c>
      <c r="Y87" s="412">
        <v>0</v>
      </c>
      <c r="Z87" s="412">
        <v>0</v>
      </c>
      <c r="AA87" s="412">
        <v>111758.6</v>
      </c>
      <c r="AB87" s="412">
        <v>111758.6</v>
      </c>
      <c r="AC87" s="412">
        <v>100</v>
      </c>
      <c r="AD87" s="412">
        <v>0</v>
      </c>
      <c r="AE87" s="412">
        <v>0</v>
      </c>
      <c r="AF87" s="412">
        <v>0</v>
      </c>
      <c r="AG87" s="412" t="s">
        <v>545</v>
      </c>
      <c r="AH87" s="413"/>
    </row>
    <row r="88" spans="1:34" x14ac:dyDescent="0.25">
      <c r="A88" s="429"/>
      <c r="B88" s="412"/>
      <c r="C88" s="412"/>
      <c r="D88" s="412"/>
      <c r="E88" s="412"/>
      <c r="F88" s="412"/>
      <c r="G88" s="412"/>
      <c r="H88" s="412"/>
      <c r="I88" s="412"/>
      <c r="J88" s="412"/>
      <c r="K88" s="411"/>
      <c r="L88" s="412"/>
      <c r="M88" s="412">
        <v>328440</v>
      </c>
      <c r="N88" s="412">
        <v>165000</v>
      </c>
      <c r="O88" s="412">
        <v>328440</v>
      </c>
      <c r="P88" s="412">
        <v>0</v>
      </c>
      <c r="Q88" s="412">
        <v>0</v>
      </c>
      <c r="R88" s="412">
        <v>0</v>
      </c>
      <c r="S88" s="412">
        <v>0</v>
      </c>
      <c r="T88" s="412">
        <v>0</v>
      </c>
      <c r="U88" s="412">
        <v>0</v>
      </c>
      <c r="V88" s="412">
        <v>0</v>
      </c>
      <c r="W88" s="412">
        <v>0</v>
      </c>
      <c r="X88" s="412">
        <v>0</v>
      </c>
      <c r="Y88" s="412">
        <v>0</v>
      </c>
      <c r="Z88" s="412">
        <v>0</v>
      </c>
      <c r="AA88" s="412">
        <v>328440</v>
      </c>
      <c r="AB88" s="412">
        <v>328440</v>
      </c>
      <c r="AC88" s="412">
        <v>100</v>
      </c>
      <c r="AD88" s="412">
        <v>0</v>
      </c>
      <c r="AE88" s="412">
        <v>0</v>
      </c>
      <c r="AF88" s="412">
        <v>0</v>
      </c>
      <c r="AG88" s="412" t="s">
        <v>546</v>
      </c>
      <c r="AH88" s="413"/>
    </row>
    <row r="89" spans="1:34" x14ac:dyDescent="0.25">
      <c r="A89" s="429"/>
      <c r="B89" s="412"/>
      <c r="C89" s="412"/>
      <c r="D89" s="412"/>
      <c r="E89" s="412"/>
      <c r="F89" s="412"/>
      <c r="G89" s="412"/>
      <c r="H89" s="412"/>
      <c r="I89" s="412"/>
      <c r="J89" s="412"/>
      <c r="K89" s="411"/>
      <c r="L89" s="412"/>
      <c r="M89" s="412">
        <v>291313.40999999997</v>
      </c>
      <c r="N89" s="412">
        <v>291313.40999999997</v>
      </c>
      <c r="O89" s="412">
        <v>291313.40999999997</v>
      </c>
      <c r="P89" s="412">
        <v>0</v>
      </c>
      <c r="Q89" s="412">
        <v>291313.40999999997</v>
      </c>
      <c r="R89" s="412">
        <v>0</v>
      </c>
      <c r="S89" s="412">
        <v>291313.40999999997</v>
      </c>
      <c r="T89" s="412">
        <v>291313.40999999997</v>
      </c>
      <c r="U89" s="412">
        <v>0</v>
      </c>
      <c r="V89" s="412">
        <v>0</v>
      </c>
      <c r="W89" s="412">
        <v>0</v>
      </c>
      <c r="X89" s="412">
        <v>0</v>
      </c>
      <c r="Y89" s="412">
        <v>0</v>
      </c>
      <c r="Z89" s="412">
        <v>0</v>
      </c>
      <c r="AA89" s="412">
        <v>0</v>
      </c>
      <c r="AB89" s="412">
        <v>291313.40999999997</v>
      </c>
      <c r="AC89" s="412">
        <v>0</v>
      </c>
      <c r="AD89" s="412">
        <v>100</v>
      </c>
      <c r="AE89" s="412">
        <v>0</v>
      </c>
      <c r="AF89" s="412">
        <v>0</v>
      </c>
      <c r="AG89" s="412" t="s">
        <v>547</v>
      </c>
      <c r="AH89" s="413"/>
    </row>
    <row r="90" spans="1:34" x14ac:dyDescent="0.25">
      <c r="A90" s="429"/>
      <c r="B90" s="412"/>
      <c r="C90" s="412"/>
      <c r="D90" s="412"/>
      <c r="E90" s="412"/>
      <c r="F90" s="412"/>
      <c r="G90" s="412"/>
      <c r="H90" s="412"/>
      <c r="I90" s="412"/>
      <c r="J90" s="412"/>
      <c r="K90" s="411"/>
      <c r="L90" s="412"/>
      <c r="M90" s="412">
        <v>1641136.87</v>
      </c>
      <c r="N90" s="412">
        <v>1641136.87</v>
      </c>
      <c r="O90" s="412">
        <v>1641136.87</v>
      </c>
      <c r="P90" s="412">
        <v>0</v>
      </c>
      <c r="Q90" s="412">
        <v>1627202.3</v>
      </c>
      <c r="R90" s="412">
        <v>0</v>
      </c>
      <c r="S90" s="412">
        <v>1627202.3</v>
      </c>
      <c r="T90" s="412">
        <v>1627202.3</v>
      </c>
      <c r="U90" s="412">
        <v>0</v>
      </c>
      <c r="V90" s="412">
        <v>0</v>
      </c>
      <c r="W90" s="412">
        <v>0</v>
      </c>
      <c r="X90" s="412">
        <v>0</v>
      </c>
      <c r="Y90" s="412">
        <v>0</v>
      </c>
      <c r="Z90" s="412">
        <v>0</v>
      </c>
      <c r="AA90" s="412">
        <v>13934.57</v>
      </c>
      <c r="AB90" s="412">
        <v>1641136.87</v>
      </c>
      <c r="AC90" s="412">
        <v>0.84908030857901562</v>
      </c>
      <c r="AD90" s="412">
        <v>99.150919691420981</v>
      </c>
      <c r="AE90" s="412">
        <v>0</v>
      </c>
      <c r="AF90" s="412">
        <v>0</v>
      </c>
      <c r="AG90" s="412" t="s">
        <v>548</v>
      </c>
      <c r="AH90" s="413"/>
    </row>
    <row r="91" spans="1:34" x14ac:dyDescent="0.25">
      <c r="A91" s="429"/>
      <c r="B91" s="412"/>
      <c r="C91" s="412"/>
      <c r="D91" s="412"/>
      <c r="E91" s="412"/>
      <c r="F91" s="412"/>
      <c r="G91" s="412"/>
      <c r="H91" s="412"/>
      <c r="I91" s="412"/>
      <c r="J91" s="412"/>
      <c r="K91" s="411"/>
      <c r="L91" s="412"/>
      <c r="M91" s="412">
        <v>913950.35</v>
      </c>
      <c r="N91" s="412">
        <v>913950.35</v>
      </c>
      <c r="O91" s="412">
        <v>913950.35</v>
      </c>
      <c r="P91" s="412">
        <v>0</v>
      </c>
      <c r="Q91" s="412">
        <v>913950.36</v>
      </c>
      <c r="R91" s="412">
        <v>0</v>
      </c>
      <c r="S91" s="412">
        <v>913950.36</v>
      </c>
      <c r="T91" s="412">
        <v>873368.55999999994</v>
      </c>
      <c r="U91" s="412">
        <v>40581.800000000003</v>
      </c>
      <c r="V91" s="412">
        <v>4242.2700000000041</v>
      </c>
      <c r="W91" s="412">
        <v>36339.53</v>
      </c>
      <c r="X91" s="412">
        <v>0</v>
      </c>
      <c r="Y91" s="412">
        <v>36339.53</v>
      </c>
      <c r="Z91" s="412">
        <v>0</v>
      </c>
      <c r="AA91" s="412">
        <v>-0.01</v>
      </c>
      <c r="AB91" s="412">
        <v>873368.54999999993</v>
      </c>
      <c r="AC91" s="412">
        <v>-1.0941513398402878E-6</v>
      </c>
      <c r="AD91" s="412">
        <v>100.00000109415134</v>
      </c>
      <c r="AE91" s="412">
        <v>4.4402630843130595</v>
      </c>
      <c r="AF91" s="412">
        <v>89.546373004647393</v>
      </c>
      <c r="AG91" s="412" t="s">
        <v>549</v>
      </c>
      <c r="AH91" s="413"/>
    </row>
    <row r="92" spans="1:34" x14ac:dyDescent="0.25">
      <c r="A92" s="429"/>
      <c r="B92" s="412"/>
      <c r="C92" s="412"/>
      <c r="D92" s="412"/>
      <c r="E92" s="412"/>
      <c r="F92" s="412"/>
      <c r="G92" s="412"/>
      <c r="H92" s="412"/>
      <c r="I92" s="412"/>
      <c r="J92" s="412"/>
      <c r="K92" s="411"/>
      <c r="L92" s="412"/>
      <c r="M92" s="412">
        <v>77000</v>
      </c>
      <c r="N92" s="412">
        <v>77000</v>
      </c>
      <c r="O92" s="412">
        <v>77000</v>
      </c>
      <c r="P92" s="412">
        <v>0</v>
      </c>
      <c r="Q92" s="412">
        <v>0</v>
      </c>
      <c r="R92" s="412">
        <v>0</v>
      </c>
      <c r="S92" s="412">
        <v>0</v>
      </c>
      <c r="T92" s="412">
        <v>0</v>
      </c>
      <c r="U92" s="412">
        <v>0</v>
      </c>
      <c r="V92" s="412">
        <v>0</v>
      </c>
      <c r="W92" s="412">
        <v>0</v>
      </c>
      <c r="X92" s="412">
        <v>0</v>
      </c>
      <c r="Y92" s="412">
        <v>0</v>
      </c>
      <c r="Z92" s="412">
        <v>0</v>
      </c>
      <c r="AA92" s="412">
        <v>77000</v>
      </c>
      <c r="AB92" s="412">
        <v>77000</v>
      </c>
      <c r="AC92" s="412">
        <v>100</v>
      </c>
      <c r="AD92" s="412">
        <v>0</v>
      </c>
      <c r="AE92" s="412">
        <v>0</v>
      </c>
      <c r="AF92" s="412">
        <v>0</v>
      </c>
      <c r="AG92" s="412" t="s">
        <v>550</v>
      </c>
      <c r="AH92" s="413"/>
    </row>
    <row r="93" spans="1:34" x14ac:dyDescent="0.25">
      <c r="A93" s="429"/>
      <c r="B93" s="412"/>
      <c r="C93" s="412"/>
      <c r="D93" s="412"/>
      <c r="E93" s="412"/>
      <c r="F93" s="412"/>
      <c r="G93" s="412"/>
      <c r="H93" s="412"/>
      <c r="I93" s="412"/>
      <c r="J93" s="412"/>
      <c r="K93" s="411"/>
      <c r="L93" s="412"/>
      <c r="M93" s="412">
        <v>109077.78</v>
      </c>
      <c r="N93" s="412">
        <v>109077.78</v>
      </c>
      <c r="O93" s="412">
        <v>109077.78</v>
      </c>
      <c r="P93" s="412">
        <v>0</v>
      </c>
      <c r="Q93" s="412">
        <v>33823.32</v>
      </c>
      <c r="R93" s="412">
        <v>0</v>
      </c>
      <c r="S93" s="412">
        <v>33823.32</v>
      </c>
      <c r="T93" s="412">
        <v>1433.7700000000004</v>
      </c>
      <c r="U93" s="412">
        <v>32389.55</v>
      </c>
      <c r="V93" s="412">
        <v>4437.75</v>
      </c>
      <c r="W93" s="412">
        <v>27951.8</v>
      </c>
      <c r="X93" s="412">
        <v>0</v>
      </c>
      <c r="Y93" s="412">
        <v>27951.8</v>
      </c>
      <c r="Z93" s="412">
        <v>0</v>
      </c>
      <c r="AA93" s="412">
        <v>75254.460000000006</v>
      </c>
      <c r="AB93" s="412">
        <v>76688.23</v>
      </c>
      <c r="AC93" s="412">
        <v>68.991558134021432</v>
      </c>
      <c r="AD93" s="412">
        <v>31.008441865978568</v>
      </c>
      <c r="AE93" s="412">
        <v>29.693994505572078</v>
      </c>
      <c r="AF93" s="412">
        <v>86.298821687859203</v>
      </c>
      <c r="AG93" s="412" t="s">
        <v>551</v>
      </c>
      <c r="AH93" s="413"/>
    </row>
    <row r="94" spans="1:34" x14ac:dyDescent="0.25">
      <c r="A94" s="429"/>
      <c r="B94" s="412"/>
      <c r="C94" s="412"/>
      <c r="D94" s="412"/>
      <c r="E94" s="412"/>
      <c r="F94" s="412"/>
      <c r="G94" s="412"/>
      <c r="H94" s="412"/>
      <c r="I94" s="412"/>
      <c r="J94" s="412"/>
      <c r="K94" s="411"/>
      <c r="L94" s="412"/>
      <c r="M94" s="412">
        <v>120000</v>
      </c>
      <c r="N94" s="412">
        <v>120000</v>
      </c>
      <c r="O94" s="412">
        <v>120000</v>
      </c>
      <c r="P94" s="412">
        <v>0</v>
      </c>
      <c r="Q94" s="412">
        <v>12087.9</v>
      </c>
      <c r="R94" s="412">
        <v>0</v>
      </c>
      <c r="S94" s="412">
        <v>12087.9</v>
      </c>
      <c r="T94" s="412">
        <v>4835.16</v>
      </c>
      <c r="U94" s="412">
        <v>7252.74</v>
      </c>
      <c r="V94" s="412">
        <v>0</v>
      </c>
      <c r="W94" s="412">
        <v>7252.74</v>
      </c>
      <c r="X94" s="412">
        <v>0</v>
      </c>
      <c r="Y94" s="412">
        <v>7252.74</v>
      </c>
      <c r="Z94" s="412">
        <v>0</v>
      </c>
      <c r="AA94" s="412">
        <v>107912.1</v>
      </c>
      <c r="AB94" s="412">
        <v>112747.26</v>
      </c>
      <c r="AC94" s="412">
        <v>89.926749999999998</v>
      </c>
      <c r="AD94" s="412">
        <v>10.07325</v>
      </c>
      <c r="AE94" s="412">
        <v>6.0439499999999997</v>
      </c>
      <c r="AF94" s="412">
        <v>100</v>
      </c>
      <c r="AG94" s="412" t="s">
        <v>552</v>
      </c>
      <c r="AH94" s="413"/>
    </row>
    <row r="95" spans="1:34" x14ac:dyDescent="0.25">
      <c r="A95" s="429"/>
      <c r="B95" s="412"/>
      <c r="C95" s="412"/>
      <c r="D95" s="412"/>
      <c r="E95" s="412"/>
      <c r="F95" s="412"/>
      <c r="G95" s="412"/>
      <c r="H95" s="412"/>
      <c r="I95" s="412"/>
      <c r="J95" s="412"/>
      <c r="K95" s="411"/>
      <c r="L95" s="412"/>
      <c r="M95" s="412">
        <v>127000</v>
      </c>
      <c r="N95" s="412">
        <v>127000</v>
      </c>
      <c r="O95" s="412">
        <v>127000</v>
      </c>
      <c r="P95" s="412">
        <v>0</v>
      </c>
      <c r="Q95" s="412">
        <v>115537.52</v>
      </c>
      <c r="R95" s="412">
        <v>0</v>
      </c>
      <c r="S95" s="412">
        <v>115537.52</v>
      </c>
      <c r="T95" s="412">
        <v>47640.14</v>
      </c>
      <c r="U95" s="412">
        <v>67897.38</v>
      </c>
      <c r="V95" s="412">
        <v>0</v>
      </c>
      <c r="W95" s="412">
        <v>67897.38</v>
      </c>
      <c r="X95" s="412">
        <v>0</v>
      </c>
      <c r="Y95" s="412">
        <v>67897.38</v>
      </c>
      <c r="Z95" s="412">
        <v>0</v>
      </c>
      <c r="AA95" s="412">
        <v>11462.48</v>
      </c>
      <c r="AB95" s="412">
        <v>59102.619999999995</v>
      </c>
      <c r="AC95" s="412">
        <v>9.0255748031496061</v>
      </c>
      <c r="AD95" s="412">
        <v>90.97442519685039</v>
      </c>
      <c r="AE95" s="412">
        <v>53.462503937007874</v>
      </c>
      <c r="AF95" s="412">
        <v>100</v>
      </c>
      <c r="AG95" s="412" t="s">
        <v>553</v>
      </c>
      <c r="AH95" s="413"/>
    </row>
    <row r="96" spans="1:34" x14ac:dyDescent="0.25">
      <c r="A96" s="429"/>
      <c r="B96" s="412"/>
      <c r="C96" s="412"/>
      <c r="D96" s="412"/>
      <c r="E96" s="412"/>
      <c r="F96" s="412"/>
      <c r="G96" s="412"/>
      <c r="H96" s="412"/>
      <c r="I96" s="412"/>
      <c r="J96" s="412"/>
      <c r="K96" s="411"/>
      <c r="L96" s="412"/>
      <c r="M96" s="412">
        <v>29022.9</v>
      </c>
      <c r="N96" s="412">
        <v>29022.9</v>
      </c>
      <c r="O96" s="412">
        <v>29022.9</v>
      </c>
      <c r="P96" s="412">
        <v>0</v>
      </c>
      <c r="Q96" s="412">
        <v>28827.26</v>
      </c>
      <c r="R96" s="412">
        <v>12610.149999999998</v>
      </c>
      <c r="S96" s="412">
        <v>16217.11</v>
      </c>
      <c r="T96" s="412">
        <v>971.11000000000058</v>
      </c>
      <c r="U96" s="412">
        <v>15246</v>
      </c>
      <c r="V96" s="412">
        <v>0</v>
      </c>
      <c r="W96" s="412">
        <v>15246</v>
      </c>
      <c r="X96" s="412">
        <v>0</v>
      </c>
      <c r="Y96" s="412">
        <v>15246</v>
      </c>
      <c r="Z96" s="412">
        <v>0</v>
      </c>
      <c r="AA96" s="412">
        <v>195.64</v>
      </c>
      <c r="AB96" s="412">
        <v>13776.900000000001</v>
      </c>
      <c r="AC96" s="412">
        <v>0.67408839226955253</v>
      </c>
      <c r="AD96" s="412">
        <v>55.876945446526705</v>
      </c>
      <c r="AE96" s="412">
        <v>52.530932470566341</v>
      </c>
      <c r="AF96" s="412">
        <v>100</v>
      </c>
      <c r="AG96" s="412" t="s">
        <v>554</v>
      </c>
      <c r="AH96" s="413"/>
    </row>
    <row r="97" spans="1:34" x14ac:dyDescent="0.25">
      <c r="A97" s="429"/>
      <c r="B97" s="412"/>
      <c r="C97" s="412"/>
      <c r="D97" s="412"/>
      <c r="E97" s="412"/>
      <c r="F97" s="412"/>
      <c r="G97" s="412"/>
      <c r="H97" s="412"/>
      <c r="I97" s="412"/>
      <c r="J97" s="412"/>
      <c r="K97" s="411"/>
      <c r="L97" s="412"/>
      <c r="M97" s="412">
        <v>97166.46</v>
      </c>
      <c r="N97" s="412">
        <v>97166.46</v>
      </c>
      <c r="O97" s="412">
        <v>97166.46</v>
      </c>
      <c r="P97" s="412">
        <v>0</v>
      </c>
      <c r="Q97" s="412">
        <v>69995.23</v>
      </c>
      <c r="R97" s="412">
        <v>0</v>
      </c>
      <c r="S97" s="412">
        <v>69995.23</v>
      </c>
      <c r="T97" s="412">
        <v>0</v>
      </c>
      <c r="U97" s="412">
        <v>69995.23</v>
      </c>
      <c r="V97" s="412">
        <v>58346.2</v>
      </c>
      <c r="W97" s="412">
        <v>11649.03</v>
      </c>
      <c r="X97" s="412">
        <v>0</v>
      </c>
      <c r="Y97" s="412">
        <v>11649.03</v>
      </c>
      <c r="Z97" s="412">
        <v>0</v>
      </c>
      <c r="AA97" s="412">
        <v>27171.23</v>
      </c>
      <c r="AB97" s="412">
        <v>27171.23000000001</v>
      </c>
      <c r="AC97" s="412">
        <v>27.963589493740944</v>
      </c>
      <c r="AD97" s="412">
        <v>72.036410506259045</v>
      </c>
      <c r="AE97" s="412">
        <v>72.036410506259045</v>
      </c>
      <c r="AF97" s="412">
        <v>16.642605503260725</v>
      </c>
      <c r="AG97" s="412" t="s">
        <v>555</v>
      </c>
      <c r="AH97" s="413"/>
    </row>
    <row r="98" spans="1:34" x14ac:dyDescent="0.25">
      <c r="A98" s="429"/>
      <c r="B98" s="412"/>
      <c r="C98" s="412"/>
      <c r="D98" s="412"/>
      <c r="E98" s="412"/>
      <c r="F98" s="412"/>
      <c r="G98" s="412"/>
      <c r="H98" s="412"/>
      <c r="I98" s="412"/>
      <c r="J98" s="412"/>
      <c r="K98" s="411"/>
      <c r="L98" s="412"/>
      <c r="M98" s="412">
        <v>230812.18</v>
      </c>
      <c r="N98" s="412">
        <v>230812.18</v>
      </c>
      <c r="O98" s="412">
        <v>230812.18</v>
      </c>
      <c r="P98" s="412">
        <v>0</v>
      </c>
      <c r="Q98" s="412">
        <v>230812.18</v>
      </c>
      <c r="R98" s="412">
        <v>78206.820000000007</v>
      </c>
      <c r="S98" s="412">
        <v>152605.35999999999</v>
      </c>
      <c r="T98" s="412">
        <v>31268.239999999991</v>
      </c>
      <c r="U98" s="412">
        <v>121337.12</v>
      </c>
      <c r="V98" s="412">
        <v>0</v>
      </c>
      <c r="W98" s="412">
        <v>121337.12</v>
      </c>
      <c r="X98" s="412">
        <v>0</v>
      </c>
      <c r="Y98" s="412">
        <v>121337.12</v>
      </c>
      <c r="Z98" s="412">
        <v>0</v>
      </c>
      <c r="AA98" s="412">
        <v>0</v>
      </c>
      <c r="AB98" s="412">
        <v>109475.06</v>
      </c>
      <c r="AC98" s="412">
        <v>0</v>
      </c>
      <c r="AD98" s="412">
        <v>66.116684136859675</v>
      </c>
      <c r="AE98" s="412">
        <v>52.569634756709981</v>
      </c>
      <c r="AF98" s="412">
        <v>100</v>
      </c>
      <c r="AG98" s="412" t="s">
        <v>556</v>
      </c>
      <c r="AH98" s="413"/>
    </row>
    <row r="99" spans="1:34" x14ac:dyDescent="0.25">
      <c r="A99" s="429"/>
      <c r="B99" s="412"/>
      <c r="C99" s="412"/>
      <c r="D99" s="412"/>
      <c r="E99" s="412"/>
      <c r="F99" s="412"/>
      <c r="G99" s="412"/>
      <c r="H99" s="412"/>
      <c r="I99" s="412"/>
      <c r="J99" s="412"/>
      <c r="K99" s="411"/>
      <c r="L99" s="412"/>
      <c r="M99" s="412">
        <v>8506.5499999999993</v>
      </c>
      <c r="N99" s="412">
        <v>8506.5499999999993</v>
      </c>
      <c r="O99" s="412">
        <v>8506.5499999999993</v>
      </c>
      <c r="P99" s="412">
        <v>0</v>
      </c>
      <c r="Q99" s="412">
        <v>8506.5499999999993</v>
      </c>
      <c r="R99" s="412">
        <v>0</v>
      </c>
      <c r="S99" s="412">
        <v>8506.5499999999993</v>
      </c>
      <c r="T99" s="412">
        <v>636.99999999999909</v>
      </c>
      <c r="U99" s="412">
        <v>7869.55</v>
      </c>
      <c r="V99" s="412">
        <v>845.85000000000036</v>
      </c>
      <c r="W99" s="412">
        <v>7023.7</v>
      </c>
      <c r="X99" s="412">
        <v>0</v>
      </c>
      <c r="Y99" s="412">
        <v>7023.7</v>
      </c>
      <c r="Z99" s="412">
        <v>0</v>
      </c>
      <c r="AA99" s="412">
        <v>0</v>
      </c>
      <c r="AB99" s="412">
        <v>636.99999999999909</v>
      </c>
      <c r="AC99" s="412">
        <v>0</v>
      </c>
      <c r="AD99" s="412">
        <v>100</v>
      </c>
      <c r="AE99" s="412">
        <v>92.511652785206707</v>
      </c>
      <c r="AF99" s="412">
        <v>89.251609050072744</v>
      </c>
      <c r="AG99" s="412" t="s">
        <v>557</v>
      </c>
      <c r="AH99" s="413"/>
    </row>
    <row r="100" spans="1:34" x14ac:dyDescent="0.25">
      <c r="A100" s="429"/>
      <c r="B100" s="412"/>
      <c r="C100" s="412"/>
      <c r="D100" s="412"/>
      <c r="E100" s="412"/>
      <c r="F100" s="412"/>
      <c r="G100" s="412"/>
      <c r="H100" s="412"/>
      <c r="I100" s="412"/>
      <c r="J100" s="412"/>
      <c r="K100" s="411"/>
      <c r="L100" s="412"/>
      <c r="M100" s="412">
        <v>60318.15</v>
      </c>
      <c r="N100" s="412">
        <v>60318.15</v>
      </c>
      <c r="O100" s="412">
        <v>60318.15</v>
      </c>
      <c r="P100" s="412">
        <v>0</v>
      </c>
      <c r="Q100" s="412">
        <v>60318.15</v>
      </c>
      <c r="R100" s="412">
        <v>0</v>
      </c>
      <c r="S100" s="412">
        <v>60318.15</v>
      </c>
      <c r="T100" s="412">
        <v>29914.5</v>
      </c>
      <c r="U100" s="412">
        <v>30403.65</v>
      </c>
      <c r="V100" s="412">
        <v>0</v>
      </c>
      <c r="W100" s="412">
        <v>30403.65</v>
      </c>
      <c r="X100" s="412">
        <v>0</v>
      </c>
      <c r="Y100" s="412">
        <v>30403.65</v>
      </c>
      <c r="Z100" s="412">
        <v>0</v>
      </c>
      <c r="AA100" s="412">
        <v>0</v>
      </c>
      <c r="AB100" s="412">
        <v>29914.5</v>
      </c>
      <c r="AC100" s="412">
        <v>0</v>
      </c>
      <c r="AD100" s="412">
        <v>100</v>
      </c>
      <c r="AE100" s="412">
        <v>50.405474968977003</v>
      </c>
      <c r="AF100" s="412">
        <v>100</v>
      </c>
      <c r="AG100" s="412" t="s">
        <v>558</v>
      </c>
      <c r="AH100" s="413"/>
    </row>
    <row r="101" spans="1:34" x14ac:dyDescent="0.25">
      <c r="A101" s="429"/>
      <c r="B101" s="412"/>
      <c r="C101" s="412"/>
      <c r="D101" s="412"/>
      <c r="E101" s="412"/>
      <c r="F101" s="412"/>
      <c r="G101" s="412"/>
      <c r="H101" s="412"/>
      <c r="I101" s="412"/>
      <c r="J101" s="412"/>
      <c r="K101" s="411"/>
      <c r="L101" s="412"/>
      <c r="M101" s="412">
        <v>93333.33</v>
      </c>
      <c r="N101" s="412">
        <v>93333.33</v>
      </c>
      <c r="O101" s="412">
        <v>93333.33</v>
      </c>
      <c r="P101" s="412">
        <v>0</v>
      </c>
      <c r="Q101" s="412">
        <v>84954.64</v>
      </c>
      <c r="R101" s="412">
        <v>0</v>
      </c>
      <c r="S101" s="412">
        <v>84954.64</v>
      </c>
      <c r="T101" s="412">
        <v>14951.809999999998</v>
      </c>
      <c r="U101" s="412">
        <v>70002.83</v>
      </c>
      <c r="V101" s="412">
        <v>0</v>
      </c>
      <c r="W101" s="412">
        <v>70002.83</v>
      </c>
      <c r="X101" s="412">
        <v>0</v>
      </c>
      <c r="Y101" s="412">
        <v>70002.83</v>
      </c>
      <c r="Z101" s="412">
        <v>0</v>
      </c>
      <c r="AA101" s="412">
        <v>8378.69</v>
      </c>
      <c r="AB101" s="412">
        <v>23330.5</v>
      </c>
      <c r="AC101" s="412">
        <v>8.9771681777560062</v>
      </c>
      <c r="AD101" s="412">
        <v>91.022831822243987</v>
      </c>
      <c r="AE101" s="412">
        <v>75.003034821536957</v>
      </c>
      <c r="AF101" s="412">
        <v>100</v>
      </c>
      <c r="AG101" s="412" t="s">
        <v>559</v>
      </c>
      <c r="AH101" s="413"/>
    </row>
    <row r="102" spans="1:34" x14ac:dyDescent="0.25">
      <c r="A102" s="429"/>
      <c r="B102" s="412"/>
      <c r="C102" s="412"/>
      <c r="D102" s="412"/>
      <c r="E102" s="412"/>
      <c r="F102" s="412"/>
      <c r="G102" s="412"/>
      <c r="H102" s="412"/>
      <c r="I102" s="412"/>
      <c r="J102" s="412"/>
      <c r="K102" s="411"/>
      <c r="L102" s="412"/>
      <c r="M102" s="412">
        <v>100000</v>
      </c>
      <c r="N102" s="412">
        <v>100000</v>
      </c>
      <c r="O102" s="412">
        <v>100000</v>
      </c>
      <c r="P102" s="412">
        <v>0</v>
      </c>
      <c r="Q102" s="412">
        <v>97966.44</v>
      </c>
      <c r="R102" s="412">
        <v>0</v>
      </c>
      <c r="S102" s="412">
        <v>97966.44</v>
      </c>
      <c r="T102" s="412">
        <v>0</v>
      </c>
      <c r="U102" s="412">
        <v>97966.44</v>
      </c>
      <c r="V102" s="412">
        <v>0</v>
      </c>
      <c r="W102" s="412">
        <v>97966.44</v>
      </c>
      <c r="X102" s="412">
        <v>0</v>
      </c>
      <c r="Y102" s="412">
        <v>97966.44</v>
      </c>
      <c r="Z102" s="412">
        <v>0</v>
      </c>
      <c r="AA102" s="412">
        <v>2033.56</v>
      </c>
      <c r="AB102" s="412">
        <v>2033.5599999999977</v>
      </c>
      <c r="AC102" s="412">
        <v>2.03356</v>
      </c>
      <c r="AD102" s="412">
        <v>97.966440000000006</v>
      </c>
      <c r="AE102" s="412">
        <v>97.966440000000006</v>
      </c>
      <c r="AF102" s="412">
        <v>100</v>
      </c>
      <c r="AG102" s="412" t="s">
        <v>560</v>
      </c>
      <c r="AH102" s="413"/>
    </row>
    <row r="103" spans="1:34" x14ac:dyDescent="0.25">
      <c r="A103" s="429"/>
      <c r="B103" s="412"/>
      <c r="C103" s="412"/>
      <c r="D103" s="412"/>
      <c r="E103" s="412"/>
      <c r="F103" s="412"/>
      <c r="G103" s="412"/>
      <c r="H103" s="412"/>
      <c r="I103" s="412"/>
      <c r="J103" s="412"/>
      <c r="K103" s="411"/>
      <c r="L103" s="412"/>
      <c r="M103" s="412">
        <v>276937.12</v>
      </c>
      <c r="N103" s="412">
        <v>276937.12</v>
      </c>
      <c r="O103" s="412">
        <v>276937.12</v>
      </c>
      <c r="P103" s="412">
        <v>0</v>
      </c>
      <c r="Q103" s="412">
        <v>144503.12</v>
      </c>
      <c r="R103" s="412">
        <v>0</v>
      </c>
      <c r="S103" s="412">
        <v>144503.12</v>
      </c>
      <c r="T103" s="412">
        <v>138951.16</v>
      </c>
      <c r="U103" s="412">
        <v>5551.96</v>
      </c>
      <c r="V103" s="412">
        <v>0</v>
      </c>
      <c r="W103" s="412">
        <v>5551.96</v>
      </c>
      <c r="X103" s="412">
        <v>0</v>
      </c>
      <c r="Y103" s="412">
        <v>5551.96</v>
      </c>
      <c r="Z103" s="412">
        <v>0</v>
      </c>
      <c r="AA103" s="412">
        <v>132434</v>
      </c>
      <c r="AB103" s="412">
        <v>271385.15999999997</v>
      </c>
      <c r="AC103" s="412">
        <v>47.82096383467843</v>
      </c>
      <c r="AD103" s="412">
        <v>52.17903616532157</v>
      </c>
      <c r="AE103" s="412">
        <v>2.0047727801892359</v>
      </c>
      <c r="AF103" s="412">
        <v>100</v>
      </c>
      <c r="AG103" s="412" t="s">
        <v>561</v>
      </c>
      <c r="AH103" s="413"/>
    </row>
    <row r="104" spans="1:34" x14ac:dyDescent="0.25">
      <c r="A104" s="429"/>
      <c r="B104" s="412"/>
      <c r="C104" s="412"/>
      <c r="D104" s="412"/>
      <c r="E104" s="412"/>
      <c r="F104" s="412"/>
      <c r="G104" s="412"/>
      <c r="H104" s="412"/>
      <c r="I104" s="412"/>
      <c r="J104" s="412"/>
      <c r="K104" s="411"/>
      <c r="L104" s="412"/>
      <c r="M104" s="412">
        <v>93590.27</v>
      </c>
      <c r="N104" s="412">
        <v>93590.27</v>
      </c>
      <c r="O104" s="412">
        <v>93590.27</v>
      </c>
      <c r="P104" s="412">
        <v>0</v>
      </c>
      <c r="Q104" s="412">
        <v>28554.84</v>
      </c>
      <c r="R104" s="412">
        <v>0</v>
      </c>
      <c r="S104" s="412">
        <v>28554.84</v>
      </c>
      <c r="T104" s="412">
        <v>0</v>
      </c>
      <c r="U104" s="412">
        <v>28554.84</v>
      </c>
      <c r="V104" s="412">
        <v>0</v>
      </c>
      <c r="W104" s="412">
        <v>28554.84</v>
      </c>
      <c r="X104" s="412">
        <v>0</v>
      </c>
      <c r="Y104" s="412">
        <v>28554.84</v>
      </c>
      <c r="Z104" s="412">
        <v>0</v>
      </c>
      <c r="AA104" s="412">
        <v>65035.43</v>
      </c>
      <c r="AB104" s="412">
        <v>65035.430000000008</v>
      </c>
      <c r="AC104" s="412">
        <v>69.489520652093432</v>
      </c>
      <c r="AD104" s="412">
        <v>30.510479347906571</v>
      </c>
      <c r="AE104" s="412">
        <v>30.510479347906571</v>
      </c>
      <c r="AF104" s="412">
        <v>100</v>
      </c>
      <c r="AG104" s="412" t="s">
        <v>562</v>
      </c>
      <c r="AH104" s="413"/>
    </row>
    <row r="105" spans="1:34" x14ac:dyDescent="0.25">
      <c r="A105" s="429"/>
      <c r="B105" s="412"/>
      <c r="C105" s="412"/>
      <c r="D105" s="412"/>
      <c r="E105" s="412"/>
      <c r="F105" s="412"/>
      <c r="G105" s="412"/>
      <c r="H105" s="412"/>
      <c r="I105" s="412"/>
      <c r="J105" s="412"/>
      <c r="K105" s="411"/>
      <c r="L105" s="412"/>
      <c r="M105" s="412">
        <v>7278.88</v>
      </c>
      <c r="N105" s="412">
        <v>7278.88</v>
      </c>
      <c r="O105" s="412">
        <v>7278.88</v>
      </c>
      <c r="P105" s="412">
        <v>0</v>
      </c>
      <c r="Q105" s="412">
        <v>0</v>
      </c>
      <c r="R105" s="412">
        <v>0</v>
      </c>
      <c r="S105" s="412">
        <v>0</v>
      </c>
      <c r="T105" s="412">
        <v>0</v>
      </c>
      <c r="U105" s="412">
        <v>0</v>
      </c>
      <c r="V105" s="412">
        <v>0</v>
      </c>
      <c r="W105" s="412">
        <v>0</v>
      </c>
      <c r="X105" s="412">
        <v>0</v>
      </c>
      <c r="Y105" s="412">
        <v>0</v>
      </c>
      <c r="Z105" s="412">
        <v>0</v>
      </c>
      <c r="AA105" s="412">
        <v>7278.88</v>
      </c>
      <c r="AB105" s="412">
        <v>7278.88</v>
      </c>
      <c r="AC105" s="412">
        <v>100</v>
      </c>
      <c r="AD105" s="412">
        <v>0</v>
      </c>
      <c r="AE105" s="412">
        <v>0</v>
      </c>
      <c r="AF105" s="412">
        <v>0</v>
      </c>
      <c r="AG105" s="412" t="s">
        <v>563</v>
      </c>
      <c r="AH105" s="413"/>
    </row>
    <row r="106" spans="1:34" x14ac:dyDescent="0.25">
      <c r="A106" s="429"/>
      <c r="B106" s="412"/>
      <c r="C106" s="412"/>
      <c r="D106" s="412"/>
      <c r="E106" s="412"/>
      <c r="F106" s="412"/>
      <c r="G106" s="412"/>
      <c r="H106" s="412"/>
      <c r="I106" s="412"/>
      <c r="J106" s="412"/>
      <c r="K106" s="411"/>
      <c r="L106" s="412"/>
      <c r="M106" s="412">
        <v>400000</v>
      </c>
      <c r="N106" s="412">
        <v>400000</v>
      </c>
      <c r="O106" s="412">
        <v>400000</v>
      </c>
      <c r="P106" s="412">
        <v>0</v>
      </c>
      <c r="Q106" s="412">
        <v>377594.5</v>
      </c>
      <c r="R106" s="412">
        <v>0</v>
      </c>
      <c r="S106" s="412">
        <v>377594.5</v>
      </c>
      <c r="T106" s="412">
        <v>64601.960000000021</v>
      </c>
      <c r="U106" s="412">
        <v>312992.53999999998</v>
      </c>
      <c r="V106" s="412">
        <v>0</v>
      </c>
      <c r="W106" s="412">
        <v>312992.53999999998</v>
      </c>
      <c r="X106" s="412">
        <v>72875.27999999997</v>
      </c>
      <c r="Y106" s="412">
        <v>240117.26</v>
      </c>
      <c r="Z106" s="412">
        <v>0</v>
      </c>
      <c r="AA106" s="412">
        <v>22405.5</v>
      </c>
      <c r="AB106" s="412">
        <v>87007.460000000021</v>
      </c>
      <c r="AC106" s="412">
        <v>5.601375</v>
      </c>
      <c r="AD106" s="412">
        <v>94.39862500000001</v>
      </c>
      <c r="AE106" s="412">
        <v>78.248134999999991</v>
      </c>
      <c r="AF106" s="412">
        <v>76.716608006056646</v>
      </c>
      <c r="AG106" s="412" t="s">
        <v>564</v>
      </c>
      <c r="AH106" s="413"/>
    </row>
    <row r="107" spans="1:34" x14ac:dyDescent="0.25">
      <c r="A107" s="429"/>
      <c r="B107" s="412"/>
      <c r="C107" s="412"/>
      <c r="D107" s="412"/>
      <c r="E107" s="412"/>
      <c r="F107" s="412"/>
      <c r="G107" s="412"/>
      <c r="H107" s="412"/>
      <c r="I107" s="412"/>
      <c r="J107" s="412"/>
      <c r="K107" s="411"/>
      <c r="L107" s="412"/>
      <c r="M107" s="412">
        <v>4864.59</v>
      </c>
      <c r="N107" s="412">
        <v>4864.59</v>
      </c>
      <c r="O107" s="412">
        <v>4864.59</v>
      </c>
      <c r="P107" s="412">
        <v>0</v>
      </c>
      <c r="Q107" s="412">
        <v>0</v>
      </c>
      <c r="R107" s="412">
        <v>0</v>
      </c>
      <c r="S107" s="412">
        <v>0</v>
      </c>
      <c r="T107" s="412">
        <v>0</v>
      </c>
      <c r="U107" s="412">
        <v>0</v>
      </c>
      <c r="V107" s="412">
        <v>0</v>
      </c>
      <c r="W107" s="412">
        <v>0</v>
      </c>
      <c r="X107" s="412">
        <v>0</v>
      </c>
      <c r="Y107" s="412">
        <v>0</v>
      </c>
      <c r="Z107" s="412">
        <v>0</v>
      </c>
      <c r="AA107" s="412">
        <v>4864.59</v>
      </c>
      <c r="AB107" s="412">
        <v>4864.59</v>
      </c>
      <c r="AC107" s="412">
        <v>100</v>
      </c>
      <c r="AD107" s="412">
        <v>0</v>
      </c>
      <c r="AE107" s="412">
        <v>0</v>
      </c>
      <c r="AF107" s="412">
        <v>0</v>
      </c>
      <c r="AG107" s="412" t="s">
        <v>565</v>
      </c>
      <c r="AH107" s="413"/>
    </row>
  </sheetData>
  <mergeCells count="2">
    <mergeCell ref="E4:I4"/>
    <mergeCell ref="F44:H44"/>
  </mergeCells>
  <pageMargins left="7.874015748031496E-2" right="7.874015748031496E-2" top="0.39370078740157483" bottom="0.39370078740157483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AF0C9F2820114297F0ED306473E22E" ma:contentTypeVersion="17" ma:contentTypeDescription="Crear nuevo documento." ma:contentTypeScope="" ma:versionID="6bba108e7d07466b312eb14ec9439c42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b72e2ae86984538921ffdde4588eb0d2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2D7D1-2363-41F5-A76C-1D77E437E7A7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customXml/itemProps2.xml><?xml version="1.0" encoding="utf-8"?>
<ds:datastoreItem xmlns:ds="http://schemas.openxmlformats.org/officeDocument/2006/customXml" ds:itemID="{2B044030-AF59-46E7-A935-19D736DE5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A9BFB-0944-4ED5-BF81-C0D133E35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PAIF 2026 22oct</vt:lpstr>
      <vt:lpstr>invPR26 23oct</vt:lpstr>
      <vt:lpstr>PAIF25 30oct</vt:lpstr>
      <vt:lpstr>PAIF24final</vt:lpstr>
      <vt:lpstr>PAIF23final</vt:lpstr>
      <vt:lpstr>'invPR26 23oct'!__bookmark_2</vt:lpstr>
      <vt:lpstr>PAIF23final!__bookmark_2</vt:lpstr>
      <vt:lpstr>PAIF24final!__bookmark_2</vt:lpstr>
      <vt:lpstr>'PAIF25 30oct'!__bookmark_2</vt:lpstr>
      <vt:lpstr>PAIF23final!Títulos_a_imprimir</vt:lpstr>
      <vt:lpstr>PAIF24final!Títulos_a_imprimir</vt:lpstr>
      <vt:lpstr>'PAIF25 30oct'!Títulos_a_imprimir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Hernandez Paterna</dc:creator>
  <cp:lastModifiedBy>Maria Dolores Hernandez Paterna</cp:lastModifiedBy>
  <cp:lastPrinted>2025-10-28T10:27:03Z</cp:lastPrinted>
  <dcterms:created xsi:type="dcterms:W3CDTF">2025-10-22T09:58:54Z</dcterms:created>
  <dcterms:modified xsi:type="dcterms:W3CDTF">2025-12-15T17:59:11Z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