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90Intervenci/0_AA_GEST ECON/PRESSUPOST 2026/07.2 Publicació interna PR26/2 Transparència PR26/"/>
    </mc:Choice>
  </mc:AlternateContent>
  <xr:revisionPtr revIDLastSave="3" documentId="8_{67F572B1-3245-409F-9507-48989AA60FA6}" xr6:coauthVersionLast="47" xr6:coauthVersionMax="47" xr10:uidLastSave="{874AC3F7-9220-49CD-B77E-DA798DEF0917}"/>
  <bookViews>
    <workbookView xWindow="28680" yWindow="-120" windowWidth="29040" windowHeight="15720" xr2:uid="{F3C78CD0-B297-4D1C-98A5-F005351EEF3C}"/>
  </bookViews>
  <sheets>
    <sheet name="Desp x Or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9" i="1" l="1"/>
  <c r="E1188" i="1"/>
  <c r="E1187" i="1"/>
  <c r="E1190" i="1" s="1"/>
  <c r="E1185" i="1"/>
  <c r="E1184" i="1"/>
  <c r="E1183" i="1"/>
  <c r="E1182" i="1"/>
  <c r="E1186" i="1" s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47" i="1" s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32" i="1" s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117" i="1" s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82" i="1" s="1"/>
  <c r="E1064" i="1"/>
  <c r="E1063" i="1"/>
  <c r="E1062" i="1"/>
  <c r="E1061" i="1"/>
  <c r="E1060" i="1"/>
  <c r="E1059" i="1"/>
  <c r="E1058" i="1"/>
  <c r="E1065" i="1" s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57" i="1" s="1"/>
  <c r="E1041" i="1"/>
  <c r="E1040" i="1"/>
  <c r="E1039" i="1"/>
  <c r="E1038" i="1"/>
  <c r="E1037" i="1"/>
  <c r="E1036" i="1"/>
  <c r="E1035" i="1"/>
  <c r="E1034" i="1"/>
  <c r="E1042" i="1" s="1"/>
  <c r="E1032" i="1"/>
  <c r="E1031" i="1"/>
  <c r="E1030" i="1"/>
  <c r="E1029" i="1"/>
  <c r="E1028" i="1"/>
  <c r="E1027" i="1"/>
  <c r="E1026" i="1"/>
  <c r="E1025" i="1"/>
  <c r="E1024" i="1"/>
  <c r="E1023" i="1"/>
  <c r="E1022" i="1"/>
  <c r="E1033" i="1" s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1021" i="1" s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92" i="1" s="1"/>
  <c r="E965" i="1"/>
  <c r="E964" i="1"/>
  <c r="E963" i="1"/>
  <c r="E962" i="1"/>
  <c r="E961" i="1"/>
  <c r="E960" i="1"/>
  <c r="E959" i="1"/>
  <c r="E958" i="1"/>
  <c r="E957" i="1"/>
  <c r="E966" i="1" s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56" i="1" s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26" i="1" s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904" i="1" s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89" i="1" s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71" i="1" s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55" i="1" s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37" i="1" s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822" i="1" s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97" i="1" s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76" i="1" s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51" i="1" s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29" i="1" s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714" i="1" s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91" i="1" s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69" i="1" s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43" i="1" s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8" i="1"/>
  <c r="E597" i="1"/>
  <c r="E596" i="1"/>
  <c r="E595" i="1"/>
  <c r="E594" i="1"/>
  <c r="E593" i="1"/>
  <c r="E592" i="1"/>
  <c r="E591" i="1"/>
  <c r="E599" i="1" s="1"/>
  <c r="E589" i="1"/>
  <c r="E588" i="1"/>
  <c r="E587" i="1"/>
  <c r="E586" i="1"/>
  <c r="E585" i="1"/>
  <c r="E584" i="1"/>
  <c r="E583" i="1"/>
  <c r="E582" i="1"/>
  <c r="E581" i="1"/>
  <c r="E580" i="1"/>
  <c r="E579" i="1"/>
  <c r="E590" i="1" s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78" i="1" s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56" i="1" s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40" i="1" s="1"/>
  <c r="E523" i="1"/>
  <c r="E522" i="1"/>
  <c r="E521" i="1"/>
  <c r="E520" i="1"/>
  <c r="E519" i="1"/>
  <c r="E518" i="1"/>
  <c r="E517" i="1"/>
  <c r="E524" i="1" s="1"/>
  <c r="E515" i="1"/>
  <c r="E514" i="1"/>
  <c r="E513" i="1"/>
  <c r="E512" i="1"/>
  <c r="E511" i="1"/>
  <c r="E510" i="1"/>
  <c r="E509" i="1"/>
  <c r="E508" i="1"/>
  <c r="E507" i="1"/>
  <c r="E516" i="1" s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506" i="1" s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73" i="1" s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53" i="1" s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40" i="1" s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26" i="1" s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412" i="1" s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90" i="1" s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2" i="1"/>
  <c r="E351" i="1"/>
  <c r="E350" i="1"/>
  <c r="E349" i="1"/>
  <c r="E348" i="1"/>
  <c r="E347" i="1"/>
  <c r="E346" i="1"/>
  <c r="E345" i="1"/>
  <c r="E353" i="1" s="1"/>
  <c r="E343" i="1"/>
  <c r="E342" i="1"/>
  <c r="E341" i="1"/>
  <c r="E340" i="1"/>
  <c r="E339" i="1"/>
  <c r="E338" i="1"/>
  <c r="E337" i="1"/>
  <c r="E336" i="1"/>
  <c r="E335" i="1"/>
  <c r="E334" i="1"/>
  <c r="E344" i="1" s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333" i="1" s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96" i="1" s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72" i="1" s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52" i="1" s="1"/>
  <c r="E237" i="1"/>
  <c r="E236" i="1"/>
  <c r="E235" i="1"/>
  <c r="E234" i="1"/>
  <c r="E233" i="1"/>
  <c r="E232" i="1"/>
  <c r="E231" i="1"/>
  <c r="E230" i="1"/>
  <c r="E229" i="1"/>
  <c r="E228" i="1"/>
  <c r="E227" i="1"/>
  <c r="E238" i="1" s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26" i="1" s="1"/>
  <c r="E210" i="1"/>
  <c r="E209" i="1"/>
  <c r="E208" i="1"/>
  <c r="E207" i="1"/>
  <c r="E206" i="1"/>
  <c r="E205" i="1"/>
  <c r="E204" i="1"/>
  <c r="E203" i="1"/>
  <c r="E202" i="1"/>
  <c r="E201" i="1"/>
  <c r="E200" i="1"/>
  <c r="E211" i="1" s="1"/>
  <c r="E198" i="1"/>
  <c r="E197" i="1"/>
  <c r="E196" i="1"/>
  <c r="E195" i="1"/>
  <c r="E194" i="1"/>
  <c r="E193" i="1"/>
  <c r="E192" i="1"/>
  <c r="E199" i="1" s="1"/>
  <c r="E190" i="1"/>
  <c r="E189" i="1"/>
  <c r="E188" i="1"/>
  <c r="E187" i="1"/>
  <c r="E186" i="1"/>
  <c r="E185" i="1"/>
  <c r="E184" i="1"/>
  <c r="E183" i="1"/>
  <c r="E191" i="1" s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82" i="1" s="1"/>
  <c r="E164" i="1"/>
  <c r="E163" i="1"/>
  <c r="E162" i="1"/>
  <c r="E161" i="1"/>
  <c r="E160" i="1"/>
  <c r="E159" i="1"/>
  <c r="E158" i="1"/>
  <c r="E157" i="1"/>
  <c r="E156" i="1"/>
  <c r="E154" i="1"/>
  <c r="E153" i="1"/>
  <c r="E152" i="1"/>
  <c r="E151" i="1"/>
  <c r="E150" i="1"/>
  <c r="E149" i="1"/>
  <c r="E148" i="1"/>
  <c r="E147" i="1"/>
  <c r="E146" i="1"/>
  <c r="E145" i="1"/>
  <c r="E144" i="1"/>
  <c r="E155" i="1" s="1"/>
  <c r="E143" i="1"/>
  <c r="E142" i="1"/>
  <c r="E141" i="1"/>
  <c r="E140" i="1"/>
  <c r="E139" i="1"/>
  <c r="E138" i="1"/>
  <c r="E137" i="1"/>
  <c r="E135" i="1"/>
  <c r="E134" i="1"/>
  <c r="E133" i="1"/>
  <c r="E132" i="1"/>
  <c r="E131" i="1"/>
  <c r="E130" i="1"/>
  <c r="E129" i="1"/>
  <c r="E128" i="1"/>
  <c r="E127" i="1"/>
  <c r="E126" i="1"/>
  <c r="E136" i="1" s="1"/>
  <c r="E124" i="1"/>
  <c r="E123" i="1"/>
  <c r="E122" i="1"/>
  <c r="E121" i="1"/>
  <c r="E120" i="1"/>
  <c r="E119" i="1"/>
  <c r="E118" i="1"/>
  <c r="E117" i="1"/>
  <c r="E116" i="1"/>
  <c r="E115" i="1"/>
  <c r="E114" i="1"/>
  <c r="E125" i="1" s="1"/>
  <c r="E112" i="1"/>
  <c r="E111" i="1"/>
  <c r="E110" i="1"/>
  <c r="E109" i="1"/>
  <c r="E108" i="1"/>
  <c r="E107" i="1"/>
  <c r="E106" i="1"/>
  <c r="E105" i="1"/>
  <c r="E104" i="1"/>
  <c r="E103" i="1"/>
  <c r="E102" i="1"/>
  <c r="E113" i="1" s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101" i="1" s="1"/>
  <c r="E77" i="1"/>
  <c r="E76" i="1"/>
  <c r="E75" i="1"/>
  <c r="E74" i="1"/>
  <c r="E73" i="1"/>
  <c r="E72" i="1"/>
  <c r="E71" i="1"/>
  <c r="E70" i="1"/>
  <c r="E69" i="1"/>
  <c r="E78" i="1" s="1"/>
  <c r="E67" i="1"/>
  <c r="E66" i="1"/>
  <c r="E65" i="1"/>
  <c r="E64" i="1"/>
  <c r="E63" i="1"/>
  <c r="E62" i="1"/>
  <c r="E61" i="1"/>
  <c r="E60" i="1"/>
  <c r="E59" i="1"/>
  <c r="E58" i="1"/>
  <c r="E68" i="1" s="1"/>
  <c r="E57" i="1"/>
  <c r="E55" i="1"/>
  <c r="E54" i="1"/>
  <c r="E53" i="1"/>
  <c r="E52" i="1"/>
  <c r="E51" i="1"/>
  <c r="E50" i="1"/>
  <c r="E49" i="1"/>
  <c r="E48" i="1"/>
  <c r="E47" i="1"/>
  <c r="E46" i="1"/>
  <c r="E45" i="1"/>
  <c r="E56" i="1" s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35" i="1" s="1"/>
  <c r="E28" i="1"/>
  <c r="E27" i="1"/>
  <c r="E26" i="1"/>
  <c r="E25" i="1"/>
  <c r="E24" i="1"/>
  <c r="E23" i="1"/>
  <c r="E22" i="1"/>
  <c r="E21" i="1"/>
  <c r="E29" i="1" s="1"/>
  <c r="E19" i="1"/>
  <c r="E18" i="1"/>
  <c r="E17" i="1"/>
  <c r="E16" i="1"/>
  <c r="E15" i="1"/>
  <c r="E14" i="1"/>
  <c r="E13" i="1"/>
  <c r="E12" i="1"/>
  <c r="E20" i="1" s="1"/>
  <c r="E10" i="1"/>
  <c r="E9" i="1"/>
  <c r="E8" i="1"/>
  <c r="E7" i="1"/>
  <c r="E6" i="1"/>
  <c r="E5" i="1"/>
  <c r="E4" i="1"/>
  <c r="E3" i="1"/>
  <c r="E2" i="1"/>
  <c r="E11" i="1" l="1"/>
  <c r="E1191" i="1" s="1"/>
</calcChain>
</file>

<file path=xl/sharedStrings.xml><?xml version="1.0" encoding="utf-8"?>
<sst xmlns="http://schemas.openxmlformats.org/spreadsheetml/2006/main" count="4531" uniqueCount="1521">
  <si>
    <t>Orgànic</t>
  </si>
  <si>
    <t>Programa</t>
  </si>
  <si>
    <t>Econòmic</t>
  </si>
  <si>
    <t>Denominació</t>
  </si>
  <si>
    <t>Crèdit 2026</t>
  </si>
  <si>
    <t>10000</t>
  </si>
  <si>
    <t>91200</t>
  </si>
  <si>
    <t>HAVERS REGIDORS ÀMBIT PRESIDÈNCIA  I CIUTAT 2030</t>
  </si>
  <si>
    <t>16000</t>
  </si>
  <si>
    <t>SS REGIDORS ÀMBIT PRESIDÈNCIA I CIUTAT 2030</t>
  </si>
  <si>
    <t>92000</t>
  </si>
  <si>
    <t>12000</t>
  </si>
  <si>
    <t>SOU A1 DIR. ÀMBIT PRESIDÈNCIA</t>
  </si>
  <si>
    <t>12003</t>
  </si>
  <si>
    <t>SOU C1 DIR. ÀMBIT PRESIDÈNCIA</t>
  </si>
  <si>
    <t>12006</t>
  </si>
  <si>
    <t>TRIENNIS DIR. ÀMBIT PRESIDÈNCIA</t>
  </si>
  <si>
    <t>12100</t>
  </si>
  <si>
    <t>C.DESTÍ DIR. ÀMBIT PRESIDÈNCIA</t>
  </si>
  <si>
    <t>12101</t>
  </si>
  <si>
    <t>C.ESP. DIR. ÀMBIT PRESIDÈNCIA</t>
  </si>
  <si>
    <t>15000</t>
  </si>
  <si>
    <t>PRODUCT. DIR. ÀMBIT PRESIDÈNCIA</t>
  </si>
  <si>
    <t>SS DIR. ÀMBIT PRESIDÈNCIA</t>
  </si>
  <si>
    <t>Total 10000 Direcció àmbit de Presidència i Ciutat 2030</t>
  </si>
  <si>
    <t>10010</t>
  </si>
  <si>
    <t>92090</t>
  </si>
  <si>
    <t>SOU A1 SECRETARIA</t>
  </si>
  <si>
    <t>12001</t>
  </si>
  <si>
    <t>SOU A2 SECRETARIA</t>
  </si>
  <si>
    <t>SOU C1 SECRETARIA</t>
  </si>
  <si>
    <t>TRIENNIS SECRETARIA</t>
  </si>
  <si>
    <t>C.DESTÍ SECRETARIA</t>
  </si>
  <si>
    <t>C.ESP. SECRETARIA</t>
  </si>
  <si>
    <t>PRODUCT. SECRETARIA</t>
  </si>
  <si>
    <t>SS SECRETARIA</t>
  </si>
  <si>
    <t>Total 10010 Secretaria</t>
  </si>
  <si>
    <t>10020</t>
  </si>
  <si>
    <t>22707</t>
  </si>
  <si>
    <t>TREBALLS CONTROL FINANCER</t>
  </si>
  <si>
    <t>93100</t>
  </si>
  <si>
    <t>SOU A1 INTERVENCIÓ</t>
  </si>
  <si>
    <t>SOU C1 INTERVENCIÓ</t>
  </si>
  <si>
    <t>TRIENNIS INTERVENCIÓ</t>
  </si>
  <si>
    <t>C.DESTÍ INTERVENCIÓ</t>
  </si>
  <si>
    <t>C.ESP. INTERVENCIÓ</t>
  </si>
  <si>
    <t>PRODUCT. INTERVENCIÓ</t>
  </si>
  <si>
    <t>SS INTERVENCIÓ</t>
  </si>
  <si>
    <t>Total 10020 Intervenció</t>
  </si>
  <si>
    <t>10300</t>
  </si>
  <si>
    <t>23110</t>
  </si>
  <si>
    <t>LOCOMOCIÓ I DIETES DIRECCIÓ INNOVACIÓ DIGITAL</t>
  </si>
  <si>
    <t>92040</t>
  </si>
  <si>
    <t>13000</t>
  </si>
  <si>
    <t>RB PERS. LAB. SERVEI D'INNOV. DIG. I GOV. DADES</t>
  </si>
  <si>
    <t>13002</t>
  </si>
  <si>
    <t>ALTRES REMUN. PERS. LAB. SERVEI D'INNOV. DIG. I GOV. DADES</t>
  </si>
  <si>
    <t>PROD. SERVEI D'INNOV. DIG. I GOV. DADES</t>
  </si>
  <si>
    <t>SS SERVEI D'INNOV. DIG. I GOV. DADES</t>
  </si>
  <si>
    <t xml:space="preserve">Total 10300 Serveis d’innovació digital i governança de la dada </t>
  </si>
  <si>
    <t>10301</t>
  </si>
  <si>
    <t>22706</t>
  </si>
  <si>
    <t>OBSERVATORI POLÍTIQUES PÚBLIQUES</t>
  </si>
  <si>
    <t>92300</t>
  </si>
  <si>
    <t>SOU A2 OBSERVATORI POLÍTIQUES PÚBLIQUES</t>
  </si>
  <si>
    <t>SOU C1 OBSERVATORI POLÍTIQUES PÚBLIQUES</t>
  </si>
  <si>
    <t>TRIENNIS OBSERVATORI POLÍTIQUES PÚBLIQUES</t>
  </si>
  <si>
    <t>C.DESTÍ OBSERVATORI POLÍTIQUES PÚBLIQUES</t>
  </si>
  <si>
    <t>C.ESP. OBSERVATORI POLÍTIQUES PÚBLIQUES</t>
  </si>
  <si>
    <t>PRODUCT. OBSERVATORI POLÍTIQUES PÚBLIQUES</t>
  </si>
  <si>
    <t>SS OBSERVATORI POLÍTIQUES PÚBLIQUES</t>
  </si>
  <si>
    <t xml:space="preserve">Total 10301 Observatori de Polítiques Públiques </t>
  </si>
  <si>
    <t>10310</t>
  </si>
  <si>
    <t>22200</t>
  </si>
  <si>
    <t>CONSUMS TELÈFONS MUNICIPALS</t>
  </si>
  <si>
    <t>SOU A1 DEP. SISTEMES D'INFORMACIÓ</t>
  </si>
  <si>
    <t>SOU C1 DEP. SISTEMES D'INFORMACIÓ</t>
  </si>
  <si>
    <t>TRIENNIS DEP. SISTEMES D'INFORMACIÓ</t>
  </si>
  <si>
    <t>C. DESTÍ DEP. SISTEMES D'INFORMACIÓ</t>
  </si>
  <si>
    <t>C. ESP. DEP. SISTEMES D'INFORMACIÓ</t>
  </si>
  <si>
    <t>RB PERS. LAB. DEP. SISTEMES D'INFORMACIÓ</t>
  </si>
  <si>
    <t>ALTRES REMUN. PERS. LAB. DEP. SISTEMES D'INFORMACIÓ</t>
  </si>
  <si>
    <t>PRODUCT. DEP. SISTEMES D'INFORMACIÓ</t>
  </si>
  <si>
    <t>SS DEP. SISTEMES D'INFORMACIÓ</t>
  </si>
  <si>
    <t>62600</t>
  </si>
  <si>
    <t>EQUIP PROCÉS INFORMACIÓ</t>
  </si>
  <si>
    <t>Total 10310 Departament de Sistemes d'informació</t>
  </si>
  <si>
    <t>10311</t>
  </si>
  <si>
    <t>SOU A1 SISTEMES I COMUNICACIÓ</t>
  </si>
  <si>
    <t>SOU A2 SISTEMES I COMUNICACIÓ</t>
  </si>
  <si>
    <t>SOU C1 SISTEMES I COMUNICACIÓ</t>
  </si>
  <si>
    <t>TRIENNIS SISTEMES I COMUNICACIÓ</t>
  </si>
  <si>
    <t>C.DESTÍ SISTEMES I COMUNICACIÓ</t>
  </si>
  <si>
    <t>C.ESP. SISTEMES I COMUNICACIÓ</t>
  </si>
  <si>
    <t>PRODUCT. SISTEMES I COMUNICACIÓ</t>
  </si>
  <si>
    <t>SS SISTEMES I COMUNICACIÓ</t>
  </si>
  <si>
    <t>21600</t>
  </si>
  <si>
    <t>MANTENIMENT EQUIPS INFORMÀTICS</t>
  </si>
  <si>
    <t>22002</t>
  </si>
  <si>
    <t>CONSUMIBLES INFORMÀTICS</t>
  </si>
  <si>
    <t>22199</t>
  </si>
  <si>
    <t>EQUIPAMENT SISTEMES D'INFORMACIÓ</t>
  </si>
  <si>
    <t>Total 10311 Unitat de Sistemes i comunicació</t>
  </si>
  <si>
    <t>10312</t>
  </si>
  <si>
    <t>SOU A1 U. DESENVOLUPAMENT</t>
  </si>
  <si>
    <t>SOU C1 U. DESENVOLUPAMENT</t>
  </si>
  <si>
    <t>TRIENNIS U. DESENVOLUPAMENT</t>
  </si>
  <si>
    <t>C.DESTÍ U. DESENVOLUPAMENT</t>
  </si>
  <si>
    <t>C.ESP. U. DESENVOLUPAMENT</t>
  </si>
  <si>
    <t>RB PERS. LAB. U. DESENVOLUPAMENT</t>
  </si>
  <si>
    <t>ALTRES REMUN. PERS. LAB. U. DESENVOLUPAMENT</t>
  </si>
  <si>
    <t>PRODUCT.  U. DESENVOLUPAMENT</t>
  </si>
  <si>
    <t>SS U. DESENVOLUPAMENT</t>
  </si>
  <si>
    <t>Total 10312 Unitat de Desenvolupament</t>
  </si>
  <si>
    <t>11000</t>
  </si>
  <si>
    <t>32600</t>
  </si>
  <si>
    <t>48901</t>
  </si>
  <si>
    <t>FCV: L1 FORMACIÓ TRANSF DIGITAL CIUTADANIA</t>
  </si>
  <si>
    <t>78000</t>
  </si>
  <si>
    <t>FCV: MILLORA XARXA INNOVACIÓ EDUCATIVA</t>
  </si>
  <si>
    <t>33700</t>
  </si>
  <si>
    <t>FCV: L2 OCI TECNOLOGIC I CIENCIA CIUTADANA</t>
  </si>
  <si>
    <t>43302</t>
  </si>
  <si>
    <t>22602</t>
  </si>
  <si>
    <t>COMUNICACIÓ PROJECTE IND+I</t>
  </si>
  <si>
    <t>49100</t>
  </si>
  <si>
    <t>46700</t>
  </si>
  <si>
    <t>APORTACIÓ CONSORCI LOCAL RED</t>
  </si>
  <si>
    <t>49120</t>
  </si>
  <si>
    <t>FCV: L3 WEBS I LLOCS VIRTUALS XARXA</t>
  </si>
  <si>
    <t>49210</t>
  </si>
  <si>
    <t>FCV: L4 DESENV. PROJECTES SINGULARS</t>
  </si>
  <si>
    <t>22699</t>
  </si>
  <si>
    <t>AGERMANAMENT I INTERCANVIS</t>
  </si>
  <si>
    <t>48900</t>
  </si>
  <si>
    <t>DESP FUNCIONAMENT GRUPS MUNICIPALS</t>
  </si>
  <si>
    <t>SOU A2 DIRECCIÓ ALCALDIA</t>
  </si>
  <si>
    <t>SOU C1 DIRECCIÓ ALCALDIA</t>
  </si>
  <si>
    <t>TRIENNIS DIRECCIÓ ALCALDIA</t>
  </si>
  <si>
    <t>C.DESTÍ DIRECCIÓ ALCALDIA</t>
  </si>
  <si>
    <t>C.ESP. DIRECCIÓ ALCALDIA</t>
  </si>
  <si>
    <t>PRODUCT. DIRECCIÓ ALCALDIA</t>
  </si>
  <si>
    <t>SS DIRECCIÓ ALCALDIA</t>
  </si>
  <si>
    <t>DESP. DIVERSES ALCALDIA I GERÈNCIA</t>
  </si>
  <si>
    <t>23020</t>
  </si>
  <si>
    <t>DIETES PERSONAL ALCALDIA</t>
  </si>
  <si>
    <t>23120</t>
  </si>
  <si>
    <t>LOCOMOCIÓ ÀREA ALCALDIA</t>
  </si>
  <si>
    <t>92050</t>
  </si>
  <si>
    <t>HAVERS SÍNDIC GREUGES</t>
  </si>
  <si>
    <t>22604</t>
  </si>
  <si>
    <t>SÍNDIC DE GREUGES</t>
  </si>
  <si>
    <t>94300</t>
  </si>
  <si>
    <t>46600</t>
  </si>
  <si>
    <t>QUOTA FEDERACIÓ MUNICIPIS CATALUNYA</t>
  </si>
  <si>
    <t>Total 11000 Direcció àrea Alcaldia</t>
  </si>
  <si>
    <t>11001</t>
  </si>
  <si>
    <t>91210</t>
  </si>
  <si>
    <t>RB PERS. EVENTUAL PROTOCOL</t>
  </si>
  <si>
    <t>RETRIB. COMPL. PERS. EVENTUAL PROTOCOL</t>
  </si>
  <si>
    <t>SOU A1 U. PROTOCOL</t>
  </si>
  <si>
    <t>SS PERSONAL EVENTUAL PROTOCOL</t>
  </si>
  <si>
    <t>92210</t>
  </si>
  <si>
    <t>SOU C1 U. PROTOCOL</t>
  </si>
  <si>
    <t>TRIENNIS U. PROTOCOL</t>
  </si>
  <si>
    <t>C. DESTÍ U. PROTOCOL</t>
  </si>
  <si>
    <t>C.ESP. U. PROTOCOL</t>
  </si>
  <si>
    <t>PRODUCTIVITAT U. PROTOCOL</t>
  </si>
  <si>
    <t>SS U. PROTOCOL</t>
  </si>
  <si>
    <t>22601</t>
  </si>
  <si>
    <t>ACTES INSTITUCIONALS</t>
  </si>
  <si>
    <t>Total 11001 Unitat de Protocol</t>
  </si>
  <si>
    <t>11400</t>
  </si>
  <si>
    <t>22799</t>
  </si>
  <si>
    <t>MITJANS DE COMUNICACIÓ MUNICIPALS</t>
  </si>
  <si>
    <t>49110</t>
  </si>
  <si>
    <t>SOU A1 SERVEI COMUNICACIÓ CORPORATIVA (PREMSA)</t>
  </si>
  <si>
    <t>TRIENNIS SERVEI COMUNICACIÓ CORPORATIVA (PREMSA)</t>
  </si>
  <si>
    <t>C.DESTÍ SERVEI COMUNICACIÓ CORPORATIVA (PREMSA)</t>
  </si>
  <si>
    <t>C.ESP. SERVEI COMUNICACIÓ CORPORATIVA (PREMSA)</t>
  </si>
  <si>
    <t>PRODUCT. SERVEI COMUNICACIÓ CORPORATIVA (PREMSA)</t>
  </si>
  <si>
    <t>SS SERVEI COMUNICACIÓ CORPORATIVA (PREMSA)</t>
  </si>
  <si>
    <t>RB PERS. LAB. SERVEI COMUNICACIÓ CORPORATIVA</t>
  </si>
  <si>
    <t>ALTRES REMUN. PERS. LAB. SERVEI COMUNICACIÓ CORPORATIVA</t>
  </si>
  <si>
    <t>PRODUCT. PERS. LAB. SERVEI COMUNICACIÓ CORPORATIVA</t>
  </si>
  <si>
    <t>SS PERS. LAB. SERVEI COMUNICACIÓ CORPORATIVA</t>
  </si>
  <si>
    <t>Total 11400 Servei de Comunicació Corporativa</t>
  </si>
  <si>
    <t>11401</t>
  </si>
  <si>
    <t>22299</t>
  </si>
  <si>
    <t>COMUNICACIÓ ON LINE</t>
  </si>
  <si>
    <t>COMUNIC. SERVEIS PÚBLICS I SENSIBILITZACIÓ CIUTADANA</t>
  </si>
  <si>
    <t>SOU A1 U. COMUNICACIÓ CORPORATIVA</t>
  </si>
  <si>
    <t>SOU A2 U. COMUNICACIÓ CORPORATIVA</t>
  </si>
  <si>
    <t>SOU C1 U. COMUNICACIÓ CORPORATIVA</t>
  </si>
  <si>
    <t>TRIENNIS U. COMUNICACIÓ CORPORATIVA</t>
  </si>
  <si>
    <t>C.DESTÍ U. COMUNICACIÓ CORPORATIVA</t>
  </si>
  <si>
    <t>C.ESP. U. COMUNICACIÓ CORPORATIVA</t>
  </si>
  <si>
    <t>PRODUCT. U. COMUNICACIÓ CORPORATIVA</t>
  </si>
  <si>
    <t>SS U. COMUNICACIÓ CORPORATIVA</t>
  </si>
  <si>
    <t xml:space="preserve">Total 11401 Unitat de comunicació corporativa </t>
  </si>
  <si>
    <t>11500</t>
  </si>
  <si>
    <t>RB PERS. LAB. DIR. SERVEI INNOV. SOC. I GOV. REL.</t>
  </si>
  <si>
    <t>ALTRES REMUN. PERS. LAB. DIR. SERVEI INNOV. SOC. I GOV. REL.</t>
  </si>
  <si>
    <t>PROD. PERS. LAB. DIR. SERVEI INNOV. SOC. I GOV. REL.</t>
  </si>
  <si>
    <t>SS PERS. LAB. DIR. SERVEI INNOV. SOC. I GOV. REL.</t>
  </si>
  <si>
    <t>92400</t>
  </si>
  <si>
    <t>INNOVACIÓ SOCIAL, GESTIÓ DISTRICTES I PART. CIUTADANA</t>
  </si>
  <si>
    <t>92500</t>
  </si>
  <si>
    <t>ATENCIÓ CIUTADANA</t>
  </si>
  <si>
    <t>Total 11500 Servei d'Innovació Social i Govern Relacional</t>
  </si>
  <si>
    <t>11501</t>
  </si>
  <si>
    <t>SOU A1 RELACIONS CIUTADANES</t>
  </si>
  <si>
    <t>SOU A2 RELACIONS CIUTADANES</t>
  </si>
  <si>
    <t>SOU C1 RELACIONS CIUTADANES</t>
  </si>
  <si>
    <t>12004</t>
  </si>
  <si>
    <t>SOU C2 RELACIONS CIUTADANES</t>
  </si>
  <si>
    <t>12005</t>
  </si>
  <si>
    <t>SOU AP RELACIONS CIUTADANES</t>
  </si>
  <si>
    <t>TRIENNIS RELACIONS CIUTADANES</t>
  </si>
  <si>
    <t>C.DESTÍ RELACIONS CIUTADANES</t>
  </si>
  <si>
    <t>C.ESP. RELACIONS CIUTADANES</t>
  </si>
  <si>
    <t>PRODUCT. RELACIONS CIUTADANES</t>
  </si>
  <si>
    <t>SS RELACIONS CIUTADANES</t>
  </si>
  <si>
    <t>16204</t>
  </si>
  <si>
    <t>ACCIÓ SOCIAL RELACIONS CIUTADANES</t>
  </si>
  <si>
    <t>Total 11501 Unitat de relacions ciutadanes</t>
  </si>
  <si>
    <t>11502</t>
  </si>
  <si>
    <t>SOU A2 U. PARTICIPACIÓ CIUTADANA I DIST.</t>
  </si>
  <si>
    <t>TRIENNIS U. PARTICIPACIÓ CIUTADANA I DIST.</t>
  </si>
  <si>
    <t>C. DESTÍ U. PARTICIPACIÓ CIUTADANA I DIST.</t>
  </si>
  <si>
    <t>C.ESP. U. PARTICIPACIÓ CIUTADANA I DIST.</t>
  </si>
  <si>
    <t>RB PERS. LAB. U. PARTICIPACIÓ CIUTADANA I DIST.</t>
  </si>
  <si>
    <t>ALTRES REMUN. PERS. LAB. U. PARTICIPACIÓ CIUTADANA I DIST.</t>
  </si>
  <si>
    <t>PRODUCTIVITAT U. PARTICIPACIÓ CIUTADANA I DIST.</t>
  </si>
  <si>
    <t>SS U. PARTICIPACIÓ CIUTADANA I DIST.</t>
  </si>
  <si>
    <t xml:space="preserve">Total 11502 Unitat de Participació Ciutadana i Districtes </t>
  </si>
  <si>
    <t>HAVERS REGIDORS DIR. ÀREA GOV. INTERN I GESTIÓ RECURSOS MP</t>
  </si>
  <si>
    <t>SS REGIDORS DIR. ÀREA GOV. INTERN I GESTIÓ RECURSOS MP</t>
  </si>
  <si>
    <t>22603</t>
  </si>
  <si>
    <t>PUBLICACIONS I ANUNCIS OFICIALS</t>
  </si>
  <si>
    <t>GESTIÓ CONTROL QUALITAT SERVEIS</t>
  </si>
  <si>
    <t>LOCOMOCIÓ SERVEIS GENERALS</t>
  </si>
  <si>
    <t>92001</t>
  </si>
  <si>
    <t>QUOTA ASS. CATALANA MUNICIPIS I COMARQUES (ACM)</t>
  </si>
  <si>
    <t>FEMP XARXA ESP LOCAL TRANSPARÈNCIA</t>
  </si>
  <si>
    <t>92900</t>
  </si>
  <si>
    <t>50000</t>
  </si>
  <si>
    <t>FONS DE CONTINGÈNCIA</t>
  </si>
  <si>
    <t>SOU A1 DIR. ÀREA GOV. INTERN I GESTIÓ RECURSOS MP</t>
  </si>
  <si>
    <t>SOU C1 DIR. ÀREA GOV. INTERN I GESTIÓ RECURSOS MP</t>
  </si>
  <si>
    <t>TRIENNIS DIR. ÀREA GOV. INTERN I GESTIÓ RECURSOS MP</t>
  </si>
  <si>
    <t>C.DESTÍ DIR. ÀREA GOV. INTERN I GESTIÓ RECURSOS MP</t>
  </si>
  <si>
    <t>C.ESP. DIR. ÀREA GOV. INTERN I GESTIÓ RECURSOS MP</t>
  </si>
  <si>
    <t>PRODUCT. DIR.ÀREA GOV. INTERN I GESTIÓ RECURSOS MP</t>
  </si>
  <si>
    <t>SS DIR. ÀREA GOV. INTERN I GESTIÓ RECURSOS MP</t>
  </si>
  <si>
    <t>DESP. DIVERSES SERVEIS GENERALS</t>
  </si>
  <si>
    <t>DIETES PERSONAL SERVEIS GENERALS</t>
  </si>
  <si>
    <t>Total 15000 Direcció àrea de Govern intern i Gestió de recursos municipals</t>
  </si>
  <si>
    <t>15001</t>
  </si>
  <si>
    <t>SOU A1 U. D'ACCÉS A LA INFORMACIÓ I TRANSPARÈNCIA</t>
  </si>
  <si>
    <t>SOU A2 U. D'ACCÉS A LA INFORMACIÓ I TRANSPARÈNCIA</t>
  </si>
  <si>
    <t>TRIENNIS U. D'ACCÉS A LA INFORMACIÓ I TRANSPARÈNCIA</t>
  </si>
  <si>
    <t>C. DESTÍ U. D'ACCÉS A LA INFORMACIÓ I TRANSPARÈNCIA</t>
  </si>
  <si>
    <t>C.ESP. U. D'ACCÉS A LA INFORMACIÓ I TRANSPARÈNCIA</t>
  </si>
  <si>
    <t>PROD. U. D'ACCÉS A LA INFORMACIÓ I TRANSPARÈNCIA</t>
  </si>
  <si>
    <t>15200</t>
  </si>
  <si>
    <t>PLUSOS U. D'ACCÉS A LA INFORMACIÓ I TRANSPARÈNCIA</t>
  </si>
  <si>
    <t>SS U. D'ACCÉS A LA INFORMACIÓ I TRANSPARÈNCIA</t>
  </si>
  <si>
    <t xml:space="preserve">Total 15001 Unitat d'accés a la informació </t>
  </si>
  <si>
    <t>15002</t>
  </si>
  <si>
    <t>92006</t>
  </si>
  <si>
    <t>SOU A2 U. GESTIÓ DE SUBVENCIONS</t>
  </si>
  <si>
    <t>TRIENNIS U. GESTIÓ DE SUBVENCIONS</t>
  </si>
  <si>
    <t>C. DESTÍ U. GESTIÓ DE SUBVENCIONS</t>
  </si>
  <si>
    <t>C.ESP. U. GESTIÓ DE SUBVENCIONS</t>
  </si>
  <si>
    <t>PRODUCTIVITAT U. GESTIÓ DE SUBVENCIONS</t>
  </si>
  <si>
    <t>SS U. GESTIÓ DE SUBVENCIONS</t>
  </si>
  <si>
    <t>SOU A1 U. GESTIÓ DE SUBVENCIONS</t>
  </si>
  <si>
    <t xml:space="preserve">Total 15002 Unitat de Gestió de Subvencions </t>
  </si>
  <si>
    <t>15010</t>
  </si>
  <si>
    <t>SOU A1 GESTIÓ ECONÒMICA I PRESSUPOSTÀRIA</t>
  </si>
  <si>
    <t>SOU C1 GESTIÓ ECONÒMICA I PRESSUPOSTÀRIA</t>
  </si>
  <si>
    <t>TRIENNIS GESTIÓ ECONÒMICA I PRESSUPOSTÀRIA</t>
  </si>
  <si>
    <t>C.DESTÍ GESTIÓ ECONÒMICA I PRESSUPOSTÀRIA</t>
  </si>
  <si>
    <t>C.ESP. GESTIÓ ECONÒMICA I PRESSUPOSTÀRIA</t>
  </si>
  <si>
    <t>RB PERS. LAB. GESTIÓ ECONÒMICA I PRESSUPOSTÀRIA</t>
  </si>
  <si>
    <t>ALTRES REMUN. PERS. LAB. GESTIÓ ECONÒMICA I PRESSUPOSTÀRIA</t>
  </si>
  <si>
    <t>PRODUCT. GESTIÓ ECONÒMICA I PRESSUPOSTÀRIA</t>
  </si>
  <si>
    <t>SS GESTIÓ ECONÒMICA I PRESSUPOSTÀRIA</t>
  </si>
  <si>
    <t>94200</t>
  </si>
  <si>
    <t>46400</t>
  </si>
  <si>
    <t>A.M.B.: QUOTA I.B.I.</t>
  </si>
  <si>
    <t>46401</t>
  </si>
  <si>
    <t>A.M.B.: QUOTA P.I.E.</t>
  </si>
  <si>
    <t xml:space="preserve">Total 15010 Departament de Gestió Econòmica </t>
  </si>
  <si>
    <t>15020</t>
  </si>
  <si>
    <t>24100</t>
  </si>
  <si>
    <t>83000</t>
  </si>
  <si>
    <t>BESTRETES REINTEGRABLES OCUPACIÓ (C.A.)</t>
  </si>
  <si>
    <t>24110</t>
  </si>
  <si>
    <t>12009</t>
  </si>
  <si>
    <t>CONVENIS EDUCATIUS</t>
  </si>
  <si>
    <t>SS CONVENIS EDUCATIUS</t>
  </si>
  <si>
    <t>DESPESES GENERALS ADM. GRAL. PERSONAL</t>
  </si>
  <si>
    <t>92030</t>
  </si>
  <si>
    <t>SOU A1 DEP. PERSONES I TALENT</t>
  </si>
  <si>
    <t>SOU A2 DEP. PERSONES I TALENT</t>
  </si>
  <si>
    <t>SOU C1 DEP. PERSONES I TALENT</t>
  </si>
  <si>
    <t>TRIENNIS DEP. PERSONES I TALENT</t>
  </si>
  <si>
    <t>C. DESTÍ DEP. PERSONES I TALENT</t>
  </si>
  <si>
    <t>C.ESP. DEP. PERSONES I TALENT</t>
  </si>
  <si>
    <t>PRODUCTIVITAT DEP. PERSONES I TALENT</t>
  </si>
  <si>
    <t>SS DEP. PERSONES I TALENT</t>
  </si>
  <si>
    <t>TREBALLS EXTERNS DE RRHH</t>
  </si>
  <si>
    <t>BESTRETES REINTEGRABLES PERSONAL (C.A.)</t>
  </si>
  <si>
    <t>Total 15020 Departament de Recursos humans</t>
  </si>
  <si>
    <t>15021</t>
  </si>
  <si>
    <t>31100</t>
  </si>
  <si>
    <t>SERVEIS VIGILÀNCIA PER LA SALUT</t>
  </si>
  <si>
    <t>45910</t>
  </si>
  <si>
    <t>22104</t>
  </si>
  <si>
    <t>COMPRA VESTUARI BRIGADA MUNICIPAL</t>
  </si>
  <si>
    <t>SOU A1 U. GESTIÓ PERSONES</t>
  </si>
  <si>
    <t>SOU A2 U. GESTIÓ PERSONES</t>
  </si>
  <si>
    <t>SOU C1 U. GESTIÓ PERSONES</t>
  </si>
  <si>
    <t>TRIENNIS U. GESTIÓ PERSONES</t>
  </si>
  <si>
    <t>C. DESTÍ U. GESTIÓ PERSONES</t>
  </si>
  <si>
    <t>C.ESP. U. GESTIÓ PERSONES</t>
  </si>
  <si>
    <t>PRODUCTIVITAT U. GESTIÓ PERSONES</t>
  </si>
  <si>
    <t>SS U. GESTIÓ PERSONES</t>
  </si>
  <si>
    <t>COMPRA VESTUARI PERSONAL MUNICIPAL</t>
  </si>
  <si>
    <t>Total 15021 Unitat de Gestió administrativa i relacions laborals</t>
  </si>
  <si>
    <t>15022</t>
  </si>
  <si>
    <t>PROGRAMA COL·LABORACIÓ UNIVERSITAT</t>
  </si>
  <si>
    <t>16200</t>
  </si>
  <si>
    <t>FORMACIÓ I PERFECCIONAMENT PERSONAL</t>
  </si>
  <si>
    <t>CURSOS DE FORMACIÓ</t>
  </si>
  <si>
    <t>SOU A1 U. DESENVOLUPAMENT DEL TALENT</t>
  </si>
  <si>
    <t>SOU A2 U. DESENVOLUPAMENT DEL TALENT</t>
  </si>
  <si>
    <t>SOU C1 U. DESENVOLUPAMENT DEL TALENT</t>
  </si>
  <si>
    <t>TRIENNIS U. DESENVOLUPAMENT DEL TALENT</t>
  </si>
  <si>
    <t>C. DESTÍ U. DESENVOLUPAMENT DEL TALENT</t>
  </si>
  <si>
    <t>C.ESP. U. DESENVOLUPAMENT DEL TALENT</t>
  </si>
  <si>
    <t>PRODUCTIVITAT U. DESENVOLUPAMENT DEL TALENT</t>
  </si>
  <si>
    <t>SS U. DESENVOLUPAMENT DEL TALENT</t>
  </si>
  <si>
    <t>SISTEMES TECNOLOGICS RRHH</t>
  </si>
  <si>
    <t>23300</t>
  </si>
  <si>
    <t>HAVERS ASSISTÈNCIA TRIBUNALS RR.HH.</t>
  </si>
  <si>
    <t xml:space="preserve">Total 15022 Unitat de Planificació i desenvolupament de RRHH </t>
  </si>
  <si>
    <t>15040</t>
  </si>
  <si>
    <t>20200</t>
  </si>
  <si>
    <t>ARRENDAMENT LOCALS MUNICIPALS</t>
  </si>
  <si>
    <t>22400</t>
  </si>
  <si>
    <t>ACTUACIONS DANYS PATRIMONIALS (C.A.)</t>
  </si>
  <si>
    <t>22401</t>
  </si>
  <si>
    <t>ASSEGURANCES EDIFICIS MUNICIPALS</t>
  </si>
  <si>
    <t>22402</t>
  </si>
  <si>
    <t>ASSEGURANCES VEHICLES MUNICIPALS</t>
  </si>
  <si>
    <t>22404</t>
  </si>
  <si>
    <t>ASSEGURANÇA VIDA DEL PERSONAL</t>
  </si>
  <si>
    <t>92080</t>
  </si>
  <si>
    <t>SOU A1 ASSESSORAMENT JURÍDIC I INNOVACIÓ</t>
  </si>
  <si>
    <t>SOU A2 ASSESSORAMENT JURÍDIC I INNOVACIÓ</t>
  </si>
  <si>
    <t>SOU C1 ASSESSORAMENT JURÍDIC I INNOVACIÓ</t>
  </si>
  <si>
    <t>SOU C2 ASSESSORAMENT JURÍDIC I INNOVACIÓ</t>
  </si>
  <si>
    <t>TRIENNIS ASSESSORAMENT JURÍDIC I INNOVACIÓ</t>
  </si>
  <si>
    <t>C.DESTÍ ASSESSORAMENT JURÍDIC I INNOVACIÓ</t>
  </si>
  <si>
    <t>C.ESP. ASSESSORAMENT JURÍDIC I INNOVACIÓ</t>
  </si>
  <si>
    <t>PRODUCT. ASSESSORAMENT JURÍDIC I INNOVACIÓ</t>
  </si>
  <si>
    <t>SS ASSESSORAMENT JURÍDIC I INNOVACIÓ</t>
  </si>
  <si>
    <t>ASSEGURANÇA RESPONSAB. CIVIL I ACCIDENTS</t>
  </si>
  <si>
    <t>DESP. DIVERSES SERVEIS JURÍDICS</t>
  </si>
  <si>
    <t>ASSESSORAMENT I DEFENSA JURÍDICA</t>
  </si>
  <si>
    <t>93300</t>
  </si>
  <si>
    <t>21200</t>
  </si>
  <si>
    <t>QUOTES I APORTACIONS VEÏNALS EDIF MPALS</t>
  </si>
  <si>
    <t>GESTIÓ DEL PATRIMONI</t>
  </si>
  <si>
    <t>Total 15040 Departament d'Assessorament Jurídic i Innovació</t>
  </si>
  <si>
    <t>15060</t>
  </si>
  <si>
    <t>32300</t>
  </si>
  <si>
    <t>SUBMINISTRAMENTS DIVERSOS ESCOLES</t>
  </si>
  <si>
    <t>21300</t>
  </si>
  <si>
    <t>MANTENIMENT MAQUINÀRIA OFICINES</t>
  </si>
  <si>
    <t>22000</t>
  </si>
  <si>
    <t>MATERIAL OFICINA</t>
  </si>
  <si>
    <t>22001</t>
  </si>
  <si>
    <t>SUBSCRIPCIONS A DIARIS I ALTRES</t>
  </si>
  <si>
    <t>62500</t>
  </si>
  <si>
    <t>ADQUISICIÓ MOBILIARI</t>
  </si>
  <si>
    <t>84000</t>
  </si>
  <si>
    <t>ANUNCIS OFICIALS CÀRREC PARTICULARS (C.A.)</t>
  </si>
  <si>
    <t>SOU A1 DEP. COMPRA PÚBLICA</t>
  </si>
  <si>
    <t>SOU A2 DEP. COMPRA PÚBLICA</t>
  </si>
  <si>
    <t>SOU C1 DEP. COMPRA PÚBLICA</t>
  </si>
  <si>
    <t>SOU C2 DEP. COMPRA PÚBLICA</t>
  </si>
  <si>
    <t>TRIENNIS DEP. COMPRA PÚBLICA</t>
  </si>
  <si>
    <t>C.DESTÍ DEP. COMPRA PÚBLICA</t>
  </si>
  <si>
    <t>C.ESP. DEP. COMPRA PÚBLICA</t>
  </si>
  <si>
    <t>PRODUCT.  DEP. COMPRA PÚBLICA</t>
  </si>
  <si>
    <t>SS DEP. COMPRA PÚBLICA</t>
  </si>
  <si>
    <t>SOU AP DEP. COMPRA PÚBLICA (ATENCIÓ CIUTADÀ)</t>
  </si>
  <si>
    <t>TRIENNIS DEP. COMPRA PÚBLICA (ATENCIÓ CIUTADÀ)</t>
  </si>
  <si>
    <t>C.DESTÍ DEP. COMPRA PÚBLICA (ATENCIÓ CIUTADÀ)</t>
  </si>
  <si>
    <t>C.ESP. DEP. COMPRA PÚBLICA (ATENCIÓ CIUTADÀ)</t>
  </si>
  <si>
    <t>PRODUCT. DEP. COMPRA PÚBLICA (ATENCIÓ CIUTADÀ)</t>
  </si>
  <si>
    <t>PLUSOS DEP. COMPRA PÚBLICA (ATENCIÓ CIUTADÀ)</t>
  </si>
  <si>
    <t>SS DEP. COMPRA PÚBLICA (ATENCIÓ CIUTADÀ)</t>
  </si>
  <si>
    <t>ADQUISICIÓ DE PUBLICACIONS I MATERIAL TÈCNIC</t>
  </si>
  <si>
    <t xml:space="preserve">Total 15060 Departament de Compra pública </t>
  </si>
  <si>
    <t>15080</t>
  </si>
  <si>
    <t>01100</t>
  </si>
  <si>
    <t>31000</t>
  </si>
  <si>
    <t>INTERESSOS PRÉSTECS ENTITATS SECTOR PRIVAT</t>
  </si>
  <si>
    <t>35200</t>
  </si>
  <si>
    <t>INTERESSOS DE DEMORA</t>
  </si>
  <si>
    <t>35900</t>
  </si>
  <si>
    <t>ALTRES DESPESES FINANCERES</t>
  </si>
  <si>
    <t>46100</t>
  </si>
  <si>
    <t>DIBA: ALTRES TRANSFERÈNCIES</t>
  </si>
  <si>
    <t>91300</t>
  </si>
  <si>
    <t>AMORTITZACIO PRÉSTECS ENTITATS SECTOR PRIVAT</t>
  </si>
  <si>
    <t>42000</t>
  </si>
  <si>
    <t>AGE: ALTRES TRANSFERÈNCIES</t>
  </si>
  <si>
    <t>17000</t>
  </si>
  <si>
    <t>45000</t>
  </si>
  <si>
    <t>GENCAT: ALTRES TRANSFERÈNCIES</t>
  </si>
  <si>
    <t>AMB: ALTRES TRANSFERÈNCIES</t>
  </si>
  <si>
    <t>23000</t>
  </si>
  <si>
    <t>46500</t>
  </si>
  <si>
    <t>CCBLL: ALTRES TRANSFERÈNCIES</t>
  </si>
  <si>
    <t>32000</t>
  </si>
  <si>
    <t>49000</t>
  </si>
  <si>
    <t>UE: ALTRES TRANSFERÈNCIES</t>
  </si>
  <si>
    <t>43000</t>
  </si>
  <si>
    <t>43100</t>
  </si>
  <si>
    <t>GESTIÓ MONEDA LOCAL VILAWATT</t>
  </si>
  <si>
    <t>93200</t>
  </si>
  <si>
    <t>22708</t>
  </si>
  <si>
    <t>SERVEIS RECAPTACIÓ (C.A.)</t>
  </si>
  <si>
    <t>93400</t>
  </si>
  <si>
    <t>SOU A1 TRESORERIA</t>
  </si>
  <si>
    <t>C.DESTÍ TRESORERIA</t>
  </si>
  <si>
    <t>C.ESP. TRESORERIA</t>
  </si>
  <si>
    <t>PRODUCT. TRESORERIA</t>
  </si>
  <si>
    <t>SS TRESORERIA</t>
  </si>
  <si>
    <t>82090</t>
  </si>
  <si>
    <t>BESTRETES A ENS DEL SECTOR PÚBLIC MUNICIPAL</t>
  </si>
  <si>
    <t>94100</t>
  </si>
  <si>
    <t>94400</t>
  </si>
  <si>
    <t>Total 15080 Departament de Tresoreria</t>
  </si>
  <si>
    <t>15081</t>
  </si>
  <si>
    <t>48000</t>
  </si>
  <si>
    <t>SUBVENCIÓ FAMÍLIES MONOPARENTALS</t>
  </si>
  <si>
    <t>SUBVENCIÓ HABITATGES DESTINATS A ARRENDAMENT</t>
  </si>
  <si>
    <t>SOU A2 GESTIÓ TRIBUTÀRIA</t>
  </si>
  <si>
    <t>SOU C1 GESTIÓ TRIBUTÀRIA</t>
  </si>
  <si>
    <t>TRIENNIS GESTIÓ TRIBUTÀRIA</t>
  </si>
  <si>
    <t>C.DESTÍ GESTIÓ TRIBUTÀRIA</t>
  </si>
  <si>
    <t>C.ESP. GESTIÓ TRIBUTÀRIA</t>
  </si>
  <si>
    <t>PRODUCT. GESTIÓ TRIBUTÀRIA</t>
  </si>
  <si>
    <t>SS GESTIÓ TRIBUTÀRIA</t>
  </si>
  <si>
    <t>SERVEIS GESTIÓ TRIBUTÀRIA</t>
  </si>
  <si>
    <t>Total 15081 Unitat de Gestió Tributària</t>
  </si>
  <si>
    <t>15082</t>
  </si>
  <si>
    <t>SOU A1 U. GESTIÓ DE TRESORERIA</t>
  </si>
  <si>
    <t>SOU A2 U. GESTIÓ DE TRESORERIA</t>
  </si>
  <si>
    <t>SOU C1 U. GESTIÓ DE TRESORERIA</t>
  </si>
  <si>
    <t>TRIENNIS U. GESTIÓ DE TRESORERIA</t>
  </si>
  <si>
    <t>C. DESTÍ U. GESTIÓ DE TRESORERIA</t>
  </si>
  <si>
    <t>C.ESP. U. GESTIÓ DE TRESORERIA</t>
  </si>
  <si>
    <t>PROD. U. GESTIÓ DE TRESORERIA</t>
  </si>
  <si>
    <t>SS U. GESTIÓ DE TRESORERIA</t>
  </si>
  <si>
    <t>Total 15082 Unitat de Gestió de Tresoreria</t>
  </si>
  <si>
    <t>20000</t>
  </si>
  <si>
    <t>17210</t>
  </si>
  <si>
    <t>DESPESES CORRENTS VILAWATT</t>
  </si>
  <si>
    <t>PREMIS VILAWATT PER CENTRES EDUCATIUS</t>
  </si>
  <si>
    <t>RETRIB. BASIQUES PERS. EVENTUAL ÀMBIT SOST. ECO. O. i E.</t>
  </si>
  <si>
    <t>RETRIB. COMPL. PERS. EVENTUAL ÀMBIT SOST. ECO. O. i E.</t>
  </si>
  <si>
    <t>SOU A2 DIRECCIÓ ÀMBIT SOST. ECO. O. i E.</t>
  </si>
  <si>
    <t>SOU C1 DIRECCIÓ ÀMBIT SOST. ECO. O. i E.</t>
  </si>
  <si>
    <t>TRIENNIS DIRECCIÓ ÀMBIT SOST. ECO. O. i E.</t>
  </si>
  <si>
    <t>C.DESTÍ DIRECCIÓ ÀMBIT SOST. ECO. O. i E.</t>
  </si>
  <si>
    <t>C.ESP. DIRECCIÓ ÀMBIT SOST. ECO. O. i E.</t>
  </si>
  <si>
    <t>RB PERS. LAB. DIR. ÀMBIT SOST. ECO. O. i E.</t>
  </si>
  <si>
    <t>ALTRES REMUN. PERS. LAB. ÀMBIT SOST. ECO. O. i E.</t>
  </si>
  <si>
    <t>PRODUCT. DIRECCIÓ ÀMBIT SOST. ECO. O. i E.</t>
  </si>
  <si>
    <t>SS DIRECCIÓ ÀMBIT SOST. ECO. O. i E.</t>
  </si>
  <si>
    <t>46000</t>
  </si>
  <si>
    <t>TRANSICIÓ ECOLÒGICA I INNOVACIÓ</t>
  </si>
  <si>
    <t xml:space="preserve">Total 20000 Direcció Sostenibilitat Ecològica, Ocupació i Economia </t>
  </si>
  <si>
    <t>20010</t>
  </si>
  <si>
    <t>15100</t>
  </si>
  <si>
    <t>SOU A1 DEP. GESTIÓ I ASSESS.</t>
  </si>
  <si>
    <t>SOU A2 DEP. GESTIÓ I ASSESS.</t>
  </si>
  <si>
    <t>SOU C1 DEP. GESTIÓ I ASSESS.</t>
  </si>
  <si>
    <t>SOU C2 DEP. GESTIÓ I ASSESS.</t>
  </si>
  <si>
    <t>TRIENNIS DEP. GESTIÓ I ASSESS.</t>
  </si>
  <si>
    <t>C.DESTÍ DEP. GESTIÓ I ASSESS.</t>
  </si>
  <si>
    <t>C.ESP. DEP. GESTIÓ I ASSESS.</t>
  </si>
  <si>
    <t>PRODUCT. DEP. GESTIÓ I ASSESS.</t>
  </si>
  <si>
    <t>SS DEP. GESTIÓ I ASSESS.</t>
  </si>
  <si>
    <t>SOU A1 ADMIN. GRAL. DEP. GESTIÓ I ASSESS.</t>
  </si>
  <si>
    <t>SOU A2 ADMIN. GRAL. DEP. GESTIÓ I ASSESS.</t>
  </si>
  <si>
    <t>TRIENNIS ADMIN. GRAL. DEP. GESTIÓ I ASSESS.</t>
  </si>
  <si>
    <t>C.DESTÍ ADMIN. GRAL. DEP. GESTIÓ I ASSESS.</t>
  </si>
  <si>
    <t>C.ESP. ADMIN. GRAL. DEP. GESTIÓ I ASSESS.</t>
  </si>
  <si>
    <t>RB PERS. LAB. ADMIN. GRAL. DEP. GESTIÓ I ASSESS.</t>
  </si>
  <si>
    <t>ALTRES REMUN. PERS. LAB. ADMIN. GRAL. DEP. GESTIÓ I ASSESS.</t>
  </si>
  <si>
    <t>PRODUCT. ADMIN. GRAL. DEP. GESTIÓ I ASSESS.</t>
  </si>
  <si>
    <t>SS ADMIN. GRAL. DEP. GESTIÓ I ASSESS.</t>
  </si>
  <si>
    <t>DESP. DIVERSES PROMOCIÓ CIUTAT</t>
  </si>
  <si>
    <t>DIETES PERSONAL ÀMBIT PROMOCIÓ CIUTAT</t>
  </si>
  <si>
    <t>LOCOMOCIÓ ÀMBIT PROMOCIÓ CIUTAT</t>
  </si>
  <si>
    <t>Total 20010 Departament de Gestió i assessorament</t>
  </si>
  <si>
    <t>21000</t>
  </si>
  <si>
    <t>DESP. DIVERSES PLANIFICACIÓ TERRIT</t>
  </si>
  <si>
    <t>SOU A1 DIR. ÀREA PLANIFICACIÓ TERRITORIAL</t>
  </si>
  <si>
    <t>TRIENNIS DIR. ÀREA PLANIFICACIÓ TERRITORIAL</t>
  </si>
  <si>
    <t>C.DESTÍ DIR. ÀREA PLANIFICACIÓ TERRITORIAL</t>
  </si>
  <si>
    <t>C.ESP. DIR. ÀREA PLANIFICACIÓ TERRITORIAL</t>
  </si>
  <si>
    <t>PRODUCT. DIR. ÀREA PLANIFICACIÓ TERRITORIAL</t>
  </si>
  <si>
    <t>SS DIR. ÀREA PLANIFICACIÓ TERRITORIAL</t>
  </si>
  <si>
    <t>IMPLEMENTACIÓ EINA BIM</t>
  </si>
  <si>
    <t>A.M.B.: PROTECCIÓ URBANÍSTICA PARC AGRARI</t>
  </si>
  <si>
    <t>74002</t>
  </si>
  <si>
    <t>VIMED SERVEIS CONSORCI DELTA BCN</t>
  </si>
  <si>
    <t>15101</t>
  </si>
  <si>
    <t>74003</t>
  </si>
  <si>
    <t>VIMED GESTIÓ OBRES</t>
  </si>
  <si>
    <t>44902</t>
  </si>
  <si>
    <t>VIMED: OLH</t>
  </si>
  <si>
    <t>EXECUCIÓ ESCOMESES CLAVEGUERAM (C.A.)</t>
  </si>
  <si>
    <t>MANTEN. XARXA MPAL. CLAVEGUERAM</t>
  </si>
  <si>
    <t>61900</t>
  </si>
  <si>
    <t>MILLORA INFRAEST. CLAVEGUERAM</t>
  </si>
  <si>
    <t>17100</t>
  </si>
  <si>
    <t>MANTEN. XARXA MPAL. AIGUA NO POTABLE</t>
  </si>
  <si>
    <t>PREMIS ESTALVI I EFICIÈNCIA ENERGÈTICA</t>
  </si>
  <si>
    <t>23100</t>
  </si>
  <si>
    <t>AJUT SOCIAL HABITATGE</t>
  </si>
  <si>
    <t>44200</t>
  </si>
  <si>
    <t>QUOTA ASS. CONSELL REGIONS AEROP (ARC)</t>
  </si>
  <si>
    <t>HAVERS REGIDORS DIR. ÀREA PLANIF.TERRITORIAL</t>
  </si>
  <si>
    <t>72000</t>
  </si>
  <si>
    <t>TRANSF. DE CAPITAL A L'ADMÓ. DE L'ESTAT</t>
  </si>
  <si>
    <t>Total 21000 Direcció Àrea Planificació territorial</t>
  </si>
  <si>
    <t>21010</t>
  </si>
  <si>
    <t>DESPESES REGISTRALS PLANIF. TERRIT.</t>
  </si>
  <si>
    <t>SOU A1 DEP. D'EQUIPAMENTS PÚBLICS</t>
  </si>
  <si>
    <t>SOU A2 DEP. D'EQUIPAMENTS PÚBLICS</t>
  </si>
  <si>
    <t>SOU C1 DEP. D'EQUIPAMENTS PÚBLICS</t>
  </si>
  <si>
    <t>TRIENNIS DEP. D'EQUIPAMENTS PÚBLICS</t>
  </si>
  <si>
    <t>C. DESTÍ DEP. D'EQUIPAMENTS PÚBLICS</t>
  </si>
  <si>
    <t>C.ESP. DEP. D'EQUIPAMENTS PÚBLICS</t>
  </si>
  <si>
    <t>12103</t>
  </si>
  <si>
    <t>ALTRES COMPL. DEP. D'EQUIPAMENTS PÚBLICS</t>
  </si>
  <si>
    <t>PROD. DEP. D'EQUIPAMENTS PÚBLICS</t>
  </si>
  <si>
    <t>SS DEP. D'EQUIPAMENTS PÚBLICS</t>
  </si>
  <si>
    <t>AJUDA SOCIAL DEP. D'EQUIPAMENTS PÚBLICS</t>
  </si>
  <si>
    <t>SERVEIS TÈCNICS EXTERNS</t>
  </si>
  <si>
    <t>ESTUDIS I PROJECTES</t>
  </si>
  <si>
    <t xml:space="preserve">Total 21010 Departament de Serveis tècnics </t>
  </si>
  <si>
    <t>21011</t>
  </si>
  <si>
    <t>SOU A2 U. MANTENIMENT EDIFICIS MUNICIPALS</t>
  </si>
  <si>
    <t>SOU C2 U. MANTENIMENT EDIFICIS MUNICIPALS</t>
  </si>
  <si>
    <t>TRIENNIS U. MANTENIMENT EDIFICIS MUNICIPALS</t>
  </si>
  <si>
    <t>C. DESTÍ U. MANTENIMENT EDIFICIS MUNICIPALS</t>
  </si>
  <si>
    <t>C. ESP. U. MANTENIMENT EDIFICIS MUNICIPALS</t>
  </si>
  <si>
    <t>PROD. U. MANTENIMENT EDIFICIS MUNICIPALS</t>
  </si>
  <si>
    <t>SS U. MANTENIMENT EDIFICIS MUNICIPALS</t>
  </si>
  <si>
    <t>AJUDA SOCIAL U. MANTENIMENT EDIFICIS MUNICIPALS</t>
  </si>
  <si>
    <t>63201</t>
  </si>
  <si>
    <t>REHABIL. I MILLORA EDIFICIS MUNICIPALS</t>
  </si>
  <si>
    <t>63300</t>
  </si>
  <si>
    <t>MAQUIN.I INSTAL.LAC. EDIFICIS MPALS</t>
  </si>
  <si>
    <t>93301</t>
  </si>
  <si>
    <t>MANTENIMENT I REPARACIÓ EDIFICIS</t>
  </si>
  <si>
    <t>93320</t>
  </si>
  <si>
    <t>MANTENIMENT I REPARACIÓ ESCOLES</t>
  </si>
  <si>
    <t>63200</t>
  </si>
  <si>
    <t>INVERSIONS ESCOLES</t>
  </si>
  <si>
    <t>Total 21011 Unitat de Maneniment edificis municipals</t>
  </si>
  <si>
    <t>21020</t>
  </si>
  <si>
    <t>13401</t>
  </si>
  <si>
    <t>76400</t>
  </si>
  <si>
    <t>DIBA Carril Bici St. Climent BV-2003</t>
  </si>
  <si>
    <t>SOU A1 DEP. TERRITORI I CIUTAT</t>
  </si>
  <si>
    <t>TRIENNIS DEP. TERRITORI I CIUTAT</t>
  </si>
  <si>
    <t>C.DESTÍ DEP. TERRITORI I CIUTAT</t>
  </si>
  <si>
    <t>C.ESP. DEP. TERRITORI I CIUTAT</t>
  </si>
  <si>
    <t>RB PERS. LAB. DEP. TERRITORI I CIUTAT</t>
  </si>
  <si>
    <t>ALTRES REMUN. PERS. LAB. DEP. TERRITORI I CIUTAT</t>
  </si>
  <si>
    <t>PRODUCT. DEP. TERRITORI I CIUTAT</t>
  </si>
  <si>
    <t>SS DEP. TERRITORI I CIUTAT</t>
  </si>
  <si>
    <t>60901</t>
  </si>
  <si>
    <t>EXPROPIACIONS</t>
  </si>
  <si>
    <t>41900</t>
  </si>
  <si>
    <t>CONSORCI PARC AGRARI: CONVENI FAUNA</t>
  </si>
  <si>
    <t>46701</t>
  </si>
  <si>
    <t>APORTACIÓ CONSORCI PARC AGRARI BAIX LLOBREGAT</t>
  </si>
  <si>
    <t>Total 21020 Departament de Territori i ciutat</t>
  </si>
  <si>
    <t>21030</t>
  </si>
  <si>
    <t>SOU A1 DEP. EDIFICACIÓ I DISCIPLINA</t>
  </si>
  <si>
    <t>SOU A2 DEP. EDIFICACIÓ I DISCIPLINA</t>
  </si>
  <si>
    <t>SOU C1 DEP. EDIFICACIÓ I DISCIPLINA</t>
  </si>
  <si>
    <t>SOU C2 DEP. EDIFICACIÓ I DISCIPLINA</t>
  </si>
  <si>
    <t>TRIENNIS DEP. EDIFICACIÓ I DISCIPLINA</t>
  </si>
  <si>
    <t>C.DESTÍ DEP. EDIFICACIÓ I DISCIPLINA</t>
  </si>
  <si>
    <t>C.ESP. DEP. EDIFICACIÓ I DISCIPLINA</t>
  </si>
  <si>
    <t>PRODUCT. DEP. EDIFICACIÓ I DISCIPLINA</t>
  </si>
  <si>
    <t>SS DEP. EDIFICACIÓ I DISCIPLINA</t>
  </si>
  <si>
    <t>21900</t>
  </si>
  <si>
    <t>EXECUCIÓ SUBSIDIÀRIA (C.A.)</t>
  </si>
  <si>
    <t>61901</t>
  </si>
  <si>
    <t>34200</t>
  </si>
  <si>
    <t>REFORMA I AMPLIACIO CAMP FUTBOL ATRIUM</t>
  </si>
  <si>
    <t>42500</t>
  </si>
  <si>
    <t>62302</t>
  </si>
  <si>
    <t>INVERSIONS EFICIÈNCIA ENERGÈTICA</t>
  </si>
  <si>
    <t>62303</t>
  </si>
  <si>
    <t>LOT1: FOTOVOLTAIQUES CF T.ROJA + PL. CONSTITUCIÓ + EB PINEDA</t>
  </si>
  <si>
    <t>62304</t>
  </si>
  <si>
    <t>LOT3: FOTOVOLTAIQUES PARC DE LA MARINA</t>
  </si>
  <si>
    <t>62305</t>
  </si>
  <si>
    <t>LOT5: FOTOVOLTAIQUES ESCOLES MONTSERRATINA + M. MATA</t>
  </si>
  <si>
    <t>62306</t>
  </si>
  <si>
    <t>LOT6 FOTOVOLTAIQUES CEMENTIRI + 13 ROSES + ESCOLA A. TARGA</t>
  </si>
  <si>
    <t>SALA DE PLENS TORRE MODOLELL</t>
  </si>
  <si>
    <t>62200</t>
  </si>
  <si>
    <t>ADEQUACIÓ ESPAIS PER SERVEIS MPALS.</t>
  </si>
  <si>
    <t>Total 21030 Departament d'Edificació i Disciplina</t>
  </si>
  <si>
    <t>SOU C1 ÀREA MEDI AMBIENT I SOSTENIB.</t>
  </si>
  <si>
    <t>SOU C2 ÀREA MEDI AMBIENT I SOSTENIB.</t>
  </si>
  <si>
    <t>TRIENNIS ÀREA MEDI AMBIENT I SOSTENIB.</t>
  </si>
  <si>
    <t>C. DESTÍ ÀREA MEDI AMBIENT I SOSTENIB.</t>
  </si>
  <si>
    <t>C.ESP. ÀREA MEDI AMBIENT I SOSTENIB.</t>
  </si>
  <si>
    <t>RB PERS. LAB. ÀREA MEDI AMBIENT I SOSTENIB.</t>
  </si>
  <si>
    <t>ALTRES REMUN. PERS. LAB. ÀREA MEDI AMBIENT I SOSTENIB.</t>
  </si>
  <si>
    <t>PRODUCT. ÀREA MEDI AMBIENT I SOSTENIB.</t>
  </si>
  <si>
    <t>PLUSOS ÀREA MEDI AMBIENT I SOSTENIB.</t>
  </si>
  <si>
    <t>SS ÀREA MEDI AMBIENT I SOSTENIB.</t>
  </si>
  <si>
    <t>HAVERS REGIDORS DIR. ÀREA MEDI AMBIENT I SOSTENIB.</t>
  </si>
  <si>
    <t>SS REGIDORS DIR. ÀREA MEDI AMBIENT I SOSTENIB.</t>
  </si>
  <si>
    <t>Total 22000 Direcció Àrea Medi Ambient i Sostenibilita</t>
  </si>
  <si>
    <t>22010</t>
  </si>
  <si>
    <t>17110</t>
  </si>
  <si>
    <t>SOU A1 DEPART. MEDI NATURAL</t>
  </si>
  <si>
    <t>SOU C1 DEPART. MEDI NATURAL</t>
  </si>
  <si>
    <t>TRIENNIS DEPART. MEDI NATURAL</t>
  </si>
  <si>
    <t>C.DESTÍ DEPART. MEDI NATURAL</t>
  </si>
  <si>
    <t>C.ESP. DEPART. MEDI NATURAL</t>
  </si>
  <si>
    <t>ALTRES COMPL. DEPART. MEDI NATURAL</t>
  </si>
  <si>
    <t>RB PERS. LAB. DEP. MEDI NATURAL</t>
  </si>
  <si>
    <t>ALTRES REMUN. PERS. LAB. DEP. MEDI NATURAL</t>
  </si>
  <si>
    <t>PRODUCT. DEPART. MEDI NATURAL</t>
  </si>
  <si>
    <t>SS DEPART. MEDI NATURAL</t>
  </si>
  <si>
    <t>MEDI NATURAL</t>
  </si>
  <si>
    <t>CCBLL - CONVENI CONTROL DE MOSQUITS</t>
  </si>
  <si>
    <t>46502</t>
  </si>
  <si>
    <t>CCBLL - CONVENI PROTEC. TERRIT. MUNTANYES BAIX</t>
  </si>
  <si>
    <t>CONVENI UB ACTIVITATS PINEDA</t>
  </si>
  <si>
    <t>48001</t>
  </si>
  <si>
    <t>CONVENI AGRUPACIÓ DEFENSA FORESTAL</t>
  </si>
  <si>
    <t>17200</t>
  </si>
  <si>
    <t>INVERSIÓ REPOSICIÓ MEDI AMBIENT</t>
  </si>
  <si>
    <t>62300</t>
  </si>
  <si>
    <t>MAQUIN. I INSTAL. MEDI AMBIENT</t>
  </si>
  <si>
    <t>17900</t>
  </si>
  <si>
    <t>ALTRES INVERSIONS MEDI AMBIENT</t>
  </si>
  <si>
    <t>APORTACIÓ CONSORCI DELTA LLOBREGAT</t>
  </si>
  <si>
    <t>Total 22010 Departament de Medi Natural</t>
  </si>
  <si>
    <t>22020</t>
  </si>
  <si>
    <t>16220</t>
  </si>
  <si>
    <t>CAMPANYES MEDI AMBIENT</t>
  </si>
  <si>
    <t>SOU A1 DEPART. QUALITAT AMBIENTAL</t>
  </si>
  <si>
    <t>TRIENNIS DEPART. QUALITAT AMBIENTAL</t>
  </si>
  <si>
    <t>C.DESTÍ DEPART. QUALITAT AMBIENTAL</t>
  </si>
  <si>
    <t>C.ESP. DEPART. QUALITAT AMBIENTAL</t>
  </si>
  <si>
    <t>PRODUCT. QUALITAT AMBIENTAL</t>
  </si>
  <si>
    <t>SS QUALITAT AMBIENTAL</t>
  </si>
  <si>
    <t>EDUCACIÓ AMBIENTAL</t>
  </si>
  <si>
    <t>CIUTAT SOSTENIBLE</t>
  </si>
  <si>
    <t xml:space="preserve">Total 22020 Departament de Qualitat Ambiental </t>
  </si>
  <si>
    <t>22021</t>
  </si>
  <si>
    <t>SOU A1 U. D'ACTIVITATS ECONÒMIQUES</t>
  </si>
  <si>
    <t>SOU C1 U. D'ACTIVITATS ECONÒMIQUES</t>
  </si>
  <si>
    <t>TRIENNIS U. D'ACTIVITATS ECONÒMIQUES</t>
  </si>
  <si>
    <t>C. DESTÍ U. D'ACTIVITATS ECONÒMIQUES</t>
  </si>
  <si>
    <t>C.ESP. U. D'ACTIVITATS ECONÒMIQUES</t>
  </si>
  <si>
    <t>PROD. U. D'ACTIVITATS ECONÒMIQUES</t>
  </si>
  <si>
    <t>SS U. D'ACTIVITATS ECONÒMIQUES</t>
  </si>
  <si>
    <t xml:space="preserve">Total 22021 Unitat d'Activitats Econòmiques </t>
  </si>
  <si>
    <t>SOU C2 ÀREA D'OCUPACIÓ I EMPRESES</t>
  </si>
  <si>
    <t>TRIENNIS ÀREA D'OCUPACIÓ I EMPRESES</t>
  </si>
  <si>
    <t>C. DESTÍ ÀREA D'OCUPACIÓ I EMPRESES</t>
  </si>
  <si>
    <t>C. ESP. ÀREA D'OCUPACIÓ I EMPRESES</t>
  </si>
  <si>
    <t>PROD. ÀREA D'OCUPACIÓ I EMPRESES</t>
  </si>
  <si>
    <t>SS ÀREA D'OCUPACIÓ I EMPRESES</t>
  </si>
  <si>
    <t>ACCIONS TRANSVERSALS ÀREA</t>
  </si>
  <si>
    <t>43300</t>
  </si>
  <si>
    <t>RB PERS. LAB. DIR. ÀREA D'OCUPACIÓ I EMPRESES</t>
  </si>
  <si>
    <t>ALTRES REMUN. PERS. LAB. DIR. ÀREA D'OCUPACIÓ I EMPRESES</t>
  </si>
  <si>
    <t>PROD. DIR. ÀREA D'OCUPACIÓ I EMPRESES</t>
  </si>
  <si>
    <t>SS DIR. ÀREA D'OCUPACIÓ I EMPRESES</t>
  </si>
  <si>
    <t>ALTRES TRANSF. GENERALITAT EMPRESA</t>
  </si>
  <si>
    <t>ALTRES TRANSF. DIPUTACIÓ EMPRESA</t>
  </si>
  <si>
    <t>INVERSIO ELECTRONICA SERVEI EMPRESA</t>
  </si>
  <si>
    <t>SERVEIS EXTERNS EMPRESA I INNOVACIÓ</t>
  </si>
  <si>
    <t xml:space="preserve">Total 23000 Direcció Àrea d’Ocupació i Empreses </t>
  </si>
  <si>
    <t>23001</t>
  </si>
  <si>
    <t>CONCURS FRUITS DEL CAMP</t>
  </si>
  <si>
    <t>SOU A1 U. PROMOCIÓ COMERÇ, MERCATS I FIRES</t>
  </si>
  <si>
    <t>SOU A2 U. PROMOCIÓ COMERÇ, MERCATS I FIRES</t>
  </si>
  <si>
    <t>SOU C1 U. PROMOCIÓ COMERÇ, MERCATS I FIRES</t>
  </si>
  <si>
    <t>TRIENNIS U. PROMOCIÓ COMERÇ, MERCATS I FIRES</t>
  </si>
  <si>
    <t>C.DESTÍ U. PROMOCIÓ COMERÇ, MERCATS I FIRES</t>
  </si>
  <si>
    <t>C.ESP. U. PROMOCIÓ COMERÇ, MERCATS I FIRES</t>
  </si>
  <si>
    <t>PRODUCT. U. PROMOCIÓ COMERÇ, MERCATS I FIRES</t>
  </si>
  <si>
    <t>SS U. PROMOCIÓ COMERÇ, MERCATS I FIRES</t>
  </si>
  <si>
    <t>DINAMITZACIÓ COMERÇ i RESTAURACIÓ</t>
  </si>
  <si>
    <t>MERCATS MUNICIPALS I SETMANAL</t>
  </si>
  <si>
    <t>46200</t>
  </si>
  <si>
    <t>PROJECTES SUPRAMPALS. COMERÇ I TURISME</t>
  </si>
  <si>
    <t>48603</t>
  </si>
  <si>
    <t>CONVENI XARXA COMERCIAL DE VILADECANS</t>
  </si>
  <si>
    <t>43110</t>
  </si>
  <si>
    <t>FIRA DE SANT ISIDRE</t>
  </si>
  <si>
    <t>43200</t>
  </si>
  <si>
    <t>DINAMITZACIÓ TURISME</t>
  </si>
  <si>
    <t>Total 23001 Unitat de Comerç i Turisme</t>
  </si>
  <si>
    <t>23002</t>
  </si>
  <si>
    <t>42200</t>
  </si>
  <si>
    <t>INNOVACIÓ INDÚSTRIA I DESENV. ECO. I EMPRESARIAL IND+I</t>
  </si>
  <si>
    <t>DINAMITZACIÓ EMPRESA i EMPRENEDORIA</t>
  </si>
  <si>
    <t>SOU A1 U. EMPRESES I EMPRENEDORIA I TURISME</t>
  </si>
  <si>
    <t>SOU A2 U. EMPRESES I EMPRENEDORIA I TURISME</t>
  </si>
  <si>
    <t>TRIENNIS U. EMPRESES I EMPRENEDORIA I TURISME</t>
  </si>
  <si>
    <t>C.DESTÍ U. EMPRESES I EMPRENEDORIA I TURISME</t>
  </si>
  <si>
    <t>C.ESP. U. EMPRESES I EMPRENEDORIA I TURISME</t>
  </si>
  <si>
    <t>PRODUCT. U. EMPRESES I EMPRENEDORIA I TURISME</t>
  </si>
  <si>
    <t>SS U. EMPRESES I EMPRENEDORIA I TURISME</t>
  </si>
  <si>
    <t>PROJECTES SUPRAMPALS. ACTIVITAT ECONÒMICA</t>
  </si>
  <si>
    <t>SUBVENCIONS EMPRESA I EMPRENEDORIA</t>
  </si>
  <si>
    <t>APORTACIONS MUNICIPALS - CONVENIS I XARXES</t>
  </si>
  <si>
    <t>43301</t>
  </si>
  <si>
    <t>13105</t>
  </si>
  <si>
    <t>PERS. PROGRAMES EMPRESES COFINANÇAT</t>
  </si>
  <si>
    <t>SS PROGRAMES EMPRESES COFINANÇAT</t>
  </si>
  <si>
    <t>43304</t>
  </si>
  <si>
    <t>SERVEIS BUILDING INNOVATION PROGRAM DIBA 2025-26</t>
  </si>
  <si>
    <t>43309</t>
  </si>
  <si>
    <t>SERVEIS VILADECANS INNOVACIÓ EMPRESARIAL</t>
  </si>
  <si>
    <t>43310</t>
  </si>
  <si>
    <t>SERVEIS PROJECTE FEM FEINA AMB 2025-27</t>
  </si>
  <si>
    <t>47001</t>
  </si>
  <si>
    <t>TRANSFERÈNCIES PROJECTE FEM FEINA AMB 2025-27</t>
  </si>
  <si>
    <t>43315</t>
  </si>
  <si>
    <t>HUB AGROALIMENTARI</t>
  </si>
  <si>
    <t>43317</t>
  </si>
  <si>
    <t>HUB CONSTRUCCIÓ SOSTENIBLE</t>
  </si>
  <si>
    <t>43318</t>
  </si>
  <si>
    <t>INNOVACIÓ I DIGITALITZACIÓ COMERÇ I TURISME</t>
  </si>
  <si>
    <t xml:space="preserve">Total 23002 Unitat d'Empreses i emprenedoria </t>
  </si>
  <si>
    <t>23003</t>
  </si>
  <si>
    <t>SOU A2 U. GESTIÓ COMPARTIDA I PROXIMITAT</t>
  </si>
  <si>
    <t>SOU C1 U. GESTIÓ COMPARTIDA I PROXIMITAT</t>
  </si>
  <si>
    <t>SOU C2 U. GESTIÓ COMPARTIDA I PROXIMITAT</t>
  </si>
  <si>
    <t>SOU AP U. GESTIÓ COMPARTIDA I PROXIMITAT</t>
  </si>
  <si>
    <t>TRIENNIS U. GESTIÓ COMPARTIDA I PROXIMITAT</t>
  </si>
  <si>
    <t>C. DESTÍ U. GESTIÓ COMPARTIDA I PROXIMITAT</t>
  </si>
  <si>
    <t>C.ESP. U. GESTIÓ COMPARTIDA I PROXIMITAT</t>
  </si>
  <si>
    <t>RB PERS. LAB. U. GESTIÓ COMPARTIDA I PROXIMITAT</t>
  </si>
  <si>
    <t>ALTRES REMUN. PERS. LAB. U. GESTIÓ COMPARTIDA I PROXIMITAT</t>
  </si>
  <si>
    <t>PRODUCT. U. GESTIÓ COMPARTIDA I PROXIMITAT</t>
  </si>
  <si>
    <t>SS U. GESTIÓ COMPARTIDA I PROXIMITAT</t>
  </si>
  <si>
    <t>Total 23003 Unitat de Gestió Compartida i Proximitat</t>
  </si>
  <si>
    <t>23010</t>
  </si>
  <si>
    <t>SOU A1 DEP. FORMACIÓ I OCUPACIÓ</t>
  </si>
  <si>
    <t>TRIENNIS DEP. FORMACIÓ I OCUPACIÓ</t>
  </si>
  <si>
    <t>C. DESTí DEP. FORMACIÓ I OCUPACIÓ</t>
  </si>
  <si>
    <t>C. ESP. DEP. FORMACIÓ I OCUPACIÓ</t>
  </si>
  <si>
    <t>PROD. DEP. FORMACIÓ I OCUPACIÓ</t>
  </si>
  <si>
    <t>SS DEP. FORMACIÓ I OCUPACIÓ</t>
  </si>
  <si>
    <t>ALTRES TRANSF. GENERALITAT FORMACIÓ I OCUPACIÓ</t>
  </si>
  <si>
    <t>ALTRES TRANSF. DIPUTACIÓ FORMACIÓ I OCUPACIÓ</t>
  </si>
  <si>
    <t xml:space="preserve">Total 23010 Departament de Formacio i ocupació </t>
  </si>
  <si>
    <t>23011</t>
  </si>
  <si>
    <t>SOU A1 U. FORMACIÓ</t>
  </si>
  <si>
    <t>SOU A2 U. FORMACIÓ</t>
  </si>
  <si>
    <t>SOU C1 U. FORMACIÓ</t>
  </si>
  <si>
    <t>TRIENNIS U. FORMACIÓ</t>
  </si>
  <si>
    <t>C.DESTÍ U. FORMACIÓ</t>
  </si>
  <si>
    <t>C.ESP. U. FORMACIÓ</t>
  </si>
  <si>
    <t>PRODUCT. U. FORMACIÓ</t>
  </si>
  <si>
    <t>SS U. FORMACIÓ</t>
  </si>
  <si>
    <t>AJUDA SOCIAL U. FORMACIÓ</t>
  </si>
  <si>
    <t>22606</t>
  </si>
  <si>
    <t>DESPESES FORMACIÓ COFINANÇATS</t>
  </si>
  <si>
    <t>SERVEIS FORMACIÓ COFINANÇATS</t>
  </si>
  <si>
    <t>24123</t>
  </si>
  <si>
    <t>SERVEIS ESCOLA NOVES OPORTUNITATS AMB 2025-27</t>
  </si>
  <si>
    <t>24134</t>
  </si>
  <si>
    <t>SOU A2 PROJECTE TALENTUM</t>
  </si>
  <si>
    <t>C. DESTI PROJECTE TALENTUM</t>
  </si>
  <si>
    <t>C.ESP. PROJECTE TALENTUM</t>
  </si>
  <si>
    <t>PROD. PROJECTE TALENTUM</t>
  </si>
  <si>
    <t>SS PROJECTE TALENTUM</t>
  </si>
  <si>
    <t>24151</t>
  </si>
  <si>
    <t>ESCOLA NOVES OPORTUNITATS</t>
  </si>
  <si>
    <t xml:space="preserve">Total 23011 Unitat de Formació </t>
  </si>
  <si>
    <t>23012</t>
  </si>
  <si>
    <t>SOU A1 U. OCUPACIÓ</t>
  </si>
  <si>
    <t>SOU A2 U. OCUPACIÓ</t>
  </si>
  <si>
    <t>SOU C2 U. OCUPACIÓ</t>
  </si>
  <si>
    <t>TRIENNIS U. OCUPACIÓ</t>
  </si>
  <si>
    <t>C.DESTÍ U. OCUPACIÓ</t>
  </si>
  <si>
    <t>C.ESP. U. OCUPACIÓ</t>
  </si>
  <si>
    <t>RB PERS. LAB. U. OCUPACIÓ</t>
  </si>
  <si>
    <t>ALTRES REMUN. PERS. LAB. U. OCUPACIÓ</t>
  </si>
  <si>
    <t>PRODUCT. U. OCUPACIÓ</t>
  </si>
  <si>
    <t>SS U. OCUPACIÓ</t>
  </si>
  <si>
    <t>DESPESES OCUPACIÓ COFINANÇATS</t>
  </si>
  <si>
    <t>SERVEIS D'OCUPACIÓ COFINANÇATS</t>
  </si>
  <si>
    <t>PROJECTES SUPRAMPALS. SERV OCUP</t>
  </si>
  <si>
    <t>24105</t>
  </si>
  <si>
    <t>PERS. PROGRAMES OCUPACIÓ COFINANÇATS</t>
  </si>
  <si>
    <t>SS PROGRAMES OCUPACIÓ COFINANÇATS</t>
  </si>
  <si>
    <t>24129</t>
  </si>
  <si>
    <t>PERS. PLANS LOCALS D'OCUPACIÓ DIBA 2025-2027</t>
  </si>
  <si>
    <t>SS PLANS LOCALS D'OCUPACIÓ DIBA 2025-2027</t>
  </si>
  <si>
    <t>24136</t>
  </si>
  <si>
    <t>SOU A2 PROJECTE TREBALL I FORMACIÓ</t>
  </si>
  <si>
    <t>C. DESTI PROJECTE TREBALL I FORMACIÓ</t>
  </si>
  <si>
    <t>C.ESP. PROJECTE TREBALL I FORMACIÓ</t>
  </si>
  <si>
    <t>PERS. LABORAL PROJECTE TREBALL I FORMACIÓ</t>
  </si>
  <si>
    <t>PROD. PROJECTE TREBALL I FORMACIÓ</t>
  </si>
  <si>
    <t>SS PROJECTE TREBALL I FORMACIÓ</t>
  </si>
  <si>
    <t>SERVEIS PROGRAMA TREBALL I FORMACIÓ 2025-26</t>
  </si>
  <si>
    <t xml:space="preserve">Total 23012 Unitat d'Ocupació </t>
  </si>
  <si>
    <t>30000</t>
  </si>
  <si>
    <t>13300</t>
  </si>
  <si>
    <t>44900</t>
  </si>
  <si>
    <t>VIQUAL: L4 SERVEIS MOBILITAT (ZBE)</t>
  </si>
  <si>
    <t>13301</t>
  </si>
  <si>
    <t>VIQUAL: L4 SERVEIS MOBILITAT (GRUA + DIPOSIT)</t>
  </si>
  <si>
    <t>13303</t>
  </si>
  <si>
    <t>VIQUAL: L4 SERV.MOBILITAT (ZER+MURTRA)</t>
  </si>
  <si>
    <t>23124</t>
  </si>
  <si>
    <t>SOU C1 PROG. BARRIS I COMUNITATS: MOTORS TRANSF. SOCIAL</t>
  </si>
  <si>
    <t>C. DESTÍ PROG. BARRIS I COMUNITATS: MOTORS TRANSF. SOCIAL</t>
  </si>
  <si>
    <t>C. ESP. PROG. BARRIS I COMUNITATS: MOTORS TRANSF. SOCIAL</t>
  </si>
  <si>
    <t>PROD. PROG. BARRIS I COMUNITATS: MOTORS TRANSF. SOCIAL</t>
  </si>
  <si>
    <t>SS PROG. BARRIS I COMUNITATS: MOTORS TRANSF. SOCIAL</t>
  </si>
  <si>
    <t>33410</t>
  </si>
  <si>
    <t>VIQUAL: L3 SERVEIS CULTURALS</t>
  </si>
  <si>
    <t>VIQUAL: L1-2 SERVEIS I GESTIÓ EQUIPAMENTS ESPORTIUS</t>
  </si>
  <si>
    <t>HAVERS REGIDORS DIR. ÀMBIT S. SOCIAL I SERV. A LA CIUT.</t>
  </si>
  <si>
    <t>SS REGIDORS DIR. ÀMBIT S. SOCIAL I SERV. A LA CIUT.</t>
  </si>
  <si>
    <t>DIETES PERSONAL ÀMBIT SERVEI CIUTADANIA</t>
  </si>
  <si>
    <t>LOCOMOCIÓ ÀREA SERVEI CIUTADANIA</t>
  </si>
  <si>
    <t>VIQUAL: L6 CESSIÓ ÚS ESPAIS</t>
  </si>
  <si>
    <t>92010</t>
  </si>
  <si>
    <t>SOU A1 ADMIN. GRAL. ÀMBIT S. SOCIAL I SERV. A LA CIUT.</t>
  </si>
  <si>
    <t>SOU A2 ADMIN. GRAL. ÀMBIT S. SOCIAL I SERV. A LA CIUT.</t>
  </si>
  <si>
    <t>TRIENNIS ADMIN. GRAL. ÀMBIT S. SOCIAL I SERV. A LA CIUT.</t>
  </si>
  <si>
    <t>C.DESTÍ ADMIN. GRAL. ÀMBIT S. SOCIAL I SERV. A LA CIUT.</t>
  </si>
  <si>
    <t>C.ESP. ADMIN. GRAL. ÀMBIT S. SOCIAL I SERV. A LA CIUT.</t>
  </si>
  <si>
    <t>RB PERS. LAB. ÀMBIT S. SOCIAL I SERV. A LA CIUT.</t>
  </si>
  <si>
    <t>ALTRES REMUN. PERS. LAB. ÀMBIT S. SOCIAL I SERV. A LA CIUT.</t>
  </si>
  <si>
    <t>PRODUCT. ADMIN. GRAL. ÀMBIT S. SOCIAL I SERV. A LA CIUT.</t>
  </si>
  <si>
    <t>SS ADMIN. GRAL. ÀMBIT S. SOCIAL I SERV. A LA CIUT.</t>
  </si>
  <si>
    <t>DESP. DIVERSES SERV. CIUTADANIA</t>
  </si>
  <si>
    <t>Total 30000 Direcció Sostenibilitat Social i Serveis a la Ciutadania</t>
  </si>
  <si>
    <t>30001</t>
  </si>
  <si>
    <t>33600</t>
  </si>
  <si>
    <t>SOU C1 U. ADMIN. (PATRIMONI)</t>
  </si>
  <si>
    <t>TRIENNIS U. ADMIN. (PATRIMONI)</t>
  </si>
  <si>
    <t>C.DESTÍ U. ADMIN. (PATRIMONI)</t>
  </si>
  <si>
    <t>C.ESP. U. ADMIN. (PATRIMONI)</t>
  </si>
  <si>
    <t>PRODUCT. U. ADMIN. (PATRIMONI)</t>
  </si>
  <si>
    <t>SS U. ADMIN. (PATRIMONI)</t>
  </si>
  <si>
    <t>SOU A2 U. ADMIN. (SERVEIS CIUTADANIA)</t>
  </si>
  <si>
    <t>SOU C1 U. ADMIN. (SERVEIS CIUTADANIA)</t>
  </si>
  <si>
    <t>TRIENNIS U. ADMIN. (SERVEIS CIUTADANIA)</t>
  </si>
  <si>
    <t>C.DESTÍ U. ADMIN. (SERVEIS CIUTADANIA)</t>
  </si>
  <si>
    <t>C.ESP. U. ADMIN. (SERVEIS CIUTADANIA)</t>
  </si>
  <si>
    <t>PRODUCT. U. ADMIN. (SERVEIS CIUTADANIA)</t>
  </si>
  <si>
    <t>SS U. ADMIN. (SERVEIS CIUTADANIA)</t>
  </si>
  <si>
    <t>SOU C2 U. ADM. (ATENCIÓ CIUTADÀ)</t>
  </si>
  <si>
    <t>TRIENNIS U. ADM. (ATENCIÓ CIUTADÀ)</t>
  </si>
  <si>
    <t>C. DESTÍ U. ADM. (ATENCIÓ CIUTADÀ)</t>
  </si>
  <si>
    <t>C. ESP. U. ADM. (ATENCIÓ CIUTADÀ)</t>
  </si>
  <si>
    <t>RB PERS. LAB.  U. ADMIN. (ATENCIÓ CIUTADÀ)</t>
  </si>
  <si>
    <t>ALTRES REMUN. PERS. LAB.  U. ADMIN. (ATENCIÓ CIUTADÀ)</t>
  </si>
  <si>
    <t>PRODUCT. U. ADMIN. (ATENCIÓ CIUTADÀ)</t>
  </si>
  <si>
    <t>SS U. ADMIN. (ATENCIÓ CIUTADÀ)</t>
  </si>
  <si>
    <t xml:space="preserve">Total 30001 Unitat d'Administració </t>
  </si>
  <si>
    <t>30100</t>
  </si>
  <si>
    <t>23112</t>
  </si>
  <si>
    <t>DESPESES CONVENI UNION DE L'ACTION FÉMINISTE</t>
  </si>
  <si>
    <t>CONVENI UNION DE L'ACTION FÉMINISTES</t>
  </si>
  <si>
    <t>23113</t>
  </si>
  <si>
    <t>DESPESES CONVENI 100% MAMANS</t>
  </si>
  <si>
    <t>CONVENI 100% MAMANS</t>
  </si>
  <si>
    <t>23140</t>
  </si>
  <si>
    <t>PROGRAMES DE SOLIDARITAT</t>
  </si>
  <si>
    <t>48002</t>
  </si>
  <si>
    <t>CONVENI REFUGIATS FUNDACIÓ SOLIDARITAT UB</t>
  </si>
  <si>
    <t>48402</t>
  </si>
  <si>
    <t>CONVENI FONS CATALÀ DE COOPERACIÓ</t>
  </si>
  <si>
    <t>23141</t>
  </si>
  <si>
    <t>PROGRAMA JUSUR - IGUALTAT OPORTUNITATS MARRAQUEIX</t>
  </si>
  <si>
    <t>23142</t>
  </si>
  <si>
    <t>DESPESES PROGRAMA JUSUR MARRAQUÈIX 2025-2028</t>
  </si>
  <si>
    <t>49002</t>
  </si>
  <si>
    <t>TRANSFERÈNCIES PROGRAMA JUSUR MARRAQUÈIX 2025-2028</t>
  </si>
  <si>
    <t>23143</t>
  </si>
  <si>
    <t>DESP. DIVERSES JUSUR -IGUALTAT OPORTUN. MARRAQUEIX</t>
  </si>
  <si>
    <t>49001</t>
  </si>
  <si>
    <t>TRANSF. PROJ. COOPERACIÓ DESENV. I DDHH JUSUR</t>
  </si>
  <si>
    <t>33000</t>
  </si>
  <si>
    <t>SOU A2 SERVEI POL. COM. I CIUTAT EDU.</t>
  </si>
  <si>
    <t>C. DESTÍ SERVEI POL. COM. I CIUTAT EDU.</t>
  </si>
  <si>
    <t>C. ESP. SERVEI POL. COM. I CIUTAT EDU.</t>
  </si>
  <si>
    <t>RB PERS. LAB. DIR. SERVEI POL. COM. I CIUTAT EDU.</t>
  </si>
  <si>
    <t>ALTRES REMUN. PERS. LAB. DIR. SERVEI POL. COM. I CIUTAT EDU.</t>
  </si>
  <si>
    <t>PRODUCT. SERVEI POL. COM. I CIUTAT EDU.</t>
  </si>
  <si>
    <t>SS SERVEI POL. COM. I CIUTAT EDU.</t>
  </si>
  <si>
    <t>RB PERS. EVENTUAL SERVEI POL. COM. I CIUTAT EDU.</t>
  </si>
  <si>
    <t>RETRIB. COMPL. PERS. EVENTUAL SERVEI POL. COM. I CIUTAT EDU.</t>
  </si>
  <si>
    <t>SS PERS. EVENTUAL SERVEI POL. COM. I CIUTAT EDU.</t>
  </si>
  <si>
    <t xml:space="preserve">Total 30100 Direcció Servei de Polítiques Comunitàries i Ciutat Educadora </t>
  </si>
  <si>
    <t>30101</t>
  </si>
  <si>
    <t>PROGRAMA DINAMITZACIÓ GENT GRAN</t>
  </si>
  <si>
    <t>33710</t>
  </si>
  <si>
    <t>GESTIÓ XARXA CASALS DE BARRI</t>
  </si>
  <si>
    <t>33711</t>
  </si>
  <si>
    <t>GESTIÓ ATENEU D'ENTITATS PABLO PICASSO</t>
  </si>
  <si>
    <t>33730</t>
  </si>
  <si>
    <t>PROGRAMA DINAMITZACIÓ ENTITATS</t>
  </si>
  <si>
    <t>SOU A1 U. DINAMITZACIÓ COMUNITÀRIA I XARXA EQUIPAMENTS</t>
  </si>
  <si>
    <t>SOU A2 U. DINAMITZACIÓ COMUNITÀRIA I XARXA EQUIPAMENTS</t>
  </si>
  <si>
    <t>SOU C1 U. DINAMITZACIÓ COMUNITÀRIA I XARXA EQUIPAMENTS</t>
  </si>
  <si>
    <t>SOU AP U. DINAMITZACIÓ COMUNITÀRIA I XARXA EQUIPAMENTS</t>
  </si>
  <si>
    <t>TRIENNIS U. DINAMITZACIÓ COMUNITÀRIA I XARXA EQUIPAMENTS</t>
  </si>
  <si>
    <t>C. DESTÍ U. DINAMITZACIÓ COMUNITÀRIA I XARXA EQUIPAMENTS</t>
  </si>
  <si>
    <t>C. ESP. U. DINAMITZACIÓ COMUNITÀRIA I XARXA EQUIPAMENTS</t>
  </si>
  <si>
    <t>PROD. U. DINAMITZACIÓ COMUNITÀRIA I XARXA EQUIPAMENTS</t>
  </si>
  <si>
    <t>PLUSOS U. DINAMITZACIÓ COMUNITÀRIA I XARXA EQUIPAMENTS</t>
  </si>
  <si>
    <t>SS U. DINAMITZACIÓ COMUNITÀRIA I XARXA EQUIPAMENTS</t>
  </si>
  <si>
    <t xml:space="preserve">Total 30101 Unitat de Dinamització comunitària, esportiva i xarxa d'equipaments </t>
  </si>
  <si>
    <t>30102</t>
  </si>
  <si>
    <t>CONVENI MOBILITAT INTERNACIONAL C.C. BAIX LLOBREGAT</t>
  </si>
  <si>
    <t>33400</t>
  </si>
  <si>
    <t>SOU A2 U. CULTURA I JOVENTUT</t>
  </si>
  <si>
    <t>SOU C1 U. CULTURA I JOVENTUT</t>
  </si>
  <si>
    <t>C. DESTÍ U. CULTURA I JOVENTUT</t>
  </si>
  <si>
    <t>C. ESP. U. CULTURA I JOVENTUT</t>
  </si>
  <si>
    <t>ALTRES COMPL. U. CULTURA I JOVENTUT</t>
  </si>
  <si>
    <t>PROD. U. CULTURA I JOVENTUT</t>
  </si>
  <si>
    <t>SS U. CULTURA I JOVENTUT</t>
  </si>
  <si>
    <t>PROMOCIÓ CULTURAL</t>
  </si>
  <si>
    <t>48301</t>
  </si>
  <si>
    <t>CONVENI DIABLES DE VILADECANS</t>
  </si>
  <si>
    <t>48302</t>
  </si>
  <si>
    <t>CONVENI ASSOC. COOR. ENT. EL MAMUT VILADECANS</t>
  </si>
  <si>
    <t>48303</t>
  </si>
  <si>
    <t>CONVENI ASSOC. CASTELLERS DE VILADECANS</t>
  </si>
  <si>
    <t>SUBVENCIONS ENTITATS CIUTAT-CULTURA</t>
  </si>
  <si>
    <t>22609</t>
  </si>
  <si>
    <t>ESCENARIS I INFRAESTRUCTURES</t>
  </si>
  <si>
    <t>GESTIÓ I EQUIPAMENT CAN BATLLORI</t>
  </si>
  <si>
    <t>33720</t>
  </si>
  <si>
    <t>CREACIÓ CULTURAL I PARTICIPACIÓ JUVENIL</t>
  </si>
  <si>
    <t>GESTIÓ OFICINA PLA JOVE</t>
  </si>
  <si>
    <t>FM JOVE</t>
  </si>
  <si>
    <t>SUBVENCIONS ENTITATS JUVENILS</t>
  </si>
  <si>
    <t>33800</t>
  </si>
  <si>
    <t>FESTEJOS</t>
  </si>
  <si>
    <t>PREMIS CULTURA</t>
  </si>
  <si>
    <t xml:space="preserve">Total 30102 Unitat de Cultura i joventut </t>
  </si>
  <si>
    <t>30110</t>
  </si>
  <si>
    <t>33210</t>
  </si>
  <si>
    <t>SOU C1 DEP. PAT. CULTURAL I BIBLIOTEQUES</t>
  </si>
  <si>
    <t>SOU AP DEP. PAT. CULTURAL I BIBLIOTEQUES</t>
  </si>
  <si>
    <t>TRIENNIS DEP. PAT. CULTURAL I BIBLIOTEQUES</t>
  </si>
  <si>
    <t>C.DESTÍ DEP. PAT. CULTURAL I BIBLIOTEQUES</t>
  </si>
  <si>
    <t>C.ESP. DEP. PAT. CULTURAL I BIBLIOTEQUES</t>
  </si>
  <si>
    <t>RB PERS. LAB. DEP. PAT. CULTURAL I BIBLIOTEQUES</t>
  </si>
  <si>
    <t>ALTRES REMUN. PERS. LAB. DEP. PAT. CULTURAL I BIBLIOTEQUES</t>
  </si>
  <si>
    <t>PRODUCT. DEP. PAT. CULTURAL I BIBLIOTEQUES</t>
  </si>
  <si>
    <t>PLUSOS DEP. PAT. CULTURAL I BIBLIOTEQUES</t>
  </si>
  <si>
    <t>SS DEP. PAT. CULTURAL I BIBLIOTEQUES</t>
  </si>
  <si>
    <t>BIBLIOTEQUES</t>
  </si>
  <si>
    <t>33300</t>
  </si>
  <si>
    <t>21501</t>
  </si>
  <si>
    <t>MANTENIMENT I RESTAURACIÓ MOBILIARI HISTÒRIC</t>
  </si>
  <si>
    <t>MUSEU DE VILADECANS</t>
  </si>
  <si>
    <t>SOU A1 DEP. PATRIMONI CULTURAL</t>
  </si>
  <si>
    <t>SOU A2 DEP. PATRIMONI CULTURAL</t>
  </si>
  <si>
    <t>TRIENNIS DEP. PATRIMONI CULTURAL</t>
  </si>
  <si>
    <t>C.DESTÍ DEP. PATRIMONI CULTURAL</t>
  </si>
  <si>
    <t>C.ESP. DEP. PATRIMONI CULTURAL</t>
  </si>
  <si>
    <t>PRODUCT. DEP. PATRIMONI CULTURAL</t>
  </si>
  <si>
    <t>SS DEP. PATRIMONI CULTURAL</t>
  </si>
  <si>
    <t>PATRIMONI CULTURAL</t>
  </si>
  <si>
    <t>48306</t>
  </si>
  <si>
    <t>CONVENI CENTRE ESTUDIS COM. BAIX LLOBREGAT</t>
  </si>
  <si>
    <t>SUBVENCIONS ENTITATS PATRIMONI CULTURAL</t>
  </si>
  <si>
    <t>92070</t>
  </si>
  <si>
    <t>ARXIU MUNICIPAL</t>
  </si>
  <si>
    <t xml:space="preserve">Total 30110 Departament de Patrimoni Cultural i Biblioteques </t>
  </si>
  <si>
    <t>30120</t>
  </si>
  <si>
    <t>48110</t>
  </si>
  <si>
    <t>SUBVENCIONS ENTITATS ACTIVITATS ESTIU</t>
  </si>
  <si>
    <t>34100</t>
  </si>
  <si>
    <t>SOU A1 DEP. D'ESPORTS</t>
  </si>
  <si>
    <t>TRIENNIS DEP. D'ESPORTS</t>
  </si>
  <si>
    <t>C. DESTÍ DEP. D'ESPORTS</t>
  </si>
  <si>
    <t>C. ESP. DEP. D'ESPORTS</t>
  </si>
  <si>
    <t>RB PERS. LAB. DEP. D'ESPORTS</t>
  </si>
  <si>
    <t>ALTRES REMUN. PERS. LAB. DEP. D'ESPORTS</t>
  </si>
  <si>
    <t>13100</t>
  </si>
  <si>
    <t>RETRIB. PERSONAL TEMPORAL A1 DEP. D'ESPORTS</t>
  </si>
  <si>
    <t>PROD. DEP. D'ESPORTS</t>
  </si>
  <si>
    <t>SS  DEP. D'ESPORTS</t>
  </si>
  <si>
    <t>COMPETICIONS I JOCS ESPORTIUS ESCOLARS</t>
  </si>
  <si>
    <t>SERVEIS ACTIVITATS FÍSIQUES</t>
  </si>
  <si>
    <t>48200</t>
  </si>
  <si>
    <t>SUBVENCIÓ ESPORTISTES D'ELIT</t>
  </si>
  <si>
    <t>48204</t>
  </si>
  <si>
    <t>CONVENI CLUB BÀSQUET FEMENÍ VCANS. ESPORTS</t>
  </si>
  <si>
    <t>48211</t>
  </si>
  <si>
    <t>CONVENI ESPORTIU DEL BAIX LLOBREGAT</t>
  </si>
  <si>
    <t>SUBVENCIONS ENTITATS ESPORTIVES</t>
  </si>
  <si>
    <t>48905</t>
  </si>
  <si>
    <t>CONVENI INDESCAT</t>
  </si>
  <si>
    <t>INVERSIÓ MATERIAL ESPORTIU</t>
  </si>
  <si>
    <t>34101</t>
  </si>
  <si>
    <t>PROMOCIÓ DE L'ESPORT</t>
  </si>
  <si>
    <t>INVERSIONS DE REPOSICIÓ EN EQUIPAMENTS ESPORTIUS</t>
  </si>
  <si>
    <t>Total 30120 Departament d'Esports, Cultura i Dinamització Comunitària</t>
  </si>
  <si>
    <t>30130</t>
  </si>
  <si>
    <t>SOU A1 DEP. EDUCACIÓ I XARXA ÈXIT E.</t>
  </si>
  <si>
    <t>SOU A2 DEP. EDUCACIÓ I XARXA ÈXIT E.</t>
  </si>
  <si>
    <t>SOU AP DEP. EDUCACIÓ I XARXA ÈXIT E.</t>
  </si>
  <si>
    <t>TRIENNIS DEP. EDUCACIÓ I XARXA ÈXIT E.</t>
  </si>
  <si>
    <t>C. DESTÍ DEP. EDUCACIÓ I XARXA ÈXIT E.</t>
  </si>
  <si>
    <t>C. ESP. DEP. EDUCACIÓ I XARXA ÈXIT E.</t>
  </si>
  <si>
    <t>ALTRES COMPL. DEP. EDUCACIÓ I XARXA ÈXIT E.</t>
  </si>
  <si>
    <t>RB PERS. LAB. DEP. EDUCACIÓ I XARXA ÈXIT E.</t>
  </si>
  <si>
    <t>ALTRES REMUN. PERS. LAB. DEP. EDUCACIÓ I XARXA ÈXIT E.</t>
  </si>
  <si>
    <t>ALTRES RETRIB. PERSONAL TEMP. DEP. EDUCACIÓ I XARXA ÈXIT E.</t>
  </si>
  <si>
    <t>PROD. DEP. EDUCACIÓ I XARXA ÈXIT E.</t>
  </si>
  <si>
    <t>GRATIFICACIONS DEP. EDUCACIÓ I XARXA ÈXIT E.</t>
  </si>
  <si>
    <t>PLUSOS DEP. EDUCACIÓ I XARXA ÈXIT E.</t>
  </si>
  <si>
    <t>SS DEP. DEP. EDUCACIÓ I XARXA ÈXIT E.</t>
  </si>
  <si>
    <t>PLA DE MILLORA ÈXIT EDUCATIU</t>
  </si>
  <si>
    <t>32012</t>
  </si>
  <si>
    <t>48006</t>
  </si>
  <si>
    <t>SUBVENCIÓ GRAUS UNIVERSITARIS</t>
  </si>
  <si>
    <t>32016</t>
  </si>
  <si>
    <t>PLA EDUCATIU ENTORN ADDENDA</t>
  </si>
  <si>
    <t>32017</t>
  </si>
  <si>
    <t>VILADECANS 360: EQUITAT JUVENIL</t>
  </si>
  <si>
    <t>32330</t>
  </si>
  <si>
    <t>GESTIÓ ESCOLES BRESSOL</t>
  </si>
  <si>
    <t>CONTRACTE GESTIÓ PROGRAMES EDUCATIUS</t>
  </si>
  <si>
    <t>CIÈNCIA AL CARRER</t>
  </si>
  <si>
    <t>32610</t>
  </si>
  <si>
    <t>CONSORCI NORMALITZACIÓ LINGÜÍSTICA</t>
  </si>
  <si>
    <t>32630</t>
  </si>
  <si>
    <t>SUBVENCIÓ CENTRES ESCOLARS i AMPAS</t>
  </si>
  <si>
    <t>78001</t>
  </si>
  <si>
    <t xml:space="preserve">Total 30130 Departament de Serveis educatius </t>
  </si>
  <si>
    <t>30200</t>
  </si>
  <si>
    <t>PLA LOCAL D'ACCIÓ COMUNITÀRIA INCLUSIVA</t>
  </si>
  <si>
    <t>23104</t>
  </si>
  <si>
    <t>PLA TRANSVERSAL DE SOLITUD</t>
  </si>
  <si>
    <t>23105</t>
  </si>
  <si>
    <t>VILADECANS EM CUIDA - AMB - PMSPSPM 2025-27</t>
  </si>
  <si>
    <t>RB PERS. LAB. SERVEI SERVEI POL. FEM., DRETS C., S i I</t>
  </si>
  <si>
    <t>ALTRES REMUN. PERS. LAB. SERVEI POL. FEM., DRETS C., S i I</t>
  </si>
  <si>
    <t>PROD. SERVEI POL. FEM., DRETS C., S i I</t>
  </si>
  <si>
    <t>SS SERVEI POL. FEM., DRETS C., S i I</t>
  </si>
  <si>
    <t>23125</t>
  </si>
  <si>
    <t>SISTEMA D'ATENCIÓ I RESPOSTA INT. VIOLÈNCIA MASCLISTA</t>
  </si>
  <si>
    <t>BARRIS I COMUNITATS: MOTORS TRANSF. SOCIAL 2025-27</t>
  </si>
  <si>
    <t>23130</t>
  </si>
  <si>
    <t>ATENCIÓ A PERSONES AMB DIVERSITAT FUNCIONAL</t>
  </si>
  <si>
    <t>CCBLL - TRANSPORT ADAPTAT</t>
  </si>
  <si>
    <t>APORTACIÓ FUNDACIÓ CAVIGA</t>
  </si>
  <si>
    <t>ASVIDI (ASS. PER A LA INTEGRACIÓ DE PERSONES AMB CAPACITATS DIV. DE VILADECANS)</t>
  </si>
  <si>
    <t>31200</t>
  </si>
  <si>
    <t>76700</t>
  </si>
  <si>
    <t>CONSORCI SOCIOSANITARI VILADECANS CSSV</t>
  </si>
  <si>
    <t xml:space="preserve">Total 30200 Direcció Servei de Polítiques Feministes, Drets Civils, Salut i Inclusió </t>
  </si>
  <si>
    <t>30201</t>
  </si>
  <si>
    <t>SOU A1 SALUT PÚBLICA I CONSUM</t>
  </si>
  <si>
    <t>SOU A2 SALUT PÚBLICA I CONSUM</t>
  </si>
  <si>
    <t>SOU C1 SALUT PÚBLICA I CONSUM</t>
  </si>
  <si>
    <t>TRIENNIS SALUT PÚBLICA I CONSUM</t>
  </si>
  <si>
    <t>C.DESTÍ SALUT PÚBLICA I CONSUM</t>
  </si>
  <si>
    <t>C.ESP. SALUT PÚBLICA I CONSUM</t>
  </si>
  <si>
    <t>ALTRES COMPL. SALUT PÚBLICA I CONSUM</t>
  </si>
  <si>
    <t>PRODUCT. SALUT PÚBLICA I CONSUM</t>
  </si>
  <si>
    <t>SS SALUT PÚBLICA I CONSUM</t>
  </si>
  <si>
    <t>AJUDA SOCIAL SALUT PÚBLICA I CONSUM</t>
  </si>
  <si>
    <t>22106</t>
  </si>
  <si>
    <t>PROTECCIÓ DE LA SALUT</t>
  </si>
  <si>
    <t>PROMOCIÓ DE LA SALUT</t>
  </si>
  <si>
    <t>SUBVENCIÓ ENTITATS SALUT PUBLICA</t>
  </si>
  <si>
    <t>31110</t>
  </si>
  <si>
    <t>22701</t>
  </si>
  <si>
    <t>SEGURETAT PLATGES</t>
  </si>
  <si>
    <t>SERVEI ASSISTÈNCIA AMBULÀNCIA</t>
  </si>
  <si>
    <t>31120</t>
  </si>
  <si>
    <t>RECOLLIDA ANIMALS I SERVEIS VETERINARIS</t>
  </si>
  <si>
    <t>49300</t>
  </si>
  <si>
    <t>SERVEI ASS. JURÍDIC OMIC / ACTIV. EDUC. DE CONSUM RESPONSABLE</t>
  </si>
  <si>
    <t xml:space="preserve">Total 30201 Unitat de Salut pública i Consum </t>
  </si>
  <si>
    <t>30210</t>
  </si>
  <si>
    <t>SOU A1 DEP. SERVEIS SOCIALS</t>
  </si>
  <si>
    <t>TRIENNIS DEP. SERVEIS SOCIALS</t>
  </si>
  <si>
    <t>C. DESTÍ DEP. SERVEIS SOCIALS</t>
  </si>
  <si>
    <t>C. ESP. DEP. SERVEIS SOCIALS</t>
  </si>
  <si>
    <t>PRODUCT. DEP. SERVEIS SOCIALS</t>
  </si>
  <si>
    <t>SS DEP. SERVEIS SOCIALS</t>
  </si>
  <si>
    <t>MATERIAL LOCALS SERVEIS SOCIALS</t>
  </si>
  <si>
    <t>VILADECANS SOLIDARIA</t>
  </si>
  <si>
    <t>SERVEIS AMB COL·LABORACIÓ</t>
  </si>
  <si>
    <t>AJUTS SOCIALS A FAMÍLIES</t>
  </si>
  <si>
    <t>SUBVENCIONS ENTITATS SOCIALS</t>
  </si>
  <si>
    <t>48003</t>
  </si>
  <si>
    <t>CREU ROJA CONVENI COL·LABORACIÓ</t>
  </si>
  <si>
    <t>INVERSIÓ MATERIAL SERVEIS SOCIALS</t>
  </si>
  <si>
    <t>A.M.B.: CONVENI CUESB</t>
  </si>
  <si>
    <t>48403</t>
  </si>
  <si>
    <t>CONVENI CÀRITAS INTERPARROQUIAL VILADECANS</t>
  </si>
  <si>
    <t>Total 30210 Departament de Serveis Socials</t>
  </si>
  <si>
    <t>30211</t>
  </si>
  <si>
    <t>SOU A2 INFÀNCIA I FAMÍLIA</t>
  </si>
  <si>
    <t>SOU C1 INFÀNCIA I FAMÍLIA</t>
  </si>
  <si>
    <t>SOU C2 INFÀNCIA I FAMÍLIA</t>
  </si>
  <si>
    <t>SOU AP INFÀNCIA I FAMÍLIA</t>
  </si>
  <si>
    <t>TRIENNIS INFÀNCIA I FAMÍLIA</t>
  </si>
  <si>
    <t>C.DESTÍ INFÀNCIA I FAMÍLIA</t>
  </si>
  <si>
    <t>C.ESP. INFÀNCIA I FAMÍLIA</t>
  </si>
  <si>
    <t>ALTRES COMPL. INFÀNCIA I FAMÍLIA</t>
  </si>
  <si>
    <t>RB PERS. LAB. INFÀNCIA I FAMÍLIA</t>
  </si>
  <si>
    <t>ALTRES REMUN. PERS. LAB. INFÀNCIA I FAMÍLIA</t>
  </si>
  <si>
    <t>PRODUCT. INFÀNCIA I FAMÍLIA</t>
  </si>
  <si>
    <t>PLUSOS INFÀNCIA I FAMÍLIA</t>
  </si>
  <si>
    <t>SS INFÀNCIA I FAMÍLIA</t>
  </si>
  <si>
    <t>ACCIÓ SOCIAL INFÀNCIA I FAMÍLIA</t>
  </si>
  <si>
    <t>GESTIÓ CENTRES OBERTS</t>
  </si>
  <si>
    <t>CONVENI CCBLL EQUIP ATENCIÓ INF-ADOLESC</t>
  </si>
  <si>
    <t>AJUTS SOCIALS ESCOLARS</t>
  </si>
  <si>
    <t>Total 30211 Unitat d'Infància i família</t>
  </si>
  <si>
    <t>30212</t>
  </si>
  <si>
    <t>SOU A1 PROM. SOCIAL, DEPENDÈNCIA I GENT GRAN</t>
  </si>
  <si>
    <t>SOU A2 PROM. SOCIAL, DEPENDÈNCIA I GENT GRAN</t>
  </si>
  <si>
    <t>SOU C1 PROM. SOCIAL, DEPENDÈNCIA I GENT GRAN</t>
  </si>
  <si>
    <t>SOU C2 PROM. SOCIAL, DEPENDÈNCIA I GENT GRAN</t>
  </si>
  <si>
    <t>TRIENNIS PROM. SOCIAL, DEPENDÈNCIA I GENT GRAN</t>
  </si>
  <si>
    <t>C.DESTÍ PROM. SOCIAL, DEPENDÈNCIA I GENT GRAN</t>
  </si>
  <si>
    <t>C.ESP. PROM. SOCIAL, DEPENDÈNCIA I GENT GRAN</t>
  </si>
  <si>
    <t>PRODUCT. PROM. SOCIAL,DEP.I GENT GRAN</t>
  </si>
  <si>
    <t>PLUSOS PROM. SOCIAL, DEP. I GENT GRAN</t>
  </si>
  <si>
    <t>SS PROM. SOCIAL,DEP.I GENT GRAN</t>
  </si>
  <si>
    <t>ACCIÓ SOCIAL PROM. SOCIAL, DEP. I GENT GRAN</t>
  </si>
  <si>
    <t>TELEASSISTÈNCIA</t>
  </si>
  <si>
    <t>SERVEI ATENCIÓ DOMICILIÀRIA</t>
  </si>
  <si>
    <t>23131</t>
  </si>
  <si>
    <t>SERVEI ÀPATS DOMICILI I GENT GRAN</t>
  </si>
  <si>
    <t>Total 30212 Unitat de Promoció social, dependència i gent gran</t>
  </si>
  <si>
    <t>30230</t>
  </si>
  <si>
    <t>SUBVENCIONS ENTITATS DE DRETS CIVILS</t>
  </si>
  <si>
    <t>SOU A1 DEP. POL. FEM., DRETS C., S i I</t>
  </si>
  <si>
    <t>SOU A2 DEP. POL. FEM., DRETS C., S i I</t>
  </si>
  <si>
    <t>SOU C1 DEP. POL. FEM., DRETS C., S i I</t>
  </si>
  <si>
    <t>TRIENNIS DEP. POL. FEM., DRETS C., S i I</t>
  </si>
  <si>
    <t>C. DESTÍ DEP. POL. FEM., DRETS C., S i I</t>
  </si>
  <si>
    <t>C. ESP. DEP. POL. FEM., DRETS C., S i I</t>
  </si>
  <si>
    <t>RB PERS. LAB. DEP. POL. FEM., DRETS C., S i I</t>
  </si>
  <si>
    <t>ALTRES REMUN. PERS. LAB. DEP. POL. FEM., DRETS C., S i I</t>
  </si>
  <si>
    <t>PROD. DEP. POL. FEM., DRETS C., S i I</t>
  </si>
  <si>
    <t>SS DEP. POL. FEM., DRETS C., S i I</t>
  </si>
  <si>
    <t>PROGRAMA LGTBI</t>
  </si>
  <si>
    <t>ACOLLIDA I INTERCULTURALITAT</t>
  </si>
  <si>
    <t>PREMI LITERARI DELTA DONES</t>
  </si>
  <si>
    <t>23111</t>
  </si>
  <si>
    <t>POLÍTIQUES FEMINISTES, DRETS CIVILS I INCLUSIÓ</t>
  </si>
  <si>
    <t>23128</t>
  </si>
  <si>
    <t>SOU A2 PROJECTE TEMPS DE CURA</t>
  </si>
  <si>
    <t>C. DESTÍ PROJECTE TEMPS DE CURA</t>
  </si>
  <si>
    <t>C. ESP. PROJECTE TEMPS DE CURA</t>
  </si>
  <si>
    <t>PROD. PROJECTE TEMPS DE CURA</t>
  </si>
  <si>
    <t>SS PROJECTE TEMPS DE CURA</t>
  </si>
  <si>
    <t>23144</t>
  </si>
  <si>
    <t>TEMPS DE CURA</t>
  </si>
  <si>
    <t xml:space="preserve">Total 30230 Departament de Drets Civils, Polítiques Feministes i Inclusió </t>
  </si>
  <si>
    <t>30300</t>
  </si>
  <si>
    <t>SOU A1 SERVEI SEG. I CONVIVÈNCIA</t>
  </si>
  <si>
    <t>TRIENNIS SERVEI SEG. I CONVIVÈNCIA</t>
  </si>
  <si>
    <t>C.DESTÍ SERVEI SEG. I CONVIVÈNCIA</t>
  </si>
  <si>
    <t>C.ESP. SERVEI SEG. I CONVIVÈNCIA</t>
  </si>
  <si>
    <t>ALTRES COMPL. SERVEI SEG. I CONVIVÈNCIA</t>
  </si>
  <si>
    <t>PRODUCT. SERVEI SEG. I CONVIVÈNCIA</t>
  </si>
  <si>
    <t>SS SERVEI SEG. I CONVIVÈNCIA</t>
  </si>
  <si>
    <t>DESP. DIVERSES POLICIA</t>
  </si>
  <si>
    <t>LOCOMOCIÓ POLICIA</t>
  </si>
  <si>
    <t>13200</t>
  </si>
  <si>
    <t>COMPRA VESTUARI POLICIA LOCAL</t>
  </si>
  <si>
    <t>INVERSIONS SEGURETAT I CONVIVÈNCIA</t>
  </si>
  <si>
    <t>13500</t>
  </si>
  <si>
    <t>SOU A2 SERVEI SEG. I CONVIVÈNCIA (PROTECCIÓ CIVIL)</t>
  </si>
  <si>
    <t>TRIENNIS SERVEI SEG. I CONVIVÈNCIA (PROTECCIÓ CIVIL)</t>
  </si>
  <si>
    <t>C.DESTÍ SERVEI SEG. I CONVIVÈNCIA (PROTECCIÓ CIVIL)</t>
  </si>
  <si>
    <t>C.ESP. SERVEI SEG. I CONVIVÈNCIA (PROTECCIÓ CIVIL)</t>
  </si>
  <si>
    <t>PRODUCT. SERVEI SEG. I CONVIVÈNCIA (PROTECCIÓ CIVIL)</t>
  </si>
  <si>
    <t>SS SERVEI SEG. I CONVIVÈNCIA (PROTECCIÓ CIVIL)</t>
  </si>
  <si>
    <t>23133</t>
  </si>
  <si>
    <t>SOU A2 PROJECTE ESCOLTA JOVES</t>
  </si>
  <si>
    <t>TRIENNIS PROJECTE ESCOLTA JOVES</t>
  </si>
  <si>
    <t>C. DESTÍ PROJECTE ESCOLTA JOVES</t>
  </si>
  <si>
    <t>C. ESP. PROJECTE ESCOLTA JOVES</t>
  </si>
  <si>
    <t>PROD. PROJECTE ESCOLTA JOVES</t>
  </si>
  <si>
    <t>SS PROJECTE ESCOLTA JOVES</t>
  </si>
  <si>
    <t>SERVEIS PROJECTE ESCOLTA JOVE</t>
  </si>
  <si>
    <t>23200</t>
  </si>
  <si>
    <t>FOMENT DE LA CONVIVÈNCIA</t>
  </si>
  <si>
    <t>23201</t>
  </si>
  <si>
    <t>TREBALL RESTAURATIU PONENT</t>
  </si>
  <si>
    <t>23202</t>
  </si>
  <si>
    <t>ACCIÓ COMUNITÀRIA INTEGRAL</t>
  </si>
  <si>
    <t>32700</t>
  </si>
  <si>
    <t>ACCIÓ CÍVICA</t>
  </si>
  <si>
    <t>92420</t>
  </si>
  <si>
    <t>PROGRAMA OFICINES DE MEDIACIÓ</t>
  </si>
  <si>
    <t>Total 30300 Direcció Servei de Seguretat i Convivència</t>
  </si>
  <si>
    <t>30301</t>
  </si>
  <si>
    <t>92020</t>
  </si>
  <si>
    <t>SOU C1 U. INSPECCIÓ MUNICIPAL</t>
  </si>
  <si>
    <t>SOU C2 U. INSPECCIÓ MUNICIPAL</t>
  </si>
  <si>
    <t>TRIENNIS U. INSPECCIÓ MUNICIPAL</t>
  </si>
  <si>
    <t>C. DESTÍ U. INSPECCIÓ MUNICIPAL</t>
  </si>
  <si>
    <t>C. ESP. U. INSPECCIÓ MUNICIPAL</t>
  </si>
  <si>
    <t>ALTRES COMPL. U. INSPECCIÓ MUNICIPAL</t>
  </si>
  <si>
    <t>PROD. U. INSPECCIÓ MUNICIPAL</t>
  </si>
  <si>
    <t>SS U. INSPECCIÓ MUNICIPAL</t>
  </si>
  <si>
    <t>OFICINA MUNICIPAL D'INSPECCIÓ</t>
  </si>
  <si>
    <t>Total 30301 Inspecció Municipal</t>
  </si>
  <si>
    <t>30310</t>
  </si>
  <si>
    <t>SOU C1 U. ADMIN. (SEGURETAT)</t>
  </si>
  <si>
    <t>TRIENNIS U. ADMIN. (SEGURETAT)</t>
  </si>
  <si>
    <t>C. DESTÍ U. ADMIN. (SEGURETAT)</t>
  </si>
  <si>
    <t>C. ESP. U. ADMIN. (SEGURETAT)</t>
  </si>
  <si>
    <t>PRODUCT. U. ADMIN. (SEGURETAT)</t>
  </si>
  <si>
    <t>SS U. ADMIN. (SEGURETAT)</t>
  </si>
  <si>
    <t>SOU A2 POLICIA LOCAL</t>
  </si>
  <si>
    <t>SOU C1 POLICIA LOCAL</t>
  </si>
  <si>
    <t>SOU C2 POLICIA LOCAL</t>
  </si>
  <si>
    <t>TRIENNIS POLICIA LOCAL</t>
  </si>
  <si>
    <t>C.DESTÍ POLICIA LOCAL</t>
  </si>
  <si>
    <t>C.ESP. POLICIA LOCAL</t>
  </si>
  <si>
    <t>PRODUCT. POLICIA LOCAL</t>
  </si>
  <si>
    <t>GRATIFICACIONS POLICIA LOCAL</t>
  </si>
  <si>
    <t>PLUSOS POLICIA LOCAL</t>
  </si>
  <si>
    <t>SS POLICIA LOCAL</t>
  </si>
  <si>
    <t>AJUDA SOCIAL POLICIA LOCAL</t>
  </si>
  <si>
    <t>22103</t>
  </si>
  <si>
    <t>CONSUM CARBURANT POLICIA LOCAL</t>
  </si>
  <si>
    <t>SUBMINISTRAMENTS DIVERSOS POLICIA LOCAL</t>
  </si>
  <si>
    <t>RB PERS. LAB. SERVEI SEG. I CONV.</t>
  </si>
  <si>
    <t>ALTRES REMUN. PERS. LAB. SERVEI SEG. I CONV.</t>
  </si>
  <si>
    <t>PROD. PERS. LAB. SERVEI SEG. I CONV.</t>
  </si>
  <si>
    <t>SS PERS. LAB. SERVEI SEG. I CONV.</t>
  </si>
  <si>
    <t>VOLUNTARIS DE PROTECCIÓ CIVIL DE VILADECANS</t>
  </si>
  <si>
    <t>PARC INFANTIL DE TRÀNSIT</t>
  </si>
  <si>
    <t>Total 30310 Departament de Policia Local</t>
  </si>
  <si>
    <t>13400</t>
  </si>
  <si>
    <t>SOU A1 DIR. ÀREA ESPAI PÚBLIC</t>
  </si>
  <si>
    <t>SOU C1 DIR. ÀREA ESPAI PÚBLIC</t>
  </si>
  <si>
    <t>TRIENNIS DIR. ÀREA ESPAI PÚBLIC</t>
  </si>
  <si>
    <t>C.DESTÍ DIR. ÀREA ESPAI PÚBLIC</t>
  </si>
  <si>
    <t>C.ESP. DIR. ÀREA ESPAI PÚBLIC</t>
  </si>
  <si>
    <t>ALTRES COMPL. DIR. ÀREA ESPAI PÚBLIC</t>
  </si>
  <si>
    <t>PRODUCT. DIR. ÀREA ESPAI PÚBLIC</t>
  </si>
  <si>
    <t>SS DIR. ÀREA ESPAI PÚBLIC</t>
  </si>
  <si>
    <t>SOU C1 ADM. GRAL. ÀREA ESPAI PÚBLIC</t>
  </si>
  <si>
    <t>TRIENNIS ADM. GRAL. ÀREA ESPAI PÚBLIC</t>
  </si>
  <si>
    <t>C.DESTÍ ADM. GRAL. ÀREA ESPAI PÚBLIC</t>
  </si>
  <si>
    <t>C.ESP. ADM. GRAL. ÀREA ESPAI PÚBLIC</t>
  </si>
  <si>
    <t>RB PERS. LAB. ADM. GRAL. ÀREA ESPAI PÚBLIC</t>
  </si>
  <si>
    <t>ALTRES REMUN. PERS. LAB. ADM. GRAL. ÀREA ESPAI PÚBLIC</t>
  </si>
  <si>
    <t>PRODUCT. ADM. GRAL. ÀREA ESPAI PÚBLIC</t>
  </si>
  <si>
    <t>GRATIFICACIONS ADM. GRAL. ÀREA ESPAI PÚBLIC</t>
  </si>
  <si>
    <t>SS ADM. GRAL. ÀREA ESPAI PÚBLIC</t>
  </si>
  <si>
    <t>DESP. DIVERSES ESPAI PÚBLIC</t>
  </si>
  <si>
    <t>15300</t>
  </si>
  <si>
    <t>MAQUIN. I INSTAL. ESPAI PÚBLIC</t>
  </si>
  <si>
    <t>62521</t>
  </si>
  <si>
    <t>MOBILIARI URBÀ ESPAI PÚBLIC</t>
  </si>
  <si>
    <t>ACTES A LA VIA PÚBLICA</t>
  </si>
  <si>
    <t>HAVERS REGIDORS ÀREA ESPAI PÚBLIC</t>
  </si>
  <si>
    <t>SS REGIDORS ÀREA ESPAI PÚBLIC</t>
  </si>
  <si>
    <t>RB PERS. EVENTUAL ÀREA ESPAI PÚBLIC</t>
  </si>
  <si>
    <t>RETRIB. COMPL. PERS. EVENTUAL ÀREA ESPAI PÚBLIC</t>
  </si>
  <si>
    <t>SS PERS. EVENTUAL ÀREA ESPAI PÚBLIC</t>
  </si>
  <si>
    <t>CONSUM CARBURANT ESPAI PÚBLIC</t>
  </si>
  <si>
    <t>SERVEIS EXTERNS ESPAI PÚBLIC</t>
  </si>
  <si>
    <t>Total 31000 Direcció Àrea d’Espai Públic i Mobilitat Sostenible</t>
  </si>
  <si>
    <t>31003</t>
  </si>
  <si>
    <t>SOU A2 U. ADMIN. (ESPAI PÚBLIC)</t>
  </si>
  <si>
    <t>SOU C1 U. ADMIN. (ESPAI PÚBLIC)</t>
  </si>
  <si>
    <t>SOU C2 U. ADMIN. (ESPAI PÚBLIC)</t>
  </si>
  <si>
    <t>TRIENNIS U. ADMIN. (ESPAI PÚBLIC)</t>
  </si>
  <si>
    <t>C.DESTÍ U. ADMIN. (ESPAI PÚBLIC)</t>
  </si>
  <si>
    <t>C.ESP. U. ADMIN. (ESPAI PÚBLIC)</t>
  </si>
  <si>
    <t>RB PERS. LAB. U. ADMIN. (ESPAI PÚBLIC)</t>
  </si>
  <si>
    <t>ALTRES REMUN. PERS. LAB. U. ADMIN. (ESPAI PÚBLIC)</t>
  </si>
  <si>
    <t>PRODUCT. U. ADMIN. (ESPAI PÚBLIC)</t>
  </si>
  <si>
    <t>SS U. ADMIN. (ESPAI PÚBLIC)</t>
  </si>
  <si>
    <t>ACCIÓ SOCIAL U. ADMIN. (ESPAI PÚBLIC)</t>
  </si>
  <si>
    <t xml:space="preserve">Total 31003 Unitat d'Administració </t>
  </si>
  <si>
    <t>31010</t>
  </si>
  <si>
    <t>15320</t>
  </si>
  <si>
    <t>SOU A1 GESTIÓ I MANTENIMENT ESPAI PÚBLIC</t>
  </si>
  <si>
    <t>C.DESTÍ GESTIÓ I MANTENIMENT ESPAI PÚBLIC</t>
  </si>
  <si>
    <t>C.ESP. GESTIÓ I MANTENIMENT ESPAI PÚBLIC</t>
  </si>
  <si>
    <t>PRODUCT. GESTIÓ I MANTENIMENT ESPAI PÚBLIC</t>
  </si>
  <si>
    <t>SS GESTIÓ I MANTENIMENT ESPAI PÚBLIC</t>
  </si>
  <si>
    <t>21001</t>
  </si>
  <si>
    <t>MANTENIMENT I MILLORA JOCS INFANTILS</t>
  </si>
  <si>
    <t>60900</t>
  </si>
  <si>
    <t>MILLORA D'ESPAIS PUBLICS</t>
  </si>
  <si>
    <t>INVERSIO JOCS INFANTILS</t>
  </si>
  <si>
    <t xml:space="preserve">Total 31010 Departament de Gestió i Manteniment d'Espai Públic </t>
  </si>
  <si>
    <t>31011</t>
  </si>
  <si>
    <t>15310</t>
  </si>
  <si>
    <t>CONSERV. INFRAESTRUCTURA CAMÍ DEL MAR</t>
  </si>
  <si>
    <t>SOU A2 MANTENIMENT ESPAI PÚBLIC</t>
  </si>
  <si>
    <t>SOU C1 MANTENIMENT ESPAI PÚBLIC</t>
  </si>
  <si>
    <t>TRIENNIS MANTENIMENT ESPAI PÚBLIC</t>
  </si>
  <si>
    <t>C.DESTÍ MANTENIMENT ESPAI PÚBLIC</t>
  </si>
  <si>
    <t>C.ESP. MANTENIMENT ESPAI PÚBLIC</t>
  </si>
  <si>
    <t>ALTRES COMPL. MANTENIMENT ESPAI PÚBLIC</t>
  </si>
  <si>
    <t>RB PERS. LAB. MANTENIMENT ESPAI PÚBLIC</t>
  </si>
  <si>
    <t>ALTRES REMUN. PERS. LAB. MANTENIMENT ESPAI PÚBLIC</t>
  </si>
  <si>
    <t>PRODUCT. MANTENIMENT ESPAI PÚBLIC</t>
  </si>
  <si>
    <t>SS MANTENIMENT ESPAI PÚBLIC</t>
  </si>
  <si>
    <t>CONSERV. I RENOV. INFRAESTRUCTURA URBANA</t>
  </si>
  <si>
    <t>INFRAESTRUCTURES AGRÀRIES</t>
  </si>
  <si>
    <t>ACTUACIONS PARC AGRARI</t>
  </si>
  <si>
    <t xml:space="preserve">Total 31011 Unitat de Manteniment d'Espai Públic </t>
  </si>
  <si>
    <t>31013</t>
  </si>
  <si>
    <t>RB PERS. U. MANTENIMENT I LOGÍSTICA</t>
  </si>
  <si>
    <t>ALTRES REMUN. PERS. LAB. U. MANTENIMENT I LOGÍSTICA</t>
  </si>
  <si>
    <t>LAB. TEMP. U. MANTENIMENT I LOGÍSTICA</t>
  </si>
  <si>
    <t>PRODUCT. U. MANTENIMENT I LOGÍSTICA</t>
  </si>
  <si>
    <t>GRATIFICACIONS U. MANTENIMENT I LOGÍSTICA</t>
  </si>
  <si>
    <t>SS U. MANTENIMENT I LOGÍSTICA</t>
  </si>
  <si>
    <t>MATERIAL BRIGADA MUNICIPAL</t>
  </si>
  <si>
    <t>Total 31013 Unitat de Manteniment i Logística</t>
  </si>
  <si>
    <t>31014</t>
  </si>
  <si>
    <t>62400</t>
  </si>
  <si>
    <t>ADQUISICIÓ VEHICLES</t>
  </si>
  <si>
    <t>SOU A1 U. DE MOBILITAT</t>
  </si>
  <si>
    <t>SOU A2 U. DE MOBILITAT</t>
  </si>
  <si>
    <t>TRIENNIS U. DE MOBILITAT</t>
  </si>
  <si>
    <t>C. DESTÍ U. DE MOBILITAT</t>
  </si>
  <si>
    <t>C.ESP. U. DE MOBILITAT</t>
  </si>
  <si>
    <t>PROD. U. DE MOBILITAT</t>
  </si>
  <si>
    <t>SS U. DE MOBILITAT</t>
  </si>
  <si>
    <t>INVERSIÓ INFRAESTRUCTURA MOBILITAT</t>
  </si>
  <si>
    <t>44110</t>
  </si>
  <si>
    <t>MOBILITAT I TRANSPORT</t>
  </si>
  <si>
    <t>A.M.B.: APORTACIÓ DÈFICIT VILABÚS</t>
  </si>
  <si>
    <t>A.M.B.: CONVENIS DE MOBILITAT</t>
  </si>
  <si>
    <t>44120</t>
  </si>
  <si>
    <t>A.M.B.: APORTACIÓ CONVENI AMBICI</t>
  </si>
  <si>
    <t>21400</t>
  </si>
  <si>
    <t>CONSERVACIÓ VEHICLES</t>
  </si>
  <si>
    <t>CONSUM CARBURANT VEHICLES</t>
  </si>
  <si>
    <t>22201</t>
  </si>
  <si>
    <t>SERVEI CORRESPONDÈNCIA-MISSATGERIA</t>
  </si>
  <si>
    <t xml:space="preserve">Total 31014 Unitat de Mobilitat </t>
  </si>
  <si>
    <t>31020</t>
  </si>
  <si>
    <t>16210</t>
  </si>
  <si>
    <t>VEHICLES RECOLLIDA RESIDUS I NETEJA VIÀRIA</t>
  </si>
  <si>
    <t>ADQUIS. CONTENIDORS RECOLLIDA RESIDUS</t>
  </si>
  <si>
    <t>16500</t>
  </si>
  <si>
    <t>SOU A1 DEP. DE SERVEIS PÚBLICS</t>
  </si>
  <si>
    <t>TRIENNIS DEP. DE SERVEIS PÚBLICS</t>
  </si>
  <si>
    <t>C. DESTÍ DEP. DE SERVEIS PÚBLICS</t>
  </si>
  <si>
    <t>C.ESP. DEP. DE SERVEIS PÚBLICS</t>
  </si>
  <si>
    <t>PROD. DEP. DE SERVEIS PÚBLICS</t>
  </si>
  <si>
    <t>SS DEP. DE SERVEIS PÚBLICS</t>
  </si>
  <si>
    <t>22101</t>
  </si>
  <si>
    <t>SUBMINISTRAMENT AIGUA CENTRES EDUCATIUS</t>
  </si>
  <si>
    <t>22102</t>
  </si>
  <si>
    <t>SUBMINISTRAMENT GAS CENTRES EDUCATIUS</t>
  </si>
  <si>
    <t>ACTUACIONS PATRIMONIALS ESPAI PÚBLIC (C.A.)</t>
  </si>
  <si>
    <t>SUBMINISTRAMENT AIGUA EDIFICIS</t>
  </si>
  <si>
    <t>SUBMINISTRAMENT GAS EDIFICIS</t>
  </si>
  <si>
    <t xml:space="preserve">Total 31020 Departament de Serveis municipals </t>
  </si>
  <si>
    <t>31023</t>
  </si>
  <si>
    <t>MATERIAL DIVERS BRIGADA ELÈCTRICA</t>
  </si>
  <si>
    <t>SOU A2 ENLLUMENAT</t>
  </si>
  <si>
    <t>TRIENNIS ENLLUMENAT</t>
  </si>
  <si>
    <t>C.DESTÍ ENLLUMENAT</t>
  </si>
  <si>
    <t>C.ESP. ENLLUMENAT</t>
  </si>
  <si>
    <t>ALTRES COMPL. ENLLUMENAT</t>
  </si>
  <si>
    <t>RB PERS. LAB. ENLLUMENAT</t>
  </si>
  <si>
    <t>ALTRES REMUN. PERS. LAB. ENLLUMENAT</t>
  </si>
  <si>
    <t>PERS. LABORAL TEMP. ENLLUMENAT</t>
  </si>
  <si>
    <t>PRODUCT. ENLLUMENAT</t>
  </si>
  <si>
    <t>GRATIFICACIONS ENLLUMENAT</t>
  </si>
  <si>
    <t>SS ENLLUMENAT</t>
  </si>
  <si>
    <t>22100</t>
  </si>
  <si>
    <t>SUBMINISTRAMENT ELÈCTRIC ENLLUMENAT PÚBLIC</t>
  </si>
  <si>
    <t>MANTENIMENT ENLLUMENAT PÚBLIC</t>
  </si>
  <si>
    <t>INVERSIÓ ENLLUMENAT PÚBLIC</t>
  </si>
  <si>
    <t>SUBMINISTRAMENT ELÈCTRIC CENTRES EDUCATIUS</t>
  </si>
  <si>
    <t>SUBMINISTRAMENT ELÈCTRIC EDIFICIS</t>
  </si>
  <si>
    <t>INSTAL.LACIONS CLIMA D'EDIFICIS</t>
  </si>
  <si>
    <t>MANTENIMENT INSTAL·LACIONS</t>
  </si>
  <si>
    <t>MANTENIMENT INSTAL·LACIONS ESCOLES</t>
  </si>
  <si>
    <t xml:space="preserve">Total 31023 Unitat d'Enllumenat Públic </t>
  </si>
  <si>
    <t>31024</t>
  </si>
  <si>
    <t>RECOLLIDA DE RESIDUS</t>
  </si>
  <si>
    <t>16230</t>
  </si>
  <si>
    <t>DEIXALLERIES</t>
  </si>
  <si>
    <t>16300</t>
  </si>
  <si>
    <t>22700</t>
  </si>
  <si>
    <t>NETEJA VIÀRIA</t>
  </si>
  <si>
    <t>16302</t>
  </si>
  <si>
    <t>NETEJA DE SOLARS I TERRENYS</t>
  </si>
  <si>
    <t>SERVEI CONTROL PLAGUES URBANES</t>
  </si>
  <si>
    <t>SERVEI NETEJA D'ESCOLES</t>
  </si>
  <si>
    <t>SERVEI NETEJA EDIFICIS MUNICIPALS</t>
  </si>
  <si>
    <t>SOU A1 U. DE NETEJA VIÀRIA I RECOLLIDA DE RESIDUS</t>
  </si>
  <si>
    <t>SOU A2 U. DE NETEJA VIÀRIA I RECOLLIDA DE RESIDUS</t>
  </si>
  <si>
    <t>TRIENNIS U. DE NETEJA VIÀRIA I RECOLLIDA DE RESIDUS</t>
  </si>
  <si>
    <t>C. DESTÍ U. DE NETEJA VIÀRIA I RECOLLIDA DE RESIDUS</t>
  </si>
  <si>
    <t>C.ESP. U. DE NETEJA VIÀRIA I RECOLLIDA DE RESIDUS</t>
  </si>
  <si>
    <t>PROD. U. DE NETEJA VIÀRIA I RECOLLIDA DE RESIDUS</t>
  </si>
  <si>
    <t>SS U. DE NETEJA VIÀRIA I RECOLLIDA DE RESIDUS</t>
  </si>
  <si>
    <t>Total 31024 Unitat de Neteja Viària i Recollida de Residus</t>
  </si>
  <si>
    <t>31025</t>
  </si>
  <si>
    <t>SOU A2 U. PARCS I JARDINS</t>
  </si>
  <si>
    <t>SOU C1 U. PARCS I JARDINS</t>
  </si>
  <si>
    <t>TRIENNIS U. PARCS I JARDINS</t>
  </si>
  <si>
    <t>C.DESTÍ U. PARCS I JARDINS</t>
  </si>
  <si>
    <t>C.ESP. U. PARCS I JARDINS</t>
  </si>
  <si>
    <t>PRODUCT. U. PARCS I JARDINS</t>
  </si>
  <si>
    <t>SS U. PARCS I JARDINS</t>
  </si>
  <si>
    <t>21502</t>
  </si>
  <si>
    <t>FONTS ORNAMENTALS I JOCS D'AIGUA</t>
  </si>
  <si>
    <t>SUBMINISTRAMENT AIGUA PARCS I JARDINS</t>
  </si>
  <si>
    <t>CONTRACTES DE JARDINERIA</t>
  </si>
  <si>
    <t>PARCS I JARDINS: AAVV SANT JORDI-GABRIELISTES</t>
  </si>
  <si>
    <t>48004</t>
  </si>
  <si>
    <t>PARCS I JARDINS: AAVV DE LA HISPANITAT</t>
  </si>
  <si>
    <t>48005</t>
  </si>
  <si>
    <t>PARCS I JARDINS: AAVV DEL CONGRES</t>
  </si>
  <si>
    <t>SUBMINIST. I PLANTACIÓ ARBRAT</t>
  </si>
  <si>
    <t>Total 31025 Unitat de Parcs i jardins</t>
  </si>
  <si>
    <t>70000</t>
  </si>
  <si>
    <t>SOU A1 GERÈNCIA</t>
  </si>
  <si>
    <t>C. DESTÍ GERÈNCIA</t>
  </si>
  <si>
    <t>C. ESP. GERÈNCIA</t>
  </si>
  <si>
    <t>RB PERS. LAB. GERÈNCIA</t>
  </si>
  <si>
    <t>ALTRES REMUN. PERS. LAB. GERÈNCIA</t>
  </si>
  <si>
    <t>PROD. GERÈNCIA</t>
  </si>
  <si>
    <t>SS GERÈNCIA</t>
  </si>
  <si>
    <t>PROGRAMES EUROPEUS COFINANÇATS</t>
  </si>
  <si>
    <t>92200</t>
  </si>
  <si>
    <t>RB PERS. EVENTUAL GERÈNCIA</t>
  </si>
  <si>
    <t>RETRIB. COMPL. PERS. EVENTUAL GERÈNCIA</t>
  </si>
  <si>
    <t>SS PERS. EVENTUAL GERÈNCIA</t>
  </si>
  <si>
    <t xml:space="preserve">Total 70000 Gerència </t>
  </si>
  <si>
    <t>70100</t>
  </si>
  <si>
    <t>QUOTA ASSOCIACIÓ RED INNPULSO</t>
  </si>
  <si>
    <t>48902</t>
  </si>
  <si>
    <t>QUOTA RED CIUDADES Y TERRIT. CREATIVOS DE ESPAÑA - RECITCREA</t>
  </si>
  <si>
    <t>APORTACIÓ XARXA ODS FEMP</t>
  </si>
  <si>
    <t>SOU A1 SERVEI ESTRATÈGIA 2030, INN. I XARXES INST.</t>
  </si>
  <si>
    <t>TRIENNIS SERVEI ESTRATÈGIA 2030, INN. I XARXES INST.</t>
  </si>
  <si>
    <t>C. DESTÍ SERVEI ESTRATÈGIA 2030, INN. I XARXES INST.</t>
  </si>
  <si>
    <t>C. ESP. SERVEI ESTRATÈGIA 2030, INN. I XARXES INST.</t>
  </si>
  <si>
    <t>PROD. SERVEI ESTRATÈGIA 2030, INN. I XARXES INST.</t>
  </si>
  <si>
    <t>SS SERVEI ESTRATÈGIA 2030, INN. I XARXES INST.</t>
  </si>
  <si>
    <t>RED ESPAÑOLA PARA EL DESARROLLO SOSTENIBLE</t>
  </si>
  <si>
    <t>SOU A2 AGENT INNOVACIÓ LOCAL</t>
  </si>
  <si>
    <t>C. DESTÍ AGENT INNOVACIÓ LOCAL</t>
  </si>
  <si>
    <t>C. ESP. AGENT INNOVACIÓ LOCAL</t>
  </si>
  <si>
    <t>PROD. AGENT INNOVACIÓ LOCAL</t>
  </si>
  <si>
    <t>SS AGENT INNOVACIÓ LOCAL</t>
  </si>
  <si>
    <t>ACCIONS DE SUPORT PER A L'IMPLEMENTACIO MARC ESTRATEGIC</t>
  </si>
  <si>
    <t>ACCIONS MILLORA MIA - COMITÈS DE DIRECCIÓ</t>
  </si>
  <si>
    <t>Total 70100 Servei d’Estratègia 2030 i Xarxes institucionals</t>
  </si>
  <si>
    <t>90000</t>
  </si>
  <si>
    <t>HAVERS REGIDORS ÒRGANS GOVERN</t>
  </si>
  <si>
    <t>SS REGIDORS ÒRGANS GOVERN</t>
  </si>
  <si>
    <t>DIETES I ALLOTJAMENT ÒRGANS DE GOVERN</t>
  </si>
  <si>
    <t>Total 90000 Òrgans de govern</t>
  </si>
  <si>
    <t>91000</t>
  </si>
  <si>
    <t>RB PERS. LAB. ALCALDIA</t>
  </si>
  <si>
    <t>ALTRES REMUN. PERS. LAB. ALCALDIA</t>
  </si>
  <si>
    <t>PRODUCTIVITAT ALCALDIA</t>
  </si>
  <si>
    <t>SS ALCALDIA</t>
  </si>
  <si>
    <t>Total 91000 Alcaldia</t>
  </si>
  <si>
    <t>91001</t>
  </si>
  <si>
    <t>RB PERS. EVENTUAL GABINET ALCALDIA</t>
  </si>
  <si>
    <t>RETRIB. COMPL. PERS. EVENTUAL GABINET ALCALDIA</t>
  </si>
  <si>
    <t>SS PERS. EVENTUAL GABINET ALCALDIA</t>
  </si>
  <si>
    <t>Total 91001 Gabinet d'Alcaldia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</si>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</sst>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4" fontId="1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CC44-C5AF-46EA-BDA4-EC7BB89B16B7}">
  <dimension ref="A1:E1191"/>
  <sheetViews>
    <sheetView tabSelected="1" workbookViewId="0"/>
  </sheetViews>
  <sheetFormatPr baseColWidth="10" defaultColWidth="9.140625" defaultRowHeight="15" outlineLevelRow="2" x14ac:dyDescent="0.25"/>
  <cols>
    <col min="1" max="1" width="7.7109375" style="2" bestFit="1" customWidth="1"/>
    <col min="2" max="3" width="9.42578125" style="2" bestFit="1" customWidth="1"/>
    <col min="4" max="4" width="80.42578125" style="2" bestFit="1" customWidth="1"/>
    <col min="5" max="5" width="12.7109375" style="2" bestFit="1" customWidth="1"/>
    <col min="6" max="16384" width="9.14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outlineLevel="2" x14ac:dyDescent="0.25">
      <c r="A2" s="3" t="s">
        <v>5</v>
      </c>
      <c r="B2" s="3" t="s">
        <v>6</v>
      </c>
      <c r="C2" s="3" t="s">
        <v>5</v>
      </c>
      <c r="D2" s="4" t="s">
        <v>7</v>
      </c>
      <c r="E2" s="5">
        <f>ROUND(83052.45,2)</f>
        <v>83052.45</v>
      </c>
    </row>
    <row r="3" spans="1:5" outlineLevel="2" x14ac:dyDescent="0.25">
      <c r="A3" s="3" t="s">
        <v>5</v>
      </c>
      <c r="B3" s="3" t="s">
        <v>6</v>
      </c>
      <c r="C3" s="3" t="s">
        <v>8</v>
      </c>
      <c r="D3" s="4" t="s">
        <v>9</v>
      </c>
      <c r="E3" s="5">
        <f>ROUND(16341.65,2)</f>
        <v>16341.65</v>
      </c>
    </row>
    <row r="4" spans="1:5" outlineLevel="2" x14ac:dyDescent="0.25">
      <c r="A4" s="3" t="s">
        <v>5</v>
      </c>
      <c r="B4" s="3" t="s">
        <v>10</v>
      </c>
      <c r="C4" s="3" t="s">
        <v>11</v>
      </c>
      <c r="D4" s="4" t="s">
        <v>12</v>
      </c>
      <c r="E4" s="5">
        <f>ROUND(4589.85,2)</f>
        <v>4589.8500000000004</v>
      </c>
    </row>
    <row r="5" spans="1:5" outlineLevel="2" x14ac:dyDescent="0.25">
      <c r="A5" s="3" t="s">
        <v>5</v>
      </c>
      <c r="B5" s="3" t="s">
        <v>10</v>
      </c>
      <c r="C5" s="3" t="s">
        <v>13</v>
      </c>
      <c r="D5" s="4" t="s">
        <v>14</v>
      </c>
      <c r="E5" s="5">
        <f>ROUND(37094.16,2)</f>
        <v>37094.160000000003</v>
      </c>
    </row>
    <row r="6" spans="1:5" outlineLevel="2" x14ac:dyDescent="0.25">
      <c r="A6" s="3" t="s">
        <v>5</v>
      </c>
      <c r="B6" s="3" t="s">
        <v>10</v>
      </c>
      <c r="C6" s="3" t="s">
        <v>15</v>
      </c>
      <c r="D6" s="4" t="s">
        <v>16</v>
      </c>
      <c r="E6" s="5">
        <f>ROUND(3251.29,2)</f>
        <v>3251.29</v>
      </c>
    </row>
    <row r="7" spans="1:5" outlineLevel="2" x14ac:dyDescent="0.25">
      <c r="A7" s="3" t="s">
        <v>5</v>
      </c>
      <c r="B7" s="3" t="s">
        <v>10</v>
      </c>
      <c r="C7" s="3" t="s">
        <v>17</v>
      </c>
      <c r="D7" s="4" t="s">
        <v>18</v>
      </c>
      <c r="E7" s="5">
        <f>ROUND(24198.19,2)</f>
        <v>24198.19</v>
      </c>
    </row>
    <row r="8" spans="1:5" outlineLevel="2" x14ac:dyDescent="0.25">
      <c r="A8" s="3" t="s">
        <v>5</v>
      </c>
      <c r="B8" s="3" t="s">
        <v>10</v>
      </c>
      <c r="C8" s="3" t="s">
        <v>19</v>
      </c>
      <c r="D8" s="4" t="s">
        <v>20</v>
      </c>
      <c r="E8" s="5">
        <f>ROUND(60390.07,2)</f>
        <v>60390.07</v>
      </c>
    </row>
    <row r="9" spans="1:5" outlineLevel="2" x14ac:dyDescent="0.25">
      <c r="A9" s="3" t="s">
        <v>5</v>
      </c>
      <c r="B9" s="3" t="s">
        <v>10</v>
      </c>
      <c r="C9" s="3" t="s">
        <v>21</v>
      </c>
      <c r="D9" s="4" t="s">
        <v>22</v>
      </c>
      <c r="E9" s="5">
        <f>ROUND(7698.44,2)</f>
        <v>7698.44</v>
      </c>
    </row>
    <row r="10" spans="1:5" outlineLevel="2" x14ac:dyDescent="0.25">
      <c r="A10" s="3" t="s">
        <v>5</v>
      </c>
      <c r="B10" s="3" t="s">
        <v>10</v>
      </c>
      <c r="C10" s="3" t="s">
        <v>8</v>
      </c>
      <c r="D10" s="4" t="s">
        <v>23</v>
      </c>
      <c r="E10" s="5">
        <f>ROUND(39347.16,2)</f>
        <v>39347.160000000003</v>
      </c>
    </row>
    <row r="11" spans="1:5" outlineLevel="1" x14ac:dyDescent="0.25">
      <c r="A11" s="6"/>
      <c r="B11" s="7"/>
      <c r="C11" s="7"/>
      <c r="D11" s="8" t="s">
        <v>24</v>
      </c>
      <c r="E11" s="9">
        <f>SUBTOTAL(9,E2:E10)</f>
        <v>275963.26</v>
      </c>
    </row>
    <row r="12" spans="1:5" outlineLevel="2" x14ac:dyDescent="0.25">
      <c r="A12" s="3" t="s">
        <v>25</v>
      </c>
      <c r="B12" s="3" t="s">
        <v>26</v>
      </c>
      <c r="C12" s="3" t="s">
        <v>11</v>
      </c>
      <c r="D12" s="4" t="s">
        <v>27</v>
      </c>
      <c r="E12" s="5">
        <f>ROUND(18359.38,2)</f>
        <v>18359.38</v>
      </c>
    </row>
    <row r="13" spans="1:5" outlineLevel="2" x14ac:dyDescent="0.25">
      <c r="A13" s="3" t="s">
        <v>25</v>
      </c>
      <c r="B13" s="3" t="s">
        <v>26</v>
      </c>
      <c r="C13" s="3" t="s">
        <v>28</v>
      </c>
      <c r="D13" s="4" t="s">
        <v>29</v>
      </c>
      <c r="E13" s="5">
        <f>ROUND(16144.3,2)</f>
        <v>16144.3</v>
      </c>
    </row>
    <row r="14" spans="1:5" outlineLevel="2" x14ac:dyDescent="0.25">
      <c r="A14" s="3" t="s">
        <v>25</v>
      </c>
      <c r="B14" s="3" t="s">
        <v>26</v>
      </c>
      <c r="C14" s="3" t="s">
        <v>13</v>
      </c>
      <c r="D14" s="4" t="s">
        <v>30</v>
      </c>
      <c r="E14" s="5">
        <f>ROUND(24729.44,2)</f>
        <v>24729.439999999999</v>
      </c>
    </row>
    <row r="15" spans="1:5" outlineLevel="2" x14ac:dyDescent="0.25">
      <c r="A15" s="3" t="s">
        <v>25</v>
      </c>
      <c r="B15" s="3" t="s">
        <v>26</v>
      </c>
      <c r="C15" s="3" t="s">
        <v>15</v>
      </c>
      <c r="D15" s="4" t="s">
        <v>31</v>
      </c>
      <c r="E15" s="5">
        <f>ROUND(22481.66,2)</f>
        <v>22481.66</v>
      </c>
    </row>
    <row r="16" spans="1:5" outlineLevel="2" x14ac:dyDescent="0.25">
      <c r="A16" s="3" t="s">
        <v>25</v>
      </c>
      <c r="B16" s="3" t="s">
        <v>26</v>
      </c>
      <c r="C16" s="3" t="s">
        <v>17</v>
      </c>
      <c r="D16" s="4" t="s">
        <v>32</v>
      </c>
      <c r="E16" s="5">
        <f>ROUND(36135.94,2)</f>
        <v>36135.94</v>
      </c>
    </row>
    <row r="17" spans="1:5" outlineLevel="2" x14ac:dyDescent="0.25">
      <c r="A17" s="3" t="s">
        <v>25</v>
      </c>
      <c r="B17" s="3" t="s">
        <v>26</v>
      </c>
      <c r="C17" s="3" t="s">
        <v>19</v>
      </c>
      <c r="D17" s="4" t="s">
        <v>33</v>
      </c>
      <c r="E17" s="5">
        <f>ROUND(109312.8,2)</f>
        <v>109312.8</v>
      </c>
    </row>
    <row r="18" spans="1:5" outlineLevel="2" x14ac:dyDescent="0.25">
      <c r="A18" s="3" t="s">
        <v>25</v>
      </c>
      <c r="B18" s="3" t="s">
        <v>26</v>
      </c>
      <c r="C18" s="3" t="s">
        <v>21</v>
      </c>
      <c r="D18" s="4" t="s">
        <v>34</v>
      </c>
      <c r="E18" s="5">
        <f>ROUND(8837.95,2)</f>
        <v>8837.9500000000007</v>
      </c>
    </row>
    <row r="19" spans="1:5" outlineLevel="2" x14ac:dyDescent="0.25">
      <c r="A19" s="3" t="s">
        <v>25</v>
      </c>
      <c r="B19" s="3" t="s">
        <v>26</v>
      </c>
      <c r="C19" s="3" t="s">
        <v>8</v>
      </c>
      <c r="D19" s="4" t="s">
        <v>35</v>
      </c>
      <c r="E19" s="5">
        <f>ROUND(50061.66,2)</f>
        <v>50061.66</v>
      </c>
    </row>
    <row r="20" spans="1:5" outlineLevel="1" x14ac:dyDescent="0.25">
      <c r="A20" s="6"/>
      <c r="B20" s="7"/>
      <c r="C20" s="7"/>
      <c r="D20" s="8" t="s">
        <v>36</v>
      </c>
      <c r="E20" s="9">
        <f>SUBTOTAL(9,E12:E19)</f>
        <v>286063.13</v>
      </c>
    </row>
    <row r="21" spans="1:5" outlineLevel="2" x14ac:dyDescent="0.25">
      <c r="A21" s="3" t="s">
        <v>37</v>
      </c>
      <c r="B21" s="3" t="s">
        <v>10</v>
      </c>
      <c r="C21" s="3" t="s">
        <v>38</v>
      </c>
      <c r="D21" s="4" t="s">
        <v>39</v>
      </c>
      <c r="E21" s="5">
        <f>ROUND(173053,2)</f>
        <v>173053</v>
      </c>
    </row>
    <row r="22" spans="1:5" outlineLevel="2" x14ac:dyDescent="0.25">
      <c r="A22" s="3" t="s">
        <v>37</v>
      </c>
      <c r="B22" s="3" t="s">
        <v>40</v>
      </c>
      <c r="C22" s="3" t="s">
        <v>11</v>
      </c>
      <c r="D22" s="4" t="s">
        <v>41</v>
      </c>
      <c r="E22" s="5">
        <f>ROUND(73437.52,2)</f>
        <v>73437.52</v>
      </c>
    </row>
    <row r="23" spans="1:5" outlineLevel="2" x14ac:dyDescent="0.25">
      <c r="A23" s="3" t="s">
        <v>37</v>
      </c>
      <c r="B23" s="3" t="s">
        <v>40</v>
      </c>
      <c r="C23" s="3" t="s">
        <v>13</v>
      </c>
      <c r="D23" s="4" t="s">
        <v>42</v>
      </c>
      <c r="E23" s="5">
        <f>ROUND(29881.41,2)</f>
        <v>29881.41</v>
      </c>
    </row>
    <row r="24" spans="1:5" outlineLevel="2" x14ac:dyDescent="0.25">
      <c r="A24" s="3" t="s">
        <v>37</v>
      </c>
      <c r="B24" s="3" t="s">
        <v>40</v>
      </c>
      <c r="C24" s="3" t="s">
        <v>15</v>
      </c>
      <c r="D24" s="4" t="s">
        <v>43</v>
      </c>
      <c r="E24" s="5">
        <f>ROUND(20979.42,2)</f>
        <v>20979.42</v>
      </c>
    </row>
    <row r="25" spans="1:5" outlineLevel="2" x14ac:dyDescent="0.25">
      <c r="A25" s="3" t="s">
        <v>37</v>
      </c>
      <c r="B25" s="3" t="s">
        <v>40</v>
      </c>
      <c r="C25" s="3" t="s">
        <v>17</v>
      </c>
      <c r="D25" s="4" t="s">
        <v>44</v>
      </c>
      <c r="E25" s="5">
        <f>ROUND(59800.52,2)</f>
        <v>59800.52</v>
      </c>
    </row>
    <row r="26" spans="1:5" outlineLevel="2" x14ac:dyDescent="0.25">
      <c r="A26" s="3" t="s">
        <v>37</v>
      </c>
      <c r="B26" s="3" t="s">
        <v>40</v>
      </c>
      <c r="C26" s="3" t="s">
        <v>19</v>
      </c>
      <c r="D26" s="4" t="s">
        <v>45</v>
      </c>
      <c r="E26" s="5">
        <f>ROUND(152368.98,2)</f>
        <v>152368.98000000001</v>
      </c>
    </row>
    <row r="27" spans="1:5" outlineLevel="2" x14ac:dyDescent="0.25">
      <c r="A27" s="3" t="s">
        <v>37</v>
      </c>
      <c r="B27" s="3" t="s">
        <v>40</v>
      </c>
      <c r="C27" s="3" t="s">
        <v>21</v>
      </c>
      <c r="D27" s="4" t="s">
        <v>46</v>
      </c>
      <c r="E27" s="5">
        <f>ROUND(14505.42,2)</f>
        <v>14505.42</v>
      </c>
    </row>
    <row r="28" spans="1:5" outlineLevel="2" x14ac:dyDescent="0.25">
      <c r="A28" s="3" t="s">
        <v>37</v>
      </c>
      <c r="B28" s="3" t="s">
        <v>40</v>
      </c>
      <c r="C28" s="3" t="s">
        <v>8</v>
      </c>
      <c r="D28" s="4" t="s">
        <v>47</v>
      </c>
      <c r="E28" s="5">
        <f>ROUND(86626.46,2)</f>
        <v>86626.46</v>
      </c>
    </row>
    <row r="29" spans="1:5" outlineLevel="1" x14ac:dyDescent="0.25">
      <c r="A29" s="6"/>
      <c r="B29" s="7"/>
      <c r="C29" s="7"/>
      <c r="D29" s="8" t="s">
        <v>48</v>
      </c>
      <c r="E29" s="9">
        <f>SUBTOTAL(9,E21:E28)</f>
        <v>610652.73</v>
      </c>
    </row>
    <row r="30" spans="1:5" outlineLevel="2" x14ac:dyDescent="0.25">
      <c r="A30" s="3" t="s">
        <v>49</v>
      </c>
      <c r="B30" s="3" t="s">
        <v>10</v>
      </c>
      <c r="C30" s="3" t="s">
        <v>50</v>
      </c>
      <c r="D30" s="4" t="s">
        <v>51</v>
      </c>
      <c r="E30" s="5">
        <f>ROUND(1000,2)</f>
        <v>1000</v>
      </c>
    </row>
    <row r="31" spans="1:5" outlineLevel="2" x14ac:dyDescent="0.25">
      <c r="A31" s="3" t="s">
        <v>49</v>
      </c>
      <c r="B31" s="3" t="s">
        <v>52</v>
      </c>
      <c r="C31" s="3" t="s">
        <v>53</v>
      </c>
      <c r="D31" s="4" t="s">
        <v>54</v>
      </c>
      <c r="E31" s="5">
        <f>ROUND(19261.92,2)</f>
        <v>19261.919999999998</v>
      </c>
    </row>
    <row r="32" spans="1:5" outlineLevel="2" x14ac:dyDescent="0.25">
      <c r="A32" s="3" t="s">
        <v>49</v>
      </c>
      <c r="B32" s="3" t="s">
        <v>52</v>
      </c>
      <c r="C32" s="3" t="s">
        <v>55</v>
      </c>
      <c r="D32" s="4" t="s">
        <v>56</v>
      </c>
      <c r="E32" s="5">
        <f>ROUND(54032.32,2)</f>
        <v>54032.32</v>
      </c>
    </row>
    <row r="33" spans="1:5" outlineLevel="2" x14ac:dyDescent="0.25">
      <c r="A33" s="3" t="s">
        <v>49</v>
      </c>
      <c r="B33" s="3" t="s">
        <v>52</v>
      </c>
      <c r="C33" s="3" t="s">
        <v>21</v>
      </c>
      <c r="D33" s="4" t="s">
        <v>57</v>
      </c>
      <c r="E33" s="5">
        <f>ROUND(6860.61,2)</f>
        <v>6860.61</v>
      </c>
    </row>
    <row r="34" spans="1:5" outlineLevel="2" x14ac:dyDescent="0.25">
      <c r="A34" s="3" t="s">
        <v>49</v>
      </c>
      <c r="B34" s="3" t="s">
        <v>52</v>
      </c>
      <c r="C34" s="3" t="s">
        <v>8</v>
      </c>
      <c r="D34" s="4" t="s">
        <v>58</v>
      </c>
      <c r="E34" s="5">
        <f>ROUND(19806.91,2)</f>
        <v>19806.91</v>
      </c>
    </row>
    <row r="35" spans="1:5" outlineLevel="1" x14ac:dyDescent="0.25">
      <c r="A35" s="6"/>
      <c r="B35" s="7"/>
      <c r="C35" s="7"/>
      <c r="D35" s="8" t="s">
        <v>59</v>
      </c>
      <c r="E35" s="9">
        <f>SUBTOTAL(9,E30:E34)</f>
        <v>100961.76</v>
      </c>
    </row>
    <row r="36" spans="1:5" outlineLevel="2" x14ac:dyDescent="0.25">
      <c r="A36" s="3" t="s">
        <v>60</v>
      </c>
      <c r="B36" s="3" t="s">
        <v>10</v>
      </c>
      <c r="C36" s="3" t="s">
        <v>61</v>
      </c>
      <c r="D36" s="4" t="s">
        <v>62</v>
      </c>
      <c r="E36" s="5">
        <f>ROUND(1000,2)</f>
        <v>1000</v>
      </c>
    </row>
    <row r="37" spans="1:5" outlineLevel="2" x14ac:dyDescent="0.25">
      <c r="A37" s="3" t="s">
        <v>60</v>
      </c>
      <c r="B37" s="3" t="s">
        <v>63</v>
      </c>
      <c r="C37" s="3" t="s">
        <v>28</v>
      </c>
      <c r="D37" s="4" t="s">
        <v>64</v>
      </c>
      <c r="E37" s="5">
        <f>ROUND(16144.3,2)</f>
        <v>16144.3</v>
      </c>
    </row>
    <row r="38" spans="1:5" outlineLevel="2" x14ac:dyDescent="0.25">
      <c r="A38" s="3" t="s">
        <v>60</v>
      </c>
      <c r="B38" s="3" t="s">
        <v>63</v>
      </c>
      <c r="C38" s="3" t="s">
        <v>13</v>
      </c>
      <c r="D38" s="4" t="s">
        <v>65</v>
      </c>
      <c r="E38" s="5">
        <f>ROUND(24729.44,2)</f>
        <v>24729.439999999999</v>
      </c>
    </row>
    <row r="39" spans="1:5" outlineLevel="2" x14ac:dyDescent="0.25">
      <c r="A39" s="3" t="s">
        <v>60</v>
      </c>
      <c r="B39" s="3" t="s">
        <v>63</v>
      </c>
      <c r="C39" s="3" t="s">
        <v>15</v>
      </c>
      <c r="D39" s="4" t="s">
        <v>66</v>
      </c>
      <c r="E39" s="5">
        <f>ROUND(6438.81,2)</f>
        <v>6438.81</v>
      </c>
    </row>
    <row r="40" spans="1:5" outlineLevel="2" x14ac:dyDescent="0.25">
      <c r="A40" s="3" t="s">
        <v>60</v>
      </c>
      <c r="B40" s="3" t="s">
        <v>63</v>
      </c>
      <c r="C40" s="3" t="s">
        <v>17</v>
      </c>
      <c r="D40" s="4" t="s">
        <v>67</v>
      </c>
      <c r="E40" s="5">
        <f>ROUND(21678.57,2)</f>
        <v>21678.57</v>
      </c>
    </row>
    <row r="41" spans="1:5" outlineLevel="2" x14ac:dyDescent="0.25">
      <c r="A41" s="3" t="s">
        <v>60</v>
      </c>
      <c r="B41" s="3" t="s">
        <v>63</v>
      </c>
      <c r="C41" s="3" t="s">
        <v>19</v>
      </c>
      <c r="D41" s="4" t="s">
        <v>68</v>
      </c>
      <c r="E41" s="5">
        <f>ROUND(53066.27,2)</f>
        <v>53066.27</v>
      </c>
    </row>
    <row r="42" spans="1:5" outlineLevel="2" x14ac:dyDescent="0.25">
      <c r="A42" s="3" t="s">
        <v>60</v>
      </c>
      <c r="B42" s="3" t="s">
        <v>63</v>
      </c>
      <c r="C42" s="3" t="s">
        <v>21</v>
      </c>
      <c r="D42" s="4" t="s">
        <v>69</v>
      </c>
      <c r="E42" s="5">
        <f>ROUND(6138.15,2)</f>
        <v>6138.15</v>
      </c>
    </row>
    <row r="43" spans="1:5" outlineLevel="2" x14ac:dyDescent="0.25">
      <c r="A43" s="3" t="s">
        <v>60</v>
      </c>
      <c r="B43" s="3" t="s">
        <v>63</v>
      </c>
      <c r="C43" s="3" t="s">
        <v>8</v>
      </c>
      <c r="D43" s="4" t="s">
        <v>70</v>
      </c>
      <c r="E43" s="5">
        <f>ROUND(36897.7,2)</f>
        <v>36897.699999999997</v>
      </c>
    </row>
    <row r="44" spans="1:5" outlineLevel="1" x14ac:dyDescent="0.25">
      <c r="A44" s="6"/>
      <c r="B44" s="7"/>
      <c r="C44" s="7"/>
      <c r="D44" s="8" t="s">
        <v>71</v>
      </c>
      <c r="E44" s="9">
        <f>SUBTOTAL(9,E36:E43)</f>
        <v>166093.24</v>
      </c>
    </row>
    <row r="45" spans="1:5" outlineLevel="2" x14ac:dyDescent="0.25">
      <c r="A45" s="3" t="s">
        <v>72</v>
      </c>
      <c r="B45" s="3" t="s">
        <v>10</v>
      </c>
      <c r="C45" s="3" t="s">
        <v>73</v>
      </c>
      <c r="D45" s="4" t="s">
        <v>74</v>
      </c>
      <c r="E45" s="5">
        <f>ROUND(222640,2)</f>
        <v>222640</v>
      </c>
    </row>
    <row r="46" spans="1:5" outlineLevel="2" x14ac:dyDescent="0.25">
      <c r="A46" s="3" t="s">
        <v>72</v>
      </c>
      <c r="B46" s="3" t="s">
        <v>52</v>
      </c>
      <c r="C46" s="3" t="s">
        <v>11</v>
      </c>
      <c r="D46" s="4" t="s">
        <v>75</v>
      </c>
      <c r="E46" s="5">
        <f>ROUND(73437.52,2)</f>
        <v>73437.52</v>
      </c>
    </row>
    <row r="47" spans="1:5" outlineLevel="2" x14ac:dyDescent="0.25">
      <c r="A47" s="3" t="s">
        <v>72</v>
      </c>
      <c r="B47" s="3" t="s">
        <v>52</v>
      </c>
      <c r="C47" s="3" t="s">
        <v>13</v>
      </c>
      <c r="D47" s="4" t="s">
        <v>76</v>
      </c>
      <c r="E47" s="5">
        <f>ROUND(12364.72,2)</f>
        <v>12364.72</v>
      </c>
    </row>
    <row r="48" spans="1:5" outlineLevel="2" x14ac:dyDescent="0.25">
      <c r="A48" s="3" t="s">
        <v>72</v>
      </c>
      <c r="B48" s="3" t="s">
        <v>52</v>
      </c>
      <c r="C48" s="3" t="s">
        <v>15</v>
      </c>
      <c r="D48" s="4" t="s">
        <v>77</v>
      </c>
      <c r="E48" s="5">
        <f>ROUND(3222.91,2)</f>
        <v>3222.91</v>
      </c>
    </row>
    <row r="49" spans="1:5" outlineLevel="2" x14ac:dyDescent="0.25">
      <c r="A49" s="3" t="s">
        <v>72</v>
      </c>
      <c r="B49" s="3" t="s">
        <v>52</v>
      </c>
      <c r="C49" s="3" t="s">
        <v>17</v>
      </c>
      <c r="D49" s="4" t="s">
        <v>78</v>
      </c>
      <c r="E49" s="5">
        <f>ROUND(42628.42,2)</f>
        <v>42628.42</v>
      </c>
    </row>
    <row r="50" spans="1:5" outlineLevel="2" x14ac:dyDescent="0.25">
      <c r="A50" s="3" t="s">
        <v>72</v>
      </c>
      <c r="B50" s="3" t="s">
        <v>52</v>
      </c>
      <c r="C50" s="3" t="s">
        <v>19</v>
      </c>
      <c r="D50" s="4" t="s">
        <v>79</v>
      </c>
      <c r="E50" s="5">
        <f>ROUND(75645.26,2)</f>
        <v>75645.259999999995</v>
      </c>
    </row>
    <row r="51" spans="1:5" outlineLevel="2" x14ac:dyDescent="0.25">
      <c r="A51" s="3" t="s">
        <v>72</v>
      </c>
      <c r="B51" s="3" t="s">
        <v>52</v>
      </c>
      <c r="C51" s="3" t="s">
        <v>53</v>
      </c>
      <c r="D51" s="4" t="s">
        <v>80</v>
      </c>
      <c r="E51" s="5">
        <f>ROUND(23056.8,2)</f>
        <v>23056.799999999999</v>
      </c>
    </row>
    <row r="52" spans="1:5" outlineLevel="2" x14ac:dyDescent="0.25">
      <c r="A52" s="3" t="s">
        <v>72</v>
      </c>
      <c r="B52" s="3" t="s">
        <v>52</v>
      </c>
      <c r="C52" s="3" t="s">
        <v>55</v>
      </c>
      <c r="D52" s="4" t="s">
        <v>81</v>
      </c>
      <c r="E52" s="5">
        <f>ROUND(45919.47,2)</f>
        <v>45919.47</v>
      </c>
    </row>
    <row r="53" spans="1:5" outlineLevel="2" x14ac:dyDescent="0.25">
      <c r="A53" s="3" t="s">
        <v>72</v>
      </c>
      <c r="B53" s="3" t="s">
        <v>52</v>
      </c>
      <c r="C53" s="3" t="s">
        <v>21</v>
      </c>
      <c r="D53" s="4" t="s">
        <v>82</v>
      </c>
      <c r="E53" s="5">
        <f>ROUND(11542.25,2)</f>
        <v>11542.25</v>
      </c>
    </row>
    <row r="54" spans="1:5" outlineLevel="2" x14ac:dyDescent="0.25">
      <c r="A54" s="3" t="s">
        <v>72</v>
      </c>
      <c r="B54" s="3" t="s">
        <v>52</v>
      </c>
      <c r="C54" s="3" t="s">
        <v>8</v>
      </c>
      <c r="D54" s="4" t="s">
        <v>83</v>
      </c>
      <c r="E54" s="5">
        <f>ROUND(88447.54,2)</f>
        <v>88447.54</v>
      </c>
    </row>
    <row r="55" spans="1:5" outlineLevel="2" x14ac:dyDescent="0.25">
      <c r="A55" s="3" t="s">
        <v>72</v>
      </c>
      <c r="B55" s="3" t="s">
        <v>52</v>
      </c>
      <c r="C55" s="3" t="s">
        <v>84</v>
      </c>
      <c r="D55" s="4" t="s">
        <v>85</v>
      </c>
      <c r="E55" s="5">
        <f>ROUND(156887,2)</f>
        <v>156887</v>
      </c>
    </row>
    <row r="56" spans="1:5" outlineLevel="1" x14ac:dyDescent="0.25">
      <c r="A56" s="6"/>
      <c r="B56" s="7"/>
      <c r="C56" s="7"/>
      <c r="D56" s="8" t="s">
        <v>86</v>
      </c>
      <c r="E56" s="9">
        <f>SUBTOTAL(9,E45:E55)</f>
        <v>755791.89</v>
      </c>
    </row>
    <row r="57" spans="1:5" outlineLevel="2" x14ac:dyDescent="0.25">
      <c r="A57" s="3" t="s">
        <v>87</v>
      </c>
      <c r="B57" s="3" t="s">
        <v>52</v>
      </c>
      <c r="C57" s="3" t="s">
        <v>11</v>
      </c>
      <c r="D57" s="4" t="s">
        <v>88</v>
      </c>
      <c r="E57" s="5">
        <f>ROUND(2215.07,2)</f>
        <v>2215.0700000000002</v>
      </c>
    </row>
    <row r="58" spans="1:5" outlineLevel="2" x14ac:dyDescent="0.25">
      <c r="A58" s="3" t="s">
        <v>87</v>
      </c>
      <c r="B58" s="3" t="s">
        <v>52</v>
      </c>
      <c r="C58" s="3" t="s">
        <v>28</v>
      </c>
      <c r="D58" s="4" t="s">
        <v>89</v>
      </c>
      <c r="E58" s="5">
        <f>ROUND(16144.3,2)</f>
        <v>16144.3</v>
      </c>
    </row>
    <row r="59" spans="1:5" outlineLevel="2" x14ac:dyDescent="0.25">
      <c r="A59" s="3" t="s">
        <v>87</v>
      </c>
      <c r="B59" s="3" t="s">
        <v>52</v>
      </c>
      <c r="C59" s="3" t="s">
        <v>13</v>
      </c>
      <c r="D59" s="4" t="s">
        <v>90</v>
      </c>
      <c r="E59" s="5">
        <f>ROUND(49458.88,2)</f>
        <v>49458.879999999997</v>
      </c>
    </row>
    <row r="60" spans="1:5" outlineLevel="2" x14ac:dyDescent="0.25">
      <c r="A60" s="3" t="s">
        <v>87</v>
      </c>
      <c r="B60" s="3" t="s">
        <v>52</v>
      </c>
      <c r="C60" s="3" t="s">
        <v>15</v>
      </c>
      <c r="D60" s="4" t="s">
        <v>91</v>
      </c>
      <c r="E60" s="5">
        <f>ROUND(11276.62,2)</f>
        <v>11276.62</v>
      </c>
    </row>
    <row r="61" spans="1:5" outlineLevel="2" x14ac:dyDescent="0.25">
      <c r="A61" s="3" t="s">
        <v>87</v>
      </c>
      <c r="B61" s="3" t="s">
        <v>52</v>
      </c>
      <c r="C61" s="3" t="s">
        <v>17</v>
      </c>
      <c r="D61" s="4" t="s">
        <v>92</v>
      </c>
      <c r="E61" s="5">
        <f>ROUND(35900.13,2)</f>
        <v>35900.129999999997</v>
      </c>
    </row>
    <row r="62" spans="1:5" outlineLevel="2" x14ac:dyDescent="0.25">
      <c r="A62" s="3" t="s">
        <v>87</v>
      </c>
      <c r="B62" s="3" t="s">
        <v>52</v>
      </c>
      <c r="C62" s="3" t="s">
        <v>19</v>
      </c>
      <c r="D62" s="4" t="s">
        <v>93</v>
      </c>
      <c r="E62" s="5">
        <f>ROUND(89733.42,2)</f>
        <v>89733.42</v>
      </c>
    </row>
    <row r="63" spans="1:5" outlineLevel="2" x14ac:dyDescent="0.25">
      <c r="A63" s="3" t="s">
        <v>87</v>
      </c>
      <c r="B63" s="3" t="s">
        <v>52</v>
      </c>
      <c r="C63" s="3" t="s">
        <v>21</v>
      </c>
      <c r="D63" s="4" t="s">
        <v>94</v>
      </c>
      <c r="E63" s="5">
        <f>ROUND(10153.31,2)</f>
        <v>10153.31</v>
      </c>
    </row>
    <row r="64" spans="1:5" outlineLevel="2" x14ac:dyDescent="0.25">
      <c r="A64" s="3" t="s">
        <v>87</v>
      </c>
      <c r="B64" s="3" t="s">
        <v>52</v>
      </c>
      <c r="C64" s="3" t="s">
        <v>8</v>
      </c>
      <c r="D64" s="4" t="s">
        <v>95</v>
      </c>
      <c r="E64" s="5">
        <f>ROUND(65609.93,2)</f>
        <v>65609.929999999993</v>
      </c>
    </row>
    <row r="65" spans="1:5" outlineLevel="2" x14ac:dyDescent="0.25">
      <c r="A65" s="3" t="s">
        <v>87</v>
      </c>
      <c r="B65" s="3" t="s">
        <v>52</v>
      </c>
      <c r="C65" s="3" t="s">
        <v>96</v>
      </c>
      <c r="D65" s="4" t="s">
        <v>97</v>
      </c>
      <c r="E65" s="5">
        <f>ROUND(1320600,2)</f>
        <v>1320600</v>
      </c>
    </row>
    <row r="66" spans="1:5" outlineLevel="2" x14ac:dyDescent="0.25">
      <c r="A66" s="3" t="s">
        <v>87</v>
      </c>
      <c r="B66" s="3" t="s">
        <v>52</v>
      </c>
      <c r="C66" s="3" t="s">
        <v>98</v>
      </c>
      <c r="D66" s="4" t="s">
        <v>99</v>
      </c>
      <c r="E66" s="5">
        <f>ROUND(3000,2)</f>
        <v>3000</v>
      </c>
    </row>
    <row r="67" spans="1:5" outlineLevel="2" x14ac:dyDescent="0.25">
      <c r="A67" s="3" t="s">
        <v>87</v>
      </c>
      <c r="B67" s="3" t="s">
        <v>52</v>
      </c>
      <c r="C67" s="3" t="s">
        <v>100</v>
      </c>
      <c r="D67" s="4" t="s">
        <v>101</v>
      </c>
      <c r="E67" s="5">
        <f>ROUND(563594,2)</f>
        <v>563594</v>
      </c>
    </row>
    <row r="68" spans="1:5" outlineLevel="1" x14ac:dyDescent="0.25">
      <c r="A68" s="6"/>
      <c r="B68" s="7"/>
      <c r="C68" s="7"/>
      <c r="D68" s="8" t="s">
        <v>102</v>
      </c>
      <c r="E68" s="9">
        <f>SUBTOTAL(9,E57:E67)</f>
        <v>2167685.66</v>
      </c>
    </row>
    <row r="69" spans="1:5" outlineLevel="2" x14ac:dyDescent="0.25">
      <c r="A69" s="3" t="s">
        <v>103</v>
      </c>
      <c r="B69" s="3" t="s">
        <v>52</v>
      </c>
      <c r="C69" s="3" t="s">
        <v>11</v>
      </c>
      <c r="D69" s="4" t="s">
        <v>104</v>
      </c>
      <c r="E69" s="5">
        <f>ROUND(2215.07,2)</f>
        <v>2215.0700000000002</v>
      </c>
    </row>
    <row r="70" spans="1:5" outlineLevel="2" x14ac:dyDescent="0.25">
      <c r="A70" s="3" t="s">
        <v>103</v>
      </c>
      <c r="B70" s="3" t="s">
        <v>52</v>
      </c>
      <c r="C70" s="3" t="s">
        <v>13</v>
      </c>
      <c r="D70" s="4" t="s">
        <v>105</v>
      </c>
      <c r="E70" s="5">
        <f>ROUND(49458.88,2)</f>
        <v>49458.879999999997</v>
      </c>
    </row>
    <row r="71" spans="1:5" outlineLevel="2" x14ac:dyDescent="0.25">
      <c r="A71" s="3" t="s">
        <v>103</v>
      </c>
      <c r="B71" s="3" t="s">
        <v>52</v>
      </c>
      <c r="C71" s="3" t="s">
        <v>15</v>
      </c>
      <c r="D71" s="4" t="s">
        <v>106</v>
      </c>
      <c r="E71" s="5">
        <f>ROUND(15552.75,2)</f>
        <v>15552.75</v>
      </c>
    </row>
    <row r="72" spans="1:5" outlineLevel="2" x14ac:dyDescent="0.25">
      <c r="A72" s="3" t="s">
        <v>103</v>
      </c>
      <c r="B72" s="3" t="s">
        <v>52</v>
      </c>
      <c r="C72" s="3" t="s">
        <v>17</v>
      </c>
      <c r="D72" s="4" t="s">
        <v>107</v>
      </c>
      <c r="E72" s="5">
        <f>ROUND(30015.34,2)</f>
        <v>30015.34</v>
      </c>
    </row>
    <row r="73" spans="1:5" outlineLevel="2" x14ac:dyDescent="0.25">
      <c r="A73" s="3" t="s">
        <v>103</v>
      </c>
      <c r="B73" s="3" t="s">
        <v>52</v>
      </c>
      <c r="C73" s="3" t="s">
        <v>19</v>
      </c>
      <c r="D73" s="4" t="s">
        <v>108</v>
      </c>
      <c r="E73" s="5">
        <f>ROUND(72687.29,2)</f>
        <v>72687.289999999994</v>
      </c>
    </row>
    <row r="74" spans="1:5" outlineLevel="2" x14ac:dyDescent="0.25">
      <c r="A74" s="3" t="s">
        <v>103</v>
      </c>
      <c r="B74" s="3" t="s">
        <v>52</v>
      </c>
      <c r="C74" s="3" t="s">
        <v>53</v>
      </c>
      <c r="D74" s="4" t="s">
        <v>109</v>
      </c>
      <c r="E74" s="5">
        <f>ROUND(15160.67,2)</f>
        <v>15160.67</v>
      </c>
    </row>
    <row r="75" spans="1:5" outlineLevel="2" x14ac:dyDescent="0.25">
      <c r="A75" s="3" t="s">
        <v>103</v>
      </c>
      <c r="B75" s="3" t="s">
        <v>52</v>
      </c>
      <c r="C75" s="3" t="s">
        <v>55</v>
      </c>
      <c r="D75" s="4" t="s">
        <v>110</v>
      </c>
      <c r="E75" s="5">
        <f>ROUND(36919.07,2)</f>
        <v>36919.07</v>
      </c>
    </row>
    <row r="76" spans="1:5" outlineLevel="2" x14ac:dyDescent="0.25">
      <c r="A76" s="3" t="s">
        <v>103</v>
      </c>
      <c r="B76" s="3" t="s">
        <v>52</v>
      </c>
      <c r="C76" s="3" t="s">
        <v>21</v>
      </c>
      <c r="D76" s="4" t="s">
        <v>111</v>
      </c>
      <c r="E76" s="5">
        <f>ROUND(10116.61,2)</f>
        <v>10116.61</v>
      </c>
    </row>
    <row r="77" spans="1:5" outlineLevel="2" x14ac:dyDescent="0.25">
      <c r="A77" s="3" t="s">
        <v>103</v>
      </c>
      <c r="B77" s="3" t="s">
        <v>52</v>
      </c>
      <c r="C77" s="3" t="s">
        <v>8</v>
      </c>
      <c r="D77" s="4" t="s">
        <v>112</v>
      </c>
      <c r="E77" s="5">
        <f>ROUND(66209.66,2)</f>
        <v>66209.66</v>
      </c>
    </row>
    <row r="78" spans="1:5" outlineLevel="1" x14ac:dyDescent="0.25">
      <c r="A78" s="6"/>
      <c r="B78" s="7"/>
      <c r="C78" s="7"/>
      <c r="D78" s="8" t="s">
        <v>113</v>
      </c>
      <c r="E78" s="9">
        <f>SUBTOTAL(9,E69:E77)</f>
        <v>298335.33999999997</v>
      </c>
    </row>
    <row r="79" spans="1:5" outlineLevel="2" x14ac:dyDescent="0.25">
      <c r="A79" s="3" t="s">
        <v>114</v>
      </c>
      <c r="B79" s="3" t="s">
        <v>115</v>
      </c>
      <c r="C79" s="3" t="s">
        <v>116</v>
      </c>
      <c r="D79" s="4" t="s">
        <v>117</v>
      </c>
      <c r="E79" s="5">
        <f>ROUND(148408,2)</f>
        <v>148408</v>
      </c>
    </row>
    <row r="80" spans="1:5" outlineLevel="2" x14ac:dyDescent="0.25">
      <c r="A80" s="3" t="s">
        <v>114</v>
      </c>
      <c r="B80" s="3" t="s">
        <v>115</v>
      </c>
      <c r="C80" s="3" t="s">
        <v>118</v>
      </c>
      <c r="D80" s="4" t="s">
        <v>119</v>
      </c>
      <c r="E80" s="5">
        <f>ROUND(15000,2)</f>
        <v>15000</v>
      </c>
    </row>
    <row r="81" spans="1:5" outlineLevel="2" x14ac:dyDescent="0.25">
      <c r="A81" s="3" t="s">
        <v>114</v>
      </c>
      <c r="B81" s="3" t="s">
        <v>120</v>
      </c>
      <c r="C81" s="3" t="s">
        <v>116</v>
      </c>
      <c r="D81" s="4" t="s">
        <v>121</v>
      </c>
      <c r="E81" s="5">
        <f>ROUND(67914,2)</f>
        <v>67914</v>
      </c>
    </row>
    <row r="82" spans="1:5" outlineLevel="2" x14ac:dyDescent="0.25">
      <c r="A82" s="3" t="s">
        <v>114</v>
      </c>
      <c r="B82" s="3" t="s">
        <v>122</v>
      </c>
      <c r="C82" s="3" t="s">
        <v>123</v>
      </c>
      <c r="D82" s="4" t="s">
        <v>124</v>
      </c>
      <c r="E82" s="5">
        <f>ROUND(18000,2)</f>
        <v>18000</v>
      </c>
    </row>
    <row r="83" spans="1:5" outlineLevel="2" x14ac:dyDescent="0.25">
      <c r="A83" s="3" t="s">
        <v>114</v>
      </c>
      <c r="B83" s="3" t="s">
        <v>125</v>
      </c>
      <c r="C83" s="3" t="s">
        <v>126</v>
      </c>
      <c r="D83" s="4" t="s">
        <v>127</v>
      </c>
      <c r="E83" s="5">
        <f>ROUND(8000,2)</f>
        <v>8000</v>
      </c>
    </row>
    <row r="84" spans="1:5" outlineLevel="2" x14ac:dyDescent="0.25">
      <c r="A84" s="3" t="s">
        <v>114</v>
      </c>
      <c r="B84" s="3" t="s">
        <v>128</v>
      </c>
      <c r="C84" s="3" t="s">
        <v>116</v>
      </c>
      <c r="D84" s="4" t="s">
        <v>129</v>
      </c>
      <c r="E84" s="5">
        <f>ROUND(185121,2)</f>
        <v>185121</v>
      </c>
    </row>
    <row r="85" spans="1:5" outlineLevel="2" x14ac:dyDescent="0.25">
      <c r="A85" s="3" t="s">
        <v>114</v>
      </c>
      <c r="B85" s="3" t="s">
        <v>130</v>
      </c>
      <c r="C85" s="3" t="s">
        <v>116</v>
      </c>
      <c r="D85" s="4" t="s">
        <v>131</v>
      </c>
      <c r="E85" s="5">
        <f>ROUND(642970,2)</f>
        <v>642970</v>
      </c>
    </row>
    <row r="86" spans="1:5" outlineLevel="2" x14ac:dyDescent="0.25">
      <c r="A86" s="3" t="s">
        <v>114</v>
      </c>
      <c r="B86" s="3" t="s">
        <v>6</v>
      </c>
      <c r="C86" s="3" t="s">
        <v>132</v>
      </c>
      <c r="D86" s="4" t="s">
        <v>133</v>
      </c>
      <c r="E86" s="5">
        <f>ROUND(4000,2)</f>
        <v>4000</v>
      </c>
    </row>
    <row r="87" spans="1:5" outlineLevel="2" x14ac:dyDescent="0.25">
      <c r="A87" s="3" t="s">
        <v>114</v>
      </c>
      <c r="B87" s="3" t="s">
        <v>6</v>
      </c>
      <c r="C87" s="3" t="s">
        <v>134</v>
      </c>
      <c r="D87" s="4" t="s">
        <v>135</v>
      </c>
      <c r="E87" s="5">
        <f>ROUND(190000,2)</f>
        <v>190000</v>
      </c>
    </row>
    <row r="88" spans="1:5" outlineLevel="2" x14ac:dyDescent="0.25">
      <c r="A88" s="3" t="s">
        <v>114</v>
      </c>
      <c r="B88" s="3" t="s">
        <v>10</v>
      </c>
      <c r="C88" s="3" t="s">
        <v>28</v>
      </c>
      <c r="D88" s="4" t="s">
        <v>136</v>
      </c>
      <c r="E88" s="5">
        <f>ROUND(32288.6,2)</f>
        <v>32288.6</v>
      </c>
    </row>
    <row r="89" spans="1:5" outlineLevel="2" x14ac:dyDescent="0.25">
      <c r="A89" s="3" t="s">
        <v>114</v>
      </c>
      <c r="B89" s="3" t="s">
        <v>10</v>
      </c>
      <c r="C89" s="3" t="s">
        <v>13</v>
      </c>
      <c r="D89" s="4" t="s">
        <v>137</v>
      </c>
      <c r="E89" s="5">
        <f>ROUND(24729.44,2)</f>
        <v>24729.439999999999</v>
      </c>
    </row>
    <row r="90" spans="1:5" outlineLevel="2" x14ac:dyDescent="0.25">
      <c r="A90" s="3" t="s">
        <v>114</v>
      </c>
      <c r="B90" s="3" t="s">
        <v>10</v>
      </c>
      <c r="C90" s="3" t="s">
        <v>15</v>
      </c>
      <c r="D90" s="4" t="s">
        <v>138</v>
      </c>
      <c r="E90" s="5">
        <f>ROUND(13058.66,2)</f>
        <v>13058.66</v>
      </c>
    </row>
    <row r="91" spans="1:5" outlineLevel="2" x14ac:dyDescent="0.25">
      <c r="A91" s="3" t="s">
        <v>114</v>
      </c>
      <c r="B91" s="3" t="s">
        <v>10</v>
      </c>
      <c r="C91" s="3" t="s">
        <v>17</v>
      </c>
      <c r="D91" s="4" t="s">
        <v>139</v>
      </c>
      <c r="E91" s="5">
        <f>ROUND(26871.05,2)</f>
        <v>26871.05</v>
      </c>
    </row>
    <row r="92" spans="1:5" outlineLevel="2" x14ac:dyDescent="0.25">
      <c r="A92" s="3" t="s">
        <v>114</v>
      </c>
      <c r="B92" s="3" t="s">
        <v>10</v>
      </c>
      <c r="C92" s="3" t="s">
        <v>19</v>
      </c>
      <c r="D92" s="4" t="s">
        <v>140</v>
      </c>
      <c r="E92" s="5">
        <f>ROUND(62752.4,2)</f>
        <v>62752.4</v>
      </c>
    </row>
    <row r="93" spans="1:5" outlineLevel="2" x14ac:dyDescent="0.25">
      <c r="A93" s="3" t="s">
        <v>114</v>
      </c>
      <c r="B93" s="3" t="s">
        <v>10</v>
      </c>
      <c r="C93" s="3" t="s">
        <v>21</v>
      </c>
      <c r="D93" s="4" t="s">
        <v>141</v>
      </c>
      <c r="E93" s="5">
        <f>ROUND(12163.79,2)</f>
        <v>12163.79</v>
      </c>
    </row>
    <row r="94" spans="1:5" outlineLevel="2" x14ac:dyDescent="0.25">
      <c r="A94" s="3" t="s">
        <v>114</v>
      </c>
      <c r="B94" s="3" t="s">
        <v>10</v>
      </c>
      <c r="C94" s="3" t="s">
        <v>8</v>
      </c>
      <c r="D94" s="4" t="s">
        <v>142</v>
      </c>
      <c r="E94" s="5">
        <f>ROUND(51142.17,2)</f>
        <v>51142.17</v>
      </c>
    </row>
    <row r="95" spans="1:5" outlineLevel="2" x14ac:dyDescent="0.25">
      <c r="A95" s="3" t="s">
        <v>114</v>
      </c>
      <c r="B95" s="3" t="s">
        <v>10</v>
      </c>
      <c r="C95" s="3" t="s">
        <v>132</v>
      </c>
      <c r="D95" s="4" t="s">
        <v>143</v>
      </c>
      <c r="E95" s="5">
        <f>ROUND(20000,2)</f>
        <v>20000</v>
      </c>
    </row>
    <row r="96" spans="1:5" outlineLevel="2" x14ac:dyDescent="0.25">
      <c r="A96" s="3" t="s">
        <v>114</v>
      </c>
      <c r="B96" s="3" t="s">
        <v>10</v>
      </c>
      <c r="C96" s="3" t="s">
        <v>144</v>
      </c>
      <c r="D96" s="4" t="s">
        <v>145</v>
      </c>
      <c r="E96" s="5">
        <f>ROUND(10,2)</f>
        <v>10</v>
      </c>
    </row>
    <row r="97" spans="1:5" outlineLevel="2" x14ac:dyDescent="0.25">
      <c r="A97" s="3" t="s">
        <v>114</v>
      </c>
      <c r="B97" s="3" t="s">
        <v>10</v>
      </c>
      <c r="C97" s="3" t="s">
        <v>146</v>
      </c>
      <c r="D97" s="4" t="s">
        <v>147</v>
      </c>
      <c r="E97" s="5">
        <f>ROUND(10,2)</f>
        <v>10</v>
      </c>
    </row>
    <row r="98" spans="1:5" outlineLevel="2" x14ac:dyDescent="0.25">
      <c r="A98" s="3" t="s">
        <v>114</v>
      </c>
      <c r="B98" s="3" t="s">
        <v>148</v>
      </c>
      <c r="C98" s="3" t="s">
        <v>5</v>
      </c>
      <c r="D98" s="4" t="s">
        <v>149</v>
      </c>
      <c r="E98" s="5">
        <f>ROUND(14143.28,2)</f>
        <v>14143.28</v>
      </c>
    </row>
    <row r="99" spans="1:5" outlineLevel="2" x14ac:dyDescent="0.25">
      <c r="A99" s="3" t="s">
        <v>114</v>
      </c>
      <c r="B99" s="3" t="s">
        <v>148</v>
      </c>
      <c r="C99" s="3" t="s">
        <v>150</v>
      </c>
      <c r="D99" s="4" t="s">
        <v>151</v>
      </c>
      <c r="E99" s="5">
        <f>ROUND(1950,2)</f>
        <v>1950</v>
      </c>
    </row>
    <row r="100" spans="1:5" outlineLevel="2" x14ac:dyDescent="0.25">
      <c r="A100" s="3" t="s">
        <v>114</v>
      </c>
      <c r="B100" s="3" t="s">
        <v>152</v>
      </c>
      <c r="C100" s="3" t="s">
        <v>153</v>
      </c>
      <c r="D100" s="4" t="s">
        <v>154</v>
      </c>
      <c r="E100" s="5">
        <f>ROUND(13500,2)</f>
        <v>13500</v>
      </c>
    </row>
    <row r="101" spans="1:5" outlineLevel="1" x14ac:dyDescent="0.25">
      <c r="A101" s="6"/>
      <c r="B101" s="7"/>
      <c r="C101" s="7"/>
      <c r="D101" s="8" t="s">
        <v>155</v>
      </c>
      <c r="E101" s="9">
        <f>SUBTOTAL(9,E79:E100)</f>
        <v>1552032.39</v>
      </c>
    </row>
    <row r="102" spans="1:5" outlineLevel="2" x14ac:dyDescent="0.25">
      <c r="A102" s="3" t="s">
        <v>156</v>
      </c>
      <c r="B102" s="3" t="s">
        <v>157</v>
      </c>
      <c r="C102" s="3" t="s">
        <v>114</v>
      </c>
      <c r="D102" s="4" t="s">
        <v>158</v>
      </c>
      <c r="E102" s="5">
        <f>ROUND(9179.69,2)</f>
        <v>9179.69</v>
      </c>
    </row>
    <row r="103" spans="1:5" outlineLevel="2" x14ac:dyDescent="0.25">
      <c r="A103" s="3" t="s">
        <v>156</v>
      </c>
      <c r="B103" s="3" t="s">
        <v>157</v>
      </c>
      <c r="C103" s="3" t="s">
        <v>156</v>
      </c>
      <c r="D103" s="4" t="s">
        <v>159</v>
      </c>
      <c r="E103" s="5">
        <f>ROUND(19863.77,2)</f>
        <v>19863.77</v>
      </c>
    </row>
    <row r="104" spans="1:5" outlineLevel="2" x14ac:dyDescent="0.25">
      <c r="A104" s="3" t="s">
        <v>156</v>
      </c>
      <c r="B104" s="3" t="s">
        <v>157</v>
      </c>
      <c r="C104" s="3" t="s">
        <v>11</v>
      </c>
      <c r="D104" s="4" t="s">
        <v>160</v>
      </c>
      <c r="E104" s="5">
        <f>ROUND(7931.21,2)</f>
        <v>7931.21</v>
      </c>
    </row>
    <row r="105" spans="1:5" outlineLevel="2" x14ac:dyDescent="0.25">
      <c r="A105" s="3" t="s">
        <v>156</v>
      </c>
      <c r="B105" s="3" t="s">
        <v>157</v>
      </c>
      <c r="C105" s="3" t="s">
        <v>8</v>
      </c>
      <c r="D105" s="4" t="s">
        <v>161</v>
      </c>
      <c r="E105" s="5">
        <f>ROUND(9563.48,2)</f>
        <v>9563.48</v>
      </c>
    </row>
    <row r="106" spans="1:5" outlineLevel="2" x14ac:dyDescent="0.25">
      <c r="A106" s="3" t="s">
        <v>156</v>
      </c>
      <c r="B106" s="3" t="s">
        <v>162</v>
      </c>
      <c r="C106" s="3" t="s">
        <v>13</v>
      </c>
      <c r="D106" s="4" t="s">
        <v>163</v>
      </c>
      <c r="E106" s="5">
        <f>ROUND(24729.44,2)</f>
        <v>24729.439999999999</v>
      </c>
    </row>
    <row r="107" spans="1:5" outlineLevel="2" x14ac:dyDescent="0.25">
      <c r="A107" s="3" t="s">
        <v>156</v>
      </c>
      <c r="B107" s="3" t="s">
        <v>162</v>
      </c>
      <c r="C107" s="3" t="s">
        <v>15</v>
      </c>
      <c r="D107" s="4" t="s">
        <v>164</v>
      </c>
      <c r="E107" s="5">
        <f>ROUND(4642.6,2)</f>
        <v>4642.6000000000004</v>
      </c>
    </row>
    <row r="108" spans="1:5" outlineLevel="2" x14ac:dyDescent="0.25">
      <c r="A108" s="3" t="s">
        <v>156</v>
      </c>
      <c r="B108" s="3" t="s">
        <v>162</v>
      </c>
      <c r="C108" s="3" t="s">
        <v>17</v>
      </c>
      <c r="D108" s="4" t="s">
        <v>165</v>
      </c>
      <c r="E108" s="5">
        <f>ROUND(16966.89,2)</f>
        <v>16966.89</v>
      </c>
    </row>
    <row r="109" spans="1:5" outlineLevel="2" x14ac:dyDescent="0.25">
      <c r="A109" s="3" t="s">
        <v>156</v>
      </c>
      <c r="B109" s="3" t="s">
        <v>162</v>
      </c>
      <c r="C109" s="3" t="s">
        <v>19</v>
      </c>
      <c r="D109" s="4" t="s">
        <v>166</v>
      </c>
      <c r="E109" s="5">
        <f>ROUND(48979.82,2)</f>
        <v>48979.82</v>
      </c>
    </row>
    <row r="110" spans="1:5" outlineLevel="2" x14ac:dyDescent="0.25">
      <c r="A110" s="3" t="s">
        <v>156</v>
      </c>
      <c r="B110" s="3" t="s">
        <v>162</v>
      </c>
      <c r="C110" s="3" t="s">
        <v>21</v>
      </c>
      <c r="D110" s="4" t="s">
        <v>167</v>
      </c>
      <c r="E110" s="5">
        <f>ROUND(4316.41,2)</f>
        <v>4316.41</v>
      </c>
    </row>
    <row r="111" spans="1:5" outlineLevel="2" x14ac:dyDescent="0.25">
      <c r="A111" s="3" t="s">
        <v>156</v>
      </c>
      <c r="B111" s="3" t="s">
        <v>162</v>
      </c>
      <c r="C111" s="3" t="s">
        <v>8</v>
      </c>
      <c r="D111" s="4" t="s">
        <v>168</v>
      </c>
      <c r="E111" s="5">
        <f>ROUND(31865.99,2)</f>
        <v>31865.99</v>
      </c>
    </row>
    <row r="112" spans="1:5" outlineLevel="2" x14ac:dyDescent="0.25">
      <c r="A112" s="3" t="s">
        <v>156</v>
      </c>
      <c r="B112" s="3" t="s">
        <v>162</v>
      </c>
      <c r="C112" s="3" t="s">
        <v>169</v>
      </c>
      <c r="D112" s="4" t="s">
        <v>170</v>
      </c>
      <c r="E112" s="5">
        <f>ROUND(80268,2)</f>
        <v>80268</v>
      </c>
    </row>
    <row r="113" spans="1:5" outlineLevel="1" x14ac:dyDescent="0.25">
      <c r="A113" s="6"/>
      <c r="B113" s="7"/>
      <c r="C113" s="7"/>
      <c r="D113" s="8" t="s">
        <v>171</v>
      </c>
      <c r="E113" s="9">
        <f>SUBTOTAL(9,E102:E112)</f>
        <v>258307.3</v>
      </c>
    </row>
    <row r="114" spans="1:5" outlineLevel="2" x14ac:dyDescent="0.25">
      <c r="A114" s="3" t="s">
        <v>172</v>
      </c>
      <c r="B114" s="3" t="s">
        <v>125</v>
      </c>
      <c r="C114" s="3" t="s">
        <v>173</v>
      </c>
      <c r="D114" s="4" t="s">
        <v>174</v>
      </c>
      <c r="E114" s="5">
        <f>ROUND(61140,2)</f>
        <v>61140</v>
      </c>
    </row>
    <row r="115" spans="1:5" outlineLevel="2" x14ac:dyDescent="0.25">
      <c r="A115" s="3" t="s">
        <v>172</v>
      </c>
      <c r="B115" s="3" t="s">
        <v>175</v>
      </c>
      <c r="C115" s="3" t="s">
        <v>11</v>
      </c>
      <c r="D115" s="4" t="s">
        <v>176</v>
      </c>
      <c r="E115" s="5">
        <f>ROUND(18359.38,2)</f>
        <v>18359.38</v>
      </c>
    </row>
    <row r="116" spans="1:5" outlineLevel="2" x14ac:dyDescent="0.25">
      <c r="A116" s="3" t="s">
        <v>172</v>
      </c>
      <c r="B116" s="3" t="s">
        <v>175</v>
      </c>
      <c r="C116" s="3" t="s">
        <v>15</v>
      </c>
      <c r="D116" s="4" t="s">
        <v>177</v>
      </c>
      <c r="E116" s="5">
        <f>ROUND(6495.05,2)</f>
        <v>6495.05</v>
      </c>
    </row>
    <row r="117" spans="1:5" outlineLevel="2" x14ac:dyDescent="0.25">
      <c r="A117" s="3" t="s">
        <v>172</v>
      </c>
      <c r="B117" s="3" t="s">
        <v>175</v>
      </c>
      <c r="C117" s="3" t="s">
        <v>17</v>
      </c>
      <c r="D117" s="4" t="s">
        <v>178</v>
      </c>
      <c r="E117" s="5">
        <f>ROUND(8928.57,2)</f>
        <v>8928.57</v>
      </c>
    </row>
    <row r="118" spans="1:5" outlineLevel="2" x14ac:dyDescent="0.25">
      <c r="A118" s="3" t="s">
        <v>172</v>
      </c>
      <c r="B118" s="3" t="s">
        <v>175</v>
      </c>
      <c r="C118" s="3" t="s">
        <v>19</v>
      </c>
      <c r="D118" s="4" t="s">
        <v>179</v>
      </c>
      <c r="E118" s="5">
        <f>ROUND(19553.88,2)</f>
        <v>19553.88</v>
      </c>
    </row>
    <row r="119" spans="1:5" outlineLevel="2" x14ac:dyDescent="0.25">
      <c r="A119" s="3" t="s">
        <v>172</v>
      </c>
      <c r="B119" s="3" t="s">
        <v>175</v>
      </c>
      <c r="C119" s="3" t="s">
        <v>21</v>
      </c>
      <c r="D119" s="4" t="s">
        <v>180</v>
      </c>
      <c r="E119" s="5">
        <f>ROUND(2096.78,2)</f>
        <v>2096.7800000000002</v>
      </c>
    </row>
    <row r="120" spans="1:5" outlineLevel="2" x14ac:dyDescent="0.25">
      <c r="A120" s="3" t="s">
        <v>172</v>
      </c>
      <c r="B120" s="3" t="s">
        <v>175</v>
      </c>
      <c r="C120" s="3" t="s">
        <v>8</v>
      </c>
      <c r="D120" s="4" t="s">
        <v>181</v>
      </c>
      <c r="E120" s="5">
        <f>ROUND(15094.27,2)</f>
        <v>15094.27</v>
      </c>
    </row>
    <row r="121" spans="1:5" outlineLevel="2" x14ac:dyDescent="0.25">
      <c r="A121" s="3" t="s">
        <v>172</v>
      </c>
      <c r="B121" s="3" t="s">
        <v>10</v>
      </c>
      <c r="C121" s="3" t="s">
        <v>53</v>
      </c>
      <c r="D121" s="4" t="s">
        <v>182</v>
      </c>
      <c r="E121" s="5">
        <f>ROUND(8324.43,2)</f>
        <v>8324.43</v>
      </c>
    </row>
    <row r="122" spans="1:5" outlineLevel="2" x14ac:dyDescent="0.25">
      <c r="A122" s="3" t="s">
        <v>172</v>
      </c>
      <c r="B122" s="3" t="s">
        <v>10</v>
      </c>
      <c r="C122" s="3" t="s">
        <v>55</v>
      </c>
      <c r="D122" s="4" t="s">
        <v>183</v>
      </c>
      <c r="E122" s="5">
        <f>ROUND(27787.55,2)</f>
        <v>27787.55</v>
      </c>
    </row>
    <row r="123" spans="1:5" outlineLevel="2" x14ac:dyDescent="0.25">
      <c r="A123" s="3" t="s">
        <v>172</v>
      </c>
      <c r="B123" s="3" t="s">
        <v>10</v>
      </c>
      <c r="C123" s="3" t="s">
        <v>21</v>
      </c>
      <c r="D123" s="4" t="s">
        <v>184</v>
      </c>
      <c r="E123" s="5">
        <f>ROUND(2749.13,2)</f>
        <v>2749.13</v>
      </c>
    </row>
    <row r="124" spans="1:5" outlineLevel="2" x14ac:dyDescent="0.25">
      <c r="A124" s="3" t="s">
        <v>172</v>
      </c>
      <c r="B124" s="3" t="s">
        <v>10</v>
      </c>
      <c r="C124" s="3" t="s">
        <v>8</v>
      </c>
      <c r="D124" s="4" t="s">
        <v>185</v>
      </c>
      <c r="E124" s="5">
        <f>ROUND(9884.67,2)</f>
        <v>9884.67</v>
      </c>
    </row>
    <row r="125" spans="1:5" outlineLevel="1" x14ac:dyDescent="0.25">
      <c r="A125" s="6"/>
      <c r="B125" s="7"/>
      <c r="C125" s="7"/>
      <c r="D125" s="8" t="s">
        <v>186</v>
      </c>
      <c r="E125" s="9">
        <f>SUBTOTAL(9,E114:E124)</f>
        <v>180413.71</v>
      </c>
    </row>
    <row r="126" spans="1:5" outlineLevel="2" x14ac:dyDescent="0.25">
      <c r="A126" s="3" t="s">
        <v>187</v>
      </c>
      <c r="B126" s="3" t="s">
        <v>125</v>
      </c>
      <c r="C126" s="3" t="s">
        <v>188</v>
      </c>
      <c r="D126" s="4" t="s">
        <v>189</v>
      </c>
      <c r="E126" s="5">
        <f>ROUND(297932,2)</f>
        <v>297932</v>
      </c>
    </row>
    <row r="127" spans="1:5" outlineLevel="2" x14ac:dyDescent="0.25">
      <c r="A127" s="3" t="s">
        <v>187</v>
      </c>
      <c r="B127" s="3" t="s">
        <v>125</v>
      </c>
      <c r="C127" s="3" t="s">
        <v>169</v>
      </c>
      <c r="D127" s="4" t="s">
        <v>190</v>
      </c>
      <c r="E127" s="5">
        <f>ROUND(219537,2)</f>
        <v>219537</v>
      </c>
    </row>
    <row r="128" spans="1:5" outlineLevel="2" x14ac:dyDescent="0.25">
      <c r="A128" s="3" t="s">
        <v>187</v>
      </c>
      <c r="B128" s="3" t="s">
        <v>175</v>
      </c>
      <c r="C128" s="3" t="s">
        <v>11</v>
      </c>
      <c r="D128" s="4" t="s">
        <v>191</v>
      </c>
      <c r="E128" s="5">
        <f>ROUND(20574.45,2)</f>
        <v>20574.45</v>
      </c>
    </row>
    <row r="129" spans="1:5" outlineLevel="2" x14ac:dyDescent="0.25">
      <c r="A129" s="3" t="s">
        <v>187</v>
      </c>
      <c r="B129" s="3" t="s">
        <v>175</v>
      </c>
      <c r="C129" s="3" t="s">
        <v>28</v>
      </c>
      <c r="D129" s="4" t="s">
        <v>192</v>
      </c>
      <c r="E129" s="5">
        <f>ROUND(32288.6,2)</f>
        <v>32288.6</v>
      </c>
    </row>
    <row r="130" spans="1:5" outlineLevel="2" x14ac:dyDescent="0.25">
      <c r="A130" s="3" t="s">
        <v>187</v>
      </c>
      <c r="B130" s="3" t="s">
        <v>175</v>
      </c>
      <c r="C130" s="3" t="s">
        <v>13</v>
      </c>
      <c r="D130" s="4" t="s">
        <v>193</v>
      </c>
      <c r="E130" s="5">
        <f>ROUND(24729.44,2)</f>
        <v>24729.439999999999</v>
      </c>
    </row>
    <row r="131" spans="1:5" outlineLevel="2" x14ac:dyDescent="0.25">
      <c r="A131" s="3" t="s">
        <v>187</v>
      </c>
      <c r="B131" s="3" t="s">
        <v>175</v>
      </c>
      <c r="C131" s="3" t="s">
        <v>15</v>
      </c>
      <c r="D131" s="4" t="s">
        <v>194</v>
      </c>
      <c r="E131" s="5">
        <f>ROUND(20571.31,2)</f>
        <v>20571.310000000001</v>
      </c>
    </row>
    <row r="132" spans="1:5" outlineLevel="2" x14ac:dyDescent="0.25">
      <c r="A132" s="3" t="s">
        <v>187</v>
      </c>
      <c r="B132" s="3" t="s">
        <v>175</v>
      </c>
      <c r="C132" s="3" t="s">
        <v>17</v>
      </c>
      <c r="D132" s="4" t="s">
        <v>195</v>
      </c>
      <c r="E132" s="5">
        <f>ROUND(39979.52,2)</f>
        <v>39979.519999999997</v>
      </c>
    </row>
    <row r="133" spans="1:5" outlineLevel="2" x14ac:dyDescent="0.25">
      <c r="A133" s="3" t="s">
        <v>187</v>
      </c>
      <c r="B133" s="3" t="s">
        <v>175</v>
      </c>
      <c r="C133" s="3" t="s">
        <v>19</v>
      </c>
      <c r="D133" s="4" t="s">
        <v>196</v>
      </c>
      <c r="E133" s="5">
        <f>ROUND(96732.49,2)</f>
        <v>96732.49</v>
      </c>
    </row>
    <row r="134" spans="1:5" outlineLevel="2" x14ac:dyDescent="0.25">
      <c r="A134" s="3" t="s">
        <v>187</v>
      </c>
      <c r="B134" s="3" t="s">
        <v>175</v>
      </c>
      <c r="C134" s="3" t="s">
        <v>21</v>
      </c>
      <c r="D134" s="4" t="s">
        <v>197</v>
      </c>
      <c r="E134" s="5">
        <f>ROUND(10392.92,2)</f>
        <v>10392.92</v>
      </c>
    </row>
    <row r="135" spans="1:5" outlineLevel="2" x14ac:dyDescent="0.25">
      <c r="A135" s="3" t="s">
        <v>187</v>
      </c>
      <c r="B135" s="3" t="s">
        <v>175</v>
      </c>
      <c r="C135" s="3" t="s">
        <v>8</v>
      </c>
      <c r="D135" s="4" t="s">
        <v>198</v>
      </c>
      <c r="E135" s="5">
        <f>ROUND(65879.94,2)</f>
        <v>65879.94</v>
      </c>
    </row>
    <row r="136" spans="1:5" outlineLevel="1" x14ac:dyDescent="0.25">
      <c r="A136" s="6"/>
      <c r="B136" s="7"/>
      <c r="C136" s="7"/>
      <c r="D136" s="8" t="s">
        <v>199</v>
      </c>
      <c r="E136" s="9">
        <f>SUBTOTAL(9,E126:E135)</f>
        <v>828617.66999999993</v>
      </c>
    </row>
    <row r="137" spans="1:5" outlineLevel="2" x14ac:dyDescent="0.25">
      <c r="A137" s="3" t="s">
        <v>200</v>
      </c>
      <c r="B137" s="3" t="s">
        <v>10</v>
      </c>
      <c r="C137" s="3" t="s">
        <v>53</v>
      </c>
      <c r="D137" s="4" t="s">
        <v>201</v>
      </c>
      <c r="E137" s="5">
        <f>ROUND(16648.86,2)</f>
        <v>16648.86</v>
      </c>
    </row>
    <row r="138" spans="1:5" outlineLevel="2" x14ac:dyDescent="0.25">
      <c r="A138" s="3" t="s">
        <v>200</v>
      </c>
      <c r="B138" s="3" t="s">
        <v>10</v>
      </c>
      <c r="C138" s="3" t="s">
        <v>55</v>
      </c>
      <c r="D138" s="4" t="s">
        <v>202</v>
      </c>
      <c r="E138" s="5">
        <f>ROUND(49138.57,2)</f>
        <v>49138.57</v>
      </c>
    </row>
    <row r="139" spans="1:5" outlineLevel="2" x14ac:dyDescent="0.25">
      <c r="A139" s="3" t="s">
        <v>200</v>
      </c>
      <c r="B139" s="3" t="s">
        <v>10</v>
      </c>
      <c r="C139" s="3" t="s">
        <v>21</v>
      </c>
      <c r="D139" s="4" t="s">
        <v>203</v>
      </c>
      <c r="E139" s="5">
        <f>ROUND(5498.26,2)</f>
        <v>5498.26</v>
      </c>
    </row>
    <row r="140" spans="1:5" outlineLevel="2" x14ac:dyDescent="0.25">
      <c r="A140" s="3" t="s">
        <v>200</v>
      </c>
      <c r="B140" s="3" t="s">
        <v>10</v>
      </c>
      <c r="C140" s="3" t="s">
        <v>8</v>
      </c>
      <c r="D140" s="4" t="s">
        <v>204</v>
      </c>
      <c r="E140" s="5">
        <f>ROUND(19738.18,2)</f>
        <v>19738.18</v>
      </c>
    </row>
    <row r="141" spans="1:5" outlineLevel="2" x14ac:dyDescent="0.25">
      <c r="A141" s="3" t="s">
        <v>200</v>
      </c>
      <c r="B141" s="3" t="s">
        <v>205</v>
      </c>
      <c r="C141" s="3" t="s">
        <v>132</v>
      </c>
      <c r="D141" s="4" t="s">
        <v>206</v>
      </c>
      <c r="E141" s="5">
        <f>ROUND(141515,2)</f>
        <v>141515</v>
      </c>
    </row>
    <row r="142" spans="1:5" outlineLevel="2" x14ac:dyDescent="0.25">
      <c r="A142" s="3" t="s">
        <v>200</v>
      </c>
      <c r="B142" s="3" t="s">
        <v>207</v>
      </c>
      <c r="C142" s="3" t="s">
        <v>123</v>
      </c>
      <c r="D142" s="4" t="s">
        <v>208</v>
      </c>
      <c r="E142" s="5">
        <f>ROUND(3000,2)</f>
        <v>3000</v>
      </c>
    </row>
    <row r="143" spans="1:5" outlineLevel="1" x14ac:dyDescent="0.25">
      <c r="A143" s="6"/>
      <c r="B143" s="7"/>
      <c r="C143" s="7"/>
      <c r="D143" s="8" t="s">
        <v>209</v>
      </c>
      <c r="E143" s="9">
        <f>SUBTOTAL(9,E137:E142)</f>
        <v>235538.87</v>
      </c>
    </row>
    <row r="144" spans="1:5" outlineLevel="2" x14ac:dyDescent="0.25">
      <c r="A144" s="3" t="s">
        <v>210</v>
      </c>
      <c r="B144" s="3" t="s">
        <v>207</v>
      </c>
      <c r="C144" s="3" t="s">
        <v>11</v>
      </c>
      <c r="D144" s="4" t="s">
        <v>211</v>
      </c>
      <c r="E144" s="5">
        <f>ROUND(18359.38,2)</f>
        <v>18359.38</v>
      </c>
    </row>
    <row r="145" spans="1:5" outlineLevel="2" x14ac:dyDescent="0.25">
      <c r="A145" s="3" t="s">
        <v>210</v>
      </c>
      <c r="B145" s="3" t="s">
        <v>207</v>
      </c>
      <c r="C145" s="3" t="s">
        <v>28</v>
      </c>
      <c r="D145" s="4" t="s">
        <v>212</v>
      </c>
      <c r="E145" s="5">
        <f>ROUND(16144.3,2)</f>
        <v>16144.3</v>
      </c>
    </row>
    <row r="146" spans="1:5" outlineLevel="2" x14ac:dyDescent="0.25">
      <c r="A146" s="3" t="s">
        <v>210</v>
      </c>
      <c r="B146" s="3" t="s">
        <v>207</v>
      </c>
      <c r="C146" s="3" t="s">
        <v>13</v>
      </c>
      <c r="D146" s="4" t="s">
        <v>213</v>
      </c>
      <c r="E146" s="5">
        <f>ROUND(86553.04,2)</f>
        <v>86553.04</v>
      </c>
    </row>
    <row r="147" spans="1:5" outlineLevel="2" x14ac:dyDescent="0.25">
      <c r="A147" s="3" t="s">
        <v>210</v>
      </c>
      <c r="B147" s="3" t="s">
        <v>207</v>
      </c>
      <c r="C147" s="3" t="s">
        <v>214</v>
      </c>
      <c r="D147" s="4" t="s">
        <v>215</v>
      </c>
      <c r="E147" s="5">
        <f>ROUND(52403.5,2)</f>
        <v>52403.5</v>
      </c>
    </row>
    <row r="148" spans="1:5" outlineLevel="2" x14ac:dyDescent="0.25">
      <c r="A148" s="3" t="s">
        <v>210</v>
      </c>
      <c r="B148" s="3" t="s">
        <v>207</v>
      </c>
      <c r="C148" s="3" t="s">
        <v>216</v>
      </c>
      <c r="D148" s="4" t="s">
        <v>217</v>
      </c>
      <c r="E148" s="5">
        <f>ROUND(9605.14,2)</f>
        <v>9605.14</v>
      </c>
    </row>
    <row r="149" spans="1:5" outlineLevel="2" x14ac:dyDescent="0.25">
      <c r="A149" s="3" t="s">
        <v>210</v>
      </c>
      <c r="B149" s="3" t="s">
        <v>207</v>
      </c>
      <c r="C149" s="3" t="s">
        <v>15</v>
      </c>
      <c r="D149" s="4" t="s">
        <v>218</v>
      </c>
      <c r="E149" s="5">
        <f>ROUND(31663.21,2)</f>
        <v>31663.21</v>
      </c>
    </row>
    <row r="150" spans="1:5" outlineLevel="2" x14ac:dyDescent="0.25">
      <c r="A150" s="3" t="s">
        <v>210</v>
      </c>
      <c r="B150" s="3" t="s">
        <v>207</v>
      </c>
      <c r="C150" s="3" t="s">
        <v>17</v>
      </c>
      <c r="D150" s="4" t="s">
        <v>219</v>
      </c>
      <c r="E150" s="5">
        <f>ROUND(91285.96,2)</f>
        <v>91285.96</v>
      </c>
    </row>
    <row r="151" spans="1:5" outlineLevel="2" x14ac:dyDescent="0.25">
      <c r="A151" s="3" t="s">
        <v>210</v>
      </c>
      <c r="B151" s="3" t="s">
        <v>207</v>
      </c>
      <c r="C151" s="3" t="s">
        <v>19</v>
      </c>
      <c r="D151" s="4" t="s">
        <v>220</v>
      </c>
      <c r="E151" s="5">
        <f>ROUND(226340.3,2)</f>
        <v>226340.3</v>
      </c>
    </row>
    <row r="152" spans="1:5" outlineLevel="2" x14ac:dyDescent="0.25">
      <c r="A152" s="3" t="s">
        <v>210</v>
      </c>
      <c r="B152" s="3" t="s">
        <v>207</v>
      </c>
      <c r="C152" s="3" t="s">
        <v>21</v>
      </c>
      <c r="D152" s="4" t="s">
        <v>221</v>
      </c>
      <c r="E152" s="5">
        <f>ROUND(29298.7,2)</f>
        <v>29298.7</v>
      </c>
    </row>
    <row r="153" spans="1:5" outlineLevel="2" x14ac:dyDescent="0.25">
      <c r="A153" s="3" t="s">
        <v>210</v>
      </c>
      <c r="B153" s="3" t="s">
        <v>207</v>
      </c>
      <c r="C153" s="3" t="s">
        <v>8</v>
      </c>
      <c r="D153" s="4" t="s">
        <v>222</v>
      </c>
      <c r="E153" s="5">
        <f>ROUND(164150.01,2)</f>
        <v>164150.01</v>
      </c>
    </row>
    <row r="154" spans="1:5" outlineLevel="2" x14ac:dyDescent="0.25">
      <c r="A154" s="3" t="s">
        <v>210</v>
      </c>
      <c r="B154" s="3" t="s">
        <v>207</v>
      </c>
      <c r="C154" s="3" t="s">
        <v>223</v>
      </c>
      <c r="D154" s="4" t="s">
        <v>224</v>
      </c>
      <c r="E154" s="5">
        <f>ROUND(545.76,2)</f>
        <v>545.76</v>
      </c>
    </row>
    <row r="155" spans="1:5" outlineLevel="1" x14ac:dyDescent="0.25">
      <c r="A155" s="6"/>
      <c r="B155" s="7"/>
      <c r="C155" s="7"/>
      <c r="D155" s="8" t="s">
        <v>225</v>
      </c>
      <c r="E155" s="9">
        <f>SUBTOTAL(9,E144:E154)</f>
        <v>726349.29999999993</v>
      </c>
    </row>
    <row r="156" spans="1:5" outlineLevel="2" x14ac:dyDescent="0.25">
      <c r="A156" s="3" t="s">
        <v>226</v>
      </c>
      <c r="B156" s="3" t="s">
        <v>205</v>
      </c>
      <c r="C156" s="3" t="s">
        <v>28</v>
      </c>
      <c r="D156" s="4" t="s">
        <v>227</v>
      </c>
      <c r="E156" s="5">
        <f>ROUND(64577.2,2)</f>
        <v>64577.2</v>
      </c>
    </row>
    <row r="157" spans="1:5" outlineLevel="2" x14ac:dyDescent="0.25">
      <c r="A157" s="3" t="s">
        <v>226</v>
      </c>
      <c r="B157" s="3" t="s">
        <v>205</v>
      </c>
      <c r="C157" s="3" t="s">
        <v>15</v>
      </c>
      <c r="D157" s="4" t="s">
        <v>228</v>
      </c>
      <c r="E157" s="5">
        <f>ROUND(8244.08,2)</f>
        <v>8244.08</v>
      </c>
    </row>
    <row r="158" spans="1:5" outlineLevel="2" x14ac:dyDescent="0.25">
      <c r="A158" s="3" t="s">
        <v>226</v>
      </c>
      <c r="B158" s="3" t="s">
        <v>205</v>
      </c>
      <c r="C158" s="3" t="s">
        <v>17</v>
      </c>
      <c r="D158" s="4" t="s">
        <v>229</v>
      </c>
      <c r="E158" s="5">
        <f>ROUND(29670.99,2)</f>
        <v>29670.99</v>
      </c>
    </row>
    <row r="159" spans="1:5" outlineLevel="2" x14ac:dyDescent="0.25">
      <c r="A159" s="3" t="s">
        <v>226</v>
      </c>
      <c r="B159" s="3" t="s">
        <v>205</v>
      </c>
      <c r="C159" s="3" t="s">
        <v>19</v>
      </c>
      <c r="D159" s="4" t="s">
        <v>230</v>
      </c>
      <c r="E159" s="5">
        <f>ROUND(64650.45,2)</f>
        <v>64650.45</v>
      </c>
    </row>
    <row r="160" spans="1:5" outlineLevel="2" x14ac:dyDescent="0.25">
      <c r="A160" s="3" t="s">
        <v>226</v>
      </c>
      <c r="B160" s="3" t="s">
        <v>205</v>
      </c>
      <c r="C160" s="3" t="s">
        <v>53</v>
      </c>
      <c r="D160" s="4" t="s">
        <v>231</v>
      </c>
      <c r="E160" s="5">
        <f>ROUND(39613.14,2)</f>
        <v>39613.14</v>
      </c>
    </row>
    <row r="161" spans="1:5" outlineLevel="2" x14ac:dyDescent="0.25">
      <c r="A161" s="3" t="s">
        <v>226</v>
      </c>
      <c r="B161" s="3" t="s">
        <v>205</v>
      </c>
      <c r="C161" s="3" t="s">
        <v>55</v>
      </c>
      <c r="D161" s="4" t="s">
        <v>232</v>
      </c>
      <c r="E161" s="5">
        <f>ROUND(29741.84,2)</f>
        <v>29741.84</v>
      </c>
    </row>
    <row r="162" spans="1:5" outlineLevel="2" x14ac:dyDescent="0.25">
      <c r="A162" s="3" t="s">
        <v>226</v>
      </c>
      <c r="B162" s="3" t="s">
        <v>205</v>
      </c>
      <c r="C162" s="3" t="s">
        <v>21</v>
      </c>
      <c r="D162" s="4" t="s">
        <v>233</v>
      </c>
      <c r="E162" s="5">
        <f>ROUND(8173.63,2)</f>
        <v>8173.63</v>
      </c>
    </row>
    <row r="163" spans="1:5" outlineLevel="2" x14ac:dyDescent="0.25">
      <c r="A163" s="3" t="s">
        <v>226</v>
      </c>
      <c r="B163" s="3" t="s">
        <v>205</v>
      </c>
      <c r="C163" s="3" t="s">
        <v>8</v>
      </c>
      <c r="D163" s="4" t="s">
        <v>234</v>
      </c>
      <c r="E163" s="5">
        <f>ROUND(74120.63,2)</f>
        <v>74120.63</v>
      </c>
    </row>
    <row r="164" spans="1:5" outlineLevel="1" x14ac:dyDescent="0.25">
      <c r="A164" s="6"/>
      <c r="B164" s="7"/>
      <c r="C164" s="7"/>
      <c r="D164" s="8" t="s">
        <v>235</v>
      </c>
      <c r="E164" s="9">
        <f>SUBTOTAL(9,E156:E163)</f>
        <v>318791.95999999996</v>
      </c>
    </row>
    <row r="165" spans="1:5" outlineLevel="2" x14ac:dyDescent="0.25">
      <c r="A165" s="3" t="s">
        <v>21</v>
      </c>
      <c r="B165" s="3" t="s">
        <v>6</v>
      </c>
      <c r="C165" s="3" t="s">
        <v>5</v>
      </c>
      <c r="D165" s="4" t="s">
        <v>236</v>
      </c>
      <c r="E165" s="5">
        <f>ROUND(141551.42,2)</f>
        <v>141551.42000000001</v>
      </c>
    </row>
    <row r="166" spans="1:5" outlineLevel="2" x14ac:dyDescent="0.25">
      <c r="A166" s="3" t="s">
        <v>21</v>
      </c>
      <c r="B166" s="3" t="s">
        <v>6</v>
      </c>
      <c r="C166" s="3" t="s">
        <v>8</v>
      </c>
      <c r="D166" s="4" t="s">
        <v>237</v>
      </c>
      <c r="E166" s="5">
        <f>ROUND(40690.7,2)</f>
        <v>40690.699999999997</v>
      </c>
    </row>
    <row r="167" spans="1:5" outlineLevel="2" x14ac:dyDescent="0.25">
      <c r="A167" s="3" t="s">
        <v>21</v>
      </c>
      <c r="B167" s="3" t="s">
        <v>10</v>
      </c>
      <c r="C167" s="3" t="s">
        <v>238</v>
      </c>
      <c r="D167" s="4" t="s">
        <v>239</v>
      </c>
      <c r="E167" s="5">
        <f>ROUND(30000,2)</f>
        <v>30000</v>
      </c>
    </row>
    <row r="168" spans="1:5" outlineLevel="2" x14ac:dyDescent="0.25">
      <c r="A168" s="3" t="s">
        <v>21</v>
      </c>
      <c r="B168" s="3" t="s">
        <v>10</v>
      </c>
      <c r="C168" s="3" t="s">
        <v>132</v>
      </c>
      <c r="D168" s="4" t="s">
        <v>240</v>
      </c>
      <c r="E168" s="5">
        <f>ROUND(47500,2)</f>
        <v>47500</v>
      </c>
    </row>
    <row r="169" spans="1:5" outlineLevel="2" x14ac:dyDescent="0.25">
      <c r="A169" s="3" t="s">
        <v>21</v>
      </c>
      <c r="B169" s="3" t="s">
        <v>10</v>
      </c>
      <c r="C169" s="3" t="s">
        <v>146</v>
      </c>
      <c r="D169" s="4" t="s">
        <v>241</v>
      </c>
      <c r="E169" s="5">
        <f>ROUND(3000,2)</f>
        <v>3000</v>
      </c>
    </row>
    <row r="170" spans="1:5" outlineLevel="2" x14ac:dyDescent="0.25">
      <c r="A170" s="3" t="s">
        <v>21</v>
      </c>
      <c r="B170" s="3" t="s">
        <v>242</v>
      </c>
      <c r="C170" s="3" t="s">
        <v>132</v>
      </c>
      <c r="D170" s="4" t="s">
        <v>243</v>
      </c>
      <c r="E170" s="5">
        <f>ROUND(10000,2)</f>
        <v>10000</v>
      </c>
    </row>
    <row r="171" spans="1:5" outlineLevel="2" x14ac:dyDescent="0.25">
      <c r="A171" s="3" t="s">
        <v>21</v>
      </c>
      <c r="B171" s="3" t="s">
        <v>205</v>
      </c>
      <c r="C171" s="3" t="s">
        <v>132</v>
      </c>
      <c r="D171" s="4" t="s">
        <v>244</v>
      </c>
      <c r="E171" s="5">
        <f>ROUND(2000,2)</f>
        <v>2000</v>
      </c>
    </row>
    <row r="172" spans="1:5" outlineLevel="2" x14ac:dyDescent="0.25">
      <c r="A172" s="3" t="s">
        <v>21</v>
      </c>
      <c r="B172" s="3" t="s">
        <v>245</v>
      </c>
      <c r="C172" s="3" t="s">
        <v>246</v>
      </c>
      <c r="D172" s="4" t="s">
        <v>247</v>
      </c>
      <c r="E172" s="5">
        <f>ROUND(442000,2)</f>
        <v>442000</v>
      </c>
    </row>
    <row r="173" spans="1:5" outlineLevel="2" x14ac:dyDescent="0.25">
      <c r="A173" s="3" t="s">
        <v>21</v>
      </c>
      <c r="B173" s="3" t="s">
        <v>40</v>
      </c>
      <c r="C173" s="3" t="s">
        <v>11</v>
      </c>
      <c r="D173" s="4" t="s">
        <v>248</v>
      </c>
      <c r="E173" s="5">
        <f>ROUND(18359.38,2)</f>
        <v>18359.38</v>
      </c>
    </row>
    <row r="174" spans="1:5" outlineLevel="2" x14ac:dyDescent="0.25">
      <c r="A174" s="3" t="s">
        <v>21</v>
      </c>
      <c r="B174" s="3" t="s">
        <v>40</v>
      </c>
      <c r="C174" s="3" t="s">
        <v>13</v>
      </c>
      <c r="D174" s="4" t="s">
        <v>249</v>
      </c>
      <c r="E174" s="5">
        <f>ROUND(12364.72,2)</f>
        <v>12364.72</v>
      </c>
    </row>
    <row r="175" spans="1:5" outlineLevel="2" x14ac:dyDescent="0.25">
      <c r="A175" s="3" t="s">
        <v>21</v>
      </c>
      <c r="B175" s="3" t="s">
        <v>40</v>
      </c>
      <c r="C175" s="3" t="s">
        <v>15</v>
      </c>
      <c r="D175" s="4" t="s">
        <v>250</v>
      </c>
      <c r="E175" s="5">
        <f>ROUND(12149.29,2)</f>
        <v>12149.29</v>
      </c>
    </row>
    <row r="176" spans="1:5" outlineLevel="2" x14ac:dyDescent="0.25">
      <c r="A176" s="3" t="s">
        <v>21</v>
      </c>
      <c r="B176" s="3" t="s">
        <v>40</v>
      </c>
      <c r="C176" s="3" t="s">
        <v>17</v>
      </c>
      <c r="D176" s="4" t="s">
        <v>251</v>
      </c>
      <c r="E176" s="5">
        <f>ROUND(20669.88,2)</f>
        <v>20669.88</v>
      </c>
    </row>
    <row r="177" spans="1:5" outlineLevel="2" x14ac:dyDescent="0.25">
      <c r="A177" s="3" t="s">
        <v>21</v>
      </c>
      <c r="B177" s="3" t="s">
        <v>40</v>
      </c>
      <c r="C177" s="3" t="s">
        <v>19</v>
      </c>
      <c r="D177" s="4" t="s">
        <v>252</v>
      </c>
      <c r="E177" s="5">
        <f>ROUND(61711.85,2)</f>
        <v>61711.85</v>
      </c>
    </row>
    <row r="178" spans="1:5" outlineLevel="2" x14ac:dyDescent="0.25">
      <c r="A178" s="3" t="s">
        <v>21</v>
      </c>
      <c r="B178" s="3" t="s">
        <v>40</v>
      </c>
      <c r="C178" s="3" t="s">
        <v>21</v>
      </c>
      <c r="D178" s="4" t="s">
        <v>253</v>
      </c>
      <c r="E178" s="5">
        <f>ROUND(9083.36,2)</f>
        <v>9083.36</v>
      </c>
    </row>
    <row r="179" spans="1:5" outlineLevel="2" x14ac:dyDescent="0.25">
      <c r="A179" s="3" t="s">
        <v>21</v>
      </c>
      <c r="B179" s="3" t="s">
        <v>40</v>
      </c>
      <c r="C179" s="3" t="s">
        <v>8</v>
      </c>
      <c r="D179" s="4" t="s">
        <v>254</v>
      </c>
      <c r="E179" s="5">
        <f>ROUND(27211.65,2)</f>
        <v>27211.65</v>
      </c>
    </row>
    <row r="180" spans="1:5" outlineLevel="2" x14ac:dyDescent="0.25">
      <c r="A180" s="3" t="s">
        <v>21</v>
      </c>
      <c r="B180" s="3" t="s">
        <v>40</v>
      </c>
      <c r="C180" s="3" t="s">
        <v>132</v>
      </c>
      <c r="D180" s="4" t="s">
        <v>255</v>
      </c>
      <c r="E180" s="5">
        <f>ROUND(3500,2)</f>
        <v>3500</v>
      </c>
    </row>
    <row r="181" spans="1:5" outlineLevel="2" x14ac:dyDescent="0.25">
      <c r="A181" s="3" t="s">
        <v>21</v>
      </c>
      <c r="B181" s="3" t="s">
        <v>40</v>
      </c>
      <c r="C181" s="3" t="s">
        <v>144</v>
      </c>
      <c r="D181" s="4" t="s">
        <v>256</v>
      </c>
      <c r="E181" s="5">
        <f>ROUND(2000,2)</f>
        <v>2000</v>
      </c>
    </row>
    <row r="182" spans="1:5" outlineLevel="1" x14ac:dyDescent="0.25">
      <c r="A182" s="6"/>
      <c r="B182" s="7"/>
      <c r="C182" s="7"/>
      <c r="D182" s="8" t="s">
        <v>257</v>
      </c>
      <c r="E182" s="9">
        <f>SUBTOTAL(9,E165:E181)</f>
        <v>883792.25</v>
      </c>
    </row>
    <row r="183" spans="1:5" outlineLevel="2" x14ac:dyDescent="0.25">
      <c r="A183" s="3" t="s">
        <v>258</v>
      </c>
      <c r="B183" s="3" t="s">
        <v>40</v>
      </c>
      <c r="C183" s="3" t="s">
        <v>11</v>
      </c>
      <c r="D183" s="4" t="s">
        <v>259</v>
      </c>
      <c r="E183" s="5">
        <f>ROUND(18359.38,2)</f>
        <v>18359.38</v>
      </c>
    </row>
    <row r="184" spans="1:5" outlineLevel="2" x14ac:dyDescent="0.25">
      <c r="A184" s="3" t="s">
        <v>258</v>
      </c>
      <c r="B184" s="3" t="s">
        <v>40</v>
      </c>
      <c r="C184" s="3" t="s">
        <v>28</v>
      </c>
      <c r="D184" s="4" t="s">
        <v>260</v>
      </c>
      <c r="E184" s="5">
        <f>ROUND(32288.6,2)</f>
        <v>32288.6</v>
      </c>
    </row>
    <row r="185" spans="1:5" outlineLevel="2" x14ac:dyDescent="0.25">
      <c r="A185" s="3" t="s">
        <v>258</v>
      </c>
      <c r="B185" s="3" t="s">
        <v>40</v>
      </c>
      <c r="C185" s="3" t="s">
        <v>15</v>
      </c>
      <c r="D185" s="4" t="s">
        <v>261</v>
      </c>
      <c r="E185" s="5">
        <f>ROUND(13949.56,2)</f>
        <v>13949.56</v>
      </c>
    </row>
    <row r="186" spans="1:5" outlineLevel="2" x14ac:dyDescent="0.25">
      <c r="A186" s="3" t="s">
        <v>258</v>
      </c>
      <c r="B186" s="3" t="s">
        <v>40</v>
      </c>
      <c r="C186" s="3" t="s">
        <v>17</v>
      </c>
      <c r="D186" s="4" t="s">
        <v>262</v>
      </c>
      <c r="E186" s="5">
        <f>ROUND(24822.55,2)</f>
        <v>24822.55</v>
      </c>
    </row>
    <row r="187" spans="1:5" outlineLevel="2" x14ac:dyDescent="0.25">
      <c r="A187" s="3" t="s">
        <v>258</v>
      </c>
      <c r="B187" s="3" t="s">
        <v>40</v>
      </c>
      <c r="C187" s="3" t="s">
        <v>19</v>
      </c>
      <c r="D187" s="4" t="s">
        <v>263</v>
      </c>
      <c r="E187" s="5">
        <f>ROUND(56479.72,2)</f>
        <v>56479.72</v>
      </c>
    </row>
    <row r="188" spans="1:5" outlineLevel="2" x14ac:dyDescent="0.25">
      <c r="A188" s="3" t="s">
        <v>258</v>
      </c>
      <c r="B188" s="3" t="s">
        <v>40</v>
      </c>
      <c r="C188" s="3" t="s">
        <v>21</v>
      </c>
      <c r="D188" s="4" t="s">
        <v>264</v>
      </c>
      <c r="E188" s="5">
        <f>ROUND(6362.88,2)</f>
        <v>6362.88</v>
      </c>
    </row>
    <row r="189" spans="1:5" outlineLevel="2" x14ac:dyDescent="0.25">
      <c r="A189" s="3" t="s">
        <v>258</v>
      </c>
      <c r="B189" s="3" t="s">
        <v>40</v>
      </c>
      <c r="C189" s="3" t="s">
        <v>265</v>
      </c>
      <c r="D189" s="4" t="s">
        <v>266</v>
      </c>
      <c r="E189" s="5">
        <f>ROUND(1696.8,2)</f>
        <v>1696.8</v>
      </c>
    </row>
    <row r="190" spans="1:5" outlineLevel="2" x14ac:dyDescent="0.25">
      <c r="A190" s="3" t="s">
        <v>258</v>
      </c>
      <c r="B190" s="3" t="s">
        <v>40</v>
      </c>
      <c r="C190" s="3" t="s">
        <v>8</v>
      </c>
      <c r="D190" s="4" t="s">
        <v>267</v>
      </c>
      <c r="E190" s="5">
        <f>ROUND(41986.72,2)</f>
        <v>41986.720000000001</v>
      </c>
    </row>
    <row r="191" spans="1:5" outlineLevel="1" x14ac:dyDescent="0.25">
      <c r="A191" s="6"/>
      <c r="B191" s="7"/>
      <c r="C191" s="7"/>
      <c r="D191" s="8" t="s">
        <v>268</v>
      </c>
      <c r="E191" s="9">
        <f>SUBTOTAL(9,E183:E190)</f>
        <v>195946.21</v>
      </c>
    </row>
    <row r="192" spans="1:5" outlineLevel="2" x14ac:dyDescent="0.25">
      <c r="A192" s="3" t="s">
        <v>269</v>
      </c>
      <c r="B192" s="3" t="s">
        <v>270</v>
      </c>
      <c r="C192" s="3" t="s">
        <v>28</v>
      </c>
      <c r="D192" s="4" t="s">
        <v>271</v>
      </c>
      <c r="E192" s="5">
        <f>ROUND(16144.3,2)</f>
        <v>16144.3</v>
      </c>
    </row>
    <row r="193" spans="1:5" outlineLevel="2" x14ac:dyDescent="0.25">
      <c r="A193" s="3" t="s">
        <v>269</v>
      </c>
      <c r="B193" s="3" t="s">
        <v>270</v>
      </c>
      <c r="C193" s="3" t="s">
        <v>15</v>
      </c>
      <c r="D193" s="4" t="s">
        <v>272</v>
      </c>
      <c r="E193" s="5">
        <f>ROUND(593.44,2)</f>
        <v>593.44000000000005</v>
      </c>
    </row>
    <row r="194" spans="1:5" outlineLevel="2" x14ac:dyDescent="0.25">
      <c r="A194" s="3" t="s">
        <v>269</v>
      </c>
      <c r="B194" s="3" t="s">
        <v>270</v>
      </c>
      <c r="C194" s="3" t="s">
        <v>17</v>
      </c>
      <c r="D194" s="4" t="s">
        <v>273</v>
      </c>
      <c r="E194" s="5">
        <f>ROUND(15842.71,2)</f>
        <v>15842.71</v>
      </c>
    </row>
    <row r="195" spans="1:5" outlineLevel="2" x14ac:dyDescent="0.25">
      <c r="A195" s="3" t="s">
        <v>269</v>
      </c>
      <c r="B195" s="3" t="s">
        <v>270</v>
      </c>
      <c r="C195" s="3" t="s">
        <v>19</v>
      </c>
      <c r="D195" s="4" t="s">
        <v>274</v>
      </c>
      <c r="E195" s="5">
        <f>ROUND(29941.63,2)</f>
        <v>29941.63</v>
      </c>
    </row>
    <row r="196" spans="1:5" outlineLevel="2" x14ac:dyDescent="0.25">
      <c r="A196" s="3" t="s">
        <v>269</v>
      </c>
      <c r="B196" s="3" t="s">
        <v>270</v>
      </c>
      <c r="C196" s="3" t="s">
        <v>21</v>
      </c>
      <c r="D196" s="4" t="s">
        <v>275</v>
      </c>
      <c r="E196" s="5">
        <f>ROUND(2933.26,2)</f>
        <v>2933.26</v>
      </c>
    </row>
    <row r="197" spans="1:5" outlineLevel="2" x14ac:dyDescent="0.25">
      <c r="A197" s="3" t="s">
        <v>269</v>
      </c>
      <c r="B197" s="3" t="s">
        <v>270</v>
      </c>
      <c r="C197" s="3" t="s">
        <v>8</v>
      </c>
      <c r="D197" s="4" t="s">
        <v>276</v>
      </c>
      <c r="E197" s="5">
        <f>ROUND(26292.61,2)</f>
        <v>26292.61</v>
      </c>
    </row>
    <row r="198" spans="1:5" outlineLevel="2" x14ac:dyDescent="0.25">
      <c r="A198" s="3" t="s">
        <v>269</v>
      </c>
      <c r="B198" s="3" t="s">
        <v>40</v>
      </c>
      <c r="C198" s="3" t="s">
        <v>11</v>
      </c>
      <c r="D198" s="4" t="s">
        <v>277</v>
      </c>
      <c r="E198" s="5">
        <f>ROUND(18359.38,2)</f>
        <v>18359.38</v>
      </c>
    </row>
    <row r="199" spans="1:5" outlineLevel="1" x14ac:dyDescent="0.25">
      <c r="A199" s="6"/>
      <c r="B199" s="7"/>
      <c r="C199" s="7"/>
      <c r="D199" s="8" t="s">
        <v>278</v>
      </c>
      <c r="E199" s="9">
        <f>SUBTOTAL(9,E192:E198)</f>
        <v>110107.33000000002</v>
      </c>
    </row>
    <row r="200" spans="1:5" outlineLevel="2" x14ac:dyDescent="0.25">
      <c r="A200" s="3" t="s">
        <v>279</v>
      </c>
      <c r="B200" s="3" t="s">
        <v>40</v>
      </c>
      <c r="C200" s="3" t="s">
        <v>11</v>
      </c>
      <c r="D200" s="4" t="s">
        <v>280</v>
      </c>
      <c r="E200" s="5">
        <f>ROUND(55078.14,2)</f>
        <v>55078.14</v>
      </c>
    </row>
    <row r="201" spans="1:5" outlineLevel="2" x14ac:dyDescent="0.25">
      <c r="A201" s="3" t="s">
        <v>279</v>
      </c>
      <c r="B201" s="3" t="s">
        <v>40</v>
      </c>
      <c r="C201" s="3" t="s">
        <v>13</v>
      </c>
      <c r="D201" s="4" t="s">
        <v>281</v>
      </c>
      <c r="E201" s="5">
        <f>ROUND(24729.44,2)</f>
        <v>24729.439999999999</v>
      </c>
    </row>
    <row r="202" spans="1:5" outlineLevel="2" x14ac:dyDescent="0.25">
      <c r="A202" s="3" t="s">
        <v>279</v>
      </c>
      <c r="B202" s="3" t="s">
        <v>40</v>
      </c>
      <c r="C202" s="3" t="s">
        <v>15</v>
      </c>
      <c r="D202" s="4" t="s">
        <v>282</v>
      </c>
      <c r="E202" s="5">
        <f>ROUND(15883.61,2)</f>
        <v>15883.61</v>
      </c>
    </row>
    <row r="203" spans="1:5" outlineLevel="2" x14ac:dyDescent="0.25">
      <c r="A203" s="3" t="s">
        <v>279</v>
      </c>
      <c r="B203" s="3" t="s">
        <v>40</v>
      </c>
      <c r="C203" s="3" t="s">
        <v>17</v>
      </c>
      <c r="D203" s="4" t="s">
        <v>283</v>
      </c>
      <c r="E203" s="5">
        <f>ROUND(42048.42,2)</f>
        <v>42048.42</v>
      </c>
    </row>
    <row r="204" spans="1:5" outlineLevel="2" x14ac:dyDescent="0.25">
      <c r="A204" s="3" t="s">
        <v>279</v>
      </c>
      <c r="B204" s="3" t="s">
        <v>40</v>
      </c>
      <c r="C204" s="3" t="s">
        <v>19</v>
      </c>
      <c r="D204" s="4" t="s">
        <v>284</v>
      </c>
      <c r="E204" s="5">
        <f>ROUND(89115.1,2)</f>
        <v>89115.1</v>
      </c>
    </row>
    <row r="205" spans="1:5" outlineLevel="2" x14ac:dyDescent="0.25">
      <c r="A205" s="3" t="s">
        <v>279</v>
      </c>
      <c r="B205" s="3" t="s">
        <v>40</v>
      </c>
      <c r="C205" s="3" t="s">
        <v>53</v>
      </c>
      <c r="D205" s="4" t="s">
        <v>285</v>
      </c>
      <c r="E205" s="5">
        <f>ROUND(29421.55,2)</f>
        <v>29421.55</v>
      </c>
    </row>
    <row r="206" spans="1:5" outlineLevel="2" x14ac:dyDescent="0.25">
      <c r="A206" s="3" t="s">
        <v>279</v>
      </c>
      <c r="B206" s="3" t="s">
        <v>40</v>
      </c>
      <c r="C206" s="3" t="s">
        <v>55</v>
      </c>
      <c r="D206" s="4" t="s">
        <v>286</v>
      </c>
      <c r="E206" s="5">
        <f>ROUND(10667.39,2)</f>
        <v>10667.39</v>
      </c>
    </row>
    <row r="207" spans="1:5" outlineLevel="2" x14ac:dyDescent="0.25">
      <c r="A207" s="3" t="s">
        <v>279</v>
      </c>
      <c r="B207" s="3" t="s">
        <v>40</v>
      </c>
      <c r="C207" s="3" t="s">
        <v>21</v>
      </c>
      <c r="D207" s="4" t="s">
        <v>287</v>
      </c>
      <c r="E207" s="5">
        <f>ROUND(14034.19,2)</f>
        <v>14034.19</v>
      </c>
    </row>
    <row r="208" spans="1:5" outlineLevel="2" x14ac:dyDescent="0.25">
      <c r="A208" s="3" t="s">
        <v>279</v>
      </c>
      <c r="B208" s="3" t="s">
        <v>40</v>
      </c>
      <c r="C208" s="3" t="s">
        <v>8</v>
      </c>
      <c r="D208" s="4" t="s">
        <v>288</v>
      </c>
      <c r="E208" s="5">
        <f>ROUND(79130.09,2)</f>
        <v>79130.09</v>
      </c>
    </row>
    <row r="209" spans="1:5" outlineLevel="2" x14ac:dyDescent="0.25">
      <c r="A209" s="3" t="s">
        <v>279</v>
      </c>
      <c r="B209" s="3" t="s">
        <v>289</v>
      </c>
      <c r="C209" s="3" t="s">
        <v>290</v>
      </c>
      <c r="D209" s="4" t="s">
        <v>291</v>
      </c>
      <c r="E209" s="5">
        <f>ROUND(2573365,2)</f>
        <v>2573365</v>
      </c>
    </row>
    <row r="210" spans="1:5" outlineLevel="2" x14ac:dyDescent="0.25">
      <c r="A210" s="3" t="s">
        <v>279</v>
      </c>
      <c r="B210" s="3" t="s">
        <v>289</v>
      </c>
      <c r="C210" s="3" t="s">
        <v>292</v>
      </c>
      <c r="D210" s="4" t="s">
        <v>293</v>
      </c>
      <c r="E210" s="5">
        <f>ROUND(2008823,2)</f>
        <v>2008823</v>
      </c>
    </row>
    <row r="211" spans="1:5" outlineLevel="1" x14ac:dyDescent="0.25">
      <c r="A211" s="6"/>
      <c r="B211" s="7"/>
      <c r="C211" s="7"/>
      <c r="D211" s="8" t="s">
        <v>294</v>
      </c>
      <c r="E211" s="9">
        <f>SUBTOTAL(9,E200:E210)</f>
        <v>4942295.93</v>
      </c>
    </row>
    <row r="212" spans="1:5" outlineLevel="2" x14ac:dyDescent="0.25">
      <c r="A212" s="3" t="s">
        <v>295</v>
      </c>
      <c r="B212" s="3" t="s">
        <v>296</v>
      </c>
      <c r="C212" s="3" t="s">
        <v>297</v>
      </c>
      <c r="D212" s="4" t="s">
        <v>298</v>
      </c>
      <c r="E212" s="5">
        <f>ROUND(1000,2)</f>
        <v>1000</v>
      </c>
    </row>
    <row r="213" spans="1:5" outlineLevel="2" x14ac:dyDescent="0.25">
      <c r="A213" s="3" t="s">
        <v>295</v>
      </c>
      <c r="B213" s="3" t="s">
        <v>299</v>
      </c>
      <c r="C213" s="3" t="s">
        <v>300</v>
      </c>
      <c r="D213" s="4" t="s">
        <v>301</v>
      </c>
      <c r="E213" s="5">
        <f>ROUND(58000,2)</f>
        <v>58000</v>
      </c>
    </row>
    <row r="214" spans="1:5" outlineLevel="2" x14ac:dyDescent="0.25">
      <c r="A214" s="3" t="s">
        <v>295</v>
      </c>
      <c r="B214" s="3" t="s">
        <v>299</v>
      </c>
      <c r="C214" s="3" t="s">
        <v>8</v>
      </c>
      <c r="D214" s="4" t="s">
        <v>302</v>
      </c>
      <c r="E214" s="5">
        <f>ROUND(2000,2)</f>
        <v>2000</v>
      </c>
    </row>
    <row r="215" spans="1:5" outlineLevel="2" x14ac:dyDescent="0.25">
      <c r="A215" s="3" t="s">
        <v>295</v>
      </c>
      <c r="B215" s="3" t="s">
        <v>10</v>
      </c>
      <c r="C215" s="3" t="s">
        <v>300</v>
      </c>
      <c r="D215" s="4" t="s">
        <v>303</v>
      </c>
      <c r="E215" s="5">
        <f>ROUND(80000,2)</f>
        <v>80000</v>
      </c>
    </row>
    <row r="216" spans="1:5" outlineLevel="2" x14ac:dyDescent="0.25">
      <c r="A216" s="3" t="s">
        <v>295</v>
      </c>
      <c r="B216" s="3" t="s">
        <v>304</v>
      </c>
      <c r="C216" s="3" t="s">
        <v>11</v>
      </c>
      <c r="D216" s="4" t="s">
        <v>305</v>
      </c>
      <c r="E216" s="5">
        <f>ROUND(55078.14,2)</f>
        <v>55078.14</v>
      </c>
    </row>
    <row r="217" spans="1:5" outlineLevel="2" x14ac:dyDescent="0.25">
      <c r="A217" s="3" t="s">
        <v>295</v>
      </c>
      <c r="B217" s="3" t="s">
        <v>304</v>
      </c>
      <c r="C217" s="3" t="s">
        <v>28</v>
      </c>
      <c r="D217" s="4" t="s">
        <v>306</v>
      </c>
      <c r="E217" s="5">
        <f>ROUND(36324.68,2)</f>
        <v>36324.68</v>
      </c>
    </row>
    <row r="218" spans="1:5" outlineLevel="2" x14ac:dyDescent="0.25">
      <c r="A218" s="3" t="s">
        <v>295</v>
      </c>
      <c r="B218" s="3" t="s">
        <v>304</v>
      </c>
      <c r="C218" s="3" t="s">
        <v>13</v>
      </c>
      <c r="D218" s="4" t="s">
        <v>307</v>
      </c>
      <c r="E218" s="5">
        <f>ROUND(9126.11,2)</f>
        <v>9126.11</v>
      </c>
    </row>
    <row r="219" spans="1:5" outlineLevel="2" x14ac:dyDescent="0.25">
      <c r="A219" s="3" t="s">
        <v>295</v>
      </c>
      <c r="B219" s="3" t="s">
        <v>304</v>
      </c>
      <c r="C219" s="3" t="s">
        <v>15</v>
      </c>
      <c r="D219" s="4" t="s">
        <v>308</v>
      </c>
      <c r="E219" s="5">
        <f>ROUND(19271.83,2)</f>
        <v>19271.830000000002</v>
      </c>
    </row>
    <row r="220" spans="1:5" outlineLevel="2" x14ac:dyDescent="0.25">
      <c r="A220" s="3" t="s">
        <v>295</v>
      </c>
      <c r="B220" s="3" t="s">
        <v>304</v>
      </c>
      <c r="C220" s="3" t="s">
        <v>17</v>
      </c>
      <c r="D220" s="4" t="s">
        <v>309</v>
      </c>
      <c r="E220" s="5">
        <f>ROUND(60323.76,2)</f>
        <v>60323.76</v>
      </c>
    </row>
    <row r="221" spans="1:5" outlineLevel="2" x14ac:dyDescent="0.25">
      <c r="A221" s="3" t="s">
        <v>295</v>
      </c>
      <c r="B221" s="3" t="s">
        <v>304</v>
      </c>
      <c r="C221" s="3" t="s">
        <v>19</v>
      </c>
      <c r="D221" s="4" t="s">
        <v>310</v>
      </c>
      <c r="E221" s="5">
        <f>ROUND(144311.85,2)</f>
        <v>144311.85</v>
      </c>
    </row>
    <row r="222" spans="1:5" outlineLevel="2" x14ac:dyDescent="0.25">
      <c r="A222" s="3" t="s">
        <v>295</v>
      </c>
      <c r="B222" s="3" t="s">
        <v>304</v>
      </c>
      <c r="C222" s="3" t="s">
        <v>21</v>
      </c>
      <c r="D222" s="4" t="s">
        <v>311</v>
      </c>
      <c r="E222" s="5">
        <f>ROUND(15635.77,2)</f>
        <v>15635.77</v>
      </c>
    </row>
    <row r="223" spans="1:5" outlineLevel="2" x14ac:dyDescent="0.25">
      <c r="A223" s="3" t="s">
        <v>295</v>
      </c>
      <c r="B223" s="3" t="s">
        <v>304</v>
      </c>
      <c r="C223" s="3" t="s">
        <v>8</v>
      </c>
      <c r="D223" s="4" t="s">
        <v>312</v>
      </c>
      <c r="E223" s="5">
        <f>ROUND(85988.2,2)</f>
        <v>85988.2</v>
      </c>
    </row>
    <row r="224" spans="1:5" outlineLevel="2" x14ac:dyDescent="0.25">
      <c r="A224" s="3" t="s">
        <v>295</v>
      </c>
      <c r="B224" s="3" t="s">
        <v>304</v>
      </c>
      <c r="C224" s="3" t="s">
        <v>173</v>
      </c>
      <c r="D224" s="4" t="s">
        <v>313</v>
      </c>
      <c r="E224" s="5">
        <f>ROUND(30500,2)</f>
        <v>30500</v>
      </c>
    </row>
    <row r="225" spans="1:5" outlineLevel="2" x14ac:dyDescent="0.25">
      <c r="A225" s="3" t="s">
        <v>295</v>
      </c>
      <c r="B225" s="3" t="s">
        <v>304</v>
      </c>
      <c r="C225" s="3" t="s">
        <v>297</v>
      </c>
      <c r="D225" s="4" t="s">
        <v>314</v>
      </c>
      <c r="E225" s="5">
        <f>ROUND(43000,2)</f>
        <v>43000</v>
      </c>
    </row>
    <row r="226" spans="1:5" outlineLevel="1" x14ac:dyDescent="0.25">
      <c r="A226" s="6"/>
      <c r="B226" s="7"/>
      <c r="C226" s="7"/>
      <c r="D226" s="8" t="s">
        <v>315</v>
      </c>
      <c r="E226" s="9">
        <f>SUBTOTAL(9,E212:E225)</f>
        <v>640560.34</v>
      </c>
    </row>
    <row r="227" spans="1:5" outlineLevel="2" x14ac:dyDescent="0.25">
      <c r="A227" s="3" t="s">
        <v>316</v>
      </c>
      <c r="B227" s="3" t="s">
        <v>317</v>
      </c>
      <c r="C227" s="3" t="s">
        <v>173</v>
      </c>
      <c r="D227" s="4" t="s">
        <v>318</v>
      </c>
      <c r="E227" s="5">
        <f>ROUND(179150,2)</f>
        <v>179150</v>
      </c>
    </row>
    <row r="228" spans="1:5" outlineLevel="2" x14ac:dyDescent="0.25">
      <c r="A228" s="3" t="s">
        <v>316</v>
      </c>
      <c r="B228" s="3" t="s">
        <v>319</v>
      </c>
      <c r="C228" s="3" t="s">
        <v>320</v>
      </c>
      <c r="D228" s="4" t="s">
        <v>321</v>
      </c>
      <c r="E228" s="5">
        <f>ROUND(11000,2)</f>
        <v>11000</v>
      </c>
    </row>
    <row r="229" spans="1:5" outlineLevel="2" x14ac:dyDescent="0.25">
      <c r="A229" s="3" t="s">
        <v>316</v>
      </c>
      <c r="B229" s="3" t="s">
        <v>304</v>
      </c>
      <c r="C229" s="3" t="s">
        <v>11</v>
      </c>
      <c r="D229" s="4" t="s">
        <v>322</v>
      </c>
      <c r="E229" s="5">
        <f>ROUND(36718.76,2)</f>
        <v>36718.76</v>
      </c>
    </row>
    <row r="230" spans="1:5" outlineLevel="2" x14ac:dyDescent="0.25">
      <c r="A230" s="3" t="s">
        <v>316</v>
      </c>
      <c r="B230" s="3" t="s">
        <v>304</v>
      </c>
      <c r="C230" s="3" t="s">
        <v>28</v>
      </c>
      <c r="D230" s="4" t="s">
        <v>323</v>
      </c>
      <c r="E230" s="5">
        <f>ROUND(48432.9,2)</f>
        <v>48432.9</v>
      </c>
    </row>
    <row r="231" spans="1:5" outlineLevel="2" x14ac:dyDescent="0.25">
      <c r="A231" s="3" t="s">
        <v>316</v>
      </c>
      <c r="B231" s="3" t="s">
        <v>304</v>
      </c>
      <c r="C231" s="3" t="s">
        <v>13</v>
      </c>
      <c r="D231" s="4" t="s">
        <v>324</v>
      </c>
      <c r="E231" s="5">
        <f>ROUND(24729.44,2)</f>
        <v>24729.439999999999</v>
      </c>
    </row>
    <row r="232" spans="1:5" outlineLevel="2" x14ac:dyDescent="0.25">
      <c r="A232" s="3" t="s">
        <v>316</v>
      </c>
      <c r="B232" s="3" t="s">
        <v>304</v>
      </c>
      <c r="C232" s="3" t="s">
        <v>15</v>
      </c>
      <c r="D232" s="4" t="s">
        <v>325</v>
      </c>
      <c r="E232" s="5">
        <f>ROUND(11138.65,2)</f>
        <v>11138.65</v>
      </c>
    </row>
    <row r="233" spans="1:5" outlineLevel="2" x14ac:dyDescent="0.25">
      <c r="A233" s="3" t="s">
        <v>316</v>
      </c>
      <c r="B233" s="3" t="s">
        <v>304</v>
      </c>
      <c r="C233" s="3" t="s">
        <v>17</v>
      </c>
      <c r="D233" s="4" t="s">
        <v>326</v>
      </c>
      <c r="E233" s="5">
        <f>ROUND(52921.48,2)</f>
        <v>52921.48</v>
      </c>
    </row>
    <row r="234" spans="1:5" outlineLevel="2" x14ac:dyDescent="0.25">
      <c r="A234" s="3" t="s">
        <v>316</v>
      </c>
      <c r="B234" s="3" t="s">
        <v>304</v>
      </c>
      <c r="C234" s="3" t="s">
        <v>19</v>
      </c>
      <c r="D234" s="4" t="s">
        <v>327</v>
      </c>
      <c r="E234" s="5">
        <f>ROUND(116914.21,2)</f>
        <v>116914.21</v>
      </c>
    </row>
    <row r="235" spans="1:5" outlineLevel="2" x14ac:dyDescent="0.25">
      <c r="A235" s="3" t="s">
        <v>316</v>
      </c>
      <c r="B235" s="3" t="s">
        <v>304</v>
      </c>
      <c r="C235" s="3" t="s">
        <v>21</v>
      </c>
      <c r="D235" s="4" t="s">
        <v>328</v>
      </c>
      <c r="E235" s="5">
        <f>ROUND(14397.3,2)</f>
        <v>14397.3</v>
      </c>
    </row>
    <row r="236" spans="1:5" outlineLevel="2" x14ac:dyDescent="0.25">
      <c r="A236" s="3" t="s">
        <v>316</v>
      </c>
      <c r="B236" s="3" t="s">
        <v>304</v>
      </c>
      <c r="C236" s="3" t="s">
        <v>8</v>
      </c>
      <c r="D236" s="4" t="s">
        <v>329</v>
      </c>
      <c r="E236" s="5">
        <f>ROUND(90997.32,2)</f>
        <v>90997.32</v>
      </c>
    </row>
    <row r="237" spans="1:5" outlineLevel="2" x14ac:dyDescent="0.25">
      <c r="A237" s="3" t="s">
        <v>316</v>
      </c>
      <c r="B237" s="3" t="s">
        <v>304</v>
      </c>
      <c r="C237" s="3" t="s">
        <v>320</v>
      </c>
      <c r="D237" s="4" t="s">
        <v>330</v>
      </c>
      <c r="E237" s="5">
        <f>ROUND(28000,2)</f>
        <v>28000</v>
      </c>
    </row>
    <row r="238" spans="1:5" outlineLevel="1" x14ac:dyDescent="0.25">
      <c r="A238" s="6"/>
      <c r="B238" s="7"/>
      <c r="C238" s="7"/>
      <c r="D238" s="8" t="s">
        <v>331</v>
      </c>
      <c r="E238" s="9">
        <f>SUBTOTAL(9,E227:E237)</f>
        <v>614400.06000000006</v>
      </c>
    </row>
    <row r="239" spans="1:5" outlineLevel="2" x14ac:dyDescent="0.25">
      <c r="A239" s="3" t="s">
        <v>332</v>
      </c>
      <c r="B239" s="3" t="s">
        <v>115</v>
      </c>
      <c r="C239" s="3" t="s">
        <v>132</v>
      </c>
      <c r="D239" s="4" t="s">
        <v>333</v>
      </c>
      <c r="E239" s="5">
        <f>ROUND(16000,2)</f>
        <v>16000</v>
      </c>
    </row>
    <row r="240" spans="1:5" outlineLevel="2" x14ac:dyDescent="0.25">
      <c r="A240" s="3" t="s">
        <v>332</v>
      </c>
      <c r="B240" s="3" t="s">
        <v>10</v>
      </c>
      <c r="C240" s="3" t="s">
        <v>334</v>
      </c>
      <c r="D240" s="4" t="s">
        <v>335</v>
      </c>
      <c r="E240" s="5">
        <f>ROUND(20000,2)</f>
        <v>20000</v>
      </c>
    </row>
    <row r="241" spans="1:5" outlineLevel="2" x14ac:dyDescent="0.25">
      <c r="A241" s="3" t="s">
        <v>332</v>
      </c>
      <c r="B241" s="3" t="s">
        <v>10</v>
      </c>
      <c r="C241" s="3" t="s">
        <v>173</v>
      </c>
      <c r="D241" s="4" t="s">
        <v>336</v>
      </c>
      <c r="E241" s="5">
        <f>ROUND(23000,2)</f>
        <v>23000</v>
      </c>
    </row>
    <row r="242" spans="1:5" outlineLevel="2" x14ac:dyDescent="0.25">
      <c r="A242" s="3" t="s">
        <v>332</v>
      </c>
      <c r="B242" s="3" t="s">
        <v>304</v>
      </c>
      <c r="C242" s="3" t="s">
        <v>11</v>
      </c>
      <c r="D242" s="4" t="s">
        <v>337</v>
      </c>
      <c r="E242" s="5">
        <f>ROUND(36718.76,2)</f>
        <v>36718.76</v>
      </c>
    </row>
    <row r="243" spans="1:5" outlineLevel="2" x14ac:dyDescent="0.25">
      <c r="A243" s="3" t="s">
        <v>332</v>
      </c>
      <c r="B243" s="3" t="s">
        <v>304</v>
      </c>
      <c r="C243" s="3" t="s">
        <v>28</v>
      </c>
      <c r="D243" s="4" t="s">
        <v>338</v>
      </c>
      <c r="E243" s="5">
        <f>ROUND(32288.6,2)</f>
        <v>32288.6</v>
      </c>
    </row>
    <row r="244" spans="1:5" outlineLevel="2" x14ac:dyDescent="0.25">
      <c r="A244" s="3" t="s">
        <v>332</v>
      </c>
      <c r="B244" s="3" t="s">
        <v>304</v>
      </c>
      <c r="C244" s="3" t="s">
        <v>13</v>
      </c>
      <c r="D244" s="4" t="s">
        <v>339</v>
      </c>
      <c r="E244" s="5">
        <f>ROUND(12364.72,2)</f>
        <v>12364.72</v>
      </c>
    </row>
    <row r="245" spans="1:5" outlineLevel="2" x14ac:dyDescent="0.25">
      <c r="A245" s="3" t="s">
        <v>332</v>
      </c>
      <c r="B245" s="3" t="s">
        <v>304</v>
      </c>
      <c r="C245" s="3" t="s">
        <v>15</v>
      </c>
      <c r="D245" s="4" t="s">
        <v>340</v>
      </c>
      <c r="E245" s="5">
        <f>ROUND(8018.65,2)</f>
        <v>8018.65</v>
      </c>
    </row>
    <row r="246" spans="1:5" outlineLevel="2" x14ac:dyDescent="0.25">
      <c r="A246" s="3" t="s">
        <v>332</v>
      </c>
      <c r="B246" s="3" t="s">
        <v>304</v>
      </c>
      <c r="C246" s="3" t="s">
        <v>17</v>
      </c>
      <c r="D246" s="4" t="s">
        <v>341</v>
      </c>
      <c r="E246" s="5">
        <f>ROUND(38307.09,2)</f>
        <v>38307.089999999997</v>
      </c>
    </row>
    <row r="247" spans="1:5" outlineLevel="2" x14ac:dyDescent="0.25">
      <c r="A247" s="3" t="s">
        <v>332</v>
      </c>
      <c r="B247" s="3" t="s">
        <v>304</v>
      </c>
      <c r="C247" s="3" t="s">
        <v>19</v>
      </c>
      <c r="D247" s="4" t="s">
        <v>342</v>
      </c>
      <c r="E247" s="5">
        <f>ROUND(82134.64,2)</f>
        <v>82134.64</v>
      </c>
    </row>
    <row r="248" spans="1:5" outlineLevel="2" x14ac:dyDescent="0.25">
      <c r="A248" s="3" t="s">
        <v>332</v>
      </c>
      <c r="B248" s="3" t="s">
        <v>304</v>
      </c>
      <c r="C248" s="3" t="s">
        <v>21</v>
      </c>
      <c r="D248" s="4" t="s">
        <v>343</v>
      </c>
      <c r="E248" s="5">
        <f>ROUND(10328.96,2)</f>
        <v>10328.959999999999</v>
      </c>
    </row>
    <row r="249" spans="1:5" outlineLevel="2" x14ac:dyDescent="0.25">
      <c r="A249" s="3" t="s">
        <v>332</v>
      </c>
      <c r="B249" s="3" t="s">
        <v>304</v>
      </c>
      <c r="C249" s="3" t="s">
        <v>8</v>
      </c>
      <c r="D249" s="4" t="s">
        <v>344</v>
      </c>
      <c r="E249" s="5">
        <f>ROUND(62897.57,2)</f>
        <v>62897.57</v>
      </c>
    </row>
    <row r="250" spans="1:5" outlineLevel="2" x14ac:dyDescent="0.25">
      <c r="A250" s="3" t="s">
        <v>332</v>
      </c>
      <c r="B250" s="3" t="s">
        <v>304</v>
      </c>
      <c r="C250" s="3" t="s">
        <v>100</v>
      </c>
      <c r="D250" s="4" t="s">
        <v>345</v>
      </c>
      <c r="E250" s="5">
        <f>ROUND(29850,2)</f>
        <v>29850</v>
      </c>
    </row>
    <row r="251" spans="1:5" outlineLevel="2" x14ac:dyDescent="0.25">
      <c r="A251" s="3" t="s">
        <v>332</v>
      </c>
      <c r="B251" s="3" t="s">
        <v>304</v>
      </c>
      <c r="C251" s="3" t="s">
        <v>346</v>
      </c>
      <c r="D251" s="4" t="s">
        <v>347</v>
      </c>
      <c r="E251" s="5">
        <f>ROUND(3000,2)</f>
        <v>3000</v>
      </c>
    </row>
    <row r="252" spans="1:5" outlineLevel="1" x14ac:dyDescent="0.25">
      <c r="A252" s="6"/>
      <c r="B252" s="7"/>
      <c r="C252" s="7"/>
      <c r="D252" s="8" t="s">
        <v>348</v>
      </c>
      <c r="E252" s="9">
        <f>SUBTOTAL(9,E239:E251)</f>
        <v>374908.99000000005</v>
      </c>
    </row>
    <row r="253" spans="1:5" outlineLevel="2" x14ac:dyDescent="0.25">
      <c r="A253" s="3" t="s">
        <v>349</v>
      </c>
      <c r="B253" s="3" t="s">
        <v>10</v>
      </c>
      <c r="C253" s="3" t="s">
        <v>350</v>
      </c>
      <c r="D253" s="4" t="s">
        <v>351</v>
      </c>
      <c r="E253" s="5">
        <f>ROUND(455400,2)</f>
        <v>455400</v>
      </c>
    </row>
    <row r="254" spans="1:5" outlineLevel="2" x14ac:dyDescent="0.25">
      <c r="A254" s="3" t="s">
        <v>349</v>
      </c>
      <c r="B254" s="3" t="s">
        <v>10</v>
      </c>
      <c r="C254" s="3" t="s">
        <v>352</v>
      </c>
      <c r="D254" s="4" t="s">
        <v>353</v>
      </c>
      <c r="E254" s="5">
        <f>ROUND(2000,2)</f>
        <v>2000</v>
      </c>
    </row>
    <row r="255" spans="1:5" outlineLevel="2" x14ac:dyDescent="0.25">
      <c r="A255" s="3" t="s">
        <v>349</v>
      </c>
      <c r="B255" s="3" t="s">
        <v>10</v>
      </c>
      <c r="C255" s="3" t="s">
        <v>354</v>
      </c>
      <c r="D255" s="4" t="s">
        <v>355</v>
      </c>
      <c r="E255" s="5">
        <f>ROUND(80000,2)</f>
        <v>80000</v>
      </c>
    </row>
    <row r="256" spans="1:5" outlineLevel="2" x14ac:dyDescent="0.25">
      <c r="A256" s="3" t="s">
        <v>349</v>
      </c>
      <c r="B256" s="3" t="s">
        <v>10</v>
      </c>
      <c r="C256" s="3" t="s">
        <v>356</v>
      </c>
      <c r="D256" s="4" t="s">
        <v>357</v>
      </c>
      <c r="E256" s="5">
        <f>ROUND(27000,2)</f>
        <v>27000</v>
      </c>
    </row>
    <row r="257" spans="1:5" outlineLevel="2" x14ac:dyDescent="0.25">
      <c r="A257" s="3" t="s">
        <v>349</v>
      </c>
      <c r="B257" s="3" t="s">
        <v>10</v>
      </c>
      <c r="C257" s="3" t="s">
        <v>358</v>
      </c>
      <c r="D257" s="4" t="s">
        <v>359</v>
      </c>
      <c r="E257" s="5">
        <f>ROUND(26000,2)</f>
        <v>26000</v>
      </c>
    </row>
    <row r="258" spans="1:5" outlineLevel="2" x14ac:dyDescent="0.25">
      <c r="A258" s="3" t="s">
        <v>349</v>
      </c>
      <c r="B258" s="3" t="s">
        <v>360</v>
      </c>
      <c r="C258" s="3" t="s">
        <v>11</v>
      </c>
      <c r="D258" s="4" t="s">
        <v>361</v>
      </c>
      <c r="E258" s="5">
        <f>ROUND(123925.82,2)</f>
        <v>123925.82</v>
      </c>
    </row>
    <row r="259" spans="1:5" outlineLevel="2" x14ac:dyDescent="0.25">
      <c r="A259" s="3" t="s">
        <v>349</v>
      </c>
      <c r="B259" s="3" t="s">
        <v>360</v>
      </c>
      <c r="C259" s="3" t="s">
        <v>28</v>
      </c>
      <c r="D259" s="4" t="s">
        <v>362</v>
      </c>
      <c r="E259" s="5">
        <f>ROUND(16144.3,2)</f>
        <v>16144.3</v>
      </c>
    </row>
    <row r="260" spans="1:5" outlineLevel="2" x14ac:dyDescent="0.25">
      <c r="A260" s="3" t="s">
        <v>349</v>
      </c>
      <c r="B260" s="3" t="s">
        <v>360</v>
      </c>
      <c r="C260" s="3" t="s">
        <v>13</v>
      </c>
      <c r="D260" s="4" t="s">
        <v>363</v>
      </c>
      <c r="E260" s="5">
        <f>ROUND(12364.72,2)</f>
        <v>12364.72</v>
      </c>
    </row>
    <row r="261" spans="1:5" outlineLevel="2" x14ac:dyDescent="0.25">
      <c r="A261" s="3" t="s">
        <v>349</v>
      </c>
      <c r="B261" s="3" t="s">
        <v>360</v>
      </c>
      <c r="C261" s="3" t="s">
        <v>214</v>
      </c>
      <c r="D261" s="4" t="s">
        <v>364</v>
      </c>
      <c r="E261" s="5">
        <f>ROUND(10480.7,2)</f>
        <v>10480.700000000001</v>
      </c>
    </row>
    <row r="262" spans="1:5" outlineLevel="2" x14ac:dyDescent="0.25">
      <c r="A262" s="3" t="s">
        <v>349</v>
      </c>
      <c r="B262" s="3" t="s">
        <v>360</v>
      </c>
      <c r="C262" s="3" t="s">
        <v>15</v>
      </c>
      <c r="D262" s="4" t="s">
        <v>365</v>
      </c>
      <c r="E262" s="5">
        <f>ROUND(34488.59,2)</f>
        <v>34488.589999999997</v>
      </c>
    </row>
    <row r="263" spans="1:5" outlineLevel="2" x14ac:dyDescent="0.25">
      <c r="A263" s="3" t="s">
        <v>349</v>
      </c>
      <c r="B263" s="3" t="s">
        <v>360</v>
      </c>
      <c r="C263" s="3" t="s">
        <v>17</v>
      </c>
      <c r="D263" s="4" t="s">
        <v>366</v>
      </c>
      <c r="E263" s="5">
        <f>ROUND(93899.38,2)</f>
        <v>93899.38</v>
      </c>
    </row>
    <row r="264" spans="1:5" outlineLevel="2" x14ac:dyDescent="0.25">
      <c r="A264" s="3" t="s">
        <v>349</v>
      </c>
      <c r="B264" s="3" t="s">
        <v>360</v>
      </c>
      <c r="C264" s="3" t="s">
        <v>19</v>
      </c>
      <c r="D264" s="4" t="s">
        <v>367</v>
      </c>
      <c r="E264" s="5">
        <f>ROUND(203383.29,2)</f>
        <v>203383.29</v>
      </c>
    </row>
    <row r="265" spans="1:5" outlineLevel="2" x14ac:dyDescent="0.25">
      <c r="A265" s="3" t="s">
        <v>349</v>
      </c>
      <c r="B265" s="3" t="s">
        <v>360</v>
      </c>
      <c r="C265" s="3" t="s">
        <v>21</v>
      </c>
      <c r="D265" s="4" t="s">
        <v>368</v>
      </c>
      <c r="E265" s="5">
        <f>ROUND(28421.17,2)</f>
        <v>28421.17</v>
      </c>
    </row>
    <row r="266" spans="1:5" outlineLevel="2" x14ac:dyDescent="0.25">
      <c r="A266" s="3" t="s">
        <v>349</v>
      </c>
      <c r="B266" s="3" t="s">
        <v>360</v>
      </c>
      <c r="C266" s="3" t="s">
        <v>8</v>
      </c>
      <c r="D266" s="4" t="s">
        <v>369</v>
      </c>
      <c r="E266" s="5">
        <f>ROUND(137917.85,2)</f>
        <v>137917.85</v>
      </c>
    </row>
    <row r="267" spans="1:5" outlineLevel="2" x14ac:dyDescent="0.25">
      <c r="A267" s="3" t="s">
        <v>349</v>
      </c>
      <c r="B267" s="3" t="s">
        <v>360</v>
      </c>
      <c r="C267" s="3" t="s">
        <v>352</v>
      </c>
      <c r="D267" s="4" t="s">
        <v>370</v>
      </c>
      <c r="E267" s="5">
        <f>ROUND(75000,2)</f>
        <v>75000</v>
      </c>
    </row>
    <row r="268" spans="1:5" outlineLevel="2" x14ac:dyDescent="0.25">
      <c r="A268" s="3" t="s">
        <v>349</v>
      </c>
      <c r="B268" s="3" t="s">
        <v>360</v>
      </c>
      <c r="C268" s="3" t="s">
        <v>150</v>
      </c>
      <c r="D268" s="4" t="s">
        <v>371</v>
      </c>
      <c r="E268" s="5">
        <f>ROUND(15000,2)</f>
        <v>15000</v>
      </c>
    </row>
    <row r="269" spans="1:5" outlineLevel="2" x14ac:dyDescent="0.25">
      <c r="A269" s="3" t="s">
        <v>349</v>
      </c>
      <c r="B269" s="3" t="s">
        <v>360</v>
      </c>
      <c r="C269" s="3" t="s">
        <v>38</v>
      </c>
      <c r="D269" s="4" t="s">
        <v>372</v>
      </c>
      <c r="E269" s="5">
        <f>ROUND(55000,2)</f>
        <v>55000</v>
      </c>
    </row>
    <row r="270" spans="1:5" outlineLevel="2" x14ac:dyDescent="0.25">
      <c r="A270" s="3" t="s">
        <v>349</v>
      </c>
      <c r="B270" s="3" t="s">
        <v>373</v>
      </c>
      <c r="C270" s="3" t="s">
        <v>374</v>
      </c>
      <c r="D270" s="4" t="s">
        <v>375</v>
      </c>
      <c r="E270" s="5">
        <f>ROUND(65000,2)</f>
        <v>65000</v>
      </c>
    </row>
    <row r="271" spans="1:5" outlineLevel="2" x14ac:dyDescent="0.25">
      <c r="A271" s="3" t="s">
        <v>349</v>
      </c>
      <c r="B271" s="3" t="s">
        <v>373</v>
      </c>
      <c r="C271" s="3" t="s">
        <v>173</v>
      </c>
      <c r="D271" s="4" t="s">
        <v>376</v>
      </c>
      <c r="E271" s="5">
        <f>ROUND(143000,2)</f>
        <v>143000</v>
      </c>
    </row>
    <row r="272" spans="1:5" outlineLevel="1" x14ac:dyDescent="0.25">
      <c r="A272" s="6"/>
      <c r="B272" s="7"/>
      <c r="C272" s="7"/>
      <c r="D272" s="8" t="s">
        <v>377</v>
      </c>
      <c r="E272" s="9">
        <f>SUBTOTAL(9,E253:E271)</f>
        <v>1604425.82</v>
      </c>
    </row>
    <row r="273" spans="1:5" outlineLevel="2" x14ac:dyDescent="0.25">
      <c r="A273" s="3" t="s">
        <v>378</v>
      </c>
      <c r="B273" s="3" t="s">
        <v>379</v>
      </c>
      <c r="C273" s="3" t="s">
        <v>100</v>
      </c>
      <c r="D273" s="4" t="s">
        <v>380</v>
      </c>
      <c r="E273" s="5">
        <f>ROUND(41183,2)</f>
        <v>41183</v>
      </c>
    </row>
    <row r="274" spans="1:5" outlineLevel="2" x14ac:dyDescent="0.25">
      <c r="A274" s="3" t="s">
        <v>378</v>
      </c>
      <c r="B274" s="3" t="s">
        <v>10</v>
      </c>
      <c r="C274" s="3" t="s">
        <v>381</v>
      </c>
      <c r="D274" s="4" t="s">
        <v>382</v>
      </c>
      <c r="E274" s="5">
        <f>ROUND(38680,2)</f>
        <v>38680</v>
      </c>
    </row>
    <row r="275" spans="1:5" outlineLevel="2" x14ac:dyDescent="0.25">
      <c r="A275" s="3" t="s">
        <v>378</v>
      </c>
      <c r="B275" s="3" t="s">
        <v>10</v>
      </c>
      <c r="C275" s="3" t="s">
        <v>383</v>
      </c>
      <c r="D275" s="4" t="s">
        <v>384</v>
      </c>
      <c r="E275" s="5">
        <f>ROUND(66200,2)</f>
        <v>66200</v>
      </c>
    </row>
    <row r="276" spans="1:5" outlineLevel="2" x14ac:dyDescent="0.25">
      <c r="A276" s="3" t="s">
        <v>378</v>
      </c>
      <c r="B276" s="3" t="s">
        <v>10</v>
      </c>
      <c r="C276" s="3" t="s">
        <v>385</v>
      </c>
      <c r="D276" s="4" t="s">
        <v>386</v>
      </c>
      <c r="E276" s="5">
        <f>ROUND(41597,2)</f>
        <v>41597</v>
      </c>
    </row>
    <row r="277" spans="1:5" outlineLevel="2" x14ac:dyDescent="0.25">
      <c r="A277" s="3" t="s">
        <v>378</v>
      </c>
      <c r="B277" s="3" t="s">
        <v>10</v>
      </c>
      <c r="C277" s="3" t="s">
        <v>387</v>
      </c>
      <c r="D277" s="4" t="s">
        <v>388</v>
      </c>
      <c r="E277" s="5">
        <f>ROUND(50000,2)</f>
        <v>50000</v>
      </c>
    </row>
    <row r="278" spans="1:5" outlineLevel="2" x14ac:dyDescent="0.25">
      <c r="A278" s="3" t="s">
        <v>378</v>
      </c>
      <c r="B278" s="3" t="s">
        <v>10</v>
      </c>
      <c r="C278" s="3" t="s">
        <v>389</v>
      </c>
      <c r="D278" s="4" t="s">
        <v>390</v>
      </c>
      <c r="E278" s="5">
        <f>ROUND(2000,2)</f>
        <v>2000</v>
      </c>
    </row>
    <row r="279" spans="1:5" outlineLevel="2" x14ac:dyDescent="0.25">
      <c r="A279" s="3" t="s">
        <v>378</v>
      </c>
      <c r="B279" s="3" t="s">
        <v>360</v>
      </c>
      <c r="C279" s="3" t="s">
        <v>11</v>
      </c>
      <c r="D279" s="4" t="s">
        <v>391</v>
      </c>
      <c r="E279" s="5">
        <f>ROUND(110156.28,2)</f>
        <v>110156.28</v>
      </c>
    </row>
    <row r="280" spans="1:5" outlineLevel="2" x14ac:dyDescent="0.25">
      <c r="A280" s="3" t="s">
        <v>378</v>
      </c>
      <c r="B280" s="3" t="s">
        <v>360</v>
      </c>
      <c r="C280" s="3" t="s">
        <v>28</v>
      </c>
      <c r="D280" s="4" t="s">
        <v>392</v>
      </c>
      <c r="E280" s="5">
        <f>ROUND(50647.98,2)</f>
        <v>50647.98</v>
      </c>
    </row>
    <row r="281" spans="1:5" outlineLevel="2" x14ac:dyDescent="0.25">
      <c r="A281" s="3" t="s">
        <v>378</v>
      </c>
      <c r="B281" s="3" t="s">
        <v>360</v>
      </c>
      <c r="C281" s="3" t="s">
        <v>13</v>
      </c>
      <c r="D281" s="4" t="s">
        <v>393</v>
      </c>
      <c r="E281" s="5">
        <f>ROUND(25759.83,2)</f>
        <v>25759.83</v>
      </c>
    </row>
    <row r="282" spans="1:5" outlineLevel="2" x14ac:dyDescent="0.25">
      <c r="A282" s="3" t="s">
        <v>378</v>
      </c>
      <c r="B282" s="3" t="s">
        <v>360</v>
      </c>
      <c r="C282" s="3" t="s">
        <v>214</v>
      </c>
      <c r="D282" s="4" t="s">
        <v>394</v>
      </c>
      <c r="E282" s="5">
        <f>ROUND(10480.7,2)</f>
        <v>10480.700000000001</v>
      </c>
    </row>
    <row r="283" spans="1:5" outlineLevel="2" x14ac:dyDescent="0.25">
      <c r="A283" s="3" t="s">
        <v>378</v>
      </c>
      <c r="B283" s="3" t="s">
        <v>360</v>
      </c>
      <c r="C283" s="3" t="s">
        <v>15</v>
      </c>
      <c r="D283" s="4" t="s">
        <v>395</v>
      </c>
      <c r="E283" s="5">
        <f>ROUND(28221.83,2)</f>
        <v>28221.83</v>
      </c>
    </row>
    <row r="284" spans="1:5" outlineLevel="2" x14ac:dyDescent="0.25">
      <c r="A284" s="3" t="s">
        <v>378</v>
      </c>
      <c r="B284" s="3" t="s">
        <v>360</v>
      </c>
      <c r="C284" s="3" t="s">
        <v>17</v>
      </c>
      <c r="D284" s="4" t="s">
        <v>396</v>
      </c>
      <c r="E284" s="5">
        <f>ROUND(101407.98,2)</f>
        <v>101407.98</v>
      </c>
    </row>
    <row r="285" spans="1:5" outlineLevel="2" x14ac:dyDescent="0.25">
      <c r="A285" s="3" t="s">
        <v>378</v>
      </c>
      <c r="B285" s="3" t="s">
        <v>360</v>
      </c>
      <c r="C285" s="3" t="s">
        <v>19</v>
      </c>
      <c r="D285" s="4" t="s">
        <v>397</v>
      </c>
      <c r="E285" s="5">
        <f>ROUND(206600.86,2)</f>
        <v>206600.86</v>
      </c>
    </row>
    <row r="286" spans="1:5" outlineLevel="2" x14ac:dyDescent="0.25">
      <c r="A286" s="3" t="s">
        <v>378</v>
      </c>
      <c r="B286" s="3" t="s">
        <v>360</v>
      </c>
      <c r="C286" s="3" t="s">
        <v>21</v>
      </c>
      <c r="D286" s="4" t="s">
        <v>398</v>
      </c>
      <c r="E286" s="5">
        <f>ROUND(23803.38,2)</f>
        <v>23803.38</v>
      </c>
    </row>
    <row r="287" spans="1:5" outlineLevel="2" x14ac:dyDescent="0.25">
      <c r="A287" s="3" t="s">
        <v>378</v>
      </c>
      <c r="B287" s="3" t="s">
        <v>360</v>
      </c>
      <c r="C287" s="3" t="s">
        <v>8</v>
      </c>
      <c r="D287" s="4" t="s">
        <v>399</v>
      </c>
      <c r="E287" s="5">
        <f>ROUND(159234,2)</f>
        <v>159234</v>
      </c>
    </row>
    <row r="288" spans="1:5" outlineLevel="2" x14ac:dyDescent="0.25">
      <c r="A288" s="3" t="s">
        <v>378</v>
      </c>
      <c r="B288" s="3" t="s">
        <v>207</v>
      </c>
      <c r="C288" s="3" t="s">
        <v>216</v>
      </c>
      <c r="D288" s="4" t="s">
        <v>400</v>
      </c>
      <c r="E288" s="5">
        <f>ROUND(19210.28,2)</f>
        <v>19210.28</v>
      </c>
    </row>
    <row r="289" spans="1:5" outlineLevel="2" x14ac:dyDescent="0.25">
      <c r="A289" s="3" t="s">
        <v>378</v>
      </c>
      <c r="B289" s="3" t="s">
        <v>207</v>
      </c>
      <c r="C289" s="3" t="s">
        <v>15</v>
      </c>
      <c r="D289" s="4" t="s">
        <v>401</v>
      </c>
      <c r="E289" s="5">
        <f>ROUND(4117.03,2)</f>
        <v>4117.03</v>
      </c>
    </row>
    <row r="290" spans="1:5" outlineLevel="2" x14ac:dyDescent="0.25">
      <c r="A290" s="3" t="s">
        <v>378</v>
      </c>
      <c r="B290" s="3" t="s">
        <v>207</v>
      </c>
      <c r="C290" s="3" t="s">
        <v>17</v>
      </c>
      <c r="D290" s="4" t="s">
        <v>402</v>
      </c>
      <c r="E290" s="5">
        <f>ROUND(9109.9,2)</f>
        <v>9109.9</v>
      </c>
    </row>
    <row r="291" spans="1:5" outlineLevel="2" x14ac:dyDescent="0.25">
      <c r="A291" s="3" t="s">
        <v>378</v>
      </c>
      <c r="B291" s="3" t="s">
        <v>207</v>
      </c>
      <c r="C291" s="3" t="s">
        <v>19</v>
      </c>
      <c r="D291" s="4" t="s">
        <v>403</v>
      </c>
      <c r="E291" s="5">
        <f>ROUND(24914.76,2)</f>
        <v>24914.76</v>
      </c>
    </row>
    <row r="292" spans="1:5" outlineLevel="2" x14ac:dyDescent="0.25">
      <c r="A292" s="3" t="s">
        <v>378</v>
      </c>
      <c r="B292" s="3" t="s">
        <v>207</v>
      </c>
      <c r="C292" s="3" t="s">
        <v>21</v>
      </c>
      <c r="D292" s="4" t="s">
        <v>404</v>
      </c>
      <c r="E292" s="5">
        <f>ROUND(4660.49,2)</f>
        <v>4660.49</v>
      </c>
    </row>
    <row r="293" spans="1:5" outlineLevel="2" x14ac:dyDescent="0.25">
      <c r="A293" s="3" t="s">
        <v>378</v>
      </c>
      <c r="B293" s="3" t="s">
        <v>207</v>
      </c>
      <c r="C293" s="3" t="s">
        <v>265</v>
      </c>
      <c r="D293" s="4" t="s">
        <v>405</v>
      </c>
      <c r="E293" s="5">
        <f>ROUND(1606.18,2)</f>
        <v>1606.18</v>
      </c>
    </row>
    <row r="294" spans="1:5" outlineLevel="2" x14ac:dyDescent="0.25">
      <c r="A294" s="3" t="s">
        <v>378</v>
      </c>
      <c r="B294" s="3" t="s">
        <v>207</v>
      </c>
      <c r="C294" s="3" t="s">
        <v>8</v>
      </c>
      <c r="D294" s="4" t="s">
        <v>406</v>
      </c>
      <c r="E294" s="5">
        <f>ROUND(19136.05,2)</f>
        <v>19136.05</v>
      </c>
    </row>
    <row r="295" spans="1:5" outlineLevel="2" x14ac:dyDescent="0.25">
      <c r="A295" s="3" t="s">
        <v>378</v>
      </c>
      <c r="B295" s="3" t="s">
        <v>40</v>
      </c>
      <c r="C295" s="3" t="s">
        <v>385</v>
      </c>
      <c r="D295" s="4" t="s">
        <v>407</v>
      </c>
      <c r="E295" s="5">
        <f>ROUND(2500,2)</f>
        <v>2500</v>
      </c>
    </row>
    <row r="296" spans="1:5" outlineLevel="1" x14ac:dyDescent="0.25">
      <c r="A296" s="6"/>
      <c r="B296" s="7"/>
      <c r="C296" s="7"/>
      <c r="D296" s="8" t="s">
        <v>408</v>
      </c>
      <c r="E296" s="9">
        <f>SUBTOTAL(9,E273:E295)</f>
        <v>1041227.5300000003</v>
      </c>
    </row>
    <row r="297" spans="1:5" outlineLevel="2" x14ac:dyDescent="0.25">
      <c r="A297" s="3" t="s">
        <v>409</v>
      </c>
      <c r="B297" s="3" t="s">
        <v>410</v>
      </c>
      <c r="C297" s="3" t="s">
        <v>411</v>
      </c>
      <c r="D297" s="4" t="s">
        <v>412</v>
      </c>
      <c r="E297" s="5">
        <f>ROUND(319053,2)</f>
        <v>319053</v>
      </c>
    </row>
    <row r="298" spans="1:5" outlineLevel="2" x14ac:dyDescent="0.25">
      <c r="A298" s="3" t="s">
        <v>409</v>
      </c>
      <c r="B298" s="3" t="s">
        <v>410</v>
      </c>
      <c r="C298" s="3" t="s">
        <v>413</v>
      </c>
      <c r="D298" s="4" t="s">
        <v>414</v>
      </c>
      <c r="E298" s="5">
        <f>ROUND(3000,2)</f>
        <v>3000</v>
      </c>
    </row>
    <row r="299" spans="1:5" outlineLevel="2" x14ac:dyDescent="0.25">
      <c r="A299" s="3" t="s">
        <v>409</v>
      </c>
      <c r="B299" s="3" t="s">
        <v>410</v>
      </c>
      <c r="C299" s="3" t="s">
        <v>415</v>
      </c>
      <c r="D299" s="4" t="s">
        <v>416</v>
      </c>
      <c r="E299" s="5">
        <f>ROUND(2000,2)</f>
        <v>2000</v>
      </c>
    </row>
    <row r="300" spans="1:5" outlineLevel="2" x14ac:dyDescent="0.25">
      <c r="A300" s="3" t="s">
        <v>409</v>
      </c>
      <c r="B300" s="3" t="s">
        <v>410</v>
      </c>
      <c r="C300" s="3" t="s">
        <v>417</v>
      </c>
      <c r="D300" s="4" t="s">
        <v>418</v>
      </c>
      <c r="E300" s="5">
        <f>ROUND(10,2)</f>
        <v>10</v>
      </c>
    </row>
    <row r="301" spans="1:5" outlineLevel="2" x14ac:dyDescent="0.25">
      <c r="A301" s="3" t="s">
        <v>409</v>
      </c>
      <c r="B301" s="3" t="s">
        <v>410</v>
      </c>
      <c r="C301" s="3" t="s">
        <v>419</v>
      </c>
      <c r="D301" s="4" t="s">
        <v>420</v>
      </c>
      <c r="E301" s="5">
        <f>ROUND(1494000,2)</f>
        <v>1494000</v>
      </c>
    </row>
    <row r="302" spans="1:5" outlineLevel="2" x14ac:dyDescent="0.25">
      <c r="A302" s="3" t="s">
        <v>409</v>
      </c>
      <c r="B302" s="3" t="s">
        <v>53</v>
      </c>
      <c r="C302" s="3" t="s">
        <v>421</v>
      </c>
      <c r="D302" s="4" t="s">
        <v>422</v>
      </c>
      <c r="E302" s="5">
        <f t="shared" ref="E302:E318" si="0">ROUND(10,2)</f>
        <v>10</v>
      </c>
    </row>
    <row r="303" spans="1:5" outlineLevel="2" x14ac:dyDescent="0.25">
      <c r="A303" s="3" t="s">
        <v>409</v>
      </c>
      <c r="B303" s="3" t="s">
        <v>423</v>
      </c>
      <c r="C303" s="3" t="s">
        <v>424</v>
      </c>
      <c r="D303" s="4" t="s">
        <v>425</v>
      </c>
      <c r="E303" s="5">
        <f t="shared" si="0"/>
        <v>10</v>
      </c>
    </row>
    <row r="304" spans="1:5" outlineLevel="2" x14ac:dyDescent="0.25">
      <c r="A304" s="3" t="s">
        <v>409</v>
      </c>
      <c r="B304" s="3" t="s">
        <v>423</v>
      </c>
      <c r="C304" s="3" t="s">
        <v>417</v>
      </c>
      <c r="D304" s="4" t="s">
        <v>418</v>
      </c>
      <c r="E304" s="5">
        <f t="shared" si="0"/>
        <v>10</v>
      </c>
    </row>
    <row r="305" spans="1:5" outlineLevel="2" x14ac:dyDescent="0.25">
      <c r="A305" s="3" t="s">
        <v>409</v>
      </c>
      <c r="B305" s="3" t="s">
        <v>423</v>
      </c>
      <c r="C305" s="3" t="s">
        <v>290</v>
      </c>
      <c r="D305" s="4" t="s">
        <v>426</v>
      </c>
      <c r="E305" s="5">
        <f t="shared" si="0"/>
        <v>10</v>
      </c>
    </row>
    <row r="306" spans="1:5" outlineLevel="2" x14ac:dyDescent="0.25">
      <c r="A306" s="3" t="s">
        <v>409</v>
      </c>
      <c r="B306" s="3" t="s">
        <v>427</v>
      </c>
      <c r="C306" s="3" t="s">
        <v>421</v>
      </c>
      <c r="D306" s="4" t="s">
        <v>422</v>
      </c>
      <c r="E306" s="5">
        <f t="shared" si="0"/>
        <v>10</v>
      </c>
    </row>
    <row r="307" spans="1:5" outlineLevel="2" x14ac:dyDescent="0.25">
      <c r="A307" s="3" t="s">
        <v>409</v>
      </c>
      <c r="B307" s="3" t="s">
        <v>296</v>
      </c>
      <c r="C307" s="3" t="s">
        <v>424</v>
      </c>
      <c r="D307" s="4" t="s">
        <v>425</v>
      </c>
      <c r="E307" s="5">
        <f t="shared" si="0"/>
        <v>10</v>
      </c>
    </row>
    <row r="308" spans="1:5" outlineLevel="2" x14ac:dyDescent="0.25">
      <c r="A308" s="3" t="s">
        <v>409</v>
      </c>
      <c r="B308" s="3" t="s">
        <v>296</v>
      </c>
      <c r="C308" s="3" t="s">
        <v>417</v>
      </c>
      <c r="D308" s="4" t="s">
        <v>418</v>
      </c>
      <c r="E308" s="5">
        <f t="shared" si="0"/>
        <v>10</v>
      </c>
    </row>
    <row r="309" spans="1:5" outlineLevel="2" x14ac:dyDescent="0.25">
      <c r="A309" s="3" t="s">
        <v>409</v>
      </c>
      <c r="B309" s="3" t="s">
        <v>296</v>
      </c>
      <c r="C309" s="3" t="s">
        <v>290</v>
      </c>
      <c r="D309" s="4" t="s">
        <v>426</v>
      </c>
      <c r="E309" s="5">
        <f t="shared" si="0"/>
        <v>10</v>
      </c>
    </row>
    <row r="310" spans="1:5" outlineLevel="2" x14ac:dyDescent="0.25">
      <c r="A310" s="3" t="s">
        <v>409</v>
      </c>
      <c r="B310" s="3" t="s">
        <v>296</v>
      </c>
      <c r="C310" s="3" t="s">
        <v>428</v>
      </c>
      <c r="D310" s="4" t="s">
        <v>429</v>
      </c>
      <c r="E310" s="5">
        <f t="shared" si="0"/>
        <v>10</v>
      </c>
    </row>
    <row r="311" spans="1:5" outlineLevel="2" x14ac:dyDescent="0.25">
      <c r="A311" s="3" t="s">
        <v>409</v>
      </c>
      <c r="B311" s="3" t="s">
        <v>430</v>
      </c>
      <c r="C311" s="3" t="s">
        <v>424</v>
      </c>
      <c r="D311" s="4" t="s">
        <v>425</v>
      </c>
      <c r="E311" s="5">
        <f t="shared" si="0"/>
        <v>10</v>
      </c>
    </row>
    <row r="312" spans="1:5" outlineLevel="2" x14ac:dyDescent="0.25">
      <c r="A312" s="3" t="s">
        <v>409</v>
      </c>
      <c r="B312" s="3" t="s">
        <v>430</v>
      </c>
      <c r="C312" s="3" t="s">
        <v>417</v>
      </c>
      <c r="D312" s="4" t="s">
        <v>418</v>
      </c>
      <c r="E312" s="5">
        <f t="shared" si="0"/>
        <v>10</v>
      </c>
    </row>
    <row r="313" spans="1:5" outlineLevel="2" x14ac:dyDescent="0.25">
      <c r="A313" s="3" t="s">
        <v>409</v>
      </c>
      <c r="B313" s="3" t="s">
        <v>421</v>
      </c>
      <c r="C313" s="3" t="s">
        <v>431</v>
      </c>
      <c r="D313" s="4" t="s">
        <v>432</v>
      </c>
      <c r="E313" s="5">
        <f t="shared" si="0"/>
        <v>10</v>
      </c>
    </row>
    <row r="314" spans="1:5" outlineLevel="2" x14ac:dyDescent="0.25">
      <c r="A314" s="3" t="s">
        <v>409</v>
      </c>
      <c r="B314" s="3" t="s">
        <v>433</v>
      </c>
      <c r="C314" s="3" t="s">
        <v>421</v>
      </c>
      <c r="D314" s="4" t="s">
        <v>422</v>
      </c>
      <c r="E314" s="5">
        <f t="shared" si="0"/>
        <v>10</v>
      </c>
    </row>
    <row r="315" spans="1:5" outlineLevel="2" x14ac:dyDescent="0.25">
      <c r="A315" s="3" t="s">
        <v>409</v>
      </c>
      <c r="B315" s="3" t="s">
        <v>433</v>
      </c>
      <c r="C315" s="3" t="s">
        <v>424</v>
      </c>
      <c r="D315" s="4" t="s">
        <v>425</v>
      </c>
      <c r="E315" s="5">
        <f t="shared" si="0"/>
        <v>10</v>
      </c>
    </row>
    <row r="316" spans="1:5" outlineLevel="2" x14ac:dyDescent="0.25">
      <c r="A316" s="3" t="s">
        <v>409</v>
      </c>
      <c r="B316" s="3" t="s">
        <v>433</v>
      </c>
      <c r="C316" s="3" t="s">
        <v>417</v>
      </c>
      <c r="D316" s="4" t="s">
        <v>418</v>
      </c>
      <c r="E316" s="5">
        <f t="shared" si="0"/>
        <v>10</v>
      </c>
    </row>
    <row r="317" spans="1:5" outlineLevel="2" x14ac:dyDescent="0.25">
      <c r="A317" s="3" t="s">
        <v>409</v>
      </c>
      <c r="B317" s="3" t="s">
        <v>433</v>
      </c>
      <c r="C317" s="3" t="s">
        <v>290</v>
      </c>
      <c r="D317" s="4" t="s">
        <v>426</v>
      </c>
      <c r="E317" s="5">
        <f t="shared" si="0"/>
        <v>10</v>
      </c>
    </row>
    <row r="318" spans="1:5" outlineLevel="2" x14ac:dyDescent="0.25">
      <c r="A318" s="3" t="s">
        <v>409</v>
      </c>
      <c r="B318" s="3" t="s">
        <v>433</v>
      </c>
      <c r="C318" s="3" t="s">
        <v>428</v>
      </c>
      <c r="D318" s="4" t="s">
        <v>429</v>
      </c>
      <c r="E318" s="5">
        <f t="shared" si="0"/>
        <v>10</v>
      </c>
    </row>
    <row r="319" spans="1:5" outlineLevel="2" x14ac:dyDescent="0.25">
      <c r="A319" s="3" t="s">
        <v>409</v>
      </c>
      <c r="B319" s="3" t="s">
        <v>434</v>
      </c>
      <c r="C319" s="3" t="s">
        <v>38</v>
      </c>
      <c r="D319" s="4" t="s">
        <v>435</v>
      </c>
      <c r="E319" s="5">
        <f>ROUND(107830,2)</f>
        <v>107830</v>
      </c>
    </row>
    <row r="320" spans="1:5" outlineLevel="2" x14ac:dyDescent="0.25">
      <c r="A320" s="3" t="s">
        <v>409</v>
      </c>
      <c r="B320" s="3" t="s">
        <v>10</v>
      </c>
      <c r="C320" s="3" t="s">
        <v>431</v>
      </c>
      <c r="D320" s="4" t="s">
        <v>432</v>
      </c>
      <c r="E320" s="5">
        <f>ROUND(10,2)</f>
        <v>10</v>
      </c>
    </row>
    <row r="321" spans="1:5" outlineLevel="2" x14ac:dyDescent="0.25">
      <c r="A321" s="3" t="s">
        <v>409</v>
      </c>
      <c r="B321" s="3" t="s">
        <v>436</v>
      </c>
      <c r="C321" s="3" t="s">
        <v>437</v>
      </c>
      <c r="D321" s="4" t="s">
        <v>438</v>
      </c>
      <c r="E321" s="5">
        <f>ROUND(1100000,2)</f>
        <v>1100000</v>
      </c>
    </row>
    <row r="322" spans="1:5" outlineLevel="2" x14ac:dyDescent="0.25">
      <c r="A322" s="3" t="s">
        <v>409</v>
      </c>
      <c r="B322" s="3" t="s">
        <v>439</v>
      </c>
      <c r="C322" s="3" t="s">
        <v>11</v>
      </c>
      <c r="D322" s="4" t="s">
        <v>440</v>
      </c>
      <c r="E322" s="5">
        <f>ROUND(18359.38,2)</f>
        <v>18359.38</v>
      </c>
    </row>
    <row r="323" spans="1:5" outlineLevel="2" x14ac:dyDescent="0.25">
      <c r="A323" s="3" t="s">
        <v>409</v>
      </c>
      <c r="B323" s="3" t="s">
        <v>439</v>
      </c>
      <c r="C323" s="3" t="s">
        <v>17</v>
      </c>
      <c r="D323" s="4" t="s">
        <v>441</v>
      </c>
      <c r="E323" s="5">
        <f>ROUND(12227.53,2)</f>
        <v>12227.53</v>
      </c>
    </row>
    <row r="324" spans="1:5" outlineLevel="2" x14ac:dyDescent="0.25">
      <c r="A324" s="3" t="s">
        <v>409</v>
      </c>
      <c r="B324" s="3" t="s">
        <v>439</v>
      </c>
      <c r="C324" s="3" t="s">
        <v>19</v>
      </c>
      <c r="D324" s="4" t="s">
        <v>442</v>
      </c>
      <c r="E324" s="5">
        <f>ROUND(29845.21,2)</f>
        <v>29845.21</v>
      </c>
    </row>
    <row r="325" spans="1:5" outlineLevel="2" x14ac:dyDescent="0.25">
      <c r="A325" s="3" t="s">
        <v>409</v>
      </c>
      <c r="B325" s="3" t="s">
        <v>439</v>
      </c>
      <c r="C325" s="3" t="s">
        <v>21</v>
      </c>
      <c r="D325" s="4" t="s">
        <v>443</v>
      </c>
      <c r="E325" s="5">
        <f>ROUND(1197.54,2)</f>
        <v>1197.54</v>
      </c>
    </row>
    <row r="326" spans="1:5" outlineLevel="2" x14ac:dyDescent="0.25">
      <c r="A326" s="3" t="s">
        <v>409</v>
      </c>
      <c r="B326" s="3" t="s">
        <v>439</v>
      </c>
      <c r="C326" s="3" t="s">
        <v>8</v>
      </c>
      <c r="D326" s="4" t="s">
        <v>444</v>
      </c>
      <c r="E326" s="5">
        <f>ROUND(20337.74,2)</f>
        <v>20337.740000000002</v>
      </c>
    </row>
    <row r="327" spans="1:5" outlineLevel="2" x14ac:dyDescent="0.25">
      <c r="A327" s="3" t="s">
        <v>409</v>
      </c>
      <c r="B327" s="3" t="s">
        <v>439</v>
      </c>
      <c r="C327" s="3" t="s">
        <v>445</v>
      </c>
      <c r="D327" s="4" t="s">
        <v>446</v>
      </c>
      <c r="E327" s="5">
        <f>ROUND(600,2)</f>
        <v>600</v>
      </c>
    </row>
    <row r="328" spans="1:5" outlineLevel="2" x14ac:dyDescent="0.25">
      <c r="A328" s="3" t="s">
        <v>409</v>
      </c>
      <c r="B328" s="3" t="s">
        <v>447</v>
      </c>
      <c r="C328" s="3" t="s">
        <v>424</v>
      </c>
      <c r="D328" s="4" t="s">
        <v>425</v>
      </c>
      <c r="E328" s="5">
        <f>ROUND(10,2)</f>
        <v>10</v>
      </c>
    </row>
    <row r="329" spans="1:5" outlineLevel="2" x14ac:dyDescent="0.25">
      <c r="A329" s="3" t="s">
        <v>409</v>
      </c>
      <c r="B329" s="3" t="s">
        <v>289</v>
      </c>
      <c r="C329" s="3" t="s">
        <v>417</v>
      </c>
      <c r="D329" s="4" t="s">
        <v>418</v>
      </c>
      <c r="E329" s="5">
        <f>ROUND(10,2)</f>
        <v>10</v>
      </c>
    </row>
    <row r="330" spans="1:5" outlineLevel="2" x14ac:dyDescent="0.25">
      <c r="A330" s="3" t="s">
        <v>409</v>
      </c>
      <c r="B330" s="3" t="s">
        <v>289</v>
      </c>
      <c r="C330" s="3" t="s">
        <v>290</v>
      </c>
      <c r="D330" s="4" t="s">
        <v>426</v>
      </c>
      <c r="E330" s="5">
        <f>ROUND(10,2)</f>
        <v>10</v>
      </c>
    </row>
    <row r="331" spans="1:5" outlineLevel="2" x14ac:dyDescent="0.25">
      <c r="A331" s="3" t="s">
        <v>409</v>
      </c>
      <c r="B331" s="3" t="s">
        <v>289</v>
      </c>
      <c r="C331" s="3" t="s">
        <v>428</v>
      </c>
      <c r="D331" s="4" t="s">
        <v>429</v>
      </c>
      <c r="E331" s="5">
        <f>ROUND(10,2)</f>
        <v>10</v>
      </c>
    </row>
    <row r="332" spans="1:5" outlineLevel="2" x14ac:dyDescent="0.25">
      <c r="A332" s="3" t="s">
        <v>409</v>
      </c>
      <c r="B332" s="3" t="s">
        <v>448</v>
      </c>
      <c r="C332" s="3" t="s">
        <v>421</v>
      </c>
      <c r="D332" s="4" t="s">
        <v>422</v>
      </c>
      <c r="E332" s="5">
        <f>ROUND(10,2)</f>
        <v>10</v>
      </c>
    </row>
    <row r="333" spans="1:5" outlineLevel="1" x14ac:dyDescent="0.25">
      <c r="A333" s="6"/>
      <c r="B333" s="7"/>
      <c r="C333" s="7"/>
      <c r="D333" s="8" t="s">
        <v>449</v>
      </c>
      <c r="E333" s="9">
        <f>SUBTOTAL(9,E297:E332)</f>
        <v>3108690.4</v>
      </c>
    </row>
    <row r="334" spans="1:5" outlineLevel="2" x14ac:dyDescent="0.25">
      <c r="A334" s="3" t="s">
        <v>450</v>
      </c>
      <c r="B334" s="3" t="s">
        <v>265</v>
      </c>
      <c r="C334" s="3" t="s">
        <v>451</v>
      </c>
      <c r="D334" s="4" t="s">
        <v>452</v>
      </c>
      <c r="E334" s="5">
        <f>ROUND(35000,2)</f>
        <v>35000</v>
      </c>
    </row>
    <row r="335" spans="1:5" outlineLevel="2" x14ac:dyDescent="0.25">
      <c r="A335" s="3" t="s">
        <v>450</v>
      </c>
      <c r="B335" s="3" t="s">
        <v>265</v>
      </c>
      <c r="C335" s="3" t="s">
        <v>134</v>
      </c>
      <c r="D335" s="4" t="s">
        <v>453</v>
      </c>
      <c r="E335" s="5">
        <f>ROUND(5000,2)</f>
        <v>5000</v>
      </c>
    </row>
    <row r="336" spans="1:5" outlineLevel="2" x14ac:dyDescent="0.25">
      <c r="A336" s="3" t="s">
        <v>450</v>
      </c>
      <c r="B336" s="3" t="s">
        <v>436</v>
      </c>
      <c r="C336" s="3" t="s">
        <v>28</v>
      </c>
      <c r="D336" s="4" t="s">
        <v>454</v>
      </c>
      <c r="E336" s="5">
        <f>ROUND(48432.9,2)</f>
        <v>48432.9</v>
      </c>
    </row>
    <row r="337" spans="1:5" outlineLevel="2" x14ac:dyDescent="0.25">
      <c r="A337" s="3" t="s">
        <v>450</v>
      </c>
      <c r="B337" s="3" t="s">
        <v>436</v>
      </c>
      <c r="C337" s="3" t="s">
        <v>13</v>
      </c>
      <c r="D337" s="4" t="s">
        <v>455</v>
      </c>
      <c r="E337" s="5">
        <f>ROUND(61823.6,2)</f>
        <v>61823.6</v>
      </c>
    </row>
    <row r="338" spans="1:5" outlineLevel="2" x14ac:dyDescent="0.25">
      <c r="A338" s="3" t="s">
        <v>450</v>
      </c>
      <c r="B338" s="3" t="s">
        <v>436</v>
      </c>
      <c r="C338" s="3" t="s">
        <v>15</v>
      </c>
      <c r="D338" s="4" t="s">
        <v>456</v>
      </c>
      <c r="E338" s="5">
        <f>ROUND(15717.65,2)</f>
        <v>15717.65</v>
      </c>
    </row>
    <row r="339" spans="1:5" outlineLevel="2" x14ac:dyDescent="0.25">
      <c r="A339" s="3" t="s">
        <v>450</v>
      </c>
      <c r="B339" s="3" t="s">
        <v>436</v>
      </c>
      <c r="C339" s="3" t="s">
        <v>17</v>
      </c>
      <c r="D339" s="4" t="s">
        <v>457</v>
      </c>
      <c r="E339" s="5">
        <f>ROUND(53105.01,2)</f>
        <v>53105.01</v>
      </c>
    </row>
    <row r="340" spans="1:5" outlineLevel="2" x14ac:dyDescent="0.25">
      <c r="A340" s="3" t="s">
        <v>450</v>
      </c>
      <c r="B340" s="3" t="s">
        <v>436</v>
      </c>
      <c r="C340" s="3" t="s">
        <v>19</v>
      </c>
      <c r="D340" s="4" t="s">
        <v>458</v>
      </c>
      <c r="E340" s="5">
        <f>ROUND(127687,2)</f>
        <v>127687</v>
      </c>
    </row>
    <row r="341" spans="1:5" outlineLevel="2" x14ac:dyDescent="0.25">
      <c r="A341" s="3" t="s">
        <v>450</v>
      </c>
      <c r="B341" s="3" t="s">
        <v>436</v>
      </c>
      <c r="C341" s="3" t="s">
        <v>21</v>
      </c>
      <c r="D341" s="4" t="s">
        <v>459</v>
      </c>
      <c r="E341" s="5">
        <f>ROUND(16035.26,2)</f>
        <v>16035.26</v>
      </c>
    </row>
    <row r="342" spans="1:5" outlineLevel="2" x14ac:dyDescent="0.25">
      <c r="A342" s="3" t="s">
        <v>450</v>
      </c>
      <c r="B342" s="3" t="s">
        <v>436</v>
      </c>
      <c r="C342" s="3" t="s">
        <v>8</v>
      </c>
      <c r="D342" s="4" t="s">
        <v>460</v>
      </c>
      <c r="E342" s="5">
        <f>ROUND(97362.2,2)</f>
        <v>97362.2</v>
      </c>
    </row>
    <row r="343" spans="1:5" outlineLevel="2" x14ac:dyDescent="0.25">
      <c r="A343" s="3" t="s">
        <v>450</v>
      </c>
      <c r="B343" s="3" t="s">
        <v>436</v>
      </c>
      <c r="C343" s="3" t="s">
        <v>38</v>
      </c>
      <c r="D343" s="4" t="s">
        <v>461</v>
      </c>
      <c r="E343" s="5">
        <f>ROUND(139832,2)</f>
        <v>139832</v>
      </c>
    </row>
    <row r="344" spans="1:5" outlineLevel="1" x14ac:dyDescent="0.25">
      <c r="A344" s="6"/>
      <c r="B344" s="7"/>
      <c r="C344" s="7"/>
      <c r="D344" s="8" t="s">
        <v>462</v>
      </c>
      <c r="E344" s="9">
        <f>SUBTOTAL(9,E334:E343)</f>
        <v>599995.62000000011</v>
      </c>
    </row>
    <row r="345" spans="1:5" outlineLevel="2" x14ac:dyDescent="0.25">
      <c r="A345" s="3" t="s">
        <v>463</v>
      </c>
      <c r="B345" s="3" t="s">
        <v>439</v>
      </c>
      <c r="C345" s="3" t="s">
        <v>11</v>
      </c>
      <c r="D345" s="4" t="s">
        <v>464</v>
      </c>
      <c r="E345" s="5">
        <f>ROUND(32912.19,2)</f>
        <v>32912.19</v>
      </c>
    </row>
    <row r="346" spans="1:5" outlineLevel="2" x14ac:dyDescent="0.25">
      <c r="A346" s="3" t="s">
        <v>463</v>
      </c>
      <c r="B346" s="3" t="s">
        <v>439</v>
      </c>
      <c r="C346" s="3" t="s">
        <v>28</v>
      </c>
      <c r="D346" s="4" t="s">
        <v>465</v>
      </c>
      <c r="E346" s="5">
        <f>ROUND(32288.6,2)</f>
        <v>32288.6</v>
      </c>
    </row>
    <row r="347" spans="1:5" outlineLevel="2" x14ac:dyDescent="0.25">
      <c r="A347" s="3" t="s">
        <v>463</v>
      </c>
      <c r="B347" s="3" t="s">
        <v>439</v>
      </c>
      <c r="C347" s="3" t="s">
        <v>13</v>
      </c>
      <c r="D347" s="4" t="s">
        <v>466</v>
      </c>
      <c r="E347" s="5">
        <f>ROUND(12364.72,2)</f>
        <v>12364.72</v>
      </c>
    </row>
    <row r="348" spans="1:5" outlineLevel="2" x14ac:dyDescent="0.25">
      <c r="A348" s="3" t="s">
        <v>463</v>
      </c>
      <c r="B348" s="3" t="s">
        <v>439</v>
      </c>
      <c r="C348" s="3" t="s">
        <v>15</v>
      </c>
      <c r="D348" s="4" t="s">
        <v>467</v>
      </c>
      <c r="E348" s="5">
        <f>ROUND(8284.41,2)</f>
        <v>8284.41</v>
      </c>
    </row>
    <row r="349" spans="1:5" outlineLevel="2" x14ac:dyDescent="0.25">
      <c r="A349" s="3" t="s">
        <v>463</v>
      </c>
      <c r="B349" s="3" t="s">
        <v>439</v>
      </c>
      <c r="C349" s="3" t="s">
        <v>17</v>
      </c>
      <c r="D349" s="4" t="s">
        <v>468</v>
      </c>
      <c r="E349" s="5">
        <f>ROUND(28247.28,2)</f>
        <v>28247.279999999999</v>
      </c>
    </row>
    <row r="350" spans="1:5" outlineLevel="2" x14ac:dyDescent="0.25">
      <c r="A350" s="3" t="s">
        <v>463</v>
      </c>
      <c r="B350" s="3" t="s">
        <v>439</v>
      </c>
      <c r="C350" s="3" t="s">
        <v>19</v>
      </c>
      <c r="D350" s="4" t="s">
        <v>469</v>
      </c>
      <c r="E350" s="5">
        <f>ROUND(59421.52,2)</f>
        <v>59421.52</v>
      </c>
    </row>
    <row r="351" spans="1:5" outlineLevel="2" x14ac:dyDescent="0.25">
      <c r="A351" s="3" t="s">
        <v>463</v>
      </c>
      <c r="B351" s="3" t="s">
        <v>439</v>
      </c>
      <c r="C351" s="3" t="s">
        <v>21</v>
      </c>
      <c r="D351" s="4" t="s">
        <v>470</v>
      </c>
      <c r="E351" s="5">
        <f>ROUND(6566.88,2)</f>
        <v>6566.88</v>
      </c>
    </row>
    <row r="352" spans="1:5" outlineLevel="2" x14ac:dyDescent="0.25">
      <c r="A352" s="3" t="s">
        <v>463</v>
      </c>
      <c r="B352" s="3" t="s">
        <v>439</v>
      </c>
      <c r="C352" s="3" t="s">
        <v>8</v>
      </c>
      <c r="D352" s="4" t="s">
        <v>471</v>
      </c>
      <c r="E352" s="5">
        <f>ROUND(51859.86,2)</f>
        <v>51859.86</v>
      </c>
    </row>
    <row r="353" spans="1:5" outlineLevel="1" x14ac:dyDescent="0.25">
      <c r="A353" s="6"/>
      <c r="B353" s="7"/>
      <c r="C353" s="7"/>
      <c r="D353" s="8" t="s">
        <v>472</v>
      </c>
      <c r="E353" s="9">
        <f>SUBTOTAL(9,E345:E352)</f>
        <v>231945.46000000002</v>
      </c>
    </row>
    <row r="354" spans="1:5" outlineLevel="2" x14ac:dyDescent="0.25">
      <c r="A354" s="3" t="s">
        <v>473</v>
      </c>
      <c r="B354" s="3" t="s">
        <v>474</v>
      </c>
      <c r="C354" s="3" t="s">
        <v>132</v>
      </c>
      <c r="D354" s="4" t="s">
        <v>475</v>
      </c>
      <c r="E354" s="5">
        <f>ROUND(62208,2)</f>
        <v>62208</v>
      </c>
    </row>
    <row r="355" spans="1:5" outlineLevel="2" x14ac:dyDescent="0.25">
      <c r="A355" s="3" t="s">
        <v>473</v>
      </c>
      <c r="B355" s="3" t="s">
        <v>474</v>
      </c>
      <c r="C355" s="3" t="s">
        <v>451</v>
      </c>
      <c r="D355" s="4" t="s">
        <v>476</v>
      </c>
      <c r="E355" s="5">
        <f>ROUND(10000,2)</f>
        <v>10000</v>
      </c>
    </row>
    <row r="356" spans="1:5" outlineLevel="2" x14ac:dyDescent="0.25">
      <c r="A356" s="3" t="s">
        <v>473</v>
      </c>
      <c r="B356" s="3" t="s">
        <v>296</v>
      </c>
      <c r="C356" s="3" t="s">
        <v>114</v>
      </c>
      <c r="D356" s="4" t="s">
        <v>477</v>
      </c>
      <c r="E356" s="5">
        <f>ROUND(18359.38,2)</f>
        <v>18359.38</v>
      </c>
    </row>
    <row r="357" spans="1:5" outlineLevel="2" x14ac:dyDescent="0.25">
      <c r="A357" s="3" t="s">
        <v>473</v>
      </c>
      <c r="B357" s="3" t="s">
        <v>296</v>
      </c>
      <c r="C357" s="3" t="s">
        <v>156</v>
      </c>
      <c r="D357" s="4" t="s">
        <v>478</v>
      </c>
      <c r="E357" s="5">
        <f>ROUND(39727.8,2)</f>
        <v>39727.800000000003</v>
      </c>
    </row>
    <row r="358" spans="1:5" outlineLevel="2" x14ac:dyDescent="0.25">
      <c r="A358" s="3" t="s">
        <v>473</v>
      </c>
      <c r="B358" s="3" t="s">
        <v>296</v>
      </c>
      <c r="C358" s="3" t="s">
        <v>28</v>
      </c>
      <c r="D358" s="4" t="s">
        <v>479</v>
      </c>
      <c r="E358" s="5">
        <f>ROUND(16144.3,2)</f>
        <v>16144.3</v>
      </c>
    </row>
    <row r="359" spans="1:5" outlineLevel="2" x14ac:dyDescent="0.25">
      <c r="A359" s="3" t="s">
        <v>473</v>
      </c>
      <c r="B359" s="3" t="s">
        <v>296</v>
      </c>
      <c r="C359" s="3" t="s">
        <v>13</v>
      </c>
      <c r="D359" s="4" t="s">
        <v>480</v>
      </c>
      <c r="E359" s="5">
        <f>ROUND(12364.72,2)</f>
        <v>12364.72</v>
      </c>
    </row>
    <row r="360" spans="1:5" outlineLevel="2" x14ac:dyDescent="0.25">
      <c r="A360" s="3" t="s">
        <v>473</v>
      </c>
      <c r="B360" s="3" t="s">
        <v>296</v>
      </c>
      <c r="C360" s="3" t="s">
        <v>15</v>
      </c>
      <c r="D360" s="4" t="s">
        <v>481</v>
      </c>
      <c r="E360" s="5">
        <f>ROUND(6124.31,2)</f>
        <v>6124.31</v>
      </c>
    </row>
    <row r="361" spans="1:5" outlineLevel="2" x14ac:dyDescent="0.25">
      <c r="A361" s="3" t="s">
        <v>473</v>
      </c>
      <c r="B361" s="3" t="s">
        <v>296</v>
      </c>
      <c r="C361" s="3" t="s">
        <v>17</v>
      </c>
      <c r="D361" s="4" t="s">
        <v>482</v>
      </c>
      <c r="E361" s="5">
        <f>ROUND(13042.47,2)</f>
        <v>13042.47</v>
      </c>
    </row>
    <row r="362" spans="1:5" outlineLevel="2" x14ac:dyDescent="0.25">
      <c r="A362" s="3" t="s">
        <v>473</v>
      </c>
      <c r="B362" s="3" t="s">
        <v>296</v>
      </c>
      <c r="C362" s="3" t="s">
        <v>19</v>
      </c>
      <c r="D362" s="4" t="s">
        <v>483</v>
      </c>
      <c r="E362" s="5">
        <f>ROUND(30528.34,2)</f>
        <v>30528.34</v>
      </c>
    </row>
    <row r="363" spans="1:5" outlineLevel="2" x14ac:dyDescent="0.25">
      <c r="A363" s="3" t="s">
        <v>473</v>
      </c>
      <c r="B363" s="3" t="s">
        <v>296</v>
      </c>
      <c r="C363" s="3" t="s">
        <v>53</v>
      </c>
      <c r="D363" s="4" t="s">
        <v>484</v>
      </c>
      <c r="E363" s="5">
        <f>ROUND(16648.86,2)</f>
        <v>16648.86</v>
      </c>
    </row>
    <row r="364" spans="1:5" outlineLevel="2" x14ac:dyDescent="0.25">
      <c r="A364" s="3" t="s">
        <v>473</v>
      </c>
      <c r="B364" s="3" t="s">
        <v>296</v>
      </c>
      <c r="C364" s="3" t="s">
        <v>55</v>
      </c>
      <c r="D364" s="4" t="s">
        <v>485</v>
      </c>
      <c r="E364" s="5">
        <f>ROUND(65450,2)</f>
        <v>65450</v>
      </c>
    </row>
    <row r="365" spans="1:5" outlineLevel="2" x14ac:dyDescent="0.25">
      <c r="A365" s="3" t="s">
        <v>473</v>
      </c>
      <c r="B365" s="3" t="s">
        <v>296</v>
      </c>
      <c r="C365" s="3" t="s">
        <v>21</v>
      </c>
      <c r="D365" s="4" t="s">
        <v>486</v>
      </c>
      <c r="E365" s="5">
        <f>ROUND(10385.56,2)</f>
        <v>10385.56</v>
      </c>
    </row>
    <row r="366" spans="1:5" outlineLevel="2" x14ac:dyDescent="0.25">
      <c r="A366" s="3" t="s">
        <v>473</v>
      </c>
      <c r="B366" s="3" t="s">
        <v>296</v>
      </c>
      <c r="C366" s="3" t="s">
        <v>8</v>
      </c>
      <c r="D366" s="4" t="s">
        <v>487</v>
      </c>
      <c r="E366" s="5">
        <f>ROUND(62222.72,2)</f>
        <v>62222.720000000001</v>
      </c>
    </row>
    <row r="367" spans="1:5" outlineLevel="2" x14ac:dyDescent="0.25">
      <c r="A367" s="3" t="s">
        <v>473</v>
      </c>
      <c r="B367" s="3" t="s">
        <v>488</v>
      </c>
      <c r="C367" s="3" t="s">
        <v>132</v>
      </c>
      <c r="D367" s="4" t="s">
        <v>489</v>
      </c>
      <c r="E367" s="5">
        <f>ROUND(10,2)</f>
        <v>10</v>
      </c>
    </row>
    <row r="368" spans="1:5" outlineLevel="1" x14ac:dyDescent="0.25">
      <c r="A368" s="6"/>
      <c r="B368" s="7"/>
      <c r="C368" s="7"/>
      <c r="D368" s="8" t="s">
        <v>490</v>
      </c>
      <c r="E368" s="9">
        <f>SUBTOTAL(9,E354:E367)</f>
        <v>363216.45999999996</v>
      </c>
    </row>
    <row r="369" spans="1:5" outlineLevel="2" x14ac:dyDescent="0.25">
      <c r="A369" s="3" t="s">
        <v>491</v>
      </c>
      <c r="B369" s="3" t="s">
        <v>492</v>
      </c>
      <c r="C369" s="3" t="s">
        <v>11</v>
      </c>
      <c r="D369" s="4" t="s">
        <v>493</v>
      </c>
      <c r="E369" s="5">
        <f>ROUND(18359.38,2)</f>
        <v>18359.38</v>
      </c>
    </row>
    <row r="370" spans="1:5" outlineLevel="2" x14ac:dyDescent="0.25">
      <c r="A370" s="3" t="s">
        <v>491</v>
      </c>
      <c r="B370" s="3" t="s">
        <v>492</v>
      </c>
      <c r="C370" s="3" t="s">
        <v>28</v>
      </c>
      <c r="D370" s="4" t="s">
        <v>494</v>
      </c>
      <c r="E370" s="5">
        <f>ROUND(5722.2,2)</f>
        <v>5722.2</v>
      </c>
    </row>
    <row r="371" spans="1:5" outlineLevel="2" x14ac:dyDescent="0.25">
      <c r="A371" s="3" t="s">
        <v>491</v>
      </c>
      <c r="B371" s="3" t="s">
        <v>492</v>
      </c>
      <c r="C371" s="3" t="s">
        <v>13</v>
      </c>
      <c r="D371" s="4" t="s">
        <v>495</v>
      </c>
      <c r="E371" s="5">
        <f>ROUND(12364.72,2)</f>
        <v>12364.72</v>
      </c>
    </row>
    <row r="372" spans="1:5" outlineLevel="2" x14ac:dyDescent="0.25">
      <c r="A372" s="3" t="s">
        <v>491</v>
      </c>
      <c r="B372" s="3" t="s">
        <v>492</v>
      </c>
      <c r="C372" s="3" t="s">
        <v>214</v>
      </c>
      <c r="D372" s="4" t="s">
        <v>496</v>
      </c>
      <c r="E372" s="5">
        <f>ROUND(10480.7,2)</f>
        <v>10480.700000000001</v>
      </c>
    </row>
    <row r="373" spans="1:5" outlineLevel="2" x14ac:dyDescent="0.25">
      <c r="A373" s="3" t="s">
        <v>491</v>
      </c>
      <c r="B373" s="3" t="s">
        <v>492</v>
      </c>
      <c r="C373" s="3" t="s">
        <v>15</v>
      </c>
      <c r="D373" s="4" t="s">
        <v>497</v>
      </c>
      <c r="E373" s="5">
        <f>ROUND(7371.21,2)</f>
        <v>7371.21</v>
      </c>
    </row>
    <row r="374" spans="1:5" outlineLevel="2" x14ac:dyDescent="0.25">
      <c r="A374" s="3" t="s">
        <v>491</v>
      </c>
      <c r="B374" s="3" t="s">
        <v>492</v>
      </c>
      <c r="C374" s="3" t="s">
        <v>17</v>
      </c>
      <c r="D374" s="4" t="s">
        <v>498</v>
      </c>
      <c r="E374" s="5">
        <f>ROUND(20398.98,2)</f>
        <v>20398.98</v>
      </c>
    </row>
    <row r="375" spans="1:5" outlineLevel="2" x14ac:dyDescent="0.25">
      <c r="A375" s="3" t="s">
        <v>491</v>
      </c>
      <c r="B375" s="3" t="s">
        <v>492</v>
      </c>
      <c r="C375" s="3" t="s">
        <v>19</v>
      </c>
      <c r="D375" s="4" t="s">
        <v>499</v>
      </c>
      <c r="E375" s="5">
        <f>ROUND(43493.46,2)</f>
        <v>43493.46</v>
      </c>
    </row>
    <row r="376" spans="1:5" outlineLevel="2" x14ac:dyDescent="0.25">
      <c r="A376" s="3" t="s">
        <v>491</v>
      </c>
      <c r="B376" s="3" t="s">
        <v>492</v>
      </c>
      <c r="C376" s="3" t="s">
        <v>21</v>
      </c>
      <c r="D376" s="4" t="s">
        <v>500</v>
      </c>
      <c r="E376" s="5">
        <f>ROUND(5963.61,2)</f>
        <v>5963.61</v>
      </c>
    </row>
    <row r="377" spans="1:5" outlineLevel="2" x14ac:dyDescent="0.25">
      <c r="A377" s="3" t="s">
        <v>491</v>
      </c>
      <c r="B377" s="3" t="s">
        <v>492</v>
      </c>
      <c r="C377" s="3" t="s">
        <v>8</v>
      </c>
      <c r="D377" s="4" t="s">
        <v>501</v>
      </c>
      <c r="E377" s="5">
        <f>ROUND(33291.4,2)</f>
        <v>33291.4</v>
      </c>
    </row>
    <row r="378" spans="1:5" outlineLevel="2" x14ac:dyDescent="0.25">
      <c r="A378" s="3" t="s">
        <v>491</v>
      </c>
      <c r="B378" s="3" t="s">
        <v>433</v>
      </c>
      <c r="C378" s="3" t="s">
        <v>11</v>
      </c>
      <c r="D378" s="4" t="s">
        <v>502</v>
      </c>
      <c r="E378" s="5">
        <f>ROUND(73437.52,2)</f>
        <v>73437.52</v>
      </c>
    </row>
    <row r="379" spans="1:5" outlineLevel="2" x14ac:dyDescent="0.25">
      <c r="A379" s="3" t="s">
        <v>491</v>
      </c>
      <c r="B379" s="3" t="s">
        <v>433</v>
      </c>
      <c r="C379" s="3" t="s">
        <v>28</v>
      </c>
      <c r="D379" s="4" t="s">
        <v>503</v>
      </c>
      <c r="E379" s="5">
        <f>ROUND(16144.3,2)</f>
        <v>16144.3</v>
      </c>
    </row>
    <row r="380" spans="1:5" outlineLevel="2" x14ac:dyDescent="0.25">
      <c r="A380" s="3" t="s">
        <v>491</v>
      </c>
      <c r="B380" s="3" t="s">
        <v>433</v>
      </c>
      <c r="C380" s="3" t="s">
        <v>15</v>
      </c>
      <c r="D380" s="4" t="s">
        <v>504</v>
      </c>
      <c r="E380" s="5">
        <f>ROUND(9833.78,2)</f>
        <v>9833.7800000000007</v>
      </c>
    </row>
    <row r="381" spans="1:5" outlineLevel="2" x14ac:dyDescent="0.25">
      <c r="A381" s="3" t="s">
        <v>491</v>
      </c>
      <c r="B381" s="3" t="s">
        <v>433</v>
      </c>
      <c r="C381" s="3" t="s">
        <v>17</v>
      </c>
      <c r="D381" s="4" t="s">
        <v>505</v>
      </c>
      <c r="E381" s="5">
        <f>ROUND(48277.25,2)</f>
        <v>48277.25</v>
      </c>
    </row>
    <row r="382" spans="1:5" outlineLevel="2" x14ac:dyDescent="0.25">
      <c r="A382" s="3" t="s">
        <v>491</v>
      </c>
      <c r="B382" s="3" t="s">
        <v>433</v>
      </c>
      <c r="C382" s="3" t="s">
        <v>19</v>
      </c>
      <c r="D382" s="4" t="s">
        <v>506</v>
      </c>
      <c r="E382" s="5">
        <f>ROUND(96966.81,2)</f>
        <v>96966.81</v>
      </c>
    </row>
    <row r="383" spans="1:5" outlineLevel="2" x14ac:dyDescent="0.25">
      <c r="A383" s="3" t="s">
        <v>491</v>
      </c>
      <c r="B383" s="3" t="s">
        <v>433</v>
      </c>
      <c r="C383" s="3" t="s">
        <v>53</v>
      </c>
      <c r="D383" s="4" t="s">
        <v>507</v>
      </c>
      <c r="E383" s="5">
        <f>ROUND(21134.39,2)</f>
        <v>21134.39</v>
      </c>
    </row>
    <row r="384" spans="1:5" outlineLevel="2" x14ac:dyDescent="0.25">
      <c r="A384" s="3" t="s">
        <v>491</v>
      </c>
      <c r="B384" s="3" t="s">
        <v>433</v>
      </c>
      <c r="C384" s="3" t="s">
        <v>55</v>
      </c>
      <c r="D384" s="4" t="s">
        <v>508</v>
      </c>
      <c r="E384" s="5">
        <f>ROUND(31206.07,2)</f>
        <v>31206.07</v>
      </c>
    </row>
    <row r="385" spans="1:5" outlineLevel="2" x14ac:dyDescent="0.25">
      <c r="A385" s="3" t="s">
        <v>491</v>
      </c>
      <c r="B385" s="3" t="s">
        <v>433</v>
      </c>
      <c r="C385" s="3" t="s">
        <v>21</v>
      </c>
      <c r="D385" s="4" t="s">
        <v>509</v>
      </c>
      <c r="E385" s="5">
        <f>ROUND(11821.89,2)</f>
        <v>11821.89</v>
      </c>
    </row>
    <row r="386" spans="1:5" outlineLevel="2" x14ac:dyDescent="0.25">
      <c r="A386" s="3" t="s">
        <v>491</v>
      </c>
      <c r="B386" s="3" t="s">
        <v>433</v>
      </c>
      <c r="C386" s="3" t="s">
        <v>8</v>
      </c>
      <c r="D386" s="4" t="s">
        <v>510</v>
      </c>
      <c r="E386" s="5">
        <f>ROUND(88622.45,2)</f>
        <v>88622.45</v>
      </c>
    </row>
    <row r="387" spans="1:5" outlineLevel="2" x14ac:dyDescent="0.25">
      <c r="A387" s="3" t="s">
        <v>491</v>
      </c>
      <c r="B387" s="3" t="s">
        <v>433</v>
      </c>
      <c r="C387" s="3" t="s">
        <v>132</v>
      </c>
      <c r="D387" s="4" t="s">
        <v>511</v>
      </c>
      <c r="E387" s="5">
        <f>ROUND(3000,2)</f>
        <v>3000</v>
      </c>
    </row>
    <row r="388" spans="1:5" outlineLevel="2" x14ac:dyDescent="0.25">
      <c r="A388" s="3" t="s">
        <v>491</v>
      </c>
      <c r="B388" s="3" t="s">
        <v>10</v>
      </c>
      <c r="C388" s="3" t="s">
        <v>144</v>
      </c>
      <c r="D388" s="4" t="s">
        <v>512</v>
      </c>
      <c r="E388" s="5">
        <f>ROUND(800,2)</f>
        <v>800</v>
      </c>
    </row>
    <row r="389" spans="1:5" outlineLevel="2" x14ac:dyDescent="0.25">
      <c r="A389" s="3" t="s">
        <v>491</v>
      </c>
      <c r="B389" s="3" t="s">
        <v>10</v>
      </c>
      <c r="C389" s="3" t="s">
        <v>146</v>
      </c>
      <c r="D389" s="4" t="s">
        <v>513</v>
      </c>
      <c r="E389" s="5">
        <f>ROUND(1500,2)</f>
        <v>1500</v>
      </c>
    </row>
    <row r="390" spans="1:5" outlineLevel="1" x14ac:dyDescent="0.25">
      <c r="A390" s="6"/>
      <c r="B390" s="7"/>
      <c r="C390" s="7"/>
      <c r="D390" s="8" t="s">
        <v>514</v>
      </c>
      <c r="E390" s="9">
        <f>SUBTOTAL(9,E369:E389)</f>
        <v>560190.12</v>
      </c>
    </row>
    <row r="391" spans="1:5" outlineLevel="2" x14ac:dyDescent="0.25">
      <c r="A391" s="3" t="s">
        <v>515</v>
      </c>
      <c r="B391" s="3" t="s">
        <v>21</v>
      </c>
      <c r="C391" s="3" t="s">
        <v>132</v>
      </c>
      <c r="D391" s="4" t="s">
        <v>516</v>
      </c>
      <c r="E391" s="5">
        <f>ROUND(3000,2)</f>
        <v>3000</v>
      </c>
    </row>
    <row r="392" spans="1:5" outlineLevel="2" x14ac:dyDescent="0.25">
      <c r="A392" s="3" t="s">
        <v>515</v>
      </c>
      <c r="B392" s="3" t="s">
        <v>492</v>
      </c>
      <c r="C392" s="3" t="s">
        <v>11</v>
      </c>
      <c r="D392" s="4" t="s">
        <v>517</v>
      </c>
      <c r="E392" s="5">
        <f>ROUND(36718.76,2)</f>
        <v>36718.76</v>
      </c>
    </row>
    <row r="393" spans="1:5" outlineLevel="2" x14ac:dyDescent="0.25">
      <c r="A393" s="3" t="s">
        <v>515</v>
      </c>
      <c r="B393" s="3" t="s">
        <v>492</v>
      </c>
      <c r="C393" s="3" t="s">
        <v>15</v>
      </c>
      <c r="D393" s="4" t="s">
        <v>518</v>
      </c>
      <c r="E393" s="5">
        <f>ROUND(12339.77,2)</f>
        <v>12339.77</v>
      </c>
    </row>
    <row r="394" spans="1:5" outlineLevel="2" x14ac:dyDescent="0.25">
      <c r="A394" s="3" t="s">
        <v>515</v>
      </c>
      <c r="B394" s="3" t="s">
        <v>492</v>
      </c>
      <c r="C394" s="3" t="s">
        <v>17</v>
      </c>
      <c r="D394" s="4" t="s">
        <v>519</v>
      </c>
      <c r="E394" s="5">
        <f>ROUND(24749.71,2)</f>
        <v>24749.71</v>
      </c>
    </row>
    <row r="395" spans="1:5" outlineLevel="2" x14ac:dyDescent="0.25">
      <c r="A395" s="3" t="s">
        <v>515</v>
      </c>
      <c r="B395" s="3" t="s">
        <v>492</v>
      </c>
      <c r="C395" s="3" t="s">
        <v>19</v>
      </c>
      <c r="D395" s="4" t="s">
        <v>520</v>
      </c>
      <c r="E395" s="5">
        <f>ROUND(70697.95,2)</f>
        <v>70697.95</v>
      </c>
    </row>
    <row r="396" spans="1:5" outlineLevel="2" x14ac:dyDescent="0.25">
      <c r="A396" s="3" t="s">
        <v>515</v>
      </c>
      <c r="B396" s="3" t="s">
        <v>492</v>
      </c>
      <c r="C396" s="3" t="s">
        <v>21</v>
      </c>
      <c r="D396" s="4" t="s">
        <v>521</v>
      </c>
      <c r="E396" s="5">
        <f>ROUND(9386.49,2)</f>
        <v>9386.49</v>
      </c>
    </row>
    <row r="397" spans="1:5" outlineLevel="2" x14ac:dyDescent="0.25">
      <c r="A397" s="3" t="s">
        <v>515</v>
      </c>
      <c r="B397" s="3" t="s">
        <v>492</v>
      </c>
      <c r="C397" s="3" t="s">
        <v>8</v>
      </c>
      <c r="D397" s="4" t="s">
        <v>522</v>
      </c>
      <c r="E397" s="5">
        <f>ROUND(32729.26,2)</f>
        <v>32729.26</v>
      </c>
    </row>
    <row r="398" spans="1:5" outlineLevel="2" x14ac:dyDescent="0.25">
      <c r="A398" s="3" t="s">
        <v>515</v>
      </c>
      <c r="B398" s="3" t="s">
        <v>492</v>
      </c>
      <c r="C398" s="3" t="s">
        <v>100</v>
      </c>
      <c r="D398" s="4" t="s">
        <v>523</v>
      </c>
      <c r="E398" s="5">
        <f>ROUND(10000,2)</f>
        <v>10000</v>
      </c>
    </row>
    <row r="399" spans="1:5" outlineLevel="2" x14ac:dyDescent="0.25">
      <c r="A399" s="3" t="s">
        <v>515</v>
      </c>
      <c r="B399" s="3" t="s">
        <v>492</v>
      </c>
      <c r="C399" s="3" t="s">
        <v>290</v>
      </c>
      <c r="D399" s="4" t="s">
        <v>524</v>
      </c>
      <c r="E399" s="5">
        <f>ROUND(21000,2)</f>
        <v>21000</v>
      </c>
    </row>
    <row r="400" spans="1:5" outlineLevel="2" x14ac:dyDescent="0.25">
      <c r="A400" s="3" t="s">
        <v>515</v>
      </c>
      <c r="B400" s="3" t="s">
        <v>492</v>
      </c>
      <c r="C400" s="3" t="s">
        <v>525</v>
      </c>
      <c r="D400" s="4" t="s">
        <v>526</v>
      </c>
      <c r="E400" s="5">
        <f>ROUND(45621,2)</f>
        <v>45621</v>
      </c>
    </row>
    <row r="401" spans="1:5" outlineLevel="2" x14ac:dyDescent="0.25">
      <c r="A401" s="3" t="s">
        <v>515</v>
      </c>
      <c r="B401" s="3" t="s">
        <v>527</v>
      </c>
      <c r="C401" s="3" t="s">
        <v>528</v>
      </c>
      <c r="D401" s="4" t="s">
        <v>529</v>
      </c>
      <c r="E401" s="5">
        <f>ROUND(512345,2)</f>
        <v>512345</v>
      </c>
    </row>
    <row r="402" spans="1:5" outlineLevel="2" x14ac:dyDescent="0.25">
      <c r="A402" s="3" t="s">
        <v>515</v>
      </c>
      <c r="B402" s="3" t="s">
        <v>265</v>
      </c>
      <c r="C402" s="3" t="s">
        <v>530</v>
      </c>
      <c r="D402" s="4" t="s">
        <v>531</v>
      </c>
      <c r="E402" s="5">
        <f>ROUND(473802,2)</f>
        <v>473802</v>
      </c>
    </row>
    <row r="403" spans="1:5" outlineLevel="2" x14ac:dyDescent="0.25">
      <c r="A403" s="3" t="s">
        <v>515</v>
      </c>
      <c r="B403" s="3" t="s">
        <v>8</v>
      </c>
      <c r="C403" s="3" t="s">
        <v>132</v>
      </c>
      <c r="D403" s="4" t="s">
        <v>532</v>
      </c>
      <c r="E403" s="5">
        <f>ROUND(100000,2)</f>
        <v>100000</v>
      </c>
    </row>
    <row r="404" spans="1:5" outlineLevel="2" x14ac:dyDescent="0.25">
      <c r="A404" s="3" t="s">
        <v>515</v>
      </c>
      <c r="B404" s="3" t="s">
        <v>8</v>
      </c>
      <c r="C404" s="3" t="s">
        <v>173</v>
      </c>
      <c r="D404" s="4" t="s">
        <v>533</v>
      </c>
      <c r="E404" s="5">
        <f>ROUND(539730,2)</f>
        <v>539730</v>
      </c>
    </row>
    <row r="405" spans="1:5" outlineLevel="2" x14ac:dyDescent="0.25">
      <c r="A405" s="3" t="s">
        <v>515</v>
      </c>
      <c r="B405" s="3" t="s">
        <v>8</v>
      </c>
      <c r="C405" s="3" t="s">
        <v>534</v>
      </c>
      <c r="D405" s="4" t="s">
        <v>535</v>
      </c>
      <c r="E405" s="5">
        <f>ROUND(200000,2)</f>
        <v>200000</v>
      </c>
    </row>
    <row r="406" spans="1:5" outlineLevel="2" x14ac:dyDescent="0.25">
      <c r="A406" s="3" t="s">
        <v>515</v>
      </c>
      <c r="B406" s="3" t="s">
        <v>536</v>
      </c>
      <c r="C406" s="3" t="s">
        <v>173</v>
      </c>
      <c r="D406" s="4" t="s">
        <v>537</v>
      </c>
      <c r="E406" s="5">
        <f>ROUND(173594,2)</f>
        <v>173594</v>
      </c>
    </row>
    <row r="407" spans="1:5" outlineLevel="2" x14ac:dyDescent="0.25">
      <c r="A407" s="3" t="s">
        <v>515</v>
      </c>
      <c r="B407" s="3" t="s">
        <v>474</v>
      </c>
      <c r="C407" s="3" t="s">
        <v>451</v>
      </c>
      <c r="D407" s="4" t="s">
        <v>538</v>
      </c>
      <c r="E407" s="5">
        <f>ROUND(15000,2)</f>
        <v>15000</v>
      </c>
    </row>
    <row r="408" spans="1:5" outlineLevel="2" x14ac:dyDescent="0.25">
      <c r="A408" s="3" t="s">
        <v>515</v>
      </c>
      <c r="B408" s="3" t="s">
        <v>539</v>
      </c>
      <c r="C408" s="3" t="s">
        <v>451</v>
      </c>
      <c r="D408" s="4" t="s">
        <v>540</v>
      </c>
      <c r="E408" s="5">
        <f>ROUND(30000,2)</f>
        <v>30000</v>
      </c>
    </row>
    <row r="409" spans="1:5" outlineLevel="2" x14ac:dyDescent="0.25">
      <c r="A409" s="3" t="s">
        <v>515</v>
      </c>
      <c r="B409" s="3" t="s">
        <v>541</v>
      </c>
      <c r="C409" s="3" t="s">
        <v>132</v>
      </c>
      <c r="D409" s="4" t="s">
        <v>542</v>
      </c>
      <c r="E409" s="5">
        <f>ROUND(8984,2)</f>
        <v>8984</v>
      </c>
    </row>
    <row r="410" spans="1:5" outlineLevel="2" x14ac:dyDescent="0.25">
      <c r="A410" s="3" t="s">
        <v>515</v>
      </c>
      <c r="B410" s="3" t="s">
        <v>6</v>
      </c>
      <c r="C410" s="3" t="s">
        <v>5</v>
      </c>
      <c r="D410" s="4" t="s">
        <v>543</v>
      </c>
      <c r="E410" s="5">
        <f>ROUND(72276.15,2)</f>
        <v>72276.149999999994</v>
      </c>
    </row>
    <row r="411" spans="1:5" outlineLevel="2" x14ac:dyDescent="0.25">
      <c r="A411" s="3" t="s">
        <v>515</v>
      </c>
      <c r="B411" s="3" t="s">
        <v>10</v>
      </c>
      <c r="C411" s="3" t="s">
        <v>544</v>
      </c>
      <c r="D411" s="4" t="s">
        <v>545</v>
      </c>
      <c r="E411" s="5">
        <f>ROUND(10,2)</f>
        <v>10</v>
      </c>
    </row>
    <row r="412" spans="1:5" outlineLevel="1" x14ac:dyDescent="0.25">
      <c r="A412" s="6"/>
      <c r="B412" s="7"/>
      <c r="C412" s="7"/>
      <c r="D412" s="8" t="s">
        <v>546</v>
      </c>
      <c r="E412" s="9">
        <f>SUBTOTAL(9,E391:E411)</f>
        <v>2391984.09</v>
      </c>
    </row>
    <row r="413" spans="1:5" outlineLevel="2" x14ac:dyDescent="0.25">
      <c r="A413" s="3" t="s">
        <v>547</v>
      </c>
      <c r="B413" s="3" t="s">
        <v>21</v>
      </c>
      <c r="C413" s="3" t="s">
        <v>132</v>
      </c>
      <c r="D413" s="4" t="s">
        <v>548</v>
      </c>
      <c r="E413" s="5">
        <f>ROUND(3000,2)</f>
        <v>3000</v>
      </c>
    </row>
    <row r="414" spans="1:5" outlineLevel="2" x14ac:dyDescent="0.25">
      <c r="A414" s="3" t="s">
        <v>547</v>
      </c>
      <c r="B414" s="3" t="s">
        <v>492</v>
      </c>
      <c r="C414" s="3" t="s">
        <v>11</v>
      </c>
      <c r="D414" s="4" t="s">
        <v>549</v>
      </c>
      <c r="E414" s="5">
        <f>ROUND(113306.99,2)</f>
        <v>113306.99</v>
      </c>
    </row>
    <row r="415" spans="1:5" outlineLevel="2" x14ac:dyDescent="0.25">
      <c r="A415" s="3" t="s">
        <v>547</v>
      </c>
      <c r="B415" s="3" t="s">
        <v>492</v>
      </c>
      <c r="C415" s="3" t="s">
        <v>28</v>
      </c>
      <c r="D415" s="4" t="s">
        <v>550</v>
      </c>
      <c r="E415" s="5">
        <f>ROUND(32288.6,2)</f>
        <v>32288.6</v>
      </c>
    </row>
    <row r="416" spans="1:5" outlineLevel="2" x14ac:dyDescent="0.25">
      <c r="A416" s="3" t="s">
        <v>547</v>
      </c>
      <c r="B416" s="3" t="s">
        <v>492</v>
      </c>
      <c r="C416" s="3" t="s">
        <v>13</v>
      </c>
      <c r="D416" s="4" t="s">
        <v>551</v>
      </c>
      <c r="E416" s="5">
        <f>ROUND(24729.44,2)</f>
        <v>24729.439999999999</v>
      </c>
    </row>
    <row r="417" spans="1:5" outlineLevel="2" x14ac:dyDescent="0.25">
      <c r="A417" s="3" t="s">
        <v>547</v>
      </c>
      <c r="B417" s="3" t="s">
        <v>492</v>
      </c>
      <c r="C417" s="3" t="s">
        <v>15</v>
      </c>
      <c r="D417" s="4" t="s">
        <v>552</v>
      </c>
      <c r="E417" s="5">
        <f>ROUND(17128.46,2)</f>
        <v>17128.46</v>
      </c>
    </row>
    <row r="418" spans="1:5" outlineLevel="2" x14ac:dyDescent="0.25">
      <c r="A418" s="3" t="s">
        <v>547</v>
      </c>
      <c r="B418" s="3" t="s">
        <v>492</v>
      </c>
      <c r="C418" s="3" t="s">
        <v>17</v>
      </c>
      <c r="D418" s="4" t="s">
        <v>553</v>
      </c>
      <c r="E418" s="5">
        <f>ROUND(78703.52,2)</f>
        <v>78703.520000000004</v>
      </c>
    </row>
    <row r="419" spans="1:5" outlineLevel="2" x14ac:dyDescent="0.25">
      <c r="A419" s="3" t="s">
        <v>547</v>
      </c>
      <c r="B419" s="3" t="s">
        <v>492</v>
      </c>
      <c r="C419" s="3" t="s">
        <v>19</v>
      </c>
      <c r="D419" s="4" t="s">
        <v>554</v>
      </c>
      <c r="E419" s="5">
        <f>ROUND(154992.98,2)</f>
        <v>154992.98000000001</v>
      </c>
    </row>
    <row r="420" spans="1:5" outlineLevel="2" x14ac:dyDescent="0.25">
      <c r="A420" s="3" t="s">
        <v>547</v>
      </c>
      <c r="B420" s="3" t="s">
        <v>492</v>
      </c>
      <c r="C420" s="3" t="s">
        <v>555</v>
      </c>
      <c r="D420" s="4" t="s">
        <v>556</v>
      </c>
      <c r="E420" s="5">
        <f>ROUND(10,2)</f>
        <v>10</v>
      </c>
    </row>
    <row r="421" spans="1:5" outlineLevel="2" x14ac:dyDescent="0.25">
      <c r="A421" s="3" t="s">
        <v>547</v>
      </c>
      <c r="B421" s="3" t="s">
        <v>492</v>
      </c>
      <c r="C421" s="3" t="s">
        <v>21</v>
      </c>
      <c r="D421" s="4" t="s">
        <v>557</v>
      </c>
      <c r="E421" s="5">
        <f>ROUND(19263.34,2)</f>
        <v>19263.34</v>
      </c>
    </row>
    <row r="422" spans="1:5" outlineLevel="2" x14ac:dyDescent="0.25">
      <c r="A422" s="3" t="s">
        <v>547</v>
      </c>
      <c r="B422" s="3" t="s">
        <v>492</v>
      </c>
      <c r="C422" s="3" t="s">
        <v>8</v>
      </c>
      <c r="D422" s="4" t="s">
        <v>558</v>
      </c>
      <c r="E422" s="5">
        <f>ROUND(125649.87,2)</f>
        <v>125649.87</v>
      </c>
    </row>
    <row r="423" spans="1:5" outlineLevel="2" x14ac:dyDescent="0.25">
      <c r="A423" s="3" t="s">
        <v>547</v>
      </c>
      <c r="B423" s="3" t="s">
        <v>492</v>
      </c>
      <c r="C423" s="3" t="s">
        <v>223</v>
      </c>
      <c r="D423" s="4" t="s">
        <v>559</v>
      </c>
      <c r="E423" s="5">
        <f>ROUND(667.08,2)</f>
        <v>667.08</v>
      </c>
    </row>
    <row r="424" spans="1:5" outlineLevel="2" x14ac:dyDescent="0.25">
      <c r="A424" s="3" t="s">
        <v>547</v>
      </c>
      <c r="B424" s="3" t="s">
        <v>492</v>
      </c>
      <c r="C424" s="3" t="s">
        <v>38</v>
      </c>
      <c r="D424" s="4" t="s">
        <v>560</v>
      </c>
      <c r="E424" s="5">
        <f>ROUND(133782,2)</f>
        <v>133782</v>
      </c>
    </row>
    <row r="425" spans="1:5" outlineLevel="2" x14ac:dyDescent="0.25">
      <c r="A425" s="3" t="s">
        <v>547</v>
      </c>
      <c r="B425" s="3" t="s">
        <v>492</v>
      </c>
      <c r="C425" s="3" t="s">
        <v>534</v>
      </c>
      <c r="D425" s="4" t="s">
        <v>561</v>
      </c>
      <c r="E425" s="5">
        <f>ROUND(135000,2)</f>
        <v>135000</v>
      </c>
    </row>
    <row r="426" spans="1:5" outlineLevel="1" x14ac:dyDescent="0.25">
      <c r="A426" s="6"/>
      <c r="B426" s="7"/>
      <c r="C426" s="7"/>
      <c r="D426" s="8" t="s">
        <v>562</v>
      </c>
      <c r="E426" s="9">
        <f>SUBTOTAL(9,E413:E425)</f>
        <v>838522.27999999991</v>
      </c>
    </row>
    <row r="427" spans="1:5" outlineLevel="2" x14ac:dyDescent="0.25">
      <c r="A427" s="3" t="s">
        <v>563</v>
      </c>
      <c r="B427" s="3" t="s">
        <v>492</v>
      </c>
      <c r="C427" s="3" t="s">
        <v>28</v>
      </c>
      <c r="D427" s="4" t="s">
        <v>564</v>
      </c>
      <c r="E427" s="5">
        <f>ROUND(16144.3,2)</f>
        <v>16144.3</v>
      </c>
    </row>
    <row r="428" spans="1:5" outlineLevel="2" x14ac:dyDescent="0.25">
      <c r="A428" s="3" t="s">
        <v>563</v>
      </c>
      <c r="B428" s="3" t="s">
        <v>492</v>
      </c>
      <c r="C428" s="3" t="s">
        <v>214</v>
      </c>
      <c r="D428" s="4" t="s">
        <v>565</v>
      </c>
      <c r="E428" s="5">
        <f>ROUND(10480.7,2)</f>
        <v>10480.700000000001</v>
      </c>
    </row>
    <row r="429" spans="1:5" outlineLevel="2" x14ac:dyDescent="0.25">
      <c r="A429" s="3" t="s">
        <v>563</v>
      </c>
      <c r="B429" s="3" t="s">
        <v>492</v>
      </c>
      <c r="C429" s="3" t="s">
        <v>15</v>
      </c>
      <c r="D429" s="4" t="s">
        <v>566</v>
      </c>
      <c r="E429" s="5">
        <f>ROUND(7190.7,2)</f>
        <v>7190.7</v>
      </c>
    </row>
    <row r="430" spans="1:5" outlineLevel="2" x14ac:dyDescent="0.25">
      <c r="A430" s="3" t="s">
        <v>563</v>
      </c>
      <c r="B430" s="3" t="s">
        <v>492</v>
      </c>
      <c r="C430" s="3" t="s">
        <v>17</v>
      </c>
      <c r="D430" s="4" t="s">
        <v>567</v>
      </c>
      <c r="E430" s="5">
        <f>ROUND(16728.89,2)</f>
        <v>16728.89</v>
      </c>
    </row>
    <row r="431" spans="1:5" outlineLevel="2" x14ac:dyDescent="0.25">
      <c r="A431" s="3" t="s">
        <v>563</v>
      </c>
      <c r="B431" s="3" t="s">
        <v>492</v>
      </c>
      <c r="C431" s="3" t="s">
        <v>19</v>
      </c>
      <c r="D431" s="4" t="s">
        <v>568</v>
      </c>
      <c r="E431" s="5">
        <f>ROUND(38233.68,2)</f>
        <v>38233.68</v>
      </c>
    </row>
    <row r="432" spans="1:5" outlineLevel="2" x14ac:dyDescent="0.25">
      <c r="A432" s="3" t="s">
        <v>563</v>
      </c>
      <c r="B432" s="3" t="s">
        <v>492</v>
      </c>
      <c r="C432" s="3" t="s">
        <v>21</v>
      </c>
      <c r="D432" s="4" t="s">
        <v>569</v>
      </c>
      <c r="E432" s="5">
        <f>ROUND(4175.83,2)</f>
        <v>4175.83</v>
      </c>
    </row>
    <row r="433" spans="1:5" outlineLevel="2" x14ac:dyDescent="0.25">
      <c r="A433" s="3" t="s">
        <v>563</v>
      </c>
      <c r="B433" s="3" t="s">
        <v>492</v>
      </c>
      <c r="C433" s="3" t="s">
        <v>8</v>
      </c>
      <c r="D433" s="4" t="s">
        <v>570</v>
      </c>
      <c r="E433" s="5">
        <f>ROUND(25554.62,2)</f>
        <v>25554.62</v>
      </c>
    </row>
    <row r="434" spans="1:5" outlineLevel="2" x14ac:dyDescent="0.25">
      <c r="A434" s="3" t="s">
        <v>563</v>
      </c>
      <c r="B434" s="3" t="s">
        <v>492</v>
      </c>
      <c r="C434" s="3" t="s">
        <v>223</v>
      </c>
      <c r="D434" s="4" t="s">
        <v>571</v>
      </c>
      <c r="E434" s="5">
        <f>ROUND(545.76,2)</f>
        <v>545.76</v>
      </c>
    </row>
    <row r="435" spans="1:5" outlineLevel="2" x14ac:dyDescent="0.25">
      <c r="A435" s="3" t="s">
        <v>563</v>
      </c>
      <c r="B435" s="3" t="s">
        <v>373</v>
      </c>
      <c r="C435" s="3" t="s">
        <v>572</v>
      </c>
      <c r="D435" s="4" t="s">
        <v>573</v>
      </c>
      <c r="E435" s="5">
        <f>ROUND(95000,2)</f>
        <v>95000</v>
      </c>
    </row>
    <row r="436" spans="1:5" outlineLevel="2" x14ac:dyDescent="0.25">
      <c r="A436" s="3" t="s">
        <v>563</v>
      </c>
      <c r="B436" s="3" t="s">
        <v>373</v>
      </c>
      <c r="C436" s="3" t="s">
        <v>574</v>
      </c>
      <c r="D436" s="4" t="s">
        <v>575</v>
      </c>
      <c r="E436" s="5">
        <f>ROUND(10,2)</f>
        <v>10</v>
      </c>
    </row>
    <row r="437" spans="1:5" outlineLevel="2" x14ac:dyDescent="0.25">
      <c r="A437" s="3" t="s">
        <v>563</v>
      </c>
      <c r="B437" s="3" t="s">
        <v>576</v>
      </c>
      <c r="C437" s="3" t="s">
        <v>374</v>
      </c>
      <c r="D437" s="4" t="s">
        <v>577</v>
      </c>
      <c r="E437" s="5">
        <f>ROUND(467779,2)</f>
        <v>467779</v>
      </c>
    </row>
    <row r="438" spans="1:5" outlineLevel="2" x14ac:dyDescent="0.25">
      <c r="A438" s="3" t="s">
        <v>563</v>
      </c>
      <c r="B438" s="3" t="s">
        <v>578</v>
      </c>
      <c r="C438" s="3" t="s">
        <v>374</v>
      </c>
      <c r="D438" s="4" t="s">
        <v>579</v>
      </c>
      <c r="E438" s="5">
        <f>ROUND(306921,2)</f>
        <v>306921</v>
      </c>
    </row>
    <row r="439" spans="1:5" outlineLevel="2" x14ac:dyDescent="0.25">
      <c r="A439" s="3" t="s">
        <v>563</v>
      </c>
      <c r="B439" s="3" t="s">
        <v>578</v>
      </c>
      <c r="C439" s="3" t="s">
        <v>580</v>
      </c>
      <c r="D439" s="4" t="s">
        <v>581</v>
      </c>
      <c r="E439" s="5">
        <f>ROUND(266000,2)</f>
        <v>266000</v>
      </c>
    </row>
    <row r="440" spans="1:5" outlineLevel="1" x14ac:dyDescent="0.25">
      <c r="A440" s="6"/>
      <c r="B440" s="7"/>
      <c r="C440" s="7"/>
      <c r="D440" s="8" t="s">
        <v>582</v>
      </c>
      <c r="E440" s="9">
        <f>SUBTOTAL(9,E427:E439)</f>
        <v>1254764.48</v>
      </c>
    </row>
    <row r="441" spans="1:5" outlineLevel="2" x14ac:dyDescent="0.25">
      <c r="A441" s="3" t="s">
        <v>583</v>
      </c>
      <c r="B441" s="3" t="s">
        <v>584</v>
      </c>
      <c r="C441" s="3" t="s">
        <v>585</v>
      </c>
      <c r="D441" s="4" t="s">
        <v>586</v>
      </c>
      <c r="E441" s="5">
        <f>ROUND(632773,2)</f>
        <v>632773</v>
      </c>
    </row>
    <row r="442" spans="1:5" outlineLevel="2" x14ac:dyDescent="0.25">
      <c r="A442" s="3" t="s">
        <v>583</v>
      </c>
      <c r="B442" s="3" t="s">
        <v>492</v>
      </c>
      <c r="C442" s="3" t="s">
        <v>11</v>
      </c>
      <c r="D442" s="4" t="s">
        <v>587</v>
      </c>
      <c r="E442" s="5">
        <f>ROUND(110156.28,2)</f>
        <v>110156.28</v>
      </c>
    </row>
    <row r="443" spans="1:5" outlineLevel="2" x14ac:dyDescent="0.25">
      <c r="A443" s="3" t="s">
        <v>583</v>
      </c>
      <c r="B443" s="3" t="s">
        <v>492</v>
      </c>
      <c r="C443" s="3" t="s">
        <v>15</v>
      </c>
      <c r="D443" s="4" t="s">
        <v>588</v>
      </c>
      <c r="E443" s="5">
        <f>ROUND(7277.14,2)</f>
        <v>7277.14</v>
      </c>
    </row>
    <row r="444" spans="1:5" outlineLevel="2" x14ac:dyDescent="0.25">
      <c r="A444" s="3" t="s">
        <v>583</v>
      </c>
      <c r="B444" s="3" t="s">
        <v>492</v>
      </c>
      <c r="C444" s="3" t="s">
        <v>17</v>
      </c>
      <c r="D444" s="4" t="s">
        <v>589</v>
      </c>
      <c r="E444" s="5">
        <f>ROUND(56870.38,2)</f>
        <v>56870.38</v>
      </c>
    </row>
    <row r="445" spans="1:5" outlineLevel="2" x14ac:dyDescent="0.25">
      <c r="A445" s="3" t="s">
        <v>583</v>
      </c>
      <c r="B445" s="3" t="s">
        <v>492</v>
      </c>
      <c r="C445" s="3" t="s">
        <v>19</v>
      </c>
      <c r="D445" s="4" t="s">
        <v>590</v>
      </c>
      <c r="E445" s="5">
        <f>ROUND(103205.56,2)</f>
        <v>103205.56</v>
      </c>
    </row>
    <row r="446" spans="1:5" outlineLevel="2" x14ac:dyDescent="0.25">
      <c r="A446" s="3" t="s">
        <v>583</v>
      </c>
      <c r="B446" s="3" t="s">
        <v>492</v>
      </c>
      <c r="C446" s="3" t="s">
        <v>53</v>
      </c>
      <c r="D446" s="4" t="s">
        <v>591</v>
      </c>
      <c r="E446" s="5">
        <f>ROUND(20596.17,2)</f>
        <v>20596.169999999998</v>
      </c>
    </row>
    <row r="447" spans="1:5" outlineLevel="2" x14ac:dyDescent="0.25">
      <c r="A447" s="3" t="s">
        <v>583</v>
      </c>
      <c r="B447" s="3" t="s">
        <v>492</v>
      </c>
      <c r="C447" s="3" t="s">
        <v>55</v>
      </c>
      <c r="D447" s="4" t="s">
        <v>592</v>
      </c>
      <c r="E447" s="5">
        <f>ROUND(31254.74,2)</f>
        <v>31254.74</v>
      </c>
    </row>
    <row r="448" spans="1:5" outlineLevel="2" x14ac:dyDescent="0.25">
      <c r="A448" s="3" t="s">
        <v>583</v>
      </c>
      <c r="B448" s="3" t="s">
        <v>492</v>
      </c>
      <c r="C448" s="3" t="s">
        <v>21</v>
      </c>
      <c r="D448" s="4" t="s">
        <v>593</v>
      </c>
      <c r="E448" s="5">
        <f>ROUND(14969.33,2)</f>
        <v>14969.33</v>
      </c>
    </row>
    <row r="449" spans="1:5" outlineLevel="2" x14ac:dyDescent="0.25">
      <c r="A449" s="3" t="s">
        <v>583</v>
      </c>
      <c r="B449" s="3" t="s">
        <v>492</v>
      </c>
      <c r="C449" s="3" t="s">
        <v>8</v>
      </c>
      <c r="D449" s="4" t="s">
        <v>594</v>
      </c>
      <c r="E449" s="5">
        <f>ROUND(101480.32,2)</f>
        <v>101480.32000000001</v>
      </c>
    </row>
    <row r="450" spans="1:5" outlineLevel="2" x14ac:dyDescent="0.25">
      <c r="A450" s="3" t="s">
        <v>583</v>
      </c>
      <c r="B450" s="3" t="s">
        <v>492</v>
      </c>
      <c r="C450" s="3" t="s">
        <v>595</v>
      </c>
      <c r="D450" s="4" t="s">
        <v>596</v>
      </c>
      <c r="E450" s="5">
        <f>ROUND(10,2)</f>
        <v>10</v>
      </c>
    </row>
    <row r="451" spans="1:5" outlineLevel="2" x14ac:dyDescent="0.25">
      <c r="A451" s="3" t="s">
        <v>583</v>
      </c>
      <c r="B451" s="3" t="s">
        <v>597</v>
      </c>
      <c r="C451" s="3" t="s">
        <v>126</v>
      </c>
      <c r="D451" s="4" t="s">
        <v>598</v>
      </c>
      <c r="E451" s="5">
        <f>ROUND(16000,2)</f>
        <v>16000</v>
      </c>
    </row>
    <row r="452" spans="1:5" outlineLevel="2" x14ac:dyDescent="0.25">
      <c r="A452" s="3" t="s">
        <v>583</v>
      </c>
      <c r="B452" s="3" t="s">
        <v>597</v>
      </c>
      <c r="C452" s="3" t="s">
        <v>599</v>
      </c>
      <c r="D452" s="4" t="s">
        <v>600</v>
      </c>
      <c r="E452" s="5">
        <f>ROUND(11500,2)</f>
        <v>11500</v>
      </c>
    </row>
    <row r="453" spans="1:5" outlineLevel="1" x14ac:dyDescent="0.25">
      <c r="A453" s="6"/>
      <c r="B453" s="7"/>
      <c r="C453" s="7"/>
      <c r="D453" s="8" t="s">
        <v>601</v>
      </c>
      <c r="E453" s="9">
        <f>SUBTOTAL(9,E441:E452)</f>
        <v>1106092.9200000002</v>
      </c>
    </row>
    <row r="454" spans="1:5" outlineLevel="2" x14ac:dyDescent="0.25">
      <c r="A454" s="3" t="s">
        <v>602</v>
      </c>
      <c r="B454" s="3" t="s">
        <v>492</v>
      </c>
      <c r="C454" s="3" t="s">
        <v>11</v>
      </c>
      <c r="D454" s="4" t="s">
        <v>603</v>
      </c>
      <c r="E454" s="5">
        <f>ROUND(64257.83,2)</f>
        <v>64257.83</v>
      </c>
    </row>
    <row r="455" spans="1:5" outlineLevel="2" x14ac:dyDescent="0.25">
      <c r="A455" s="3" t="s">
        <v>602</v>
      </c>
      <c r="B455" s="3" t="s">
        <v>492</v>
      </c>
      <c r="C455" s="3" t="s">
        <v>28</v>
      </c>
      <c r="D455" s="4" t="s">
        <v>604</v>
      </c>
      <c r="E455" s="5">
        <f>ROUND(48432.9,2)</f>
        <v>48432.9</v>
      </c>
    </row>
    <row r="456" spans="1:5" outlineLevel="2" x14ac:dyDescent="0.25">
      <c r="A456" s="3" t="s">
        <v>602</v>
      </c>
      <c r="B456" s="3" t="s">
        <v>492</v>
      </c>
      <c r="C456" s="3" t="s">
        <v>13</v>
      </c>
      <c r="D456" s="4" t="s">
        <v>605</v>
      </c>
      <c r="E456" s="5">
        <f>ROUND(24729.44,2)</f>
        <v>24729.439999999999</v>
      </c>
    </row>
    <row r="457" spans="1:5" outlineLevel="2" x14ac:dyDescent="0.25">
      <c r="A457" s="3" t="s">
        <v>602</v>
      </c>
      <c r="B457" s="3" t="s">
        <v>492</v>
      </c>
      <c r="C457" s="3" t="s">
        <v>214</v>
      </c>
      <c r="D457" s="4" t="s">
        <v>606</v>
      </c>
      <c r="E457" s="5">
        <f>ROUND(20961.4,2)</f>
        <v>20961.400000000001</v>
      </c>
    </row>
    <row r="458" spans="1:5" outlineLevel="2" x14ac:dyDescent="0.25">
      <c r="A458" s="3" t="s">
        <v>602</v>
      </c>
      <c r="B458" s="3" t="s">
        <v>492</v>
      </c>
      <c r="C458" s="3" t="s">
        <v>15</v>
      </c>
      <c r="D458" s="4" t="s">
        <v>607</v>
      </c>
      <c r="E458" s="5">
        <f>ROUND(27992.93,2)</f>
        <v>27992.93</v>
      </c>
    </row>
    <row r="459" spans="1:5" outlineLevel="2" x14ac:dyDescent="0.25">
      <c r="A459" s="3" t="s">
        <v>602</v>
      </c>
      <c r="B459" s="3" t="s">
        <v>492</v>
      </c>
      <c r="C459" s="3" t="s">
        <v>17</v>
      </c>
      <c r="D459" s="4" t="s">
        <v>608</v>
      </c>
      <c r="E459" s="5">
        <f>ROUND(80297.62,2)</f>
        <v>80297.62</v>
      </c>
    </row>
    <row r="460" spans="1:5" outlineLevel="2" x14ac:dyDescent="0.25">
      <c r="A460" s="3" t="s">
        <v>602</v>
      </c>
      <c r="B460" s="3" t="s">
        <v>492</v>
      </c>
      <c r="C460" s="3" t="s">
        <v>19</v>
      </c>
      <c r="D460" s="4" t="s">
        <v>609</v>
      </c>
      <c r="E460" s="5">
        <f>ROUND(181244.48,2)</f>
        <v>181244.48</v>
      </c>
    </row>
    <row r="461" spans="1:5" outlineLevel="2" x14ac:dyDescent="0.25">
      <c r="A461" s="3" t="s">
        <v>602</v>
      </c>
      <c r="B461" s="3" t="s">
        <v>492</v>
      </c>
      <c r="C461" s="3" t="s">
        <v>21</v>
      </c>
      <c r="D461" s="4" t="s">
        <v>610</v>
      </c>
      <c r="E461" s="5">
        <f>ROUND(21659.11,2)</f>
        <v>21659.11</v>
      </c>
    </row>
    <row r="462" spans="1:5" outlineLevel="2" x14ac:dyDescent="0.25">
      <c r="A462" s="3" t="s">
        <v>602</v>
      </c>
      <c r="B462" s="3" t="s">
        <v>492</v>
      </c>
      <c r="C462" s="3" t="s">
        <v>8</v>
      </c>
      <c r="D462" s="4" t="s">
        <v>611</v>
      </c>
      <c r="E462" s="5">
        <f>ROUND(129533.36,2)</f>
        <v>129533.36</v>
      </c>
    </row>
    <row r="463" spans="1:5" outlineLevel="2" x14ac:dyDescent="0.25">
      <c r="A463" s="3" t="s">
        <v>602</v>
      </c>
      <c r="B463" s="3" t="s">
        <v>492</v>
      </c>
      <c r="C463" s="3" t="s">
        <v>612</v>
      </c>
      <c r="D463" s="4" t="s">
        <v>613</v>
      </c>
      <c r="E463" s="5">
        <f>ROUND(500,2)</f>
        <v>500</v>
      </c>
    </row>
    <row r="464" spans="1:5" outlineLevel="2" x14ac:dyDescent="0.25">
      <c r="A464" s="3" t="s">
        <v>602</v>
      </c>
      <c r="B464" s="3" t="s">
        <v>492</v>
      </c>
      <c r="C464" s="3" t="s">
        <v>614</v>
      </c>
      <c r="D464" s="4" t="s">
        <v>613</v>
      </c>
      <c r="E464" s="5">
        <f>ROUND(10,2)</f>
        <v>10</v>
      </c>
    </row>
    <row r="465" spans="1:5" outlineLevel="2" x14ac:dyDescent="0.25">
      <c r="A465" s="3" t="s">
        <v>602</v>
      </c>
      <c r="B465" s="3" t="s">
        <v>615</v>
      </c>
      <c r="C465" s="3" t="s">
        <v>580</v>
      </c>
      <c r="D465" s="4" t="s">
        <v>616</v>
      </c>
      <c r="E465" s="5">
        <f>ROUND(63272,2)</f>
        <v>63272</v>
      </c>
    </row>
    <row r="466" spans="1:5" outlineLevel="2" x14ac:dyDescent="0.25">
      <c r="A466" s="3" t="s">
        <v>602</v>
      </c>
      <c r="B466" s="3" t="s">
        <v>617</v>
      </c>
      <c r="C466" s="3" t="s">
        <v>618</v>
      </c>
      <c r="D466" s="4" t="s">
        <v>619</v>
      </c>
      <c r="E466" s="5">
        <f>ROUND(10,2)</f>
        <v>10</v>
      </c>
    </row>
    <row r="467" spans="1:5" outlineLevel="2" x14ac:dyDescent="0.25">
      <c r="A467" s="3" t="s">
        <v>602</v>
      </c>
      <c r="B467" s="3" t="s">
        <v>617</v>
      </c>
      <c r="C467" s="3" t="s">
        <v>620</v>
      </c>
      <c r="D467" s="4" t="s">
        <v>621</v>
      </c>
      <c r="E467" s="5">
        <f>ROUND(14865,2)</f>
        <v>14865</v>
      </c>
    </row>
    <row r="468" spans="1:5" outlineLevel="2" x14ac:dyDescent="0.25">
      <c r="A468" s="3" t="s">
        <v>602</v>
      </c>
      <c r="B468" s="3" t="s">
        <v>617</v>
      </c>
      <c r="C468" s="3" t="s">
        <v>622</v>
      </c>
      <c r="D468" s="4" t="s">
        <v>623</v>
      </c>
      <c r="E468" s="5">
        <f>ROUND(8280,2)</f>
        <v>8280</v>
      </c>
    </row>
    <row r="469" spans="1:5" outlineLevel="2" x14ac:dyDescent="0.25">
      <c r="A469" s="3" t="s">
        <v>602</v>
      </c>
      <c r="B469" s="3" t="s">
        <v>617</v>
      </c>
      <c r="C469" s="3" t="s">
        <v>624</v>
      </c>
      <c r="D469" s="4" t="s">
        <v>625</v>
      </c>
      <c r="E469" s="5">
        <f>ROUND(13978,2)</f>
        <v>13978</v>
      </c>
    </row>
    <row r="470" spans="1:5" outlineLevel="2" x14ac:dyDescent="0.25">
      <c r="A470" s="3" t="s">
        <v>602</v>
      </c>
      <c r="B470" s="3" t="s">
        <v>617</v>
      </c>
      <c r="C470" s="3" t="s">
        <v>626</v>
      </c>
      <c r="D470" s="4" t="s">
        <v>627</v>
      </c>
      <c r="E470" s="5">
        <f>ROUND(9215,2)</f>
        <v>9215</v>
      </c>
    </row>
    <row r="471" spans="1:5" outlineLevel="2" x14ac:dyDescent="0.25">
      <c r="A471" s="3" t="s">
        <v>602</v>
      </c>
      <c r="B471" s="3" t="s">
        <v>10</v>
      </c>
      <c r="C471" s="3" t="s">
        <v>387</v>
      </c>
      <c r="D471" s="4" t="s">
        <v>628</v>
      </c>
      <c r="E471" s="5">
        <f>ROUND(24575,2)</f>
        <v>24575</v>
      </c>
    </row>
    <row r="472" spans="1:5" outlineLevel="2" x14ac:dyDescent="0.25">
      <c r="A472" s="3" t="s">
        <v>602</v>
      </c>
      <c r="B472" s="3" t="s">
        <v>373</v>
      </c>
      <c r="C472" s="3" t="s">
        <v>629</v>
      </c>
      <c r="D472" s="4" t="s">
        <v>630</v>
      </c>
      <c r="E472" s="5">
        <f>ROUND(320000,2)</f>
        <v>320000</v>
      </c>
    </row>
    <row r="473" spans="1:5" outlineLevel="1" x14ac:dyDescent="0.25">
      <c r="A473" s="6"/>
      <c r="B473" s="7"/>
      <c r="C473" s="7"/>
      <c r="D473" s="8" t="s">
        <v>631</v>
      </c>
      <c r="E473" s="9">
        <f>SUBTOTAL(9,E454:E472)</f>
        <v>1053814.0699999998</v>
      </c>
    </row>
    <row r="474" spans="1:5" outlineLevel="2" x14ac:dyDescent="0.25">
      <c r="A474" s="3" t="s">
        <v>383</v>
      </c>
      <c r="B474" s="3" t="s">
        <v>423</v>
      </c>
      <c r="C474" s="3" t="s">
        <v>13</v>
      </c>
      <c r="D474" s="4" t="s">
        <v>632</v>
      </c>
      <c r="E474" s="5">
        <f>ROUND(37094.16,2)</f>
        <v>37094.160000000003</v>
      </c>
    </row>
    <row r="475" spans="1:5" outlineLevel="2" x14ac:dyDescent="0.25">
      <c r="A475" s="3" t="s">
        <v>383</v>
      </c>
      <c r="B475" s="3" t="s">
        <v>423</v>
      </c>
      <c r="C475" s="3" t="s">
        <v>214</v>
      </c>
      <c r="D475" s="4" t="s">
        <v>633</v>
      </c>
      <c r="E475" s="5">
        <f>ROUND(20961.4,2)</f>
        <v>20961.400000000001</v>
      </c>
    </row>
    <row r="476" spans="1:5" outlineLevel="2" x14ac:dyDescent="0.25">
      <c r="A476" s="3" t="s">
        <v>383</v>
      </c>
      <c r="B476" s="3" t="s">
        <v>423</v>
      </c>
      <c r="C476" s="3" t="s">
        <v>15</v>
      </c>
      <c r="D476" s="4" t="s">
        <v>634</v>
      </c>
      <c r="E476" s="5">
        <f>ROUND(5742.54,2)</f>
        <v>5742.54</v>
      </c>
    </row>
    <row r="477" spans="1:5" outlineLevel="2" x14ac:dyDescent="0.25">
      <c r="A477" s="3" t="s">
        <v>383</v>
      </c>
      <c r="B477" s="3" t="s">
        <v>423</v>
      </c>
      <c r="C477" s="3" t="s">
        <v>17</v>
      </c>
      <c r="D477" s="4" t="s">
        <v>635</v>
      </c>
      <c r="E477" s="5">
        <f>ROUND(29069.15,2)</f>
        <v>29069.15</v>
      </c>
    </row>
    <row r="478" spans="1:5" outlineLevel="2" x14ac:dyDescent="0.25">
      <c r="A478" s="3" t="s">
        <v>383</v>
      </c>
      <c r="B478" s="3" t="s">
        <v>423</v>
      </c>
      <c r="C478" s="3" t="s">
        <v>19</v>
      </c>
      <c r="D478" s="4" t="s">
        <v>636</v>
      </c>
      <c r="E478" s="5">
        <f>ROUND(72901.56,2)</f>
        <v>72901.56</v>
      </c>
    </row>
    <row r="479" spans="1:5" outlineLevel="2" x14ac:dyDescent="0.25">
      <c r="A479" s="3" t="s">
        <v>383</v>
      </c>
      <c r="B479" s="3" t="s">
        <v>423</v>
      </c>
      <c r="C479" s="3" t="s">
        <v>53</v>
      </c>
      <c r="D479" s="4" t="s">
        <v>637</v>
      </c>
      <c r="E479" s="5">
        <f>ROUND(32506.17,2)</f>
        <v>32506.17</v>
      </c>
    </row>
    <row r="480" spans="1:5" outlineLevel="2" x14ac:dyDescent="0.25">
      <c r="A480" s="3" t="s">
        <v>383</v>
      </c>
      <c r="B480" s="3" t="s">
        <v>423</v>
      </c>
      <c r="C480" s="3" t="s">
        <v>55</v>
      </c>
      <c r="D480" s="4" t="s">
        <v>638</v>
      </c>
      <c r="E480" s="5">
        <f>ROUND(83278.36,2)</f>
        <v>83278.36</v>
      </c>
    </row>
    <row r="481" spans="1:5" outlineLevel="2" x14ac:dyDescent="0.25">
      <c r="A481" s="3" t="s">
        <v>383</v>
      </c>
      <c r="B481" s="3" t="s">
        <v>423</v>
      </c>
      <c r="C481" s="3" t="s">
        <v>21</v>
      </c>
      <c r="D481" s="4" t="s">
        <v>639</v>
      </c>
      <c r="E481" s="5">
        <f>ROUND(18658.99,2)</f>
        <v>18658.990000000002</v>
      </c>
    </row>
    <row r="482" spans="1:5" outlineLevel="2" x14ac:dyDescent="0.25">
      <c r="A482" s="3" t="s">
        <v>383</v>
      </c>
      <c r="B482" s="3" t="s">
        <v>423</v>
      </c>
      <c r="C482" s="3" t="s">
        <v>265</v>
      </c>
      <c r="D482" s="4" t="s">
        <v>640</v>
      </c>
      <c r="E482" s="5">
        <f>ROUND(6484.04,2)</f>
        <v>6484.04</v>
      </c>
    </row>
    <row r="483" spans="1:5" outlineLevel="2" x14ac:dyDescent="0.25">
      <c r="A483" s="3" t="s">
        <v>383</v>
      </c>
      <c r="B483" s="3" t="s">
        <v>423</v>
      </c>
      <c r="C483" s="3" t="s">
        <v>8</v>
      </c>
      <c r="D483" s="4" t="s">
        <v>641</v>
      </c>
      <c r="E483" s="5">
        <f>ROUND(88646.55,2)</f>
        <v>88646.55</v>
      </c>
    </row>
    <row r="484" spans="1:5" outlineLevel="2" x14ac:dyDescent="0.25">
      <c r="A484" s="3" t="s">
        <v>383</v>
      </c>
      <c r="B484" s="3" t="s">
        <v>6</v>
      </c>
      <c r="C484" s="3" t="s">
        <v>5</v>
      </c>
      <c r="D484" s="4" t="s">
        <v>642</v>
      </c>
      <c r="E484" s="5">
        <f>ROUND(106163.5,2)</f>
        <v>106163.5</v>
      </c>
    </row>
    <row r="485" spans="1:5" outlineLevel="2" x14ac:dyDescent="0.25">
      <c r="A485" s="3" t="s">
        <v>383</v>
      </c>
      <c r="B485" s="3" t="s">
        <v>6</v>
      </c>
      <c r="C485" s="3" t="s">
        <v>8</v>
      </c>
      <c r="D485" s="4" t="s">
        <v>643</v>
      </c>
      <c r="E485" s="5">
        <f>ROUND(32059.21,2)</f>
        <v>32059.21</v>
      </c>
    </row>
    <row r="486" spans="1:5" outlineLevel="1" x14ac:dyDescent="0.25">
      <c r="A486" s="6"/>
      <c r="B486" s="7"/>
      <c r="C486" s="7"/>
      <c r="D486" s="8" t="s">
        <v>644</v>
      </c>
      <c r="E486" s="9">
        <f>SUBTOTAL(9,E474:E485)</f>
        <v>533565.62999999989</v>
      </c>
    </row>
    <row r="487" spans="1:5" outlineLevel="2" x14ac:dyDescent="0.25">
      <c r="A487" s="3" t="s">
        <v>645</v>
      </c>
      <c r="B487" s="3" t="s">
        <v>646</v>
      </c>
      <c r="C487" s="3" t="s">
        <v>11</v>
      </c>
      <c r="D487" s="4" t="s">
        <v>647</v>
      </c>
      <c r="E487" s="5">
        <f>ROUND(43799.77,2)</f>
        <v>43799.77</v>
      </c>
    </row>
    <row r="488" spans="1:5" outlineLevel="2" x14ac:dyDescent="0.25">
      <c r="A488" s="3" t="s">
        <v>645</v>
      </c>
      <c r="B488" s="3" t="s">
        <v>646</v>
      </c>
      <c r="C488" s="3" t="s">
        <v>13</v>
      </c>
      <c r="D488" s="4" t="s">
        <v>648</v>
      </c>
      <c r="E488" s="5">
        <f>ROUND(12364.72,2)</f>
        <v>12364.72</v>
      </c>
    </row>
    <row r="489" spans="1:5" outlineLevel="2" x14ac:dyDescent="0.25">
      <c r="A489" s="3" t="s">
        <v>645</v>
      </c>
      <c r="B489" s="3" t="s">
        <v>646</v>
      </c>
      <c r="C489" s="3" t="s">
        <v>15</v>
      </c>
      <c r="D489" s="4" t="s">
        <v>649</v>
      </c>
      <c r="E489" s="5">
        <f>ROUND(6048.64,2)</f>
        <v>6048.64</v>
      </c>
    </row>
    <row r="490" spans="1:5" outlineLevel="2" x14ac:dyDescent="0.25">
      <c r="A490" s="3" t="s">
        <v>645</v>
      </c>
      <c r="B490" s="3" t="s">
        <v>646</v>
      </c>
      <c r="C490" s="3" t="s">
        <v>17</v>
      </c>
      <c r="D490" s="4" t="s">
        <v>650</v>
      </c>
      <c r="E490" s="5">
        <f>ROUND(19521.19,2)</f>
        <v>19521.189999999999</v>
      </c>
    </row>
    <row r="491" spans="1:5" outlineLevel="2" x14ac:dyDescent="0.25">
      <c r="A491" s="3" t="s">
        <v>645</v>
      </c>
      <c r="B491" s="3" t="s">
        <v>646</v>
      </c>
      <c r="C491" s="3" t="s">
        <v>19</v>
      </c>
      <c r="D491" s="4" t="s">
        <v>651</v>
      </c>
      <c r="E491" s="5">
        <f>ROUND(37266.89,2)</f>
        <v>37266.89</v>
      </c>
    </row>
    <row r="492" spans="1:5" outlineLevel="2" x14ac:dyDescent="0.25">
      <c r="A492" s="3" t="s">
        <v>645</v>
      </c>
      <c r="B492" s="3" t="s">
        <v>646</v>
      </c>
      <c r="C492" s="3" t="s">
        <v>555</v>
      </c>
      <c r="D492" s="4" t="s">
        <v>652</v>
      </c>
      <c r="E492" s="5">
        <f>ROUND(10,2)</f>
        <v>10</v>
      </c>
    </row>
    <row r="493" spans="1:5" outlineLevel="2" x14ac:dyDescent="0.25">
      <c r="A493" s="3" t="s">
        <v>645</v>
      </c>
      <c r="B493" s="3" t="s">
        <v>646</v>
      </c>
      <c r="C493" s="3" t="s">
        <v>53</v>
      </c>
      <c r="D493" s="4" t="s">
        <v>653</v>
      </c>
      <c r="E493" s="5">
        <f>ROUND(11150.17,2)</f>
        <v>11150.17</v>
      </c>
    </row>
    <row r="494" spans="1:5" outlineLevel="2" x14ac:dyDescent="0.25">
      <c r="A494" s="3" t="s">
        <v>645</v>
      </c>
      <c r="B494" s="3" t="s">
        <v>646</v>
      </c>
      <c r="C494" s="3" t="s">
        <v>55</v>
      </c>
      <c r="D494" s="4" t="s">
        <v>654</v>
      </c>
      <c r="E494" s="5">
        <f>ROUND(26396.36,2)</f>
        <v>26396.36</v>
      </c>
    </row>
    <row r="495" spans="1:5" outlineLevel="2" x14ac:dyDescent="0.25">
      <c r="A495" s="3" t="s">
        <v>645</v>
      </c>
      <c r="B495" s="3" t="s">
        <v>646</v>
      </c>
      <c r="C495" s="3" t="s">
        <v>21</v>
      </c>
      <c r="D495" s="4" t="s">
        <v>655</v>
      </c>
      <c r="E495" s="5">
        <f>ROUND(7059.32,2)</f>
        <v>7059.32</v>
      </c>
    </row>
    <row r="496" spans="1:5" outlineLevel="2" x14ac:dyDescent="0.25">
      <c r="A496" s="3" t="s">
        <v>645</v>
      </c>
      <c r="B496" s="3" t="s">
        <v>646</v>
      </c>
      <c r="C496" s="3" t="s">
        <v>8</v>
      </c>
      <c r="D496" s="4" t="s">
        <v>656</v>
      </c>
      <c r="E496" s="5">
        <f>ROUND(47931.32,2)</f>
        <v>47931.32</v>
      </c>
    </row>
    <row r="497" spans="1:5" outlineLevel="2" x14ac:dyDescent="0.25">
      <c r="A497" s="3" t="s">
        <v>645</v>
      </c>
      <c r="B497" s="3" t="s">
        <v>646</v>
      </c>
      <c r="C497" s="3" t="s">
        <v>38</v>
      </c>
      <c r="D497" s="4" t="s">
        <v>657</v>
      </c>
      <c r="E497" s="5">
        <f>ROUND(368330,2)</f>
        <v>368330</v>
      </c>
    </row>
    <row r="498" spans="1:5" outlineLevel="2" x14ac:dyDescent="0.25">
      <c r="A498" s="3" t="s">
        <v>645</v>
      </c>
      <c r="B498" s="3" t="s">
        <v>646</v>
      </c>
      <c r="C498" s="3" t="s">
        <v>428</v>
      </c>
      <c r="D498" s="4" t="s">
        <v>658</v>
      </c>
      <c r="E498" s="5">
        <f>ROUND(21500,2)</f>
        <v>21500</v>
      </c>
    </row>
    <row r="499" spans="1:5" outlineLevel="2" x14ac:dyDescent="0.25">
      <c r="A499" s="3" t="s">
        <v>645</v>
      </c>
      <c r="B499" s="3" t="s">
        <v>646</v>
      </c>
      <c r="C499" s="3" t="s">
        <v>659</v>
      </c>
      <c r="D499" s="4" t="s">
        <v>660</v>
      </c>
      <c r="E499" s="5">
        <f>ROUND(3080,2)</f>
        <v>3080</v>
      </c>
    </row>
    <row r="500" spans="1:5" outlineLevel="2" x14ac:dyDescent="0.25">
      <c r="A500" s="3" t="s">
        <v>645</v>
      </c>
      <c r="B500" s="3" t="s">
        <v>646</v>
      </c>
      <c r="C500" s="3" t="s">
        <v>451</v>
      </c>
      <c r="D500" s="4" t="s">
        <v>661</v>
      </c>
      <c r="E500" s="5">
        <f>ROUND(10000,2)</f>
        <v>10000</v>
      </c>
    </row>
    <row r="501" spans="1:5" outlineLevel="2" x14ac:dyDescent="0.25">
      <c r="A501" s="3" t="s">
        <v>645</v>
      </c>
      <c r="B501" s="3" t="s">
        <v>646</v>
      </c>
      <c r="C501" s="3" t="s">
        <v>662</v>
      </c>
      <c r="D501" s="4" t="s">
        <v>663</v>
      </c>
      <c r="E501" s="5">
        <f>ROUND(10000,2)</f>
        <v>10000</v>
      </c>
    </row>
    <row r="502" spans="1:5" outlineLevel="2" x14ac:dyDescent="0.25">
      <c r="A502" s="3" t="s">
        <v>645</v>
      </c>
      <c r="B502" s="3" t="s">
        <v>664</v>
      </c>
      <c r="C502" s="3" t="s">
        <v>534</v>
      </c>
      <c r="D502" s="4" t="s">
        <v>665</v>
      </c>
      <c r="E502" s="5">
        <f>ROUND(10,2)</f>
        <v>10</v>
      </c>
    </row>
    <row r="503" spans="1:5" outlineLevel="2" x14ac:dyDescent="0.25">
      <c r="A503" s="3" t="s">
        <v>645</v>
      </c>
      <c r="B503" s="3" t="s">
        <v>664</v>
      </c>
      <c r="C503" s="3" t="s">
        <v>666</v>
      </c>
      <c r="D503" s="4" t="s">
        <v>667</v>
      </c>
      <c r="E503" s="5">
        <f>ROUND(10,2)</f>
        <v>10</v>
      </c>
    </row>
    <row r="504" spans="1:5" outlineLevel="2" x14ac:dyDescent="0.25">
      <c r="A504" s="3" t="s">
        <v>645</v>
      </c>
      <c r="B504" s="3" t="s">
        <v>668</v>
      </c>
      <c r="C504" s="3" t="s">
        <v>387</v>
      </c>
      <c r="D504" s="4" t="s">
        <v>669</v>
      </c>
      <c r="E504" s="5">
        <f>ROUND(50000,2)</f>
        <v>50000</v>
      </c>
    </row>
    <row r="505" spans="1:5" outlineLevel="2" x14ac:dyDescent="0.25">
      <c r="A505" s="3" t="s">
        <v>645</v>
      </c>
      <c r="B505" s="3" t="s">
        <v>152</v>
      </c>
      <c r="C505" s="3" t="s">
        <v>126</v>
      </c>
      <c r="D505" s="4" t="s">
        <v>670</v>
      </c>
      <c r="E505" s="5">
        <f>ROUND(60000,2)</f>
        <v>60000</v>
      </c>
    </row>
    <row r="506" spans="1:5" outlineLevel="1" x14ac:dyDescent="0.25">
      <c r="A506" s="6"/>
      <c r="B506" s="7"/>
      <c r="C506" s="7"/>
      <c r="D506" s="8" t="s">
        <v>671</v>
      </c>
      <c r="E506" s="9">
        <f>SUBTOTAL(9,E487:E505)</f>
        <v>734478.38</v>
      </c>
    </row>
    <row r="507" spans="1:5" outlineLevel="2" x14ac:dyDescent="0.25">
      <c r="A507" s="3" t="s">
        <v>672</v>
      </c>
      <c r="B507" s="3" t="s">
        <v>673</v>
      </c>
      <c r="C507" s="3" t="s">
        <v>173</v>
      </c>
      <c r="D507" s="4" t="s">
        <v>674</v>
      </c>
      <c r="E507" s="5">
        <f>ROUND(72850,2)</f>
        <v>72850</v>
      </c>
    </row>
    <row r="508" spans="1:5" outlineLevel="2" x14ac:dyDescent="0.25">
      <c r="A508" s="3" t="s">
        <v>672</v>
      </c>
      <c r="B508" s="3" t="s">
        <v>423</v>
      </c>
      <c r="C508" s="3" t="s">
        <v>11</v>
      </c>
      <c r="D508" s="4" t="s">
        <v>675</v>
      </c>
      <c r="E508" s="5">
        <f>ROUND(18359.38,2)</f>
        <v>18359.38</v>
      </c>
    </row>
    <row r="509" spans="1:5" outlineLevel="2" x14ac:dyDescent="0.25">
      <c r="A509" s="3" t="s">
        <v>672</v>
      </c>
      <c r="B509" s="3" t="s">
        <v>423</v>
      </c>
      <c r="C509" s="3" t="s">
        <v>15</v>
      </c>
      <c r="D509" s="4" t="s">
        <v>676</v>
      </c>
      <c r="E509" s="5">
        <f>ROUND(2592.3,2)</f>
        <v>2592.3000000000002</v>
      </c>
    </row>
    <row r="510" spans="1:5" outlineLevel="2" x14ac:dyDescent="0.25">
      <c r="A510" s="3" t="s">
        <v>672</v>
      </c>
      <c r="B510" s="3" t="s">
        <v>423</v>
      </c>
      <c r="C510" s="3" t="s">
        <v>17</v>
      </c>
      <c r="D510" s="4" t="s">
        <v>677</v>
      </c>
      <c r="E510" s="5">
        <f>ROUND(8928.57,2)</f>
        <v>8928.57</v>
      </c>
    </row>
    <row r="511" spans="1:5" outlineLevel="2" x14ac:dyDescent="0.25">
      <c r="A511" s="3" t="s">
        <v>672</v>
      </c>
      <c r="B511" s="3" t="s">
        <v>423</v>
      </c>
      <c r="C511" s="3" t="s">
        <v>19</v>
      </c>
      <c r="D511" s="4" t="s">
        <v>678</v>
      </c>
      <c r="E511" s="5">
        <f>ROUND(14672.07,2)</f>
        <v>14672.07</v>
      </c>
    </row>
    <row r="512" spans="1:5" outlineLevel="2" x14ac:dyDescent="0.25">
      <c r="A512" s="3" t="s">
        <v>672</v>
      </c>
      <c r="B512" s="3" t="s">
        <v>423</v>
      </c>
      <c r="C512" s="3" t="s">
        <v>21</v>
      </c>
      <c r="D512" s="4" t="s">
        <v>679</v>
      </c>
      <c r="E512" s="5">
        <f>ROUND(2086.79,2)</f>
        <v>2086.79</v>
      </c>
    </row>
    <row r="513" spans="1:5" outlineLevel="2" x14ac:dyDescent="0.25">
      <c r="A513" s="3" t="s">
        <v>672</v>
      </c>
      <c r="B513" s="3" t="s">
        <v>423</v>
      </c>
      <c r="C513" s="3" t="s">
        <v>8</v>
      </c>
      <c r="D513" s="4" t="s">
        <v>680</v>
      </c>
      <c r="E513" s="5">
        <f>ROUND(12723.63,2)</f>
        <v>12723.63</v>
      </c>
    </row>
    <row r="514" spans="1:5" outlineLevel="2" x14ac:dyDescent="0.25">
      <c r="A514" s="3" t="s">
        <v>672</v>
      </c>
      <c r="B514" s="3" t="s">
        <v>474</v>
      </c>
      <c r="C514" s="3" t="s">
        <v>38</v>
      </c>
      <c r="D514" s="4" t="s">
        <v>681</v>
      </c>
      <c r="E514" s="5">
        <f>ROUND(97171,2)</f>
        <v>97171</v>
      </c>
    </row>
    <row r="515" spans="1:5" outlineLevel="2" x14ac:dyDescent="0.25">
      <c r="A515" s="3" t="s">
        <v>672</v>
      </c>
      <c r="B515" s="3" t="s">
        <v>474</v>
      </c>
      <c r="C515" s="3" t="s">
        <v>173</v>
      </c>
      <c r="D515" s="4" t="s">
        <v>682</v>
      </c>
      <c r="E515" s="5">
        <f>ROUND(70886,2)</f>
        <v>70886</v>
      </c>
    </row>
    <row r="516" spans="1:5" outlineLevel="1" x14ac:dyDescent="0.25">
      <c r="A516" s="6"/>
      <c r="B516" s="7"/>
      <c r="C516" s="7"/>
      <c r="D516" s="8" t="s">
        <v>683</v>
      </c>
      <c r="E516" s="9">
        <f>SUBTOTAL(9,E507:E515)</f>
        <v>300269.74</v>
      </c>
    </row>
    <row r="517" spans="1:5" outlineLevel="2" x14ac:dyDescent="0.25">
      <c r="A517" s="3" t="s">
        <v>684</v>
      </c>
      <c r="B517" s="3" t="s">
        <v>423</v>
      </c>
      <c r="C517" s="3" t="s">
        <v>28</v>
      </c>
      <c r="D517" s="4" t="s">
        <v>685</v>
      </c>
      <c r="E517" s="5">
        <f>ROUND(40640.93,2)</f>
        <v>40640.93</v>
      </c>
    </row>
    <row r="518" spans="1:5" outlineLevel="2" x14ac:dyDescent="0.25">
      <c r="A518" s="3" t="s">
        <v>684</v>
      </c>
      <c r="B518" s="3" t="s">
        <v>423</v>
      </c>
      <c r="C518" s="3" t="s">
        <v>13</v>
      </c>
      <c r="D518" s="4" t="s">
        <v>686</v>
      </c>
      <c r="E518" s="5">
        <f>ROUND(37094.16,2)</f>
        <v>37094.160000000003</v>
      </c>
    </row>
    <row r="519" spans="1:5" outlineLevel="2" x14ac:dyDescent="0.25">
      <c r="A519" s="3" t="s">
        <v>684</v>
      </c>
      <c r="B519" s="3" t="s">
        <v>423</v>
      </c>
      <c r="C519" s="3" t="s">
        <v>15</v>
      </c>
      <c r="D519" s="4" t="s">
        <v>687</v>
      </c>
      <c r="E519" s="5">
        <f>ROUND(9825.35,2)</f>
        <v>9825.35</v>
      </c>
    </row>
    <row r="520" spans="1:5" outlineLevel="2" x14ac:dyDescent="0.25">
      <c r="A520" s="3" t="s">
        <v>684</v>
      </c>
      <c r="B520" s="3" t="s">
        <v>423</v>
      </c>
      <c r="C520" s="3" t="s">
        <v>17</v>
      </c>
      <c r="D520" s="4" t="s">
        <v>688</v>
      </c>
      <c r="E520" s="5">
        <f>ROUND(35013.37,2)</f>
        <v>35013.370000000003</v>
      </c>
    </row>
    <row r="521" spans="1:5" outlineLevel="2" x14ac:dyDescent="0.25">
      <c r="A521" s="3" t="s">
        <v>684</v>
      </c>
      <c r="B521" s="3" t="s">
        <v>423</v>
      </c>
      <c r="C521" s="3" t="s">
        <v>19</v>
      </c>
      <c r="D521" s="4" t="s">
        <v>689</v>
      </c>
      <c r="E521" s="5">
        <f>ROUND(79268.03,2)</f>
        <v>79268.03</v>
      </c>
    </row>
    <row r="522" spans="1:5" outlineLevel="2" x14ac:dyDescent="0.25">
      <c r="A522" s="3" t="s">
        <v>684</v>
      </c>
      <c r="B522" s="3" t="s">
        <v>423</v>
      </c>
      <c r="C522" s="3" t="s">
        <v>21</v>
      </c>
      <c r="D522" s="4" t="s">
        <v>690</v>
      </c>
      <c r="E522" s="5">
        <f>ROUND(10015.47,2)</f>
        <v>10015.469999999999</v>
      </c>
    </row>
    <row r="523" spans="1:5" outlineLevel="2" x14ac:dyDescent="0.25">
      <c r="A523" s="3" t="s">
        <v>684</v>
      </c>
      <c r="B523" s="3" t="s">
        <v>423</v>
      </c>
      <c r="C523" s="3" t="s">
        <v>8</v>
      </c>
      <c r="D523" s="4" t="s">
        <v>691</v>
      </c>
      <c r="E523" s="5">
        <f>ROUND(59861.52,2)</f>
        <v>59861.52</v>
      </c>
    </row>
    <row r="524" spans="1:5" outlineLevel="1" x14ac:dyDescent="0.25">
      <c r="A524" s="6"/>
      <c r="B524" s="7"/>
      <c r="C524" s="7"/>
      <c r="D524" s="8" t="s">
        <v>692</v>
      </c>
      <c r="E524" s="9">
        <f>SUBTOTAL(9,E517:E523)</f>
        <v>271718.83</v>
      </c>
    </row>
    <row r="525" spans="1:5" outlineLevel="2" x14ac:dyDescent="0.25">
      <c r="A525" s="3" t="s">
        <v>427</v>
      </c>
      <c r="B525" s="3" t="s">
        <v>296</v>
      </c>
      <c r="C525" s="3" t="s">
        <v>214</v>
      </c>
      <c r="D525" s="4" t="s">
        <v>693</v>
      </c>
      <c r="E525" s="5">
        <f>ROUND(10480.7,2)</f>
        <v>10480.700000000001</v>
      </c>
    </row>
    <row r="526" spans="1:5" outlineLevel="2" x14ac:dyDescent="0.25">
      <c r="A526" s="3" t="s">
        <v>427</v>
      </c>
      <c r="B526" s="3" t="s">
        <v>296</v>
      </c>
      <c r="C526" s="3" t="s">
        <v>15</v>
      </c>
      <c r="D526" s="4" t="s">
        <v>694</v>
      </c>
      <c r="E526" s="5">
        <f>ROUND(319.53,2)</f>
        <v>319.52999999999997</v>
      </c>
    </row>
    <row r="527" spans="1:5" outlineLevel="2" x14ac:dyDescent="0.25">
      <c r="A527" s="3" t="s">
        <v>427</v>
      </c>
      <c r="B527" s="3" t="s">
        <v>296</v>
      </c>
      <c r="C527" s="3" t="s">
        <v>17</v>
      </c>
      <c r="D527" s="4" t="s">
        <v>695</v>
      </c>
      <c r="E527" s="5">
        <f>ROUND(4554.95,2)</f>
        <v>4554.95</v>
      </c>
    </row>
    <row r="528" spans="1:5" outlineLevel="2" x14ac:dyDescent="0.25">
      <c r="A528" s="3" t="s">
        <v>427</v>
      </c>
      <c r="B528" s="3" t="s">
        <v>296</v>
      </c>
      <c r="C528" s="3" t="s">
        <v>19</v>
      </c>
      <c r="D528" s="4" t="s">
        <v>696</v>
      </c>
      <c r="E528" s="5">
        <f>ROUND(12885.9,2)</f>
        <v>12885.9</v>
      </c>
    </row>
    <row r="529" spans="1:5" outlineLevel="2" x14ac:dyDescent="0.25">
      <c r="A529" s="3" t="s">
        <v>427</v>
      </c>
      <c r="B529" s="3" t="s">
        <v>296</v>
      </c>
      <c r="C529" s="3" t="s">
        <v>21</v>
      </c>
      <c r="D529" s="4" t="s">
        <v>697</v>
      </c>
      <c r="E529" s="5">
        <f>ROUND(1865.56,2)</f>
        <v>1865.56</v>
      </c>
    </row>
    <row r="530" spans="1:5" outlineLevel="2" x14ac:dyDescent="0.25">
      <c r="A530" s="3" t="s">
        <v>427</v>
      </c>
      <c r="B530" s="3" t="s">
        <v>296</v>
      </c>
      <c r="C530" s="3" t="s">
        <v>8</v>
      </c>
      <c r="D530" s="4" t="s">
        <v>698</v>
      </c>
      <c r="E530" s="5">
        <f>ROUND(10253.61,2)</f>
        <v>10253.61</v>
      </c>
    </row>
    <row r="531" spans="1:5" outlineLevel="2" x14ac:dyDescent="0.25">
      <c r="A531" s="3" t="s">
        <v>427</v>
      </c>
      <c r="B531" s="3" t="s">
        <v>434</v>
      </c>
      <c r="C531" s="3" t="s">
        <v>132</v>
      </c>
      <c r="D531" s="4" t="s">
        <v>699</v>
      </c>
      <c r="E531" s="5">
        <f>ROUND(3000,2)</f>
        <v>3000</v>
      </c>
    </row>
    <row r="532" spans="1:5" outlineLevel="2" x14ac:dyDescent="0.25">
      <c r="A532" s="3" t="s">
        <v>427</v>
      </c>
      <c r="B532" s="3" t="s">
        <v>700</v>
      </c>
      <c r="C532" s="3" t="s">
        <v>53</v>
      </c>
      <c r="D532" s="4" t="s">
        <v>701</v>
      </c>
      <c r="E532" s="5">
        <f>ROUND(16648.98,2)</f>
        <v>16648.98</v>
      </c>
    </row>
    <row r="533" spans="1:5" outlineLevel="2" x14ac:dyDescent="0.25">
      <c r="A533" s="3" t="s">
        <v>427</v>
      </c>
      <c r="B533" s="3" t="s">
        <v>700</v>
      </c>
      <c r="C533" s="3" t="s">
        <v>55</v>
      </c>
      <c r="D533" s="4" t="s">
        <v>702</v>
      </c>
      <c r="E533" s="5">
        <f>ROUND(64550.6,2)</f>
        <v>64550.6</v>
      </c>
    </row>
    <row r="534" spans="1:5" outlineLevel="2" x14ac:dyDescent="0.25">
      <c r="A534" s="3" t="s">
        <v>427</v>
      </c>
      <c r="B534" s="3" t="s">
        <v>700</v>
      </c>
      <c r="C534" s="3" t="s">
        <v>21</v>
      </c>
      <c r="D534" s="4" t="s">
        <v>703</v>
      </c>
      <c r="E534" s="5">
        <f>ROUND(7125.16,2)</f>
        <v>7125.16</v>
      </c>
    </row>
    <row r="535" spans="1:5" outlineLevel="2" x14ac:dyDescent="0.25">
      <c r="A535" s="3" t="s">
        <v>427</v>
      </c>
      <c r="B535" s="3" t="s">
        <v>700</v>
      </c>
      <c r="C535" s="3" t="s">
        <v>8</v>
      </c>
      <c r="D535" s="4" t="s">
        <v>704</v>
      </c>
      <c r="E535" s="5">
        <f>ROUND(19869.25,2)</f>
        <v>19869.25</v>
      </c>
    </row>
    <row r="536" spans="1:5" outlineLevel="2" x14ac:dyDescent="0.25">
      <c r="A536" s="3" t="s">
        <v>427</v>
      </c>
      <c r="B536" s="3" t="s">
        <v>700</v>
      </c>
      <c r="C536" s="3" t="s">
        <v>424</v>
      </c>
      <c r="D536" s="4" t="s">
        <v>705</v>
      </c>
      <c r="E536" s="5">
        <f>ROUND(10,2)</f>
        <v>10</v>
      </c>
    </row>
    <row r="537" spans="1:5" outlineLevel="2" x14ac:dyDescent="0.25">
      <c r="A537" s="3" t="s">
        <v>427</v>
      </c>
      <c r="B537" s="3" t="s">
        <v>700</v>
      </c>
      <c r="C537" s="3" t="s">
        <v>417</v>
      </c>
      <c r="D537" s="4" t="s">
        <v>706</v>
      </c>
      <c r="E537" s="5">
        <f>ROUND(10,2)</f>
        <v>10</v>
      </c>
    </row>
    <row r="538" spans="1:5" outlineLevel="2" x14ac:dyDescent="0.25">
      <c r="A538" s="3" t="s">
        <v>427</v>
      </c>
      <c r="B538" s="3" t="s">
        <v>700</v>
      </c>
      <c r="C538" s="3" t="s">
        <v>84</v>
      </c>
      <c r="D538" s="4" t="s">
        <v>707</v>
      </c>
      <c r="E538" s="5">
        <f>ROUND(10,2)</f>
        <v>10</v>
      </c>
    </row>
    <row r="539" spans="1:5" outlineLevel="2" x14ac:dyDescent="0.25">
      <c r="A539" s="3" t="s">
        <v>427</v>
      </c>
      <c r="B539" s="3" t="s">
        <v>431</v>
      </c>
      <c r="C539" s="3" t="s">
        <v>173</v>
      </c>
      <c r="D539" s="4" t="s">
        <v>708</v>
      </c>
      <c r="E539" s="5">
        <f>ROUND(10,2)</f>
        <v>10</v>
      </c>
    </row>
    <row r="540" spans="1:5" outlineLevel="1" x14ac:dyDescent="0.25">
      <c r="A540" s="6"/>
      <c r="B540" s="7"/>
      <c r="C540" s="7"/>
      <c r="D540" s="8" t="s">
        <v>709</v>
      </c>
      <c r="E540" s="9">
        <f>SUBTOTAL(9,E525:E539)</f>
        <v>151594.23999999999</v>
      </c>
    </row>
    <row r="541" spans="1:5" outlineLevel="2" x14ac:dyDescent="0.25">
      <c r="A541" s="3" t="s">
        <v>710</v>
      </c>
      <c r="B541" s="3" t="s">
        <v>597</v>
      </c>
      <c r="C541" s="3" t="s">
        <v>451</v>
      </c>
      <c r="D541" s="4" t="s">
        <v>711</v>
      </c>
      <c r="E541" s="5">
        <f>ROUND(20000,2)</f>
        <v>20000</v>
      </c>
    </row>
    <row r="542" spans="1:5" outlineLevel="2" x14ac:dyDescent="0.25">
      <c r="A542" s="3" t="s">
        <v>710</v>
      </c>
      <c r="B542" s="3" t="s">
        <v>433</v>
      </c>
      <c r="C542" s="3" t="s">
        <v>11</v>
      </c>
      <c r="D542" s="4" t="s">
        <v>712</v>
      </c>
      <c r="E542" s="5">
        <f>ROUND(18359.38,2)</f>
        <v>18359.38</v>
      </c>
    </row>
    <row r="543" spans="1:5" outlineLevel="2" x14ac:dyDescent="0.25">
      <c r="A543" s="3" t="s">
        <v>710</v>
      </c>
      <c r="B543" s="3" t="s">
        <v>433</v>
      </c>
      <c r="C543" s="3" t="s">
        <v>28</v>
      </c>
      <c r="D543" s="4" t="s">
        <v>713</v>
      </c>
      <c r="E543" s="5">
        <f>ROUND(32288.6,2)</f>
        <v>32288.6</v>
      </c>
    </row>
    <row r="544" spans="1:5" outlineLevel="2" x14ac:dyDescent="0.25">
      <c r="A544" s="3" t="s">
        <v>710</v>
      </c>
      <c r="B544" s="3" t="s">
        <v>433</v>
      </c>
      <c r="C544" s="3" t="s">
        <v>13</v>
      </c>
      <c r="D544" s="4" t="s">
        <v>714</v>
      </c>
      <c r="E544" s="5">
        <f>ROUND(12364.72,2)</f>
        <v>12364.72</v>
      </c>
    </row>
    <row r="545" spans="1:5" outlineLevel="2" x14ac:dyDescent="0.25">
      <c r="A545" s="3" t="s">
        <v>710</v>
      </c>
      <c r="B545" s="3" t="s">
        <v>433</v>
      </c>
      <c r="C545" s="3" t="s">
        <v>15</v>
      </c>
      <c r="D545" s="4" t="s">
        <v>715</v>
      </c>
      <c r="E545" s="5">
        <f>ROUND(12837.49,2)</f>
        <v>12837.49</v>
      </c>
    </row>
    <row r="546" spans="1:5" outlineLevel="2" x14ac:dyDescent="0.25">
      <c r="A546" s="3" t="s">
        <v>710</v>
      </c>
      <c r="B546" s="3" t="s">
        <v>433</v>
      </c>
      <c r="C546" s="3" t="s">
        <v>17</v>
      </c>
      <c r="D546" s="4" t="s">
        <v>716</v>
      </c>
      <c r="E546" s="5">
        <f>ROUND(31397.89,2)</f>
        <v>31397.89</v>
      </c>
    </row>
    <row r="547" spans="1:5" outlineLevel="2" x14ac:dyDescent="0.25">
      <c r="A547" s="3" t="s">
        <v>710</v>
      </c>
      <c r="B547" s="3" t="s">
        <v>433</v>
      </c>
      <c r="C547" s="3" t="s">
        <v>19</v>
      </c>
      <c r="D547" s="4" t="s">
        <v>717</v>
      </c>
      <c r="E547" s="5">
        <f>ROUND(68346.61,2)</f>
        <v>68346.61</v>
      </c>
    </row>
    <row r="548" spans="1:5" outlineLevel="2" x14ac:dyDescent="0.25">
      <c r="A548" s="3" t="s">
        <v>710</v>
      </c>
      <c r="B548" s="3" t="s">
        <v>433</v>
      </c>
      <c r="C548" s="3" t="s">
        <v>21</v>
      </c>
      <c r="D548" s="4" t="s">
        <v>718</v>
      </c>
      <c r="E548" s="5">
        <f>ROUND(8242.17,2)</f>
        <v>8242.17</v>
      </c>
    </row>
    <row r="549" spans="1:5" outlineLevel="2" x14ac:dyDescent="0.25">
      <c r="A549" s="3" t="s">
        <v>710</v>
      </c>
      <c r="B549" s="3" t="s">
        <v>433</v>
      </c>
      <c r="C549" s="3" t="s">
        <v>8</v>
      </c>
      <c r="D549" s="4" t="s">
        <v>719</v>
      </c>
      <c r="E549" s="5">
        <f>ROUND(56329.77,2)</f>
        <v>56329.77</v>
      </c>
    </row>
    <row r="550" spans="1:5" outlineLevel="2" x14ac:dyDescent="0.25">
      <c r="A550" s="3" t="s">
        <v>710</v>
      </c>
      <c r="B550" s="3" t="s">
        <v>434</v>
      </c>
      <c r="C550" s="3" t="s">
        <v>38</v>
      </c>
      <c r="D550" s="4" t="s">
        <v>720</v>
      </c>
      <c r="E550" s="5">
        <f>ROUND(116903,2)</f>
        <v>116903</v>
      </c>
    </row>
    <row r="551" spans="1:5" outlineLevel="2" x14ac:dyDescent="0.25">
      <c r="A551" s="3" t="s">
        <v>710</v>
      </c>
      <c r="B551" s="3" t="s">
        <v>434</v>
      </c>
      <c r="C551" s="3" t="s">
        <v>173</v>
      </c>
      <c r="D551" s="4" t="s">
        <v>721</v>
      </c>
      <c r="E551" s="5">
        <f>ROUND(31877,2)</f>
        <v>31877</v>
      </c>
    </row>
    <row r="552" spans="1:5" outlineLevel="2" x14ac:dyDescent="0.25">
      <c r="A552" s="3" t="s">
        <v>710</v>
      </c>
      <c r="B552" s="3" t="s">
        <v>434</v>
      </c>
      <c r="C552" s="3" t="s">
        <v>722</v>
      </c>
      <c r="D552" s="4" t="s">
        <v>723</v>
      </c>
      <c r="E552" s="5">
        <f>ROUND(10,2)</f>
        <v>10</v>
      </c>
    </row>
    <row r="553" spans="1:5" outlineLevel="2" x14ac:dyDescent="0.25">
      <c r="A553" s="3" t="s">
        <v>710</v>
      </c>
      <c r="B553" s="3" t="s">
        <v>434</v>
      </c>
      <c r="C553" s="3" t="s">
        <v>724</v>
      </c>
      <c r="D553" s="4" t="s">
        <v>725</v>
      </c>
      <c r="E553" s="5">
        <f>ROUND(50000,2)</f>
        <v>50000</v>
      </c>
    </row>
    <row r="554" spans="1:5" outlineLevel="2" x14ac:dyDescent="0.25">
      <c r="A554" s="3" t="s">
        <v>710</v>
      </c>
      <c r="B554" s="3" t="s">
        <v>726</v>
      </c>
      <c r="C554" s="3" t="s">
        <v>38</v>
      </c>
      <c r="D554" s="4" t="s">
        <v>727</v>
      </c>
      <c r="E554" s="5">
        <f>ROUND(229886,2)</f>
        <v>229886</v>
      </c>
    </row>
    <row r="555" spans="1:5" outlineLevel="2" x14ac:dyDescent="0.25">
      <c r="A555" s="3" t="s">
        <v>710</v>
      </c>
      <c r="B555" s="3" t="s">
        <v>728</v>
      </c>
      <c r="C555" s="3" t="s">
        <v>38</v>
      </c>
      <c r="D555" s="4" t="s">
        <v>729</v>
      </c>
      <c r="E555" s="5">
        <f>ROUND(48986,2)</f>
        <v>48986</v>
      </c>
    </row>
    <row r="556" spans="1:5" outlineLevel="1" x14ac:dyDescent="0.25">
      <c r="A556" s="6"/>
      <c r="B556" s="7"/>
      <c r="C556" s="7"/>
      <c r="D556" s="8" t="s">
        <v>730</v>
      </c>
      <c r="E556" s="9">
        <f>SUBTOTAL(9,E541:E555)</f>
        <v>737828.63</v>
      </c>
    </row>
    <row r="557" spans="1:5" outlineLevel="2" x14ac:dyDescent="0.25">
      <c r="A557" s="3" t="s">
        <v>731</v>
      </c>
      <c r="B557" s="3" t="s">
        <v>732</v>
      </c>
      <c r="C557" s="3" t="s">
        <v>132</v>
      </c>
      <c r="D557" s="4" t="s">
        <v>733</v>
      </c>
      <c r="E557" s="5">
        <f>ROUND(80385,2)</f>
        <v>80385</v>
      </c>
    </row>
    <row r="558" spans="1:5" outlineLevel="2" x14ac:dyDescent="0.25">
      <c r="A558" s="3" t="s">
        <v>731</v>
      </c>
      <c r="B558" s="3" t="s">
        <v>433</v>
      </c>
      <c r="C558" s="3" t="s">
        <v>173</v>
      </c>
      <c r="D558" s="4" t="s">
        <v>734</v>
      </c>
      <c r="E558" s="5">
        <f>ROUND(18000,2)</f>
        <v>18000</v>
      </c>
    </row>
    <row r="559" spans="1:5" outlineLevel="2" x14ac:dyDescent="0.25">
      <c r="A559" s="3" t="s">
        <v>731</v>
      </c>
      <c r="B559" s="3" t="s">
        <v>700</v>
      </c>
      <c r="C559" s="3" t="s">
        <v>11</v>
      </c>
      <c r="D559" s="4" t="s">
        <v>735</v>
      </c>
      <c r="E559" s="5">
        <f>ROUND(55078.14,2)</f>
        <v>55078.14</v>
      </c>
    </row>
    <row r="560" spans="1:5" outlineLevel="2" x14ac:dyDescent="0.25">
      <c r="A560" s="3" t="s">
        <v>731</v>
      </c>
      <c r="B560" s="3" t="s">
        <v>700</v>
      </c>
      <c r="C560" s="3" t="s">
        <v>28</v>
      </c>
      <c r="D560" s="4" t="s">
        <v>736</v>
      </c>
      <c r="E560" s="5">
        <f>ROUND(32288.6,2)</f>
        <v>32288.6</v>
      </c>
    </row>
    <row r="561" spans="1:5" outlineLevel="2" x14ac:dyDescent="0.25">
      <c r="A561" s="3" t="s">
        <v>731</v>
      </c>
      <c r="B561" s="3" t="s">
        <v>700</v>
      </c>
      <c r="C561" s="3" t="s">
        <v>15</v>
      </c>
      <c r="D561" s="4" t="s">
        <v>737</v>
      </c>
      <c r="E561" s="5">
        <f>ROUND(17817.56,2)</f>
        <v>17817.560000000001</v>
      </c>
    </row>
    <row r="562" spans="1:5" outlineLevel="2" x14ac:dyDescent="0.25">
      <c r="A562" s="3" t="s">
        <v>731</v>
      </c>
      <c r="B562" s="3" t="s">
        <v>700</v>
      </c>
      <c r="C562" s="3" t="s">
        <v>17</v>
      </c>
      <c r="D562" s="4" t="s">
        <v>738</v>
      </c>
      <c r="E562" s="5">
        <f>ROUND(42679.69,2)</f>
        <v>42679.69</v>
      </c>
    </row>
    <row r="563" spans="1:5" outlineLevel="2" x14ac:dyDescent="0.25">
      <c r="A563" s="3" t="s">
        <v>731</v>
      </c>
      <c r="B563" s="3" t="s">
        <v>700</v>
      </c>
      <c r="C563" s="3" t="s">
        <v>19</v>
      </c>
      <c r="D563" s="4" t="s">
        <v>739</v>
      </c>
      <c r="E563" s="5">
        <f>ROUND(85823.86,2)</f>
        <v>85823.86</v>
      </c>
    </row>
    <row r="564" spans="1:5" outlineLevel="2" x14ac:dyDescent="0.25">
      <c r="A564" s="3" t="s">
        <v>731</v>
      </c>
      <c r="B564" s="3" t="s">
        <v>700</v>
      </c>
      <c r="C564" s="3" t="s">
        <v>21</v>
      </c>
      <c r="D564" s="4" t="s">
        <v>740</v>
      </c>
      <c r="E564" s="5">
        <f>ROUND(10536.46,2)</f>
        <v>10536.46</v>
      </c>
    </row>
    <row r="565" spans="1:5" outlineLevel="2" x14ac:dyDescent="0.25">
      <c r="A565" s="3" t="s">
        <v>731</v>
      </c>
      <c r="B565" s="3" t="s">
        <v>700</v>
      </c>
      <c r="C565" s="3" t="s">
        <v>8</v>
      </c>
      <c r="D565" s="4" t="s">
        <v>741</v>
      </c>
      <c r="E565" s="5">
        <f>ROUND(68132.19,2)</f>
        <v>68132.19</v>
      </c>
    </row>
    <row r="566" spans="1:5" outlineLevel="2" x14ac:dyDescent="0.25">
      <c r="A566" s="3" t="s">
        <v>731</v>
      </c>
      <c r="B566" s="3" t="s">
        <v>700</v>
      </c>
      <c r="C566" s="3" t="s">
        <v>722</v>
      </c>
      <c r="D566" s="4" t="s">
        <v>742</v>
      </c>
      <c r="E566" s="5">
        <f>ROUND(10,2)</f>
        <v>10</v>
      </c>
    </row>
    <row r="567" spans="1:5" outlineLevel="2" x14ac:dyDescent="0.25">
      <c r="A567" s="3" t="s">
        <v>731</v>
      </c>
      <c r="B567" s="3" t="s">
        <v>700</v>
      </c>
      <c r="C567" s="3" t="s">
        <v>662</v>
      </c>
      <c r="D567" s="4" t="s">
        <v>743</v>
      </c>
      <c r="E567" s="5">
        <f>ROUND(30000,2)</f>
        <v>30000</v>
      </c>
    </row>
    <row r="568" spans="1:5" outlineLevel="2" x14ac:dyDescent="0.25">
      <c r="A568" s="3" t="s">
        <v>731</v>
      </c>
      <c r="B568" s="3" t="s">
        <v>700</v>
      </c>
      <c r="C568" s="3" t="s">
        <v>134</v>
      </c>
      <c r="D568" s="4" t="s">
        <v>744</v>
      </c>
      <c r="E568" s="5">
        <f>ROUND(41154,2)</f>
        <v>41154</v>
      </c>
    </row>
    <row r="569" spans="1:5" outlineLevel="2" x14ac:dyDescent="0.25">
      <c r="A569" s="3" t="s">
        <v>731</v>
      </c>
      <c r="B569" s="3" t="s">
        <v>745</v>
      </c>
      <c r="C569" s="3" t="s">
        <v>746</v>
      </c>
      <c r="D569" s="4" t="s">
        <v>747</v>
      </c>
      <c r="E569" s="5">
        <f>ROUND(30000,2)</f>
        <v>30000</v>
      </c>
    </row>
    <row r="570" spans="1:5" outlineLevel="2" x14ac:dyDescent="0.25">
      <c r="A570" s="3" t="s">
        <v>731</v>
      </c>
      <c r="B570" s="3" t="s">
        <v>745</v>
      </c>
      <c r="C570" s="3" t="s">
        <v>8</v>
      </c>
      <c r="D570" s="4" t="s">
        <v>748</v>
      </c>
      <c r="E570" s="5">
        <f>ROUND(15000,2)</f>
        <v>15000</v>
      </c>
    </row>
    <row r="571" spans="1:5" outlineLevel="2" x14ac:dyDescent="0.25">
      <c r="A571" s="3" t="s">
        <v>731</v>
      </c>
      <c r="B571" s="3" t="s">
        <v>749</v>
      </c>
      <c r="C571" s="3" t="s">
        <v>38</v>
      </c>
      <c r="D571" s="4" t="s">
        <v>750</v>
      </c>
      <c r="E571" s="5">
        <f>ROUND(22798,2)</f>
        <v>22798</v>
      </c>
    </row>
    <row r="572" spans="1:5" outlineLevel="2" x14ac:dyDescent="0.25">
      <c r="A572" s="3" t="s">
        <v>731</v>
      </c>
      <c r="B572" s="3" t="s">
        <v>751</v>
      </c>
      <c r="C572" s="3" t="s">
        <v>38</v>
      </c>
      <c r="D572" s="4" t="s">
        <v>752</v>
      </c>
      <c r="E572" s="5">
        <f>ROUND(33600,2)</f>
        <v>33600</v>
      </c>
    </row>
    <row r="573" spans="1:5" outlineLevel="2" x14ac:dyDescent="0.25">
      <c r="A573" s="3" t="s">
        <v>731</v>
      </c>
      <c r="B573" s="3" t="s">
        <v>753</v>
      </c>
      <c r="C573" s="3" t="s">
        <v>38</v>
      </c>
      <c r="D573" s="4" t="s">
        <v>754</v>
      </c>
      <c r="E573" s="5">
        <f>ROUND(2000,2)</f>
        <v>2000</v>
      </c>
    </row>
    <row r="574" spans="1:5" outlineLevel="2" x14ac:dyDescent="0.25">
      <c r="A574" s="3" t="s">
        <v>731</v>
      </c>
      <c r="B574" s="3" t="s">
        <v>753</v>
      </c>
      <c r="C574" s="3" t="s">
        <v>755</v>
      </c>
      <c r="D574" s="4" t="s">
        <v>756</v>
      </c>
      <c r="E574" s="5">
        <f>ROUND(72005,2)</f>
        <v>72005</v>
      </c>
    </row>
    <row r="575" spans="1:5" outlineLevel="2" x14ac:dyDescent="0.25">
      <c r="A575" s="3" t="s">
        <v>731</v>
      </c>
      <c r="B575" s="3" t="s">
        <v>757</v>
      </c>
      <c r="C575" s="3" t="s">
        <v>173</v>
      </c>
      <c r="D575" s="4" t="s">
        <v>758</v>
      </c>
      <c r="E575" s="5">
        <f>ROUND(15000,2)</f>
        <v>15000</v>
      </c>
    </row>
    <row r="576" spans="1:5" outlineLevel="2" x14ac:dyDescent="0.25">
      <c r="A576" s="3" t="s">
        <v>731</v>
      </c>
      <c r="B576" s="3" t="s">
        <v>759</v>
      </c>
      <c r="C576" s="3" t="s">
        <v>173</v>
      </c>
      <c r="D576" s="4" t="s">
        <v>760</v>
      </c>
      <c r="E576" s="5">
        <f>ROUND(25000,2)</f>
        <v>25000</v>
      </c>
    </row>
    <row r="577" spans="1:5" outlineLevel="2" x14ac:dyDescent="0.25">
      <c r="A577" s="3" t="s">
        <v>731</v>
      </c>
      <c r="B577" s="3" t="s">
        <v>761</v>
      </c>
      <c r="C577" s="3" t="s">
        <v>173</v>
      </c>
      <c r="D577" s="4" t="s">
        <v>762</v>
      </c>
      <c r="E577" s="5">
        <f>ROUND(29523,2)</f>
        <v>29523</v>
      </c>
    </row>
    <row r="578" spans="1:5" outlineLevel="1" x14ac:dyDescent="0.25">
      <c r="A578" s="6"/>
      <c r="B578" s="7"/>
      <c r="C578" s="7"/>
      <c r="D578" s="8" t="s">
        <v>763</v>
      </c>
      <c r="E578" s="9">
        <f>SUBTOTAL(9,E557:E577)</f>
        <v>726831.5</v>
      </c>
    </row>
    <row r="579" spans="1:5" outlineLevel="2" x14ac:dyDescent="0.25">
      <c r="A579" s="3" t="s">
        <v>764</v>
      </c>
      <c r="B579" s="3" t="s">
        <v>433</v>
      </c>
      <c r="C579" s="3" t="s">
        <v>28</v>
      </c>
      <c r="D579" s="4" t="s">
        <v>765</v>
      </c>
      <c r="E579" s="5">
        <f>ROUND(32288.6,2)</f>
        <v>32288.6</v>
      </c>
    </row>
    <row r="580" spans="1:5" outlineLevel="2" x14ac:dyDescent="0.25">
      <c r="A580" s="3" t="s">
        <v>764</v>
      </c>
      <c r="B580" s="3" t="s">
        <v>433</v>
      </c>
      <c r="C580" s="3" t="s">
        <v>13</v>
      </c>
      <c r="D580" s="4" t="s">
        <v>766</v>
      </c>
      <c r="E580" s="5">
        <f>ROUND(37094.16,2)</f>
        <v>37094.160000000003</v>
      </c>
    </row>
    <row r="581" spans="1:5" outlineLevel="2" x14ac:dyDescent="0.25">
      <c r="A581" s="3" t="s">
        <v>764</v>
      </c>
      <c r="B581" s="3" t="s">
        <v>433</v>
      </c>
      <c r="C581" s="3" t="s">
        <v>214</v>
      </c>
      <c r="D581" s="4" t="s">
        <v>767</v>
      </c>
      <c r="E581" s="5">
        <f>ROUND(10480.7,2)</f>
        <v>10480.700000000001</v>
      </c>
    </row>
    <row r="582" spans="1:5" outlineLevel="2" x14ac:dyDescent="0.25">
      <c r="A582" s="3" t="s">
        <v>764</v>
      </c>
      <c r="B582" s="3" t="s">
        <v>433</v>
      </c>
      <c r="C582" s="3" t="s">
        <v>216</v>
      </c>
      <c r="D582" s="4" t="s">
        <v>768</v>
      </c>
      <c r="E582" s="5">
        <f>ROUND(28815.42,2)</f>
        <v>28815.42</v>
      </c>
    </row>
    <row r="583" spans="1:5" outlineLevel="2" x14ac:dyDescent="0.25">
      <c r="A583" s="3" t="s">
        <v>764</v>
      </c>
      <c r="B583" s="3" t="s">
        <v>433</v>
      </c>
      <c r="C583" s="3" t="s">
        <v>15</v>
      </c>
      <c r="D583" s="4" t="s">
        <v>769</v>
      </c>
      <c r="E583" s="5">
        <f>ROUND(14235.85,2)</f>
        <v>14235.85</v>
      </c>
    </row>
    <row r="584" spans="1:5" outlineLevel="2" x14ac:dyDescent="0.25">
      <c r="A584" s="3" t="s">
        <v>764</v>
      </c>
      <c r="B584" s="3" t="s">
        <v>433</v>
      </c>
      <c r="C584" s="3" t="s">
        <v>17</v>
      </c>
      <c r="D584" s="4" t="s">
        <v>770</v>
      </c>
      <c r="E584" s="5">
        <f>ROUND(50433.95,2)</f>
        <v>50433.95</v>
      </c>
    </row>
    <row r="585" spans="1:5" outlineLevel="2" x14ac:dyDescent="0.25">
      <c r="A585" s="3" t="s">
        <v>764</v>
      </c>
      <c r="B585" s="3" t="s">
        <v>433</v>
      </c>
      <c r="C585" s="3" t="s">
        <v>19</v>
      </c>
      <c r="D585" s="4" t="s">
        <v>771</v>
      </c>
      <c r="E585" s="5">
        <f>ROUND(126839.6,2)</f>
        <v>126839.6</v>
      </c>
    </row>
    <row r="586" spans="1:5" outlineLevel="2" x14ac:dyDescent="0.25">
      <c r="A586" s="3" t="s">
        <v>764</v>
      </c>
      <c r="B586" s="3" t="s">
        <v>433</v>
      </c>
      <c r="C586" s="3" t="s">
        <v>53</v>
      </c>
      <c r="D586" s="4" t="s">
        <v>772</v>
      </c>
      <c r="E586" s="5">
        <f>ROUND(8436.6,2)</f>
        <v>8436.6</v>
      </c>
    </row>
    <row r="587" spans="1:5" outlineLevel="2" x14ac:dyDescent="0.25">
      <c r="A587" s="3" t="s">
        <v>764</v>
      </c>
      <c r="B587" s="3" t="s">
        <v>433</v>
      </c>
      <c r="C587" s="3" t="s">
        <v>55</v>
      </c>
      <c r="D587" s="4" t="s">
        <v>773</v>
      </c>
      <c r="E587" s="5">
        <f>ROUND(18848.53,2)</f>
        <v>18848.53</v>
      </c>
    </row>
    <row r="588" spans="1:5" outlineLevel="2" x14ac:dyDescent="0.25">
      <c r="A588" s="3" t="s">
        <v>764</v>
      </c>
      <c r="B588" s="3" t="s">
        <v>433</v>
      </c>
      <c r="C588" s="3" t="s">
        <v>21</v>
      </c>
      <c r="D588" s="4" t="s">
        <v>774</v>
      </c>
      <c r="E588" s="5">
        <f>ROUND(19278.1,2)</f>
        <v>19278.099999999999</v>
      </c>
    </row>
    <row r="589" spans="1:5" outlineLevel="2" x14ac:dyDescent="0.25">
      <c r="A589" s="3" t="s">
        <v>764</v>
      </c>
      <c r="B589" s="3" t="s">
        <v>433</v>
      </c>
      <c r="C589" s="3" t="s">
        <v>8</v>
      </c>
      <c r="D589" s="4" t="s">
        <v>775</v>
      </c>
      <c r="E589" s="5">
        <f>ROUND(103333.85,2)</f>
        <v>103333.85</v>
      </c>
    </row>
    <row r="590" spans="1:5" outlineLevel="1" x14ac:dyDescent="0.25">
      <c r="A590" s="6"/>
      <c r="B590" s="7"/>
      <c r="C590" s="7"/>
      <c r="D590" s="8" t="s">
        <v>776</v>
      </c>
      <c r="E590" s="9">
        <f>SUBTOTAL(9,E579:E589)</f>
        <v>450085.36</v>
      </c>
    </row>
    <row r="591" spans="1:5" outlineLevel="2" x14ac:dyDescent="0.25">
      <c r="A591" s="3" t="s">
        <v>777</v>
      </c>
      <c r="B591" s="3" t="s">
        <v>296</v>
      </c>
      <c r="C591" s="3" t="s">
        <v>11</v>
      </c>
      <c r="D591" s="4" t="s">
        <v>778</v>
      </c>
      <c r="E591" s="5">
        <f>ROUND(18359.38,2)</f>
        <v>18359.38</v>
      </c>
    </row>
    <row r="592" spans="1:5" outlineLevel="2" x14ac:dyDescent="0.25">
      <c r="A592" s="3" t="s">
        <v>777</v>
      </c>
      <c r="B592" s="3" t="s">
        <v>296</v>
      </c>
      <c r="C592" s="3" t="s">
        <v>15</v>
      </c>
      <c r="D592" s="4" t="s">
        <v>779</v>
      </c>
      <c r="E592" s="5">
        <f>ROUND(8696.7,2)</f>
        <v>8696.7000000000007</v>
      </c>
    </row>
    <row r="593" spans="1:5" outlineLevel="2" x14ac:dyDescent="0.25">
      <c r="A593" s="3" t="s">
        <v>777</v>
      </c>
      <c r="B593" s="3" t="s">
        <v>296</v>
      </c>
      <c r="C593" s="3" t="s">
        <v>17</v>
      </c>
      <c r="D593" s="4" t="s">
        <v>780</v>
      </c>
      <c r="E593" s="5">
        <f>ROUND(13936.95,2)</f>
        <v>13936.95</v>
      </c>
    </row>
    <row r="594" spans="1:5" outlineLevel="2" x14ac:dyDescent="0.25">
      <c r="A594" s="3" t="s">
        <v>777</v>
      </c>
      <c r="B594" s="3" t="s">
        <v>296</v>
      </c>
      <c r="C594" s="3" t="s">
        <v>19</v>
      </c>
      <c r="D594" s="4" t="s">
        <v>781</v>
      </c>
      <c r="E594" s="5">
        <f>ROUND(29845.21,2)</f>
        <v>29845.21</v>
      </c>
    </row>
    <row r="595" spans="1:5" outlineLevel="2" x14ac:dyDescent="0.25">
      <c r="A595" s="3" t="s">
        <v>777</v>
      </c>
      <c r="B595" s="3" t="s">
        <v>296</v>
      </c>
      <c r="C595" s="3" t="s">
        <v>21</v>
      </c>
      <c r="D595" s="4" t="s">
        <v>782</v>
      </c>
      <c r="E595" s="5">
        <f>ROUND(2381.79,2)</f>
        <v>2381.79</v>
      </c>
    </row>
    <row r="596" spans="1:5" outlineLevel="2" x14ac:dyDescent="0.25">
      <c r="A596" s="3" t="s">
        <v>777</v>
      </c>
      <c r="B596" s="3" t="s">
        <v>296</v>
      </c>
      <c r="C596" s="3" t="s">
        <v>8</v>
      </c>
      <c r="D596" s="4" t="s">
        <v>783</v>
      </c>
      <c r="E596" s="5">
        <f>ROUND(16263.78,2)</f>
        <v>16263.78</v>
      </c>
    </row>
    <row r="597" spans="1:5" outlineLevel="2" x14ac:dyDescent="0.25">
      <c r="A597" s="3" t="s">
        <v>777</v>
      </c>
      <c r="B597" s="3" t="s">
        <v>296</v>
      </c>
      <c r="C597" s="3" t="s">
        <v>424</v>
      </c>
      <c r="D597" s="4" t="s">
        <v>784</v>
      </c>
      <c r="E597" s="5">
        <f>ROUND(2000,2)</f>
        <v>2000</v>
      </c>
    </row>
    <row r="598" spans="1:5" outlineLevel="2" x14ac:dyDescent="0.25">
      <c r="A598" s="3" t="s">
        <v>777</v>
      </c>
      <c r="B598" s="3" t="s">
        <v>296</v>
      </c>
      <c r="C598" s="3" t="s">
        <v>417</v>
      </c>
      <c r="D598" s="4" t="s">
        <v>785</v>
      </c>
      <c r="E598" s="5">
        <f>ROUND(10,2)</f>
        <v>10</v>
      </c>
    </row>
    <row r="599" spans="1:5" outlineLevel="1" x14ac:dyDescent="0.25">
      <c r="A599" s="6"/>
      <c r="B599" s="7"/>
      <c r="C599" s="7"/>
      <c r="D599" s="8" t="s">
        <v>786</v>
      </c>
      <c r="E599" s="9">
        <f>SUBTOTAL(9,E591:E598)</f>
        <v>91493.809999999983</v>
      </c>
    </row>
    <row r="600" spans="1:5" outlineLevel="2" x14ac:dyDescent="0.25">
      <c r="A600" s="3" t="s">
        <v>787</v>
      </c>
      <c r="B600" s="3" t="s">
        <v>299</v>
      </c>
      <c r="C600" s="3" t="s">
        <v>11</v>
      </c>
      <c r="D600" s="4" t="s">
        <v>788</v>
      </c>
      <c r="E600" s="5">
        <f>ROUND(18359.38,2)</f>
        <v>18359.38</v>
      </c>
    </row>
    <row r="601" spans="1:5" outlineLevel="2" x14ac:dyDescent="0.25">
      <c r="A601" s="3" t="s">
        <v>787</v>
      </c>
      <c r="B601" s="3" t="s">
        <v>299</v>
      </c>
      <c r="C601" s="3" t="s">
        <v>28</v>
      </c>
      <c r="D601" s="4" t="s">
        <v>789</v>
      </c>
      <c r="E601" s="5">
        <f>ROUND(145298.7,2)</f>
        <v>145298.70000000001</v>
      </c>
    </row>
    <row r="602" spans="1:5" outlineLevel="2" x14ac:dyDescent="0.25">
      <c r="A602" s="3" t="s">
        <v>787</v>
      </c>
      <c r="B602" s="3" t="s">
        <v>299</v>
      </c>
      <c r="C602" s="3" t="s">
        <v>13</v>
      </c>
      <c r="D602" s="4" t="s">
        <v>790</v>
      </c>
      <c r="E602" s="5">
        <f>ROUND(37094.16,2)</f>
        <v>37094.160000000003</v>
      </c>
    </row>
    <row r="603" spans="1:5" outlineLevel="2" x14ac:dyDescent="0.25">
      <c r="A603" s="3" t="s">
        <v>787</v>
      </c>
      <c r="B603" s="3" t="s">
        <v>299</v>
      </c>
      <c r="C603" s="3" t="s">
        <v>15</v>
      </c>
      <c r="D603" s="4" t="s">
        <v>791</v>
      </c>
      <c r="E603" s="5">
        <f>ROUND(30758.81,2)</f>
        <v>30758.81</v>
      </c>
    </row>
    <row r="604" spans="1:5" outlineLevel="2" x14ac:dyDescent="0.25">
      <c r="A604" s="3" t="s">
        <v>787</v>
      </c>
      <c r="B604" s="3" t="s">
        <v>299</v>
      </c>
      <c r="C604" s="3" t="s">
        <v>17</v>
      </c>
      <c r="D604" s="4" t="s">
        <v>792</v>
      </c>
      <c r="E604" s="5">
        <f>ROUND(88461.66,2)</f>
        <v>88461.66</v>
      </c>
    </row>
    <row r="605" spans="1:5" outlineLevel="2" x14ac:dyDescent="0.25">
      <c r="A605" s="3" t="s">
        <v>787</v>
      </c>
      <c r="B605" s="3" t="s">
        <v>299</v>
      </c>
      <c r="C605" s="3" t="s">
        <v>19</v>
      </c>
      <c r="D605" s="4" t="s">
        <v>793</v>
      </c>
      <c r="E605" s="5">
        <f>ROUND(202358.75,2)</f>
        <v>202358.75</v>
      </c>
    </row>
    <row r="606" spans="1:5" outlineLevel="2" x14ac:dyDescent="0.25">
      <c r="A606" s="3" t="s">
        <v>787</v>
      </c>
      <c r="B606" s="3" t="s">
        <v>299</v>
      </c>
      <c r="C606" s="3" t="s">
        <v>21</v>
      </c>
      <c r="D606" s="4" t="s">
        <v>794</v>
      </c>
      <c r="E606" s="5">
        <f>ROUND(26297.18,2)</f>
        <v>26297.18</v>
      </c>
    </row>
    <row r="607" spans="1:5" outlineLevel="2" x14ac:dyDescent="0.25">
      <c r="A607" s="3" t="s">
        <v>787</v>
      </c>
      <c r="B607" s="3" t="s">
        <v>299</v>
      </c>
      <c r="C607" s="3" t="s">
        <v>8</v>
      </c>
      <c r="D607" s="4" t="s">
        <v>795</v>
      </c>
      <c r="E607" s="5">
        <f>ROUND(155550.51,2)</f>
        <v>155550.51</v>
      </c>
    </row>
    <row r="608" spans="1:5" outlineLevel="2" x14ac:dyDescent="0.25">
      <c r="A608" s="3" t="s">
        <v>787</v>
      </c>
      <c r="B608" s="3" t="s">
        <v>299</v>
      </c>
      <c r="C608" s="3" t="s">
        <v>223</v>
      </c>
      <c r="D608" s="4" t="s">
        <v>796</v>
      </c>
      <c r="E608" s="5">
        <f>ROUND(545.76,2)</f>
        <v>545.76</v>
      </c>
    </row>
    <row r="609" spans="1:5" outlineLevel="2" x14ac:dyDescent="0.25">
      <c r="A609" s="3" t="s">
        <v>787</v>
      </c>
      <c r="B609" s="3" t="s">
        <v>299</v>
      </c>
      <c r="C609" s="3" t="s">
        <v>797</v>
      </c>
      <c r="D609" s="4" t="s">
        <v>798</v>
      </c>
      <c r="E609" s="5">
        <f>ROUND(27013,2)</f>
        <v>27013</v>
      </c>
    </row>
    <row r="610" spans="1:5" outlineLevel="2" x14ac:dyDescent="0.25">
      <c r="A610" s="3" t="s">
        <v>787</v>
      </c>
      <c r="B610" s="3" t="s">
        <v>299</v>
      </c>
      <c r="C610" s="3" t="s">
        <v>38</v>
      </c>
      <c r="D610" s="4" t="s">
        <v>799</v>
      </c>
      <c r="E610" s="5">
        <f>ROUND(118502,2)</f>
        <v>118502</v>
      </c>
    </row>
    <row r="611" spans="1:5" outlineLevel="2" x14ac:dyDescent="0.25">
      <c r="A611" s="3" t="s">
        <v>787</v>
      </c>
      <c r="B611" s="3" t="s">
        <v>800</v>
      </c>
      <c r="C611" s="3" t="s">
        <v>38</v>
      </c>
      <c r="D611" s="4" t="s">
        <v>801</v>
      </c>
      <c r="E611" s="5">
        <f>ROUND(39936,2)</f>
        <v>39936</v>
      </c>
    </row>
    <row r="612" spans="1:5" outlineLevel="2" x14ac:dyDescent="0.25">
      <c r="A612" s="3" t="s">
        <v>787</v>
      </c>
      <c r="B612" s="3" t="s">
        <v>802</v>
      </c>
      <c r="C612" s="3" t="s">
        <v>28</v>
      </c>
      <c r="D612" s="4" t="s">
        <v>803</v>
      </c>
      <c r="E612" s="5">
        <f>ROUND(32472.38,2)</f>
        <v>32472.38</v>
      </c>
    </row>
    <row r="613" spans="1:5" outlineLevel="2" x14ac:dyDescent="0.25">
      <c r="A613" s="3" t="s">
        <v>787</v>
      </c>
      <c r="B613" s="3" t="s">
        <v>802</v>
      </c>
      <c r="C613" s="3" t="s">
        <v>17</v>
      </c>
      <c r="D613" s="4" t="s">
        <v>804</v>
      </c>
      <c r="E613" s="5">
        <f>ROUND(6645.69,2)</f>
        <v>6645.69</v>
      </c>
    </row>
    <row r="614" spans="1:5" outlineLevel="2" x14ac:dyDescent="0.25">
      <c r="A614" s="3" t="s">
        <v>787</v>
      </c>
      <c r="B614" s="3" t="s">
        <v>802</v>
      </c>
      <c r="C614" s="3" t="s">
        <v>19</v>
      </c>
      <c r="D614" s="4" t="s">
        <v>805</v>
      </c>
      <c r="E614" s="5">
        <f>ROUND(14676.49,2)</f>
        <v>14676.49</v>
      </c>
    </row>
    <row r="615" spans="1:5" outlineLevel="2" x14ac:dyDescent="0.25">
      <c r="A615" s="3" t="s">
        <v>787</v>
      </c>
      <c r="B615" s="3" t="s">
        <v>802</v>
      </c>
      <c r="C615" s="3" t="s">
        <v>21</v>
      </c>
      <c r="D615" s="4" t="s">
        <v>806</v>
      </c>
      <c r="E615" s="5">
        <f>ROUND(1041.83,2)</f>
        <v>1041.83</v>
      </c>
    </row>
    <row r="616" spans="1:5" outlineLevel="2" x14ac:dyDescent="0.25">
      <c r="A616" s="3" t="s">
        <v>787</v>
      </c>
      <c r="B616" s="3" t="s">
        <v>802</v>
      </c>
      <c r="C616" s="3" t="s">
        <v>8</v>
      </c>
      <c r="D616" s="4" t="s">
        <v>807</v>
      </c>
      <c r="E616" s="5">
        <f>ROUND(12363.61,2)</f>
        <v>12363.61</v>
      </c>
    </row>
    <row r="617" spans="1:5" outlineLevel="2" x14ac:dyDescent="0.25">
      <c r="A617" s="3" t="s">
        <v>787</v>
      </c>
      <c r="B617" s="3" t="s">
        <v>808</v>
      </c>
      <c r="C617" s="3" t="s">
        <v>38</v>
      </c>
      <c r="D617" s="4" t="s">
        <v>809</v>
      </c>
      <c r="E617" s="5">
        <f>ROUND(37000,2)</f>
        <v>37000</v>
      </c>
    </row>
    <row r="618" spans="1:5" outlineLevel="1" x14ac:dyDescent="0.25">
      <c r="A618" s="6"/>
      <c r="B618" s="7"/>
      <c r="C618" s="7"/>
      <c r="D618" s="8" t="s">
        <v>810</v>
      </c>
      <c r="E618" s="9">
        <f>SUBTOTAL(9,E600:E617)</f>
        <v>994375.90999999992</v>
      </c>
    </row>
    <row r="619" spans="1:5" outlineLevel="2" x14ac:dyDescent="0.25">
      <c r="A619" s="3" t="s">
        <v>811</v>
      </c>
      <c r="B619" s="3" t="s">
        <v>296</v>
      </c>
      <c r="C619" s="3" t="s">
        <v>11</v>
      </c>
      <c r="D619" s="4" t="s">
        <v>812</v>
      </c>
      <c r="E619" s="5">
        <f>ROUND(18359.38,2)</f>
        <v>18359.38</v>
      </c>
    </row>
    <row r="620" spans="1:5" outlineLevel="2" x14ac:dyDescent="0.25">
      <c r="A620" s="3" t="s">
        <v>811</v>
      </c>
      <c r="B620" s="3" t="s">
        <v>296</v>
      </c>
      <c r="C620" s="3" t="s">
        <v>28</v>
      </c>
      <c r="D620" s="4" t="s">
        <v>813</v>
      </c>
      <c r="E620" s="5">
        <f>ROUND(80721.5,2)</f>
        <v>80721.5</v>
      </c>
    </row>
    <row r="621" spans="1:5" outlineLevel="2" x14ac:dyDescent="0.25">
      <c r="A621" s="3" t="s">
        <v>811</v>
      </c>
      <c r="B621" s="3" t="s">
        <v>296</v>
      </c>
      <c r="C621" s="3" t="s">
        <v>214</v>
      </c>
      <c r="D621" s="4" t="s">
        <v>814</v>
      </c>
      <c r="E621" s="5">
        <f>ROUND(10480.7,2)</f>
        <v>10480.700000000001</v>
      </c>
    </row>
    <row r="622" spans="1:5" outlineLevel="2" x14ac:dyDescent="0.25">
      <c r="A622" s="3" t="s">
        <v>811</v>
      </c>
      <c r="B622" s="3" t="s">
        <v>296</v>
      </c>
      <c r="C622" s="3" t="s">
        <v>15</v>
      </c>
      <c r="D622" s="4" t="s">
        <v>815</v>
      </c>
      <c r="E622" s="5">
        <f>ROUND(29581.22,2)</f>
        <v>29581.22</v>
      </c>
    </row>
    <row r="623" spans="1:5" outlineLevel="2" x14ac:dyDescent="0.25">
      <c r="A623" s="3" t="s">
        <v>811</v>
      </c>
      <c r="B623" s="3" t="s">
        <v>296</v>
      </c>
      <c r="C623" s="3" t="s">
        <v>17</v>
      </c>
      <c r="D623" s="4" t="s">
        <v>816</v>
      </c>
      <c r="E623" s="5">
        <f>ROUND(50120.94,2)</f>
        <v>50120.94</v>
      </c>
    </row>
    <row r="624" spans="1:5" outlineLevel="2" x14ac:dyDescent="0.25">
      <c r="A624" s="3" t="s">
        <v>811</v>
      </c>
      <c r="B624" s="3" t="s">
        <v>296</v>
      </c>
      <c r="C624" s="3" t="s">
        <v>19</v>
      </c>
      <c r="D624" s="4" t="s">
        <v>817</v>
      </c>
      <c r="E624" s="5">
        <f>ROUND(114155.29,2)</f>
        <v>114155.29</v>
      </c>
    </row>
    <row r="625" spans="1:5" outlineLevel="2" x14ac:dyDescent="0.25">
      <c r="A625" s="3" t="s">
        <v>811</v>
      </c>
      <c r="B625" s="3" t="s">
        <v>296</v>
      </c>
      <c r="C625" s="3" t="s">
        <v>53</v>
      </c>
      <c r="D625" s="4" t="s">
        <v>818</v>
      </c>
      <c r="E625" s="5">
        <f>ROUND(10881,2)</f>
        <v>10881</v>
      </c>
    </row>
    <row r="626" spans="1:5" outlineLevel="2" x14ac:dyDescent="0.25">
      <c r="A626" s="3" t="s">
        <v>811</v>
      </c>
      <c r="B626" s="3" t="s">
        <v>296</v>
      </c>
      <c r="C626" s="3" t="s">
        <v>55</v>
      </c>
      <c r="D626" s="4" t="s">
        <v>819</v>
      </c>
      <c r="E626" s="5">
        <f>ROUND(21083.93,2)</f>
        <v>21083.93</v>
      </c>
    </row>
    <row r="627" spans="1:5" outlineLevel="2" x14ac:dyDescent="0.25">
      <c r="A627" s="3" t="s">
        <v>811</v>
      </c>
      <c r="B627" s="3" t="s">
        <v>296</v>
      </c>
      <c r="C627" s="3" t="s">
        <v>21</v>
      </c>
      <c r="D627" s="4" t="s">
        <v>820</v>
      </c>
      <c r="E627" s="5">
        <f>ROUND(16230.15,2)</f>
        <v>16230.15</v>
      </c>
    </row>
    <row r="628" spans="1:5" outlineLevel="2" x14ac:dyDescent="0.25">
      <c r="A628" s="3" t="s">
        <v>811</v>
      </c>
      <c r="B628" s="3" t="s">
        <v>296</v>
      </c>
      <c r="C628" s="3" t="s">
        <v>8</v>
      </c>
      <c r="D628" s="4" t="s">
        <v>821</v>
      </c>
      <c r="E628" s="5">
        <f>ROUND(93058.21,2)</f>
        <v>93058.21</v>
      </c>
    </row>
    <row r="629" spans="1:5" outlineLevel="2" x14ac:dyDescent="0.25">
      <c r="A629" s="3" t="s">
        <v>811</v>
      </c>
      <c r="B629" s="3" t="s">
        <v>296</v>
      </c>
      <c r="C629" s="3" t="s">
        <v>132</v>
      </c>
      <c r="D629" s="4" t="s">
        <v>822</v>
      </c>
      <c r="E629" s="5">
        <f>ROUND(16058,2)</f>
        <v>16058</v>
      </c>
    </row>
    <row r="630" spans="1:5" outlineLevel="2" x14ac:dyDescent="0.25">
      <c r="A630" s="3" t="s">
        <v>811</v>
      </c>
      <c r="B630" s="3" t="s">
        <v>296</v>
      </c>
      <c r="C630" s="3" t="s">
        <v>38</v>
      </c>
      <c r="D630" s="4" t="s">
        <v>823</v>
      </c>
      <c r="E630" s="5">
        <f>ROUND(31001,2)</f>
        <v>31001</v>
      </c>
    </row>
    <row r="631" spans="1:5" outlineLevel="2" x14ac:dyDescent="0.25">
      <c r="A631" s="3" t="s">
        <v>811</v>
      </c>
      <c r="B631" s="3" t="s">
        <v>296</v>
      </c>
      <c r="C631" s="3" t="s">
        <v>722</v>
      </c>
      <c r="D631" s="4" t="s">
        <v>824</v>
      </c>
      <c r="E631" s="5">
        <f>ROUND(10,2)</f>
        <v>10</v>
      </c>
    </row>
    <row r="632" spans="1:5" outlineLevel="2" x14ac:dyDescent="0.25">
      <c r="A632" s="3" t="s">
        <v>811</v>
      </c>
      <c r="B632" s="3" t="s">
        <v>825</v>
      </c>
      <c r="C632" s="3" t="s">
        <v>746</v>
      </c>
      <c r="D632" s="4" t="s">
        <v>826</v>
      </c>
      <c r="E632" s="5">
        <f>ROUND(60000,2)</f>
        <v>60000</v>
      </c>
    </row>
    <row r="633" spans="1:5" outlineLevel="2" x14ac:dyDescent="0.25">
      <c r="A633" s="3" t="s">
        <v>811</v>
      </c>
      <c r="B633" s="3" t="s">
        <v>825</v>
      </c>
      <c r="C633" s="3" t="s">
        <v>8</v>
      </c>
      <c r="D633" s="4" t="s">
        <v>827</v>
      </c>
      <c r="E633" s="5">
        <f>ROUND(17974.17,2)</f>
        <v>17974.169999999998</v>
      </c>
    </row>
    <row r="634" spans="1:5" outlineLevel="2" x14ac:dyDescent="0.25">
      <c r="A634" s="3" t="s">
        <v>811</v>
      </c>
      <c r="B634" s="3" t="s">
        <v>828</v>
      </c>
      <c r="C634" s="3" t="s">
        <v>746</v>
      </c>
      <c r="D634" s="4" t="s">
        <v>829</v>
      </c>
      <c r="E634" s="5">
        <f>ROUND(152640.29,2)</f>
        <v>152640.29</v>
      </c>
    </row>
    <row r="635" spans="1:5" outlineLevel="2" x14ac:dyDescent="0.25">
      <c r="A635" s="3" t="s">
        <v>811</v>
      </c>
      <c r="B635" s="3" t="s">
        <v>828</v>
      </c>
      <c r="C635" s="3" t="s">
        <v>8</v>
      </c>
      <c r="D635" s="4" t="s">
        <v>830</v>
      </c>
      <c r="E635" s="5">
        <f>ROUND(50880.09,2)</f>
        <v>50880.09</v>
      </c>
    </row>
    <row r="636" spans="1:5" outlineLevel="2" x14ac:dyDescent="0.25">
      <c r="A636" s="3" t="s">
        <v>811</v>
      </c>
      <c r="B636" s="3" t="s">
        <v>831</v>
      </c>
      <c r="C636" s="3" t="s">
        <v>28</v>
      </c>
      <c r="D636" s="4" t="s">
        <v>832</v>
      </c>
      <c r="E636" s="5">
        <f>ROUND(25267.5,2)</f>
        <v>25267.5</v>
      </c>
    </row>
    <row r="637" spans="1:5" outlineLevel="2" x14ac:dyDescent="0.25">
      <c r="A637" s="3" t="s">
        <v>811</v>
      </c>
      <c r="B637" s="3" t="s">
        <v>831</v>
      </c>
      <c r="C637" s="3" t="s">
        <v>17</v>
      </c>
      <c r="D637" s="4" t="s">
        <v>833</v>
      </c>
      <c r="E637" s="5">
        <f>ROUND(10821.35,2)</f>
        <v>10821.35</v>
      </c>
    </row>
    <row r="638" spans="1:5" outlineLevel="2" x14ac:dyDescent="0.25">
      <c r="A638" s="3" t="s">
        <v>811</v>
      </c>
      <c r="B638" s="3" t="s">
        <v>831</v>
      </c>
      <c r="C638" s="3" t="s">
        <v>19</v>
      </c>
      <c r="D638" s="4" t="s">
        <v>834</v>
      </c>
      <c r="E638" s="5">
        <f>ROUND(23898.43,2)</f>
        <v>23898.43</v>
      </c>
    </row>
    <row r="639" spans="1:5" outlineLevel="2" x14ac:dyDescent="0.25">
      <c r="A639" s="3" t="s">
        <v>811</v>
      </c>
      <c r="B639" s="3" t="s">
        <v>831</v>
      </c>
      <c r="C639" s="3" t="s">
        <v>746</v>
      </c>
      <c r="D639" s="4" t="s">
        <v>835</v>
      </c>
      <c r="E639" s="5">
        <f>ROUND(33803.56,2)</f>
        <v>33803.56</v>
      </c>
    </row>
    <row r="640" spans="1:5" outlineLevel="2" x14ac:dyDescent="0.25">
      <c r="A640" s="3" t="s">
        <v>811</v>
      </c>
      <c r="B640" s="3" t="s">
        <v>831</v>
      </c>
      <c r="C640" s="3" t="s">
        <v>21</v>
      </c>
      <c r="D640" s="4" t="s">
        <v>836</v>
      </c>
      <c r="E640" s="5">
        <f>ROUND(3682.3,2)</f>
        <v>3682.3</v>
      </c>
    </row>
    <row r="641" spans="1:5" outlineLevel="2" x14ac:dyDescent="0.25">
      <c r="A641" s="3" t="s">
        <v>811</v>
      </c>
      <c r="B641" s="3" t="s">
        <v>831</v>
      </c>
      <c r="C641" s="3" t="s">
        <v>8</v>
      </c>
      <c r="D641" s="4" t="s">
        <v>837</v>
      </c>
      <c r="E641" s="5">
        <f>ROUND(20127.54,2)</f>
        <v>20127.54</v>
      </c>
    </row>
    <row r="642" spans="1:5" outlineLevel="2" x14ac:dyDescent="0.25">
      <c r="A642" s="3" t="s">
        <v>811</v>
      </c>
      <c r="B642" s="3" t="s">
        <v>831</v>
      </c>
      <c r="C642" s="3" t="s">
        <v>38</v>
      </c>
      <c r="D642" s="4" t="s">
        <v>838</v>
      </c>
      <c r="E642" s="5">
        <f>ROUND(9869,2)</f>
        <v>9869</v>
      </c>
    </row>
    <row r="643" spans="1:5" outlineLevel="1" x14ac:dyDescent="0.25">
      <c r="A643" s="6"/>
      <c r="B643" s="7"/>
      <c r="C643" s="7"/>
      <c r="D643" s="8" t="s">
        <v>839</v>
      </c>
      <c r="E643" s="9">
        <f>SUBTOTAL(9,E619:E642)</f>
        <v>900705.55000000028</v>
      </c>
    </row>
    <row r="644" spans="1:5" outlineLevel="2" x14ac:dyDescent="0.25">
      <c r="A644" s="3" t="s">
        <v>840</v>
      </c>
      <c r="B644" s="3" t="s">
        <v>841</v>
      </c>
      <c r="C644" s="3" t="s">
        <v>842</v>
      </c>
      <c r="D644" s="4" t="s">
        <v>843</v>
      </c>
      <c r="E644" s="5">
        <f>ROUND(32826,2)</f>
        <v>32826</v>
      </c>
    </row>
    <row r="645" spans="1:5" outlineLevel="2" x14ac:dyDescent="0.25">
      <c r="A645" s="3" t="s">
        <v>840</v>
      </c>
      <c r="B645" s="3" t="s">
        <v>844</v>
      </c>
      <c r="C645" s="3" t="s">
        <v>842</v>
      </c>
      <c r="D645" s="4" t="s">
        <v>845</v>
      </c>
      <c r="E645" s="5">
        <f>ROUND(521243,2)</f>
        <v>521243</v>
      </c>
    </row>
    <row r="646" spans="1:5" outlineLevel="2" x14ac:dyDescent="0.25">
      <c r="A646" s="3" t="s">
        <v>840</v>
      </c>
      <c r="B646" s="3" t="s">
        <v>846</v>
      </c>
      <c r="C646" s="3" t="s">
        <v>842</v>
      </c>
      <c r="D646" s="4" t="s">
        <v>847</v>
      </c>
      <c r="E646" s="5">
        <f>ROUND(532797,2)</f>
        <v>532797</v>
      </c>
    </row>
    <row r="647" spans="1:5" outlineLevel="2" x14ac:dyDescent="0.25">
      <c r="A647" s="3" t="s">
        <v>840</v>
      </c>
      <c r="B647" s="3" t="s">
        <v>848</v>
      </c>
      <c r="C647" s="3" t="s">
        <v>13</v>
      </c>
      <c r="D647" s="4" t="s">
        <v>849</v>
      </c>
      <c r="E647" s="5">
        <f>ROUND(24729.44,2)</f>
        <v>24729.439999999999</v>
      </c>
    </row>
    <row r="648" spans="1:5" outlineLevel="2" x14ac:dyDescent="0.25">
      <c r="A648" s="3" t="s">
        <v>840</v>
      </c>
      <c r="B648" s="3" t="s">
        <v>848</v>
      </c>
      <c r="C648" s="3" t="s">
        <v>17</v>
      </c>
      <c r="D648" s="4" t="s">
        <v>850</v>
      </c>
      <c r="E648" s="5">
        <f>ROUND(10684.16,2)</f>
        <v>10684.16</v>
      </c>
    </row>
    <row r="649" spans="1:5" outlineLevel="2" x14ac:dyDescent="0.25">
      <c r="A649" s="3" t="s">
        <v>840</v>
      </c>
      <c r="B649" s="3" t="s">
        <v>848</v>
      </c>
      <c r="C649" s="3" t="s">
        <v>19</v>
      </c>
      <c r="D649" s="4" t="s">
        <v>851</v>
      </c>
      <c r="E649" s="5">
        <f>ROUND(27125.22,2)</f>
        <v>27125.22</v>
      </c>
    </row>
    <row r="650" spans="1:5" outlineLevel="2" x14ac:dyDescent="0.25">
      <c r="A650" s="3" t="s">
        <v>840</v>
      </c>
      <c r="B650" s="3" t="s">
        <v>848</v>
      </c>
      <c r="C650" s="3" t="s">
        <v>21</v>
      </c>
      <c r="D650" s="4" t="s">
        <v>852</v>
      </c>
      <c r="E650" s="5">
        <f>ROUND(3837.24,2)</f>
        <v>3837.24</v>
      </c>
    </row>
    <row r="651" spans="1:5" outlineLevel="2" x14ac:dyDescent="0.25">
      <c r="A651" s="3" t="s">
        <v>840</v>
      </c>
      <c r="B651" s="3" t="s">
        <v>848</v>
      </c>
      <c r="C651" s="3" t="s">
        <v>8</v>
      </c>
      <c r="D651" s="4" t="s">
        <v>853</v>
      </c>
      <c r="E651" s="5">
        <f>ROUND(21741,2)</f>
        <v>21741</v>
      </c>
    </row>
    <row r="652" spans="1:5" outlineLevel="2" x14ac:dyDescent="0.25">
      <c r="A652" s="3" t="s">
        <v>840</v>
      </c>
      <c r="B652" s="3" t="s">
        <v>854</v>
      </c>
      <c r="C652" s="3" t="s">
        <v>842</v>
      </c>
      <c r="D652" s="4" t="s">
        <v>855</v>
      </c>
      <c r="E652" s="5">
        <f>ROUND(1549432,2)</f>
        <v>1549432</v>
      </c>
    </row>
    <row r="653" spans="1:5" outlineLevel="2" x14ac:dyDescent="0.25">
      <c r="A653" s="3" t="s">
        <v>840</v>
      </c>
      <c r="B653" s="3" t="s">
        <v>615</v>
      </c>
      <c r="C653" s="3" t="s">
        <v>842</v>
      </c>
      <c r="D653" s="4" t="s">
        <v>856</v>
      </c>
      <c r="E653" s="5">
        <f>ROUND(1654418,2)</f>
        <v>1654418</v>
      </c>
    </row>
    <row r="654" spans="1:5" outlineLevel="2" x14ac:dyDescent="0.25">
      <c r="A654" s="3" t="s">
        <v>840</v>
      </c>
      <c r="B654" s="3" t="s">
        <v>6</v>
      </c>
      <c r="C654" s="3" t="s">
        <v>5</v>
      </c>
      <c r="D654" s="4" t="s">
        <v>857</v>
      </c>
      <c r="E654" s="5">
        <f>ROUND(163516.05,2)</f>
        <v>163516.04999999999</v>
      </c>
    </row>
    <row r="655" spans="1:5" outlineLevel="2" x14ac:dyDescent="0.25">
      <c r="A655" s="3" t="s">
        <v>840</v>
      </c>
      <c r="B655" s="3" t="s">
        <v>6</v>
      </c>
      <c r="C655" s="3" t="s">
        <v>8</v>
      </c>
      <c r="D655" s="4" t="s">
        <v>858</v>
      </c>
      <c r="E655" s="5">
        <f>ROUND(47965.72,2)</f>
        <v>47965.72</v>
      </c>
    </row>
    <row r="656" spans="1:5" outlineLevel="2" x14ac:dyDescent="0.25">
      <c r="A656" s="3" t="s">
        <v>840</v>
      </c>
      <c r="B656" s="3" t="s">
        <v>10</v>
      </c>
      <c r="C656" s="3" t="s">
        <v>144</v>
      </c>
      <c r="D656" s="4" t="s">
        <v>859</v>
      </c>
      <c r="E656" s="5">
        <f>ROUND(2500,2)</f>
        <v>2500</v>
      </c>
    </row>
    <row r="657" spans="1:5" outlineLevel="2" x14ac:dyDescent="0.25">
      <c r="A657" s="3" t="s">
        <v>840</v>
      </c>
      <c r="B657" s="3" t="s">
        <v>10</v>
      </c>
      <c r="C657" s="3" t="s">
        <v>146</v>
      </c>
      <c r="D657" s="4" t="s">
        <v>860</v>
      </c>
      <c r="E657" s="5">
        <f>ROUND(2400,2)</f>
        <v>2400</v>
      </c>
    </row>
    <row r="658" spans="1:5" outlineLevel="2" x14ac:dyDescent="0.25">
      <c r="A658" s="3" t="s">
        <v>840</v>
      </c>
      <c r="B658" s="3" t="s">
        <v>10</v>
      </c>
      <c r="C658" s="3" t="s">
        <v>842</v>
      </c>
      <c r="D658" s="4" t="s">
        <v>861</v>
      </c>
      <c r="E658" s="5">
        <f>ROUND(35054,2)</f>
        <v>35054</v>
      </c>
    </row>
    <row r="659" spans="1:5" outlineLevel="2" x14ac:dyDescent="0.25">
      <c r="A659" s="3" t="s">
        <v>840</v>
      </c>
      <c r="B659" s="3" t="s">
        <v>862</v>
      </c>
      <c r="C659" s="3" t="s">
        <v>11</v>
      </c>
      <c r="D659" s="4" t="s">
        <v>863</v>
      </c>
      <c r="E659" s="5">
        <f>ROUND(27539.07,2)</f>
        <v>27539.07</v>
      </c>
    </row>
    <row r="660" spans="1:5" outlineLevel="2" x14ac:dyDescent="0.25">
      <c r="A660" s="3" t="s">
        <v>840</v>
      </c>
      <c r="B660" s="3" t="s">
        <v>862</v>
      </c>
      <c r="C660" s="3" t="s">
        <v>28</v>
      </c>
      <c r="D660" s="4" t="s">
        <v>864</v>
      </c>
      <c r="E660" s="5">
        <f>ROUND(16144.3,2)</f>
        <v>16144.3</v>
      </c>
    </row>
    <row r="661" spans="1:5" outlineLevel="2" x14ac:dyDescent="0.25">
      <c r="A661" s="3" t="s">
        <v>840</v>
      </c>
      <c r="B661" s="3" t="s">
        <v>862</v>
      </c>
      <c r="C661" s="3" t="s">
        <v>15</v>
      </c>
      <c r="D661" s="4" t="s">
        <v>865</v>
      </c>
      <c r="E661" s="5">
        <f>ROUND(5012.64,2)</f>
        <v>5012.6400000000003</v>
      </c>
    </row>
    <row r="662" spans="1:5" outlineLevel="2" x14ac:dyDescent="0.25">
      <c r="A662" s="3" t="s">
        <v>840</v>
      </c>
      <c r="B662" s="3" t="s">
        <v>862</v>
      </c>
      <c r="C662" s="3" t="s">
        <v>17</v>
      </c>
      <c r="D662" s="4" t="s">
        <v>866</v>
      </c>
      <c r="E662" s="5">
        <f>ROUND(24325.28,2)</f>
        <v>24325.279999999999</v>
      </c>
    </row>
    <row r="663" spans="1:5" outlineLevel="2" x14ac:dyDescent="0.25">
      <c r="A663" s="3" t="s">
        <v>840</v>
      </c>
      <c r="B663" s="3" t="s">
        <v>862</v>
      </c>
      <c r="C663" s="3" t="s">
        <v>19</v>
      </c>
      <c r="D663" s="4" t="s">
        <v>867</v>
      </c>
      <c r="E663" s="5">
        <f>ROUND(45018.32,2)</f>
        <v>45018.32</v>
      </c>
    </row>
    <row r="664" spans="1:5" outlineLevel="2" x14ac:dyDescent="0.25">
      <c r="A664" s="3" t="s">
        <v>840</v>
      </c>
      <c r="B664" s="3" t="s">
        <v>862</v>
      </c>
      <c r="C664" s="3" t="s">
        <v>53</v>
      </c>
      <c r="D664" s="4" t="s">
        <v>868</v>
      </c>
      <c r="E664" s="5">
        <f>ROUND(9179.69,2)</f>
        <v>9179.69</v>
      </c>
    </row>
    <row r="665" spans="1:5" outlineLevel="2" x14ac:dyDescent="0.25">
      <c r="A665" s="3" t="s">
        <v>840</v>
      </c>
      <c r="B665" s="3" t="s">
        <v>862</v>
      </c>
      <c r="C665" s="3" t="s">
        <v>55</v>
      </c>
      <c r="D665" s="4" t="s">
        <v>869</v>
      </c>
      <c r="E665" s="5">
        <f>ROUND(30884.9,2)</f>
        <v>30884.9</v>
      </c>
    </row>
    <row r="666" spans="1:5" outlineLevel="2" x14ac:dyDescent="0.25">
      <c r="A666" s="3" t="s">
        <v>840</v>
      </c>
      <c r="B666" s="3" t="s">
        <v>862</v>
      </c>
      <c r="C666" s="3" t="s">
        <v>21</v>
      </c>
      <c r="D666" s="4" t="s">
        <v>870</v>
      </c>
      <c r="E666" s="5">
        <f>ROUND(11343.56,2)</f>
        <v>11343.56</v>
      </c>
    </row>
    <row r="667" spans="1:5" outlineLevel="2" x14ac:dyDescent="0.25">
      <c r="A667" s="3" t="s">
        <v>840</v>
      </c>
      <c r="B667" s="3" t="s">
        <v>862</v>
      </c>
      <c r="C667" s="3" t="s">
        <v>8</v>
      </c>
      <c r="D667" s="4" t="s">
        <v>871</v>
      </c>
      <c r="E667" s="5">
        <f>ROUND(55740.14,2)</f>
        <v>55740.14</v>
      </c>
    </row>
    <row r="668" spans="1:5" outlineLevel="2" x14ac:dyDescent="0.25">
      <c r="A668" s="3" t="s">
        <v>840</v>
      </c>
      <c r="B668" s="3" t="s">
        <v>862</v>
      </c>
      <c r="C668" s="3" t="s">
        <v>132</v>
      </c>
      <c r="D668" s="4" t="s">
        <v>872</v>
      </c>
      <c r="E668" s="5">
        <f>ROUND(5000,2)</f>
        <v>5000</v>
      </c>
    </row>
    <row r="669" spans="1:5" outlineLevel="1" x14ac:dyDescent="0.25">
      <c r="A669" s="6"/>
      <c r="B669" s="7"/>
      <c r="C669" s="7"/>
      <c r="D669" s="8" t="s">
        <v>873</v>
      </c>
      <c r="E669" s="9">
        <f>SUBTOTAL(9,E644:E668)</f>
        <v>4860456.7299999995</v>
      </c>
    </row>
    <row r="670" spans="1:5" outlineLevel="2" x14ac:dyDescent="0.25">
      <c r="A670" s="3" t="s">
        <v>874</v>
      </c>
      <c r="B670" s="3" t="s">
        <v>875</v>
      </c>
      <c r="C670" s="3" t="s">
        <v>13</v>
      </c>
      <c r="D670" s="4" t="s">
        <v>876</v>
      </c>
      <c r="E670" s="5">
        <f>ROUND(12364.72,2)</f>
        <v>12364.72</v>
      </c>
    </row>
    <row r="671" spans="1:5" outlineLevel="2" x14ac:dyDescent="0.25">
      <c r="A671" s="3" t="s">
        <v>874</v>
      </c>
      <c r="B671" s="3" t="s">
        <v>875</v>
      </c>
      <c r="C671" s="3" t="s">
        <v>15</v>
      </c>
      <c r="D671" s="4" t="s">
        <v>877</v>
      </c>
      <c r="E671" s="5">
        <f>ROUND(5569.47,2)</f>
        <v>5569.47</v>
      </c>
    </row>
    <row r="672" spans="1:5" outlineLevel="2" x14ac:dyDescent="0.25">
      <c r="A672" s="3" t="s">
        <v>874</v>
      </c>
      <c r="B672" s="3" t="s">
        <v>875</v>
      </c>
      <c r="C672" s="3" t="s">
        <v>17</v>
      </c>
      <c r="D672" s="4" t="s">
        <v>878</v>
      </c>
      <c r="E672" s="5">
        <f>ROUND(5342.08,2)</f>
        <v>5342.08</v>
      </c>
    </row>
    <row r="673" spans="1:5" outlineLevel="2" x14ac:dyDescent="0.25">
      <c r="A673" s="3" t="s">
        <v>874</v>
      </c>
      <c r="B673" s="3" t="s">
        <v>875</v>
      </c>
      <c r="C673" s="3" t="s">
        <v>19</v>
      </c>
      <c r="D673" s="4" t="s">
        <v>879</v>
      </c>
      <c r="E673" s="5">
        <f>ROUND(13562.61,2)</f>
        <v>13562.61</v>
      </c>
    </row>
    <row r="674" spans="1:5" outlineLevel="2" x14ac:dyDescent="0.25">
      <c r="A674" s="3" t="s">
        <v>874</v>
      </c>
      <c r="B674" s="3" t="s">
        <v>875</v>
      </c>
      <c r="C674" s="3" t="s">
        <v>21</v>
      </c>
      <c r="D674" s="4" t="s">
        <v>880</v>
      </c>
      <c r="E674" s="5">
        <f>ROUND(1918.62,2)</f>
        <v>1918.62</v>
      </c>
    </row>
    <row r="675" spans="1:5" outlineLevel="2" x14ac:dyDescent="0.25">
      <c r="A675" s="3" t="s">
        <v>874</v>
      </c>
      <c r="B675" s="3" t="s">
        <v>875</v>
      </c>
      <c r="C675" s="3" t="s">
        <v>8</v>
      </c>
      <c r="D675" s="4" t="s">
        <v>881</v>
      </c>
      <c r="E675" s="5">
        <f>ROUND(10791.71,2)</f>
        <v>10791.71</v>
      </c>
    </row>
    <row r="676" spans="1:5" outlineLevel="2" x14ac:dyDescent="0.25">
      <c r="A676" s="3" t="s">
        <v>874</v>
      </c>
      <c r="B676" s="3" t="s">
        <v>862</v>
      </c>
      <c r="C676" s="3" t="s">
        <v>28</v>
      </c>
      <c r="D676" s="4" t="s">
        <v>882</v>
      </c>
      <c r="E676" s="5">
        <f>ROUND(31497.98,2)</f>
        <v>31497.98</v>
      </c>
    </row>
    <row r="677" spans="1:5" outlineLevel="2" x14ac:dyDescent="0.25">
      <c r="A677" s="3" t="s">
        <v>874</v>
      </c>
      <c r="B677" s="3" t="s">
        <v>862</v>
      </c>
      <c r="C677" s="3" t="s">
        <v>13</v>
      </c>
      <c r="D677" s="4" t="s">
        <v>883</v>
      </c>
      <c r="E677" s="5">
        <f>ROUND(24729.44,2)</f>
        <v>24729.439999999999</v>
      </c>
    </row>
    <row r="678" spans="1:5" outlineLevel="2" x14ac:dyDescent="0.25">
      <c r="A678" s="3" t="s">
        <v>874</v>
      </c>
      <c r="B678" s="3" t="s">
        <v>862</v>
      </c>
      <c r="C678" s="3" t="s">
        <v>15</v>
      </c>
      <c r="D678" s="4" t="s">
        <v>884</v>
      </c>
      <c r="E678" s="5">
        <f>ROUND(11235.15,2)</f>
        <v>11235.15</v>
      </c>
    </row>
    <row r="679" spans="1:5" outlineLevel="2" x14ac:dyDescent="0.25">
      <c r="A679" s="3" t="s">
        <v>874</v>
      </c>
      <c r="B679" s="3" t="s">
        <v>862</v>
      </c>
      <c r="C679" s="3" t="s">
        <v>17</v>
      </c>
      <c r="D679" s="4" t="s">
        <v>885</v>
      </c>
      <c r="E679" s="5">
        <f>ROUND(28592.71,2)</f>
        <v>28592.71</v>
      </c>
    </row>
    <row r="680" spans="1:5" outlineLevel="2" x14ac:dyDescent="0.25">
      <c r="A680" s="3" t="s">
        <v>874</v>
      </c>
      <c r="B680" s="3" t="s">
        <v>862</v>
      </c>
      <c r="C680" s="3" t="s">
        <v>19</v>
      </c>
      <c r="D680" s="4" t="s">
        <v>886</v>
      </c>
      <c r="E680" s="5">
        <f>ROUND(68335.83,2)</f>
        <v>68335.83</v>
      </c>
    </row>
    <row r="681" spans="1:5" outlineLevel="2" x14ac:dyDescent="0.25">
      <c r="A681" s="3" t="s">
        <v>874</v>
      </c>
      <c r="B681" s="3" t="s">
        <v>862</v>
      </c>
      <c r="C681" s="3" t="s">
        <v>21</v>
      </c>
      <c r="D681" s="4" t="s">
        <v>887</v>
      </c>
      <c r="E681" s="5">
        <f>ROUND(8150.51,2)</f>
        <v>8150.51</v>
      </c>
    </row>
    <row r="682" spans="1:5" outlineLevel="2" x14ac:dyDescent="0.25">
      <c r="A682" s="3" t="s">
        <v>874</v>
      </c>
      <c r="B682" s="3" t="s">
        <v>862</v>
      </c>
      <c r="C682" s="3" t="s">
        <v>8</v>
      </c>
      <c r="D682" s="4" t="s">
        <v>888</v>
      </c>
      <c r="E682" s="5">
        <f>ROUND(51540.07,2)</f>
        <v>51540.07</v>
      </c>
    </row>
    <row r="683" spans="1:5" outlineLevel="2" x14ac:dyDescent="0.25">
      <c r="A683" s="3" t="s">
        <v>874</v>
      </c>
      <c r="B683" s="3" t="s">
        <v>207</v>
      </c>
      <c r="C683" s="3" t="s">
        <v>214</v>
      </c>
      <c r="D683" s="4" t="s">
        <v>889</v>
      </c>
      <c r="E683" s="5">
        <f>ROUND(20961.4,2)</f>
        <v>20961.400000000001</v>
      </c>
    </row>
    <row r="684" spans="1:5" outlineLevel="2" x14ac:dyDescent="0.25">
      <c r="A684" s="3" t="s">
        <v>874</v>
      </c>
      <c r="B684" s="3" t="s">
        <v>207</v>
      </c>
      <c r="C684" s="3" t="s">
        <v>15</v>
      </c>
      <c r="D684" s="4" t="s">
        <v>890</v>
      </c>
      <c r="E684" s="5">
        <f>ROUND(1206.07,2)</f>
        <v>1206.07</v>
      </c>
    </row>
    <row r="685" spans="1:5" outlineLevel="2" x14ac:dyDescent="0.25">
      <c r="A685" s="3" t="s">
        <v>874</v>
      </c>
      <c r="B685" s="3" t="s">
        <v>207</v>
      </c>
      <c r="C685" s="3" t="s">
        <v>17</v>
      </c>
      <c r="D685" s="4" t="s">
        <v>891</v>
      </c>
      <c r="E685" s="5">
        <f>ROUND(9109.9,2)</f>
        <v>9109.9</v>
      </c>
    </row>
    <row r="686" spans="1:5" outlineLevel="2" x14ac:dyDescent="0.25">
      <c r="A686" s="3" t="s">
        <v>874</v>
      </c>
      <c r="B686" s="3" t="s">
        <v>207</v>
      </c>
      <c r="C686" s="3" t="s">
        <v>19</v>
      </c>
      <c r="D686" s="4" t="s">
        <v>892</v>
      </c>
      <c r="E686" s="5">
        <f>ROUND(25771.8,2)</f>
        <v>25771.8</v>
      </c>
    </row>
    <row r="687" spans="1:5" outlineLevel="2" x14ac:dyDescent="0.25">
      <c r="A687" s="3" t="s">
        <v>874</v>
      </c>
      <c r="B687" s="3" t="s">
        <v>207</v>
      </c>
      <c r="C687" s="3" t="s">
        <v>53</v>
      </c>
      <c r="D687" s="4" t="s">
        <v>893</v>
      </c>
      <c r="E687" s="5">
        <f>ROUND(10261.51,2)</f>
        <v>10261.51</v>
      </c>
    </row>
    <row r="688" spans="1:5" outlineLevel="2" x14ac:dyDescent="0.25">
      <c r="A688" s="3" t="s">
        <v>874</v>
      </c>
      <c r="B688" s="3" t="s">
        <v>207</v>
      </c>
      <c r="C688" s="3" t="s">
        <v>55</v>
      </c>
      <c r="D688" s="4" t="s">
        <v>894</v>
      </c>
      <c r="E688" s="5">
        <f>ROUND(18173.62,2)</f>
        <v>18173.62</v>
      </c>
    </row>
    <row r="689" spans="1:5" outlineLevel="2" x14ac:dyDescent="0.25">
      <c r="A689" s="3" t="s">
        <v>874</v>
      </c>
      <c r="B689" s="3" t="s">
        <v>207</v>
      </c>
      <c r="C689" s="3" t="s">
        <v>21</v>
      </c>
      <c r="D689" s="4" t="s">
        <v>895</v>
      </c>
      <c r="E689" s="5">
        <f>ROUND(5559.73,2)</f>
        <v>5559.73</v>
      </c>
    </row>
    <row r="690" spans="1:5" outlineLevel="2" x14ac:dyDescent="0.25">
      <c r="A690" s="3" t="s">
        <v>874</v>
      </c>
      <c r="B690" s="3" t="s">
        <v>207</v>
      </c>
      <c r="C690" s="3" t="s">
        <v>8</v>
      </c>
      <c r="D690" s="4" t="s">
        <v>896</v>
      </c>
      <c r="E690" s="5">
        <f>ROUND(29063.9,2)</f>
        <v>29063.9</v>
      </c>
    </row>
    <row r="691" spans="1:5" outlineLevel="1" x14ac:dyDescent="0.25">
      <c r="A691" s="6"/>
      <c r="B691" s="7"/>
      <c r="C691" s="7"/>
      <c r="D691" s="8" t="s">
        <v>897</v>
      </c>
      <c r="E691" s="9">
        <f>SUBTOTAL(9,E670:E690)</f>
        <v>393738.83000000007</v>
      </c>
    </row>
    <row r="692" spans="1:5" outlineLevel="2" x14ac:dyDescent="0.25">
      <c r="A692" s="3" t="s">
        <v>898</v>
      </c>
      <c r="B692" s="3" t="s">
        <v>899</v>
      </c>
      <c r="C692" s="3" t="s">
        <v>132</v>
      </c>
      <c r="D692" s="4" t="s">
        <v>900</v>
      </c>
      <c r="E692" s="5">
        <f>ROUND(10,2)</f>
        <v>10</v>
      </c>
    </row>
    <row r="693" spans="1:5" outlineLevel="2" x14ac:dyDescent="0.25">
      <c r="A693" s="3" t="s">
        <v>898</v>
      </c>
      <c r="B693" s="3" t="s">
        <v>899</v>
      </c>
      <c r="C693" s="3" t="s">
        <v>431</v>
      </c>
      <c r="D693" s="4" t="s">
        <v>901</v>
      </c>
      <c r="E693" s="5">
        <f>ROUND(3000,2)</f>
        <v>3000</v>
      </c>
    </row>
    <row r="694" spans="1:5" outlineLevel="2" x14ac:dyDescent="0.25">
      <c r="A694" s="3" t="s">
        <v>898</v>
      </c>
      <c r="B694" s="3" t="s">
        <v>902</v>
      </c>
      <c r="C694" s="3" t="s">
        <v>132</v>
      </c>
      <c r="D694" s="4" t="s">
        <v>903</v>
      </c>
      <c r="E694" s="5">
        <f>ROUND(10,2)</f>
        <v>10</v>
      </c>
    </row>
    <row r="695" spans="1:5" outlineLevel="2" x14ac:dyDescent="0.25">
      <c r="A695" s="3" t="s">
        <v>898</v>
      </c>
      <c r="B695" s="3" t="s">
        <v>902</v>
      </c>
      <c r="C695" s="3" t="s">
        <v>431</v>
      </c>
      <c r="D695" s="4" t="s">
        <v>904</v>
      </c>
      <c r="E695" s="5">
        <f>ROUND(3000,2)</f>
        <v>3000</v>
      </c>
    </row>
    <row r="696" spans="1:5" outlineLevel="2" x14ac:dyDescent="0.25">
      <c r="A696" s="3" t="s">
        <v>898</v>
      </c>
      <c r="B696" s="3" t="s">
        <v>905</v>
      </c>
      <c r="C696" s="3" t="s">
        <v>132</v>
      </c>
      <c r="D696" s="4" t="s">
        <v>906</v>
      </c>
      <c r="E696" s="5">
        <f>ROUND(42302,2)</f>
        <v>42302</v>
      </c>
    </row>
    <row r="697" spans="1:5" outlineLevel="2" x14ac:dyDescent="0.25">
      <c r="A697" s="3" t="s">
        <v>898</v>
      </c>
      <c r="B697" s="3" t="s">
        <v>905</v>
      </c>
      <c r="C697" s="3" t="s">
        <v>907</v>
      </c>
      <c r="D697" s="4" t="s">
        <v>908</v>
      </c>
      <c r="E697" s="5">
        <f>ROUND(54000,2)</f>
        <v>54000</v>
      </c>
    </row>
    <row r="698" spans="1:5" outlineLevel="2" x14ac:dyDescent="0.25">
      <c r="A698" s="3" t="s">
        <v>898</v>
      </c>
      <c r="B698" s="3" t="s">
        <v>905</v>
      </c>
      <c r="C698" s="3" t="s">
        <v>909</v>
      </c>
      <c r="D698" s="4" t="s">
        <v>910</v>
      </c>
      <c r="E698" s="5">
        <f>ROUND(38000,2)</f>
        <v>38000</v>
      </c>
    </row>
    <row r="699" spans="1:5" outlineLevel="2" x14ac:dyDescent="0.25">
      <c r="A699" s="3" t="s">
        <v>898</v>
      </c>
      <c r="B699" s="3" t="s">
        <v>911</v>
      </c>
      <c r="C699" s="3" t="s">
        <v>132</v>
      </c>
      <c r="D699" s="4" t="s">
        <v>912</v>
      </c>
      <c r="E699" s="5">
        <f>ROUND(6000,2)</f>
        <v>6000</v>
      </c>
    </row>
    <row r="700" spans="1:5" outlineLevel="2" x14ac:dyDescent="0.25">
      <c r="A700" s="3" t="s">
        <v>898</v>
      </c>
      <c r="B700" s="3" t="s">
        <v>913</v>
      </c>
      <c r="C700" s="3" t="s">
        <v>132</v>
      </c>
      <c r="D700" s="4" t="s">
        <v>914</v>
      </c>
      <c r="E700" s="5">
        <f>ROUND(10,2)</f>
        <v>10</v>
      </c>
    </row>
    <row r="701" spans="1:5" outlineLevel="2" x14ac:dyDescent="0.25">
      <c r="A701" s="3" t="s">
        <v>898</v>
      </c>
      <c r="B701" s="3" t="s">
        <v>913</v>
      </c>
      <c r="C701" s="3" t="s">
        <v>915</v>
      </c>
      <c r="D701" s="4" t="s">
        <v>916</v>
      </c>
      <c r="E701" s="5">
        <f>ROUND(10,2)</f>
        <v>10</v>
      </c>
    </row>
    <row r="702" spans="1:5" outlineLevel="2" x14ac:dyDescent="0.25">
      <c r="A702" s="3" t="s">
        <v>898</v>
      </c>
      <c r="B702" s="3" t="s">
        <v>917</v>
      </c>
      <c r="C702" s="3" t="s">
        <v>132</v>
      </c>
      <c r="D702" s="4" t="s">
        <v>918</v>
      </c>
      <c r="E702" s="5">
        <f>ROUND(10,2)</f>
        <v>10</v>
      </c>
    </row>
    <row r="703" spans="1:5" outlineLevel="2" x14ac:dyDescent="0.25">
      <c r="A703" s="3" t="s">
        <v>898</v>
      </c>
      <c r="B703" s="3" t="s">
        <v>917</v>
      </c>
      <c r="C703" s="3" t="s">
        <v>919</v>
      </c>
      <c r="D703" s="4" t="s">
        <v>920</v>
      </c>
      <c r="E703" s="5">
        <f>ROUND(10,2)</f>
        <v>10</v>
      </c>
    </row>
    <row r="704" spans="1:5" outlineLevel="2" x14ac:dyDescent="0.25">
      <c r="A704" s="3" t="s">
        <v>898</v>
      </c>
      <c r="B704" s="3" t="s">
        <v>921</v>
      </c>
      <c r="C704" s="3" t="s">
        <v>28</v>
      </c>
      <c r="D704" s="4" t="s">
        <v>922</v>
      </c>
      <c r="E704" s="5">
        <f>ROUND(16144.3,2)</f>
        <v>16144.3</v>
      </c>
    </row>
    <row r="705" spans="1:5" outlineLevel="2" x14ac:dyDescent="0.25">
      <c r="A705" s="3" t="s">
        <v>898</v>
      </c>
      <c r="B705" s="3" t="s">
        <v>921</v>
      </c>
      <c r="C705" s="3" t="s">
        <v>17</v>
      </c>
      <c r="D705" s="4" t="s">
        <v>923</v>
      </c>
      <c r="E705" s="5">
        <f>ROUND(7700.25,2)</f>
        <v>7700.25</v>
      </c>
    </row>
    <row r="706" spans="1:5" outlineLevel="2" x14ac:dyDescent="0.25">
      <c r="A706" s="3" t="s">
        <v>898</v>
      </c>
      <c r="B706" s="3" t="s">
        <v>921</v>
      </c>
      <c r="C706" s="3" t="s">
        <v>19</v>
      </c>
      <c r="D706" s="4" t="s">
        <v>924</v>
      </c>
      <c r="E706" s="5">
        <f>ROUND(16965.28,2)</f>
        <v>16965.28</v>
      </c>
    </row>
    <row r="707" spans="1:5" outlineLevel="2" x14ac:dyDescent="0.25">
      <c r="A707" s="3" t="s">
        <v>898</v>
      </c>
      <c r="B707" s="3" t="s">
        <v>921</v>
      </c>
      <c r="C707" s="3" t="s">
        <v>53</v>
      </c>
      <c r="D707" s="4" t="s">
        <v>925</v>
      </c>
      <c r="E707" s="5">
        <f>ROUND(16648.98,2)</f>
        <v>16648.98</v>
      </c>
    </row>
    <row r="708" spans="1:5" outlineLevel="2" x14ac:dyDescent="0.25">
      <c r="A708" s="3" t="s">
        <v>898</v>
      </c>
      <c r="B708" s="3" t="s">
        <v>921</v>
      </c>
      <c r="C708" s="3" t="s">
        <v>55</v>
      </c>
      <c r="D708" s="4" t="s">
        <v>926</v>
      </c>
      <c r="E708" s="5">
        <f>ROUND(49138.59,2)</f>
        <v>49138.59</v>
      </c>
    </row>
    <row r="709" spans="1:5" outlineLevel="2" x14ac:dyDescent="0.25">
      <c r="A709" s="3" t="s">
        <v>898</v>
      </c>
      <c r="B709" s="3" t="s">
        <v>921</v>
      </c>
      <c r="C709" s="3" t="s">
        <v>21</v>
      </c>
      <c r="D709" s="4" t="s">
        <v>927</v>
      </c>
      <c r="E709" s="5">
        <f>ROUND(7568.7,2)</f>
        <v>7568.7</v>
      </c>
    </row>
    <row r="710" spans="1:5" outlineLevel="2" x14ac:dyDescent="0.25">
      <c r="A710" s="3" t="s">
        <v>898</v>
      </c>
      <c r="B710" s="3" t="s">
        <v>921</v>
      </c>
      <c r="C710" s="3" t="s">
        <v>8</v>
      </c>
      <c r="D710" s="4" t="s">
        <v>928</v>
      </c>
      <c r="E710" s="5">
        <f>ROUND(33675.09,2)</f>
        <v>33675.089999999997</v>
      </c>
    </row>
    <row r="711" spans="1:5" outlineLevel="2" x14ac:dyDescent="0.25">
      <c r="A711" s="3" t="s">
        <v>898</v>
      </c>
      <c r="B711" s="3" t="s">
        <v>157</v>
      </c>
      <c r="C711" s="3" t="s">
        <v>114</v>
      </c>
      <c r="D711" s="4" t="s">
        <v>929</v>
      </c>
      <c r="E711" s="5">
        <f>ROUND(18359.38,2)</f>
        <v>18359.38</v>
      </c>
    </row>
    <row r="712" spans="1:5" outlineLevel="2" x14ac:dyDescent="0.25">
      <c r="A712" s="3" t="s">
        <v>898</v>
      </c>
      <c r="B712" s="3" t="s">
        <v>157</v>
      </c>
      <c r="C712" s="3" t="s">
        <v>156</v>
      </c>
      <c r="D712" s="4" t="s">
        <v>930</v>
      </c>
      <c r="E712" s="5">
        <f>ROUND(39727.8,2)</f>
        <v>39727.800000000003</v>
      </c>
    </row>
    <row r="713" spans="1:5" outlineLevel="2" x14ac:dyDescent="0.25">
      <c r="A713" s="3" t="s">
        <v>898</v>
      </c>
      <c r="B713" s="3" t="s">
        <v>157</v>
      </c>
      <c r="C713" s="3" t="s">
        <v>8</v>
      </c>
      <c r="D713" s="4" t="s">
        <v>931</v>
      </c>
      <c r="E713" s="5">
        <f>ROUND(19126.96,2)</f>
        <v>19126.96</v>
      </c>
    </row>
    <row r="714" spans="1:5" outlineLevel="1" x14ac:dyDescent="0.25">
      <c r="A714" s="6"/>
      <c r="B714" s="7"/>
      <c r="C714" s="7"/>
      <c r="D714" s="8" t="s">
        <v>932</v>
      </c>
      <c r="E714" s="9">
        <f>SUBTOTAL(9,E692:E713)</f>
        <v>371417.33</v>
      </c>
    </row>
    <row r="715" spans="1:5" outlineLevel="2" x14ac:dyDescent="0.25">
      <c r="A715" s="3" t="s">
        <v>933</v>
      </c>
      <c r="B715" s="3" t="s">
        <v>120</v>
      </c>
      <c r="C715" s="3" t="s">
        <v>38</v>
      </c>
      <c r="D715" s="4" t="s">
        <v>934</v>
      </c>
      <c r="E715" s="5">
        <f>ROUND(108820,2)</f>
        <v>108820</v>
      </c>
    </row>
    <row r="716" spans="1:5" outlineLevel="2" x14ac:dyDescent="0.25">
      <c r="A716" s="3" t="s">
        <v>933</v>
      </c>
      <c r="B716" s="3" t="s">
        <v>935</v>
      </c>
      <c r="C716" s="3" t="s">
        <v>38</v>
      </c>
      <c r="D716" s="4" t="s">
        <v>936</v>
      </c>
      <c r="E716" s="5">
        <f>ROUND(315295,2)</f>
        <v>315295</v>
      </c>
    </row>
    <row r="717" spans="1:5" outlineLevel="2" x14ac:dyDescent="0.25">
      <c r="A717" s="3" t="s">
        <v>933</v>
      </c>
      <c r="B717" s="3" t="s">
        <v>937</v>
      </c>
      <c r="C717" s="3" t="s">
        <v>38</v>
      </c>
      <c r="D717" s="4" t="s">
        <v>938</v>
      </c>
      <c r="E717" s="5">
        <f>ROUND(164116,2)</f>
        <v>164116</v>
      </c>
    </row>
    <row r="718" spans="1:5" outlineLevel="2" x14ac:dyDescent="0.25">
      <c r="A718" s="3" t="s">
        <v>933</v>
      </c>
      <c r="B718" s="3" t="s">
        <v>939</v>
      </c>
      <c r="C718" s="3" t="s">
        <v>38</v>
      </c>
      <c r="D718" s="4" t="s">
        <v>940</v>
      </c>
      <c r="E718" s="5">
        <f>ROUND(10668,2)</f>
        <v>10668</v>
      </c>
    </row>
    <row r="719" spans="1:5" outlineLevel="2" x14ac:dyDescent="0.25">
      <c r="A719" s="3" t="s">
        <v>933</v>
      </c>
      <c r="B719" s="3" t="s">
        <v>205</v>
      </c>
      <c r="C719" s="3" t="s">
        <v>11</v>
      </c>
      <c r="D719" s="4" t="s">
        <v>941</v>
      </c>
      <c r="E719" s="5">
        <f>ROUND(18359.38,2)</f>
        <v>18359.38</v>
      </c>
    </row>
    <row r="720" spans="1:5" outlineLevel="2" x14ac:dyDescent="0.25">
      <c r="A720" s="3" t="s">
        <v>933</v>
      </c>
      <c r="B720" s="3" t="s">
        <v>205</v>
      </c>
      <c r="C720" s="3" t="s">
        <v>28</v>
      </c>
      <c r="D720" s="4" t="s">
        <v>942</v>
      </c>
      <c r="E720" s="5">
        <f>ROUND(16144.3,2)</f>
        <v>16144.3</v>
      </c>
    </row>
    <row r="721" spans="1:5" outlineLevel="2" x14ac:dyDescent="0.25">
      <c r="A721" s="3" t="s">
        <v>933</v>
      </c>
      <c r="B721" s="3" t="s">
        <v>205</v>
      </c>
      <c r="C721" s="3" t="s">
        <v>13</v>
      </c>
      <c r="D721" s="4" t="s">
        <v>943</v>
      </c>
      <c r="E721" s="5">
        <f>ROUND(12364.72,2)</f>
        <v>12364.72</v>
      </c>
    </row>
    <row r="722" spans="1:5" outlineLevel="2" x14ac:dyDescent="0.25">
      <c r="A722" s="3" t="s">
        <v>933</v>
      </c>
      <c r="B722" s="3" t="s">
        <v>205</v>
      </c>
      <c r="C722" s="3" t="s">
        <v>216</v>
      </c>
      <c r="D722" s="4" t="s">
        <v>944</v>
      </c>
      <c r="E722" s="5">
        <f>ROUND(28815.42,2)</f>
        <v>28815.42</v>
      </c>
    </row>
    <row r="723" spans="1:5" outlineLevel="2" x14ac:dyDescent="0.25">
      <c r="A723" s="3" t="s">
        <v>933</v>
      </c>
      <c r="B723" s="3" t="s">
        <v>205</v>
      </c>
      <c r="C723" s="3" t="s">
        <v>15</v>
      </c>
      <c r="D723" s="4" t="s">
        <v>945</v>
      </c>
      <c r="E723" s="5">
        <f>ROUND(10189.78,2)</f>
        <v>10189.780000000001</v>
      </c>
    </row>
    <row r="724" spans="1:5" outlineLevel="2" x14ac:dyDescent="0.25">
      <c r="A724" s="3" t="s">
        <v>933</v>
      </c>
      <c r="B724" s="3" t="s">
        <v>205</v>
      </c>
      <c r="C724" s="3" t="s">
        <v>17</v>
      </c>
      <c r="D724" s="4" t="s">
        <v>946</v>
      </c>
      <c r="E724" s="5">
        <f>ROUND(37307.88,2)</f>
        <v>37307.879999999997</v>
      </c>
    </row>
    <row r="725" spans="1:5" outlineLevel="2" x14ac:dyDescent="0.25">
      <c r="A725" s="3" t="s">
        <v>933</v>
      </c>
      <c r="B725" s="3" t="s">
        <v>205</v>
      </c>
      <c r="C725" s="3" t="s">
        <v>19</v>
      </c>
      <c r="D725" s="4" t="s">
        <v>947</v>
      </c>
      <c r="E725" s="5">
        <f>ROUND(94162.98,2)</f>
        <v>94162.98</v>
      </c>
    </row>
    <row r="726" spans="1:5" outlineLevel="2" x14ac:dyDescent="0.25">
      <c r="A726" s="3" t="s">
        <v>933</v>
      </c>
      <c r="B726" s="3" t="s">
        <v>205</v>
      </c>
      <c r="C726" s="3" t="s">
        <v>21</v>
      </c>
      <c r="D726" s="4" t="s">
        <v>948</v>
      </c>
      <c r="E726" s="5">
        <f>ROUND(11843.83,2)</f>
        <v>11843.83</v>
      </c>
    </row>
    <row r="727" spans="1:5" outlineLevel="2" x14ac:dyDescent="0.25">
      <c r="A727" s="3" t="s">
        <v>933</v>
      </c>
      <c r="B727" s="3" t="s">
        <v>205</v>
      </c>
      <c r="C727" s="3" t="s">
        <v>265</v>
      </c>
      <c r="D727" s="4" t="s">
        <v>949</v>
      </c>
      <c r="E727" s="5">
        <f>ROUND(1616.68,2)</f>
        <v>1616.68</v>
      </c>
    </row>
    <row r="728" spans="1:5" outlineLevel="2" x14ac:dyDescent="0.25">
      <c r="A728" s="3" t="s">
        <v>933</v>
      </c>
      <c r="B728" s="3" t="s">
        <v>205</v>
      </c>
      <c r="C728" s="3" t="s">
        <v>8</v>
      </c>
      <c r="D728" s="4" t="s">
        <v>950</v>
      </c>
      <c r="E728" s="5">
        <f>ROUND(69562.1,2)</f>
        <v>69562.100000000006</v>
      </c>
    </row>
    <row r="729" spans="1:5" outlineLevel="1" x14ac:dyDescent="0.25">
      <c r="A729" s="6"/>
      <c r="B729" s="7"/>
      <c r="C729" s="7"/>
      <c r="D729" s="8" t="s">
        <v>951</v>
      </c>
      <c r="E729" s="9">
        <f>SUBTOTAL(9,E715:E728)</f>
        <v>899266.07000000007</v>
      </c>
    </row>
    <row r="730" spans="1:5" outlineLevel="2" x14ac:dyDescent="0.25">
      <c r="A730" s="3" t="s">
        <v>952</v>
      </c>
      <c r="B730" s="3" t="s">
        <v>50</v>
      </c>
      <c r="C730" s="3" t="s">
        <v>428</v>
      </c>
      <c r="D730" s="4" t="s">
        <v>953</v>
      </c>
      <c r="E730" s="5">
        <f>ROUND(2609,2)</f>
        <v>2609</v>
      </c>
    </row>
    <row r="731" spans="1:5" outlineLevel="2" x14ac:dyDescent="0.25">
      <c r="A731" s="3" t="s">
        <v>952</v>
      </c>
      <c r="B731" s="3" t="s">
        <v>954</v>
      </c>
      <c r="C731" s="3" t="s">
        <v>28</v>
      </c>
      <c r="D731" s="4" t="s">
        <v>955</v>
      </c>
      <c r="E731" s="5">
        <f>ROUND(32288.6,2)</f>
        <v>32288.6</v>
      </c>
    </row>
    <row r="732" spans="1:5" outlineLevel="2" x14ac:dyDescent="0.25">
      <c r="A732" s="3" t="s">
        <v>952</v>
      </c>
      <c r="B732" s="3" t="s">
        <v>954</v>
      </c>
      <c r="C732" s="3" t="s">
        <v>13</v>
      </c>
      <c r="D732" s="4" t="s">
        <v>956</v>
      </c>
      <c r="E732" s="5">
        <f>ROUND(12364.72,2)</f>
        <v>12364.72</v>
      </c>
    </row>
    <row r="733" spans="1:5" outlineLevel="2" x14ac:dyDescent="0.25">
      <c r="A733" s="3" t="s">
        <v>952</v>
      </c>
      <c r="B733" s="3" t="s">
        <v>954</v>
      </c>
      <c r="C733" s="3" t="s">
        <v>17</v>
      </c>
      <c r="D733" s="4" t="s">
        <v>957</v>
      </c>
      <c r="E733" s="5">
        <f>ROUND(19170.36,2)</f>
        <v>19170.36</v>
      </c>
    </row>
    <row r="734" spans="1:5" outlineLevel="2" x14ac:dyDescent="0.25">
      <c r="A734" s="3" t="s">
        <v>952</v>
      </c>
      <c r="B734" s="3" t="s">
        <v>954</v>
      </c>
      <c r="C734" s="3" t="s">
        <v>19</v>
      </c>
      <c r="D734" s="4" t="s">
        <v>958</v>
      </c>
      <c r="E734" s="5">
        <f>ROUND(44101.73,2)</f>
        <v>44101.73</v>
      </c>
    </row>
    <row r="735" spans="1:5" outlineLevel="2" x14ac:dyDescent="0.25">
      <c r="A735" s="3" t="s">
        <v>952</v>
      </c>
      <c r="B735" s="3" t="s">
        <v>954</v>
      </c>
      <c r="C735" s="3" t="s">
        <v>555</v>
      </c>
      <c r="D735" s="4" t="s">
        <v>959</v>
      </c>
      <c r="E735" s="5">
        <f>ROUND(5375.62,2)</f>
        <v>5375.62</v>
      </c>
    </row>
    <row r="736" spans="1:5" outlineLevel="2" x14ac:dyDescent="0.25">
      <c r="A736" s="3" t="s">
        <v>952</v>
      </c>
      <c r="B736" s="3" t="s">
        <v>954</v>
      </c>
      <c r="C736" s="3" t="s">
        <v>21</v>
      </c>
      <c r="D736" s="4" t="s">
        <v>960</v>
      </c>
      <c r="E736" s="5">
        <f>ROUND(5980.84,2)</f>
        <v>5980.84</v>
      </c>
    </row>
    <row r="737" spans="1:5" outlineLevel="2" x14ac:dyDescent="0.25">
      <c r="A737" s="3" t="s">
        <v>952</v>
      </c>
      <c r="B737" s="3" t="s">
        <v>954</v>
      </c>
      <c r="C737" s="3" t="s">
        <v>8</v>
      </c>
      <c r="D737" s="4" t="s">
        <v>961</v>
      </c>
      <c r="E737" s="5">
        <f>ROUND(40455.27,2)</f>
        <v>40455.269999999997</v>
      </c>
    </row>
    <row r="738" spans="1:5" outlineLevel="2" x14ac:dyDescent="0.25">
      <c r="A738" s="3" t="s">
        <v>952</v>
      </c>
      <c r="B738" s="3" t="s">
        <v>954</v>
      </c>
      <c r="C738" s="3" t="s">
        <v>173</v>
      </c>
      <c r="D738" s="4" t="s">
        <v>962</v>
      </c>
      <c r="E738" s="5">
        <f>ROUND(148775,2)</f>
        <v>148775</v>
      </c>
    </row>
    <row r="739" spans="1:5" outlineLevel="2" x14ac:dyDescent="0.25">
      <c r="A739" s="3" t="s">
        <v>952</v>
      </c>
      <c r="B739" s="3" t="s">
        <v>954</v>
      </c>
      <c r="C739" s="3" t="s">
        <v>963</v>
      </c>
      <c r="D739" s="4" t="s">
        <v>964</v>
      </c>
      <c r="E739" s="5">
        <f>ROUND(17100,2)</f>
        <v>17100</v>
      </c>
    </row>
    <row r="740" spans="1:5" outlineLevel="2" x14ac:dyDescent="0.25">
      <c r="A740" s="3" t="s">
        <v>952</v>
      </c>
      <c r="B740" s="3" t="s">
        <v>954</v>
      </c>
      <c r="C740" s="3" t="s">
        <v>965</v>
      </c>
      <c r="D740" s="4" t="s">
        <v>966</v>
      </c>
      <c r="E740" s="5">
        <f>ROUND(9000,2)</f>
        <v>9000</v>
      </c>
    </row>
    <row r="741" spans="1:5" outlineLevel="2" x14ac:dyDescent="0.25">
      <c r="A741" s="3" t="s">
        <v>952</v>
      </c>
      <c r="B741" s="3" t="s">
        <v>954</v>
      </c>
      <c r="C741" s="3" t="s">
        <v>967</v>
      </c>
      <c r="D741" s="4" t="s">
        <v>968</v>
      </c>
      <c r="E741" s="5">
        <f>ROUND(6400,2)</f>
        <v>6400</v>
      </c>
    </row>
    <row r="742" spans="1:5" outlineLevel="2" x14ac:dyDescent="0.25">
      <c r="A742" s="3" t="s">
        <v>952</v>
      </c>
      <c r="B742" s="3" t="s">
        <v>954</v>
      </c>
      <c r="C742" s="3" t="s">
        <v>134</v>
      </c>
      <c r="D742" s="4" t="s">
        <v>969</v>
      </c>
      <c r="E742" s="5">
        <f>ROUND(21500,2)</f>
        <v>21500</v>
      </c>
    </row>
    <row r="743" spans="1:5" outlineLevel="2" x14ac:dyDescent="0.25">
      <c r="A743" s="3" t="s">
        <v>952</v>
      </c>
      <c r="B743" s="3" t="s">
        <v>854</v>
      </c>
      <c r="C743" s="3" t="s">
        <v>970</v>
      </c>
      <c r="D743" s="4" t="s">
        <v>971</v>
      </c>
      <c r="E743" s="5">
        <f>ROUND(79762,2)</f>
        <v>79762</v>
      </c>
    </row>
    <row r="744" spans="1:5" outlineLevel="2" x14ac:dyDescent="0.25">
      <c r="A744" s="3" t="s">
        <v>952</v>
      </c>
      <c r="B744" s="3" t="s">
        <v>935</v>
      </c>
      <c r="C744" s="3" t="s">
        <v>173</v>
      </c>
      <c r="D744" s="4" t="s">
        <v>972</v>
      </c>
      <c r="E744" s="5">
        <f>ROUND(148326,2)</f>
        <v>148326</v>
      </c>
    </row>
    <row r="745" spans="1:5" outlineLevel="2" x14ac:dyDescent="0.25">
      <c r="A745" s="3" t="s">
        <v>952</v>
      </c>
      <c r="B745" s="3" t="s">
        <v>973</v>
      </c>
      <c r="C745" s="3" t="s">
        <v>132</v>
      </c>
      <c r="D745" s="4" t="s">
        <v>974</v>
      </c>
      <c r="E745" s="5">
        <f>ROUND(17604,2)</f>
        <v>17604</v>
      </c>
    </row>
    <row r="746" spans="1:5" outlineLevel="2" x14ac:dyDescent="0.25">
      <c r="A746" s="3" t="s">
        <v>952</v>
      </c>
      <c r="B746" s="3" t="s">
        <v>973</v>
      </c>
      <c r="C746" s="3" t="s">
        <v>38</v>
      </c>
      <c r="D746" s="4" t="s">
        <v>975</v>
      </c>
      <c r="E746" s="5">
        <f>ROUND(269216,2)</f>
        <v>269216</v>
      </c>
    </row>
    <row r="747" spans="1:5" outlineLevel="2" x14ac:dyDescent="0.25">
      <c r="A747" s="3" t="s">
        <v>952</v>
      </c>
      <c r="B747" s="3" t="s">
        <v>973</v>
      </c>
      <c r="C747" s="3" t="s">
        <v>173</v>
      </c>
      <c r="D747" s="4" t="s">
        <v>976</v>
      </c>
      <c r="E747" s="5">
        <f>ROUND(100000,2)</f>
        <v>100000</v>
      </c>
    </row>
    <row r="748" spans="1:5" outlineLevel="2" x14ac:dyDescent="0.25">
      <c r="A748" s="3" t="s">
        <v>952</v>
      </c>
      <c r="B748" s="3" t="s">
        <v>973</v>
      </c>
      <c r="C748" s="3" t="s">
        <v>134</v>
      </c>
      <c r="D748" s="4" t="s">
        <v>977</v>
      </c>
      <c r="E748" s="5">
        <f>ROUND(9660,2)</f>
        <v>9660</v>
      </c>
    </row>
    <row r="749" spans="1:5" outlineLevel="2" x14ac:dyDescent="0.25">
      <c r="A749" s="3" t="s">
        <v>952</v>
      </c>
      <c r="B749" s="3" t="s">
        <v>978</v>
      </c>
      <c r="C749" s="3" t="s">
        <v>970</v>
      </c>
      <c r="D749" s="4" t="s">
        <v>979</v>
      </c>
      <c r="E749" s="5">
        <f>ROUND(180150,2)</f>
        <v>180150</v>
      </c>
    </row>
    <row r="750" spans="1:5" outlineLevel="2" x14ac:dyDescent="0.25">
      <c r="A750" s="3" t="s">
        <v>952</v>
      </c>
      <c r="B750" s="3" t="s">
        <v>978</v>
      </c>
      <c r="C750" s="3" t="s">
        <v>451</v>
      </c>
      <c r="D750" s="4" t="s">
        <v>980</v>
      </c>
      <c r="E750" s="5">
        <f>ROUND(34800,2)</f>
        <v>34800</v>
      </c>
    </row>
    <row r="751" spans="1:5" outlineLevel="1" x14ac:dyDescent="0.25">
      <c r="A751" s="6"/>
      <c r="B751" s="7"/>
      <c r="C751" s="7"/>
      <c r="D751" s="8" t="s">
        <v>981</v>
      </c>
      <c r="E751" s="9">
        <f>SUBTOTAL(9,E730:E750)</f>
        <v>1204639.1400000001</v>
      </c>
    </row>
    <row r="752" spans="1:5" outlineLevel="2" x14ac:dyDescent="0.25">
      <c r="A752" s="3" t="s">
        <v>982</v>
      </c>
      <c r="B752" s="3" t="s">
        <v>983</v>
      </c>
      <c r="C752" s="3" t="s">
        <v>13</v>
      </c>
      <c r="D752" s="4" t="s">
        <v>984</v>
      </c>
      <c r="E752" s="5">
        <f>ROUND(86553.04,2)</f>
        <v>86553.04</v>
      </c>
    </row>
    <row r="753" spans="1:5" outlineLevel="2" x14ac:dyDescent="0.25">
      <c r="A753" s="3" t="s">
        <v>982</v>
      </c>
      <c r="B753" s="3" t="s">
        <v>983</v>
      </c>
      <c r="C753" s="3" t="s">
        <v>216</v>
      </c>
      <c r="D753" s="4" t="s">
        <v>985</v>
      </c>
      <c r="E753" s="5">
        <f>ROUND(9605.14,2)</f>
        <v>9605.14</v>
      </c>
    </row>
    <row r="754" spans="1:5" outlineLevel="2" x14ac:dyDescent="0.25">
      <c r="A754" s="3" t="s">
        <v>982</v>
      </c>
      <c r="B754" s="3" t="s">
        <v>983</v>
      </c>
      <c r="C754" s="3" t="s">
        <v>15</v>
      </c>
      <c r="D754" s="4" t="s">
        <v>986</v>
      </c>
      <c r="E754" s="5">
        <f>ROUND(15460,2)</f>
        <v>15460</v>
      </c>
    </row>
    <row r="755" spans="1:5" outlineLevel="2" x14ac:dyDescent="0.25">
      <c r="A755" s="3" t="s">
        <v>982</v>
      </c>
      <c r="B755" s="3" t="s">
        <v>983</v>
      </c>
      <c r="C755" s="3" t="s">
        <v>17</v>
      </c>
      <c r="D755" s="4" t="s">
        <v>987</v>
      </c>
      <c r="E755" s="5">
        <f>ROUND(41949.51,2)</f>
        <v>41949.51</v>
      </c>
    </row>
    <row r="756" spans="1:5" outlineLevel="2" x14ac:dyDescent="0.25">
      <c r="A756" s="3" t="s">
        <v>982</v>
      </c>
      <c r="B756" s="3" t="s">
        <v>983</v>
      </c>
      <c r="C756" s="3" t="s">
        <v>19</v>
      </c>
      <c r="D756" s="4" t="s">
        <v>988</v>
      </c>
      <c r="E756" s="5">
        <f>ROUND(112052.44,2)</f>
        <v>112052.44</v>
      </c>
    </row>
    <row r="757" spans="1:5" outlineLevel="2" x14ac:dyDescent="0.25">
      <c r="A757" s="3" t="s">
        <v>982</v>
      </c>
      <c r="B757" s="3" t="s">
        <v>983</v>
      </c>
      <c r="C757" s="3" t="s">
        <v>53</v>
      </c>
      <c r="D757" s="4" t="s">
        <v>989</v>
      </c>
      <c r="E757" s="5">
        <f>ROUND(20144.6,2)</f>
        <v>20144.599999999999</v>
      </c>
    </row>
    <row r="758" spans="1:5" outlineLevel="2" x14ac:dyDescent="0.25">
      <c r="A758" s="3" t="s">
        <v>982</v>
      </c>
      <c r="B758" s="3" t="s">
        <v>983</v>
      </c>
      <c r="C758" s="3" t="s">
        <v>55</v>
      </c>
      <c r="D758" s="4" t="s">
        <v>990</v>
      </c>
      <c r="E758" s="5">
        <f>ROUND(23906.58,2)</f>
        <v>23906.58</v>
      </c>
    </row>
    <row r="759" spans="1:5" outlineLevel="2" x14ac:dyDescent="0.25">
      <c r="A759" s="3" t="s">
        <v>982</v>
      </c>
      <c r="B759" s="3" t="s">
        <v>983</v>
      </c>
      <c r="C759" s="3" t="s">
        <v>21</v>
      </c>
      <c r="D759" s="4" t="s">
        <v>991</v>
      </c>
      <c r="E759" s="5">
        <f>ROUND(17271.1,2)</f>
        <v>17271.099999999999</v>
      </c>
    </row>
    <row r="760" spans="1:5" outlineLevel="2" x14ac:dyDescent="0.25">
      <c r="A760" s="3" t="s">
        <v>982</v>
      </c>
      <c r="B760" s="3" t="s">
        <v>983</v>
      </c>
      <c r="C760" s="3" t="s">
        <v>265</v>
      </c>
      <c r="D760" s="4" t="s">
        <v>992</v>
      </c>
      <c r="E760" s="5">
        <f>ROUND(397.21,2)</f>
        <v>397.21</v>
      </c>
    </row>
    <row r="761" spans="1:5" outlineLevel="2" x14ac:dyDescent="0.25">
      <c r="A761" s="3" t="s">
        <v>982</v>
      </c>
      <c r="B761" s="3" t="s">
        <v>983</v>
      </c>
      <c r="C761" s="3" t="s">
        <v>8</v>
      </c>
      <c r="D761" s="4" t="s">
        <v>993</v>
      </c>
      <c r="E761" s="5">
        <f>ROUND(93537.72,2)</f>
        <v>93537.72</v>
      </c>
    </row>
    <row r="762" spans="1:5" outlineLevel="2" x14ac:dyDescent="0.25">
      <c r="A762" s="3" t="s">
        <v>982</v>
      </c>
      <c r="B762" s="3" t="s">
        <v>983</v>
      </c>
      <c r="C762" s="3" t="s">
        <v>385</v>
      </c>
      <c r="D762" s="4" t="s">
        <v>994</v>
      </c>
      <c r="E762" s="5">
        <f>ROUND(50000,2)</f>
        <v>50000</v>
      </c>
    </row>
    <row r="763" spans="1:5" outlineLevel="2" x14ac:dyDescent="0.25">
      <c r="A763" s="3" t="s">
        <v>982</v>
      </c>
      <c r="B763" s="3" t="s">
        <v>995</v>
      </c>
      <c r="C763" s="3" t="s">
        <v>996</v>
      </c>
      <c r="D763" s="4" t="s">
        <v>997</v>
      </c>
      <c r="E763" s="5">
        <f>ROUND(10000,2)</f>
        <v>10000</v>
      </c>
    </row>
    <row r="764" spans="1:5" outlineLevel="2" x14ac:dyDescent="0.25">
      <c r="A764" s="3" t="s">
        <v>982</v>
      </c>
      <c r="B764" s="3" t="s">
        <v>995</v>
      </c>
      <c r="C764" s="3" t="s">
        <v>970</v>
      </c>
      <c r="D764" s="4" t="s">
        <v>998</v>
      </c>
      <c r="E764" s="5">
        <f>ROUND(213480,2)</f>
        <v>213480</v>
      </c>
    </row>
    <row r="765" spans="1:5" outlineLevel="2" x14ac:dyDescent="0.25">
      <c r="A765" s="3" t="s">
        <v>982</v>
      </c>
      <c r="B765" s="3" t="s">
        <v>875</v>
      </c>
      <c r="C765" s="3" t="s">
        <v>11</v>
      </c>
      <c r="D765" s="4" t="s">
        <v>999</v>
      </c>
      <c r="E765" s="5">
        <f>ROUND(64257.83,2)</f>
        <v>64257.83</v>
      </c>
    </row>
    <row r="766" spans="1:5" outlineLevel="2" x14ac:dyDescent="0.25">
      <c r="A766" s="3" t="s">
        <v>982</v>
      </c>
      <c r="B766" s="3" t="s">
        <v>875</v>
      </c>
      <c r="C766" s="3" t="s">
        <v>28</v>
      </c>
      <c r="D766" s="4" t="s">
        <v>1000</v>
      </c>
      <c r="E766" s="5">
        <f>ROUND(16144.3,2)</f>
        <v>16144.3</v>
      </c>
    </row>
    <row r="767" spans="1:5" outlineLevel="2" x14ac:dyDescent="0.25">
      <c r="A767" s="3" t="s">
        <v>982</v>
      </c>
      <c r="B767" s="3" t="s">
        <v>875</v>
      </c>
      <c r="C767" s="3" t="s">
        <v>15</v>
      </c>
      <c r="D767" s="4" t="s">
        <v>1001</v>
      </c>
      <c r="E767" s="5">
        <f>ROUND(13855.83,2)</f>
        <v>13855.83</v>
      </c>
    </row>
    <row r="768" spans="1:5" outlineLevel="2" x14ac:dyDescent="0.25">
      <c r="A768" s="3" t="s">
        <v>982</v>
      </c>
      <c r="B768" s="3" t="s">
        <v>875</v>
      </c>
      <c r="C768" s="3" t="s">
        <v>17</v>
      </c>
      <c r="D768" s="4" t="s">
        <v>1002</v>
      </c>
      <c r="E768" s="5">
        <f>ROUND(42742.69,2)</f>
        <v>42742.69</v>
      </c>
    </row>
    <row r="769" spans="1:5" outlineLevel="2" x14ac:dyDescent="0.25">
      <c r="A769" s="3" t="s">
        <v>982</v>
      </c>
      <c r="B769" s="3" t="s">
        <v>875</v>
      </c>
      <c r="C769" s="3" t="s">
        <v>19</v>
      </c>
      <c r="D769" s="4" t="s">
        <v>1003</v>
      </c>
      <c r="E769" s="5">
        <f>ROUND(88583.25,2)</f>
        <v>88583.25</v>
      </c>
    </row>
    <row r="770" spans="1:5" outlineLevel="2" x14ac:dyDescent="0.25">
      <c r="A770" s="3" t="s">
        <v>982</v>
      </c>
      <c r="B770" s="3" t="s">
        <v>875</v>
      </c>
      <c r="C770" s="3" t="s">
        <v>21</v>
      </c>
      <c r="D770" s="4" t="s">
        <v>1004</v>
      </c>
      <c r="E770" s="5">
        <f>ROUND(9724.73,2)</f>
        <v>9724.73</v>
      </c>
    </row>
    <row r="771" spans="1:5" outlineLevel="2" x14ac:dyDescent="0.25">
      <c r="A771" s="3" t="s">
        <v>982</v>
      </c>
      <c r="B771" s="3" t="s">
        <v>875</v>
      </c>
      <c r="C771" s="3" t="s">
        <v>8</v>
      </c>
      <c r="D771" s="4" t="s">
        <v>1005</v>
      </c>
      <c r="E771" s="5">
        <f>ROUND(65042.88,2)</f>
        <v>65042.879999999997</v>
      </c>
    </row>
    <row r="772" spans="1:5" outlineLevel="2" x14ac:dyDescent="0.25">
      <c r="A772" s="3" t="s">
        <v>982</v>
      </c>
      <c r="B772" s="3" t="s">
        <v>875</v>
      </c>
      <c r="C772" s="3" t="s">
        <v>173</v>
      </c>
      <c r="D772" s="4" t="s">
        <v>1006</v>
      </c>
      <c r="E772" s="5">
        <f>ROUND(26000,2)</f>
        <v>26000</v>
      </c>
    </row>
    <row r="773" spans="1:5" outlineLevel="2" x14ac:dyDescent="0.25">
      <c r="A773" s="3" t="s">
        <v>982</v>
      </c>
      <c r="B773" s="3" t="s">
        <v>875</v>
      </c>
      <c r="C773" s="3" t="s">
        <v>1007</v>
      </c>
      <c r="D773" s="4" t="s">
        <v>1008</v>
      </c>
      <c r="E773" s="5">
        <f>ROUND(1750,2)</f>
        <v>1750</v>
      </c>
    </row>
    <row r="774" spans="1:5" outlineLevel="2" x14ac:dyDescent="0.25">
      <c r="A774" s="3" t="s">
        <v>982</v>
      </c>
      <c r="B774" s="3" t="s">
        <v>875</v>
      </c>
      <c r="C774" s="3" t="s">
        <v>134</v>
      </c>
      <c r="D774" s="4" t="s">
        <v>1009</v>
      </c>
      <c r="E774" s="5">
        <f>ROUND(2000,2)</f>
        <v>2000</v>
      </c>
    </row>
    <row r="775" spans="1:5" outlineLevel="2" x14ac:dyDescent="0.25">
      <c r="A775" s="3" t="s">
        <v>982</v>
      </c>
      <c r="B775" s="3" t="s">
        <v>1010</v>
      </c>
      <c r="C775" s="3" t="s">
        <v>385</v>
      </c>
      <c r="D775" s="4" t="s">
        <v>1011</v>
      </c>
      <c r="E775" s="5">
        <f>ROUND(107183,2)</f>
        <v>107183</v>
      </c>
    </row>
    <row r="776" spans="1:5" outlineLevel="1" x14ac:dyDescent="0.25">
      <c r="A776" s="6"/>
      <c r="B776" s="7"/>
      <c r="C776" s="7"/>
      <c r="D776" s="8" t="s">
        <v>1012</v>
      </c>
      <c r="E776" s="9">
        <f>SUBTOTAL(9,E752:E775)</f>
        <v>1131641.8500000001</v>
      </c>
    </row>
    <row r="777" spans="1:5" outlineLevel="2" x14ac:dyDescent="0.25">
      <c r="A777" s="3" t="s">
        <v>1013</v>
      </c>
      <c r="B777" s="3" t="s">
        <v>115</v>
      </c>
      <c r="C777" s="3" t="s">
        <v>1014</v>
      </c>
      <c r="D777" s="4" t="s">
        <v>1015</v>
      </c>
      <c r="E777" s="5">
        <f>ROUND(60000,2)</f>
        <v>60000</v>
      </c>
    </row>
    <row r="778" spans="1:5" outlineLevel="2" x14ac:dyDescent="0.25">
      <c r="A778" s="3" t="s">
        <v>1013</v>
      </c>
      <c r="B778" s="3" t="s">
        <v>1016</v>
      </c>
      <c r="C778" s="3" t="s">
        <v>11</v>
      </c>
      <c r="D778" s="4" t="s">
        <v>1017</v>
      </c>
      <c r="E778" s="5">
        <f>ROUND(36718.76,2)</f>
        <v>36718.76</v>
      </c>
    </row>
    <row r="779" spans="1:5" outlineLevel="2" x14ac:dyDescent="0.25">
      <c r="A779" s="3" t="s">
        <v>1013</v>
      </c>
      <c r="B779" s="3" t="s">
        <v>1016</v>
      </c>
      <c r="C779" s="3" t="s">
        <v>15</v>
      </c>
      <c r="D779" s="4" t="s">
        <v>1018</v>
      </c>
      <c r="E779" s="5">
        <f>ROUND(1317.52,2)</f>
        <v>1317.52</v>
      </c>
    </row>
    <row r="780" spans="1:5" outlineLevel="2" x14ac:dyDescent="0.25">
      <c r="A780" s="3" t="s">
        <v>1013</v>
      </c>
      <c r="B780" s="3" t="s">
        <v>1016</v>
      </c>
      <c r="C780" s="3" t="s">
        <v>17</v>
      </c>
      <c r="D780" s="4" t="s">
        <v>1019</v>
      </c>
      <c r="E780" s="5">
        <f>ROUND(21156.1,2)</f>
        <v>21156.1</v>
      </c>
    </row>
    <row r="781" spans="1:5" outlineLevel="2" x14ac:dyDescent="0.25">
      <c r="A781" s="3" t="s">
        <v>1013</v>
      </c>
      <c r="B781" s="3" t="s">
        <v>1016</v>
      </c>
      <c r="C781" s="3" t="s">
        <v>19</v>
      </c>
      <c r="D781" s="4" t="s">
        <v>1020</v>
      </c>
      <c r="E781" s="5">
        <f>ROUND(44517.28,2)</f>
        <v>44517.279999999999</v>
      </c>
    </row>
    <row r="782" spans="1:5" outlineLevel="2" x14ac:dyDescent="0.25">
      <c r="A782" s="3" t="s">
        <v>1013</v>
      </c>
      <c r="B782" s="3" t="s">
        <v>1016</v>
      </c>
      <c r="C782" s="3" t="s">
        <v>53</v>
      </c>
      <c r="D782" s="4" t="s">
        <v>1021</v>
      </c>
      <c r="E782" s="5">
        <f>ROUND(20490.93,2)</f>
        <v>20490.93</v>
      </c>
    </row>
    <row r="783" spans="1:5" outlineLevel="2" x14ac:dyDescent="0.25">
      <c r="A783" s="3" t="s">
        <v>1013</v>
      </c>
      <c r="B783" s="3" t="s">
        <v>1016</v>
      </c>
      <c r="C783" s="3" t="s">
        <v>55</v>
      </c>
      <c r="D783" s="4" t="s">
        <v>1022</v>
      </c>
      <c r="E783" s="5">
        <f>ROUND(5117.58,2)</f>
        <v>5117.58</v>
      </c>
    </row>
    <row r="784" spans="1:5" outlineLevel="2" x14ac:dyDescent="0.25">
      <c r="A784" s="3" t="s">
        <v>1013</v>
      </c>
      <c r="B784" s="3" t="s">
        <v>1016</v>
      </c>
      <c r="C784" s="3" t="s">
        <v>1023</v>
      </c>
      <c r="D784" s="4" t="s">
        <v>1024</v>
      </c>
      <c r="E784" s="5">
        <f>ROUND(30187.4,2)</f>
        <v>30187.4</v>
      </c>
    </row>
    <row r="785" spans="1:5" outlineLevel="2" x14ac:dyDescent="0.25">
      <c r="A785" s="3" t="s">
        <v>1013</v>
      </c>
      <c r="B785" s="3" t="s">
        <v>1016</v>
      </c>
      <c r="C785" s="3" t="s">
        <v>21</v>
      </c>
      <c r="D785" s="4" t="s">
        <v>1025</v>
      </c>
      <c r="E785" s="5">
        <f>ROUND(4468.97,2)</f>
        <v>4468.97</v>
      </c>
    </row>
    <row r="786" spans="1:5" outlineLevel="2" x14ac:dyDescent="0.25">
      <c r="A786" s="3" t="s">
        <v>1013</v>
      </c>
      <c r="B786" s="3" t="s">
        <v>1016</v>
      </c>
      <c r="C786" s="3" t="s">
        <v>8</v>
      </c>
      <c r="D786" s="4" t="s">
        <v>1026</v>
      </c>
      <c r="E786" s="5">
        <f>ROUND(53174,2)</f>
        <v>53174</v>
      </c>
    </row>
    <row r="787" spans="1:5" outlineLevel="2" x14ac:dyDescent="0.25">
      <c r="A787" s="3" t="s">
        <v>1013</v>
      </c>
      <c r="B787" s="3" t="s">
        <v>1016</v>
      </c>
      <c r="C787" s="3" t="s">
        <v>970</v>
      </c>
      <c r="D787" s="4" t="s">
        <v>1027</v>
      </c>
      <c r="E787" s="5">
        <f>ROUND(38693,2)</f>
        <v>38693</v>
      </c>
    </row>
    <row r="788" spans="1:5" outlineLevel="2" x14ac:dyDescent="0.25">
      <c r="A788" s="3" t="s">
        <v>1013</v>
      </c>
      <c r="B788" s="3" t="s">
        <v>1016</v>
      </c>
      <c r="C788" s="3" t="s">
        <v>38</v>
      </c>
      <c r="D788" s="4" t="s">
        <v>1028</v>
      </c>
      <c r="E788" s="5">
        <f>ROUND(14983,2)</f>
        <v>14983</v>
      </c>
    </row>
    <row r="789" spans="1:5" outlineLevel="2" x14ac:dyDescent="0.25">
      <c r="A789" s="3" t="s">
        <v>1013</v>
      </c>
      <c r="B789" s="3" t="s">
        <v>1016</v>
      </c>
      <c r="C789" s="3" t="s">
        <v>1029</v>
      </c>
      <c r="D789" s="4" t="s">
        <v>1030</v>
      </c>
      <c r="E789" s="5">
        <f>ROUND(7500,2)</f>
        <v>7500</v>
      </c>
    </row>
    <row r="790" spans="1:5" outlineLevel="2" x14ac:dyDescent="0.25">
      <c r="A790" s="3" t="s">
        <v>1013</v>
      </c>
      <c r="B790" s="3" t="s">
        <v>1016</v>
      </c>
      <c r="C790" s="3" t="s">
        <v>1031</v>
      </c>
      <c r="D790" s="4" t="s">
        <v>1032</v>
      </c>
      <c r="E790" s="5">
        <f>ROUND(25000,2)</f>
        <v>25000</v>
      </c>
    </row>
    <row r="791" spans="1:5" outlineLevel="2" x14ac:dyDescent="0.25">
      <c r="A791" s="3" t="s">
        <v>1013</v>
      </c>
      <c r="B791" s="3" t="s">
        <v>1016</v>
      </c>
      <c r="C791" s="3" t="s">
        <v>1033</v>
      </c>
      <c r="D791" s="4" t="s">
        <v>1034</v>
      </c>
      <c r="E791" s="5">
        <f>ROUND(49000,2)</f>
        <v>49000</v>
      </c>
    </row>
    <row r="792" spans="1:5" outlineLevel="2" x14ac:dyDescent="0.25">
      <c r="A792" s="3" t="s">
        <v>1013</v>
      </c>
      <c r="B792" s="3" t="s">
        <v>1016</v>
      </c>
      <c r="C792" s="3" t="s">
        <v>134</v>
      </c>
      <c r="D792" s="4" t="s">
        <v>1035</v>
      </c>
      <c r="E792" s="5">
        <f>ROUND(289660,2)</f>
        <v>289660</v>
      </c>
    </row>
    <row r="793" spans="1:5" outlineLevel="2" x14ac:dyDescent="0.25">
      <c r="A793" s="3" t="s">
        <v>1013</v>
      </c>
      <c r="B793" s="3" t="s">
        <v>1016</v>
      </c>
      <c r="C793" s="3" t="s">
        <v>1036</v>
      </c>
      <c r="D793" s="4" t="s">
        <v>1037</v>
      </c>
      <c r="E793" s="5">
        <f>ROUND(900,2)</f>
        <v>900</v>
      </c>
    </row>
    <row r="794" spans="1:5" outlineLevel="2" x14ac:dyDescent="0.25">
      <c r="A794" s="3" t="s">
        <v>1013</v>
      </c>
      <c r="B794" s="3" t="s">
        <v>1016</v>
      </c>
      <c r="C794" s="3" t="s">
        <v>387</v>
      </c>
      <c r="D794" s="4" t="s">
        <v>1038</v>
      </c>
      <c r="E794" s="5">
        <f>ROUND(6000,2)</f>
        <v>6000</v>
      </c>
    </row>
    <row r="795" spans="1:5" outlineLevel="2" x14ac:dyDescent="0.25">
      <c r="A795" s="3" t="s">
        <v>1013</v>
      </c>
      <c r="B795" s="3" t="s">
        <v>1039</v>
      </c>
      <c r="C795" s="3" t="s">
        <v>970</v>
      </c>
      <c r="D795" s="4" t="s">
        <v>1040</v>
      </c>
      <c r="E795" s="5">
        <f>ROUND(93238,2)</f>
        <v>93238</v>
      </c>
    </row>
    <row r="796" spans="1:5" outlineLevel="2" x14ac:dyDescent="0.25">
      <c r="A796" s="3" t="s">
        <v>1013</v>
      </c>
      <c r="B796" s="3" t="s">
        <v>615</v>
      </c>
      <c r="C796" s="3" t="s">
        <v>580</v>
      </c>
      <c r="D796" s="4" t="s">
        <v>1041</v>
      </c>
      <c r="E796" s="5">
        <f>ROUND(220528,2)</f>
        <v>220528</v>
      </c>
    </row>
    <row r="797" spans="1:5" outlineLevel="1" x14ac:dyDescent="0.25">
      <c r="A797" s="6"/>
      <c r="B797" s="7"/>
      <c r="C797" s="7"/>
      <c r="D797" s="8" t="s">
        <v>1042</v>
      </c>
      <c r="E797" s="9">
        <f>SUBTOTAL(9,E777:E796)</f>
        <v>1022650.54</v>
      </c>
    </row>
    <row r="798" spans="1:5" outlineLevel="2" x14ac:dyDescent="0.25">
      <c r="A798" s="3" t="s">
        <v>1043</v>
      </c>
      <c r="B798" s="3" t="s">
        <v>430</v>
      </c>
      <c r="C798" s="3" t="s">
        <v>11</v>
      </c>
      <c r="D798" s="4" t="s">
        <v>1044</v>
      </c>
      <c r="E798" s="5">
        <f>ROUND(73437.52,2)</f>
        <v>73437.52</v>
      </c>
    </row>
    <row r="799" spans="1:5" outlineLevel="2" x14ac:dyDescent="0.25">
      <c r="A799" s="3" t="s">
        <v>1043</v>
      </c>
      <c r="B799" s="3" t="s">
        <v>430</v>
      </c>
      <c r="C799" s="3" t="s">
        <v>28</v>
      </c>
      <c r="D799" s="4" t="s">
        <v>1045</v>
      </c>
      <c r="E799" s="5">
        <f>ROUND(16144.3,2)</f>
        <v>16144.3</v>
      </c>
    </row>
    <row r="800" spans="1:5" outlineLevel="2" x14ac:dyDescent="0.25">
      <c r="A800" s="3" t="s">
        <v>1043</v>
      </c>
      <c r="B800" s="3" t="s">
        <v>430</v>
      </c>
      <c r="C800" s="3" t="s">
        <v>216</v>
      </c>
      <c r="D800" s="4" t="s">
        <v>1046</v>
      </c>
      <c r="E800" s="5">
        <f>ROUND(105656.54,2)</f>
        <v>105656.54</v>
      </c>
    </row>
    <row r="801" spans="1:5" outlineLevel="2" x14ac:dyDescent="0.25">
      <c r="A801" s="3" t="s">
        <v>1043</v>
      </c>
      <c r="B801" s="3" t="s">
        <v>430</v>
      </c>
      <c r="C801" s="3" t="s">
        <v>15</v>
      </c>
      <c r="D801" s="4" t="s">
        <v>1047</v>
      </c>
      <c r="E801" s="5">
        <f>ROUND(15048.52,2)</f>
        <v>15048.52</v>
      </c>
    </row>
    <row r="802" spans="1:5" outlineLevel="2" x14ac:dyDescent="0.25">
      <c r="A802" s="3" t="s">
        <v>1043</v>
      </c>
      <c r="B802" s="3" t="s">
        <v>430</v>
      </c>
      <c r="C802" s="3" t="s">
        <v>17</v>
      </c>
      <c r="D802" s="4" t="s">
        <v>1048</v>
      </c>
      <c r="E802" s="5">
        <f>ROUND(90276.23,2)</f>
        <v>90276.23</v>
      </c>
    </row>
    <row r="803" spans="1:5" outlineLevel="2" x14ac:dyDescent="0.25">
      <c r="A803" s="3" t="s">
        <v>1043</v>
      </c>
      <c r="B803" s="3" t="s">
        <v>430</v>
      </c>
      <c r="C803" s="3" t="s">
        <v>19</v>
      </c>
      <c r="D803" s="4" t="s">
        <v>1049</v>
      </c>
      <c r="E803" s="5">
        <f>ROUND(204465.46,2)</f>
        <v>204465.46</v>
      </c>
    </row>
    <row r="804" spans="1:5" outlineLevel="2" x14ac:dyDescent="0.25">
      <c r="A804" s="3" t="s">
        <v>1043</v>
      </c>
      <c r="B804" s="3" t="s">
        <v>430</v>
      </c>
      <c r="C804" s="3" t="s">
        <v>555</v>
      </c>
      <c r="D804" s="4" t="s">
        <v>1050</v>
      </c>
      <c r="E804" s="5">
        <f>ROUND(5378.31,2)</f>
        <v>5378.31</v>
      </c>
    </row>
    <row r="805" spans="1:5" outlineLevel="2" x14ac:dyDescent="0.25">
      <c r="A805" s="3" t="s">
        <v>1043</v>
      </c>
      <c r="B805" s="3" t="s">
        <v>430</v>
      </c>
      <c r="C805" s="3" t="s">
        <v>53</v>
      </c>
      <c r="D805" s="4" t="s">
        <v>1051</v>
      </c>
      <c r="E805" s="5">
        <f>ROUND(21129.03,2)</f>
        <v>21129.03</v>
      </c>
    </row>
    <row r="806" spans="1:5" outlineLevel="2" x14ac:dyDescent="0.25">
      <c r="A806" s="3" t="s">
        <v>1043</v>
      </c>
      <c r="B806" s="3" t="s">
        <v>430</v>
      </c>
      <c r="C806" s="3" t="s">
        <v>55</v>
      </c>
      <c r="D806" s="4" t="s">
        <v>1052</v>
      </c>
      <c r="E806" s="5">
        <f>ROUND(35933.01,2)</f>
        <v>35933.01</v>
      </c>
    </row>
    <row r="807" spans="1:5" outlineLevel="2" x14ac:dyDescent="0.25">
      <c r="A807" s="3" t="s">
        <v>1043</v>
      </c>
      <c r="B807" s="3" t="s">
        <v>430</v>
      </c>
      <c r="C807" s="3" t="s">
        <v>1023</v>
      </c>
      <c r="D807" s="4" t="s">
        <v>1053</v>
      </c>
      <c r="E807" s="5">
        <f>ROUND(152881.55,2)</f>
        <v>152881.54999999999</v>
      </c>
    </row>
    <row r="808" spans="1:5" outlineLevel="2" x14ac:dyDescent="0.25">
      <c r="A808" s="3" t="s">
        <v>1043</v>
      </c>
      <c r="B808" s="3" t="s">
        <v>430</v>
      </c>
      <c r="C808" s="3" t="s">
        <v>21</v>
      </c>
      <c r="D808" s="4" t="s">
        <v>1054</v>
      </c>
      <c r="E808" s="5">
        <f>ROUND(43499.37,2)</f>
        <v>43499.37</v>
      </c>
    </row>
    <row r="809" spans="1:5" outlineLevel="2" x14ac:dyDescent="0.25">
      <c r="A809" s="3" t="s">
        <v>1043</v>
      </c>
      <c r="B809" s="3" t="s">
        <v>430</v>
      </c>
      <c r="C809" s="3" t="s">
        <v>492</v>
      </c>
      <c r="D809" s="4" t="s">
        <v>1055</v>
      </c>
      <c r="E809" s="5">
        <f>ROUND(5100,2)</f>
        <v>5100</v>
      </c>
    </row>
    <row r="810" spans="1:5" outlineLevel="2" x14ac:dyDescent="0.25">
      <c r="A810" s="3" t="s">
        <v>1043</v>
      </c>
      <c r="B810" s="3" t="s">
        <v>430</v>
      </c>
      <c r="C810" s="3" t="s">
        <v>265</v>
      </c>
      <c r="D810" s="4" t="s">
        <v>1056</v>
      </c>
      <c r="E810" s="5">
        <f>ROUND(19617.13,2)</f>
        <v>19617.13</v>
      </c>
    </row>
    <row r="811" spans="1:5" outlineLevel="2" x14ac:dyDescent="0.25">
      <c r="A811" s="3" t="s">
        <v>1043</v>
      </c>
      <c r="B811" s="3" t="s">
        <v>430</v>
      </c>
      <c r="C811" s="3" t="s">
        <v>8</v>
      </c>
      <c r="D811" s="4" t="s">
        <v>1057</v>
      </c>
      <c r="E811" s="5">
        <f>ROUND(250607.51,2)</f>
        <v>250607.51</v>
      </c>
    </row>
    <row r="812" spans="1:5" outlineLevel="2" x14ac:dyDescent="0.25">
      <c r="A812" s="3" t="s">
        <v>1043</v>
      </c>
      <c r="B812" s="3" t="s">
        <v>430</v>
      </c>
      <c r="C812" s="3" t="s">
        <v>970</v>
      </c>
      <c r="D812" s="4" t="s">
        <v>1058</v>
      </c>
      <c r="E812" s="5">
        <f>ROUND(137571,2)</f>
        <v>137571</v>
      </c>
    </row>
    <row r="813" spans="1:5" outlineLevel="2" x14ac:dyDescent="0.25">
      <c r="A813" s="3" t="s">
        <v>1043</v>
      </c>
      <c r="B813" s="3" t="s">
        <v>1059</v>
      </c>
      <c r="C813" s="3" t="s">
        <v>1060</v>
      </c>
      <c r="D813" s="4" t="s">
        <v>1061</v>
      </c>
      <c r="E813" s="5">
        <f>ROUND(30000,2)</f>
        <v>30000</v>
      </c>
    </row>
    <row r="814" spans="1:5" outlineLevel="2" x14ac:dyDescent="0.25">
      <c r="A814" s="3" t="s">
        <v>1043</v>
      </c>
      <c r="B814" s="3" t="s">
        <v>1062</v>
      </c>
      <c r="C814" s="3" t="s">
        <v>173</v>
      </c>
      <c r="D814" s="4" t="s">
        <v>1063</v>
      </c>
      <c r="E814" s="5">
        <f>ROUND(82001,2)</f>
        <v>82001</v>
      </c>
    </row>
    <row r="815" spans="1:5" outlineLevel="2" x14ac:dyDescent="0.25">
      <c r="A815" s="3" t="s">
        <v>1043</v>
      </c>
      <c r="B815" s="3" t="s">
        <v>1064</v>
      </c>
      <c r="C815" s="3" t="s">
        <v>173</v>
      </c>
      <c r="D815" s="4" t="s">
        <v>1065</v>
      </c>
      <c r="E815" s="5">
        <f>ROUND(38801,2)</f>
        <v>38801</v>
      </c>
    </row>
    <row r="816" spans="1:5" outlineLevel="2" x14ac:dyDescent="0.25">
      <c r="A816" s="3" t="s">
        <v>1043</v>
      </c>
      <c r="B816" s="3" t="s">
        <v>1066</v>
      </c>
      <c r="C816" s="3" t="s">
        <v>38</v>
      </c>
      <c r="D816" s="4" t="s">
        <v>1067</v>
      </c>
      <c r="E816" s="5">
        <f>ROUND(2282250,2)</f>
        <v>2282250</v>
      </c>
    </row>
    <row r="817" spans="1:5" outlineLevel="2" x14ac:dyDescent="0.25">
      <c r="A817" s="3" t="s">
        <v>1043</v>
      </c>
      <c r="B817" s="3" t="s">
        <v>115</v>
      </c>
      <c r="C817" s="3" t="s">
        <v>38</v>
      </c>
      <c r="D817" s="4" t="s">
        <v>1068</v>
      </c>
      <c r="E817" s="5">
        <f>ROUND(113601,2)</f>
        <v>113601</v>
      </c>
    </row>
    <row r="818" spans="1:5" outlineLevel="2" x14ac:dyDescent="0.25">
      <c r="A818" s="3" t="s">
        <v>1043</v>
      </c>
      <c r="B818" s="3" t="s">
        <v>115</v>
      </c>
      <c r="C818" s="3" t="s">
        <v>173</v>
      </c>
      <c r="D818" s="4" t="s">
        <v>1069</v>
      </c>
      <c r="E818" s="5">
        <f>ROUND(2000,2)</f>
        <v>2000</v>
      </c>
    </row>
    <row r="819" spans="1:5" outlineLevel="2" x14ac:dyDescent="0.25">
      <c r="A819" s="3" t="s">
        <v>1043</v>
      </c>
      <c r="B819" s="3" t="s">
        <v>1070</v>
      </c>
      <c r="C819" s="3" t="s">
        <v>126</v>
      </c>
      <c r="D819" s="4" t="s">
        <v>1071</v>
      </c>
      <c r="E819" s="5">
        <f>ROUND(66000,2)</f>
        <v>66000</v>
      </c>
    </row>
    <row r="820" spans="1:5" outlineLevel="2" x14ac:dyDescent="0.25">
      <c r="A820" s="3" t="s">
        <v>1043</v>
      </c>
      <c r="B820" s="3" t="s">
        <v>1072</v>
      </c>
      <c r="C820" s="3" t="s">
        <v>451</v>
      </c>
      <c r="D820" s="4" t="s">
        <v>1073</v>
      </c>
      <c r="E820" s="5">
        <f>ROUND(36650,2)</f>
        <v>36650</v>
      </c>
    </row>
    <row r="821" spans="1:5" outlineLevel="2" x14ac:dyDescent="0.25">
      <c r="A821" s="3" t="s">
        <v>1043</v>
      </c>
      <c r="B821" s="3" t="s">
        <v>1072</v>
      </c>
      <c r="C821" s="3" t="s">
        <v>1074</v>
      </c>
      <c r="D821" s="4" t="s">
        <v>1073</v>
      </c>
      <c r="E821" s="5">
        <f>ROUND(36650,2)</f>
        <v>36650</v>
      </c>
    </row>
    <row r="822" spans="1:5" outlineLevel="1" x14ac:dyDescent="0.25">
      <c r="A822" s="6"/>
      <c r="B822" s="7"/>
      <c r="C822" s="7"/>
      <c r="D822" s="8" t="s">
        <v>1075</v>
      </c>
      <c r="E822" s="9">
        <f>SUBTOTAL(9,E798:E821)</f>
        <v>3864698.48</v>
      </c>
    </row>
    <row r="823" spans="1:5" outlineLevel="2" x14ac:dyDescent="0.25">
      <c r="A823" s="3" t="s">
        <v>1076</v>
      </c>
      <c r="B823" s="3" t="s">
        <v>539</v>
      </c>
      <c r="C823" s="3" t="s">
        <v>132</v>
      </c>
      <c r="D823" s="4" t="s">
        <v>1077</v>
      </c>
      <c r="E823" s="5">
        <f>ROUND(32800,2)</f>
        <v>32800</v>
      </c>
    </row>
    <row r="824" spans="1:5" outlineLevel="2" x14ac:dyDescent="0.25">
      <c r="A824" s="3" t="s">
        <v>1076</v>
      </c>
      <c r="B824" s="3" t="s">
        <v>1078</v>
      </c>
      <c r="C824" s="3" t="s">
        <v>132</v>
      </c>
      <c r="D824" s="4" t="s">
        <v>1079</v>
      </c>
      <c r="E824" s="5">
        <f>ROUND(10000,2)</f>
        <v>10000</v>
      </c>
    </row>
    <row r="825" spans="1:5" outlineLevel="2" x14ac:dyDescent="0.25">
      <c r="A825" s="3" t="s">
        <v>1076</v>
      </c>
      <c r="B825" s="3" t="s">
        <v>1080</v>
      </c>
      <c r="C825" s="3" t="s">
        <v>173</v>
      </c>
      <c r="D825" s="4" t="s">
        <v>1081</v>
      </c>
      <c r="E825" s="5">
        <f>ROUND(129000,2)</f>
        <v>129000</v>
      </c>
    </row>
    <row r="826" spans="1:5" outlineLevel="2" x14ac:dyDescent="0.25">
      <c r="A826" s="3" t="s">
        <v>1076</v>
      </c>
      <c r="B826" s="3" t="s">
        <v>50</v>
      </c>
      <c r="C826" s="3" t="s">
        <v>53</v>
      </c>
      <c r="D826" s="4" t="s">
        <v>1082</v>
      </c>
      <c r="E826" s="5">
        <f>ROUND(10,2)</f>
        <v>10</v>
      </c>
    </row>
    <row r="827" spans="1:5" outlineLevel="2" x14ac:dyDescent="0.25">
      <c r="A827" s="3" t="s">
        <v>1076</v>
      </c>
      <c r="B827" s="3" t="s">
        <v>50</v>
      </c>
      <c r="C827" s="3" t="s">
        <v>55</v>
      </c>
      <c r="D827" s="4" t="s">
        <v>1083</v>
      </c>
      <c r="E827" s="5">
        <f>ROUND(10,2)</f>
        <v>10</v>
      </c>
    </row>
    <row r="828" spans="1:5" outlineLevel="2" x14ac:dyDescent="0.25">
      <c r="A828" s="3" t="s">
        <v>1076</v>
      </c>
      <c r="B828" s="3" t="s">
        <v>50</v>
      </c>
      <c r="C828" s="3" t="s">
        <v>21</v>
      </c>
      <c r="D828" s="4" t="s">
        <v>1084</v>
      </c>
      <c r="E828" s="5">
        <f>ROUND(10,2)</f>
        <v>10</v>
      </c>
    </row>
    <row r="829" spans="1:5" outlineLevel="2" x14ac:dyDescent="0.25">
      <c r="A829" s="3" t="s">
        <v>1076</v>
      </c>
      <c r="B829" s="3" t="s">
        <v>50</v>
      </c>
      <c r="C829" s="3" t="s">
        <v>8</v>
      </c>
      <c r="D829" s="4" t="s">
        <v>1085</v>
      </c>
      <c r="E829" s="5">
        <f>ROUND(10,2)</f>
        <v>10</v>
      </c>
    </row>
    <row r="830" spans="1:5" outlineLevel="2" x14ac:dyDescent="0.25">
      <c r="A830" s="3" t="s">
        <v>1076</v>
      </c>
      <c r="B830" s="3" t="s">
        <v>1086</v>
      </c>
      <c r="C830" s="3" t="s">
        <v>132</v>
      </c>
      <c r="D830" s="4" t="s">
        <v>1087</v>
      </c>
      <c r="E830" s="5">
        <f>ROUND(20000,2)</f>
        <v>20000</v>
      </c>
    </row>
    <row r="831" spans="1:5" outlineLevel="2" x14ac:dyDescent="0.25">
      <c r="A831" s="3" t="s">
        <v>1076</v>
      </c>
      <c r="B831" s="3" t="s">
        <v>1086</v>
      </c>
      <c r="C831" s="3" t="s">
        <v>38</v>
      </c>
      <c r="D831" s="4" t="s">
        <v>1088</v>
      </c>
      <c r="E831" s="5">
        <f>ROUND(83000,2)</f>
        <v>83000</v>
      </c>
    </row>
    <row r="832" spans="1:5" outlineLevel="2" x14ac:dyDescent="0.25">
      <c r="A832" s="3" t="s">
        <v>1076</v>
      </c>
      <c r="B832" s="3" t="s">
        <v>1089</v>
      </c>
      <c r="C832" s="3" t="s">
        <v>38</v>
      </c>
      <c r="D832" s="4" t="s">
        <v>1090</v>
      </c>
      <c r="E832" s="5">
        <f>ROUND(150000,2)</f>
        <v>150000</v>
      </c>
    </row>
    <row r="833" spans="1:5" outlineLevel="2" x14ac:dyDescent="0.25">
      <c r="A833" s="3" t="s">
        <v>1076</v>
      </c>
      <c r="B833" s="3" t="s">
        <v>1089</v>
      </c>
      <c r="C833" s="3" t="s">
        <v>428</v>
      </c>
      <c r="D833" s="4" t="s">
        <v>1091</v>
      </c>
      <c r="E833" s="5">
        <f>ROUND(200000,2)</f>
        <v>200000</v>
      </c>
    </row>
    <row r="834" spans="1:5" outlineLevel="2" x14ac:dyDescent="0.25">
      <c r="A834" s="3" t="s">
        <v>1076</v>
      </c>
      <c r="B834" s="3" t="s">
        <v>1089</v>
      </c>
      <c r="C834" s="3" t="s">
        <v>662</v>
      </c>
      <c r="D834" s="4" t="s">
        <v>1092</v>
      </c>
      <c r="E834" s="5">
        <f>ROUND(67000,2)</f>
        <v>67000</v>
      </c>
    </row>
    <row r="835" spans="1:5" outlineLevel="2" x14ac:dyDescent="0.25">
      <c r="A835" s="3" t="s">
        <v>1076</v>
      </c>
      <c r="B835" s="3" t="s">
        <v>1089</v>
      </c>
      <c r="C835" s="3" t="s">
        <v>907</v>
      </c>
      <c r="D835" s="4" t="s">
        <v>1093</v>
      </c>
      <c r="E835" s="5">
        <f>ROUND(38830,2)</f>
        <v>38830</v>
      </c>
    </row>
    <row r="836" spans="1:5" outlineLevel="2" x14ac:dyDescent="0.25">
      <c r="A836" s="3" t="s">
        <v>1076</v>
      </c>
      <c r="B836" s="3" t="s">
        <v>1094</v>
      </c>
      <c r="C836" s="3" t="s">
        <v>1095</v>
      </c>
      <c r="D836" s="4" t="s">
        <v>1096</v>
      </c>
      <c r="E836" s="5">
        <f>ROUND(60000,2)</f>
        <v>60000</v>
      </c>
    </row>
    <row r="837" spans="1:5" outlineLevel="1" x14ac:dyDescent="0.25">
      <c r="A837" s="6"/>
      <c r="B837" s="7"/>
      <c r="C837" s="7"/>
      <c r="D837" s="8" t="s">
        <v>1097</v>
      </c>
      <c r="E837" s="9">
        <f>SUBTOTAL(9,E823:E836)</f>
        <v>790670</v>
      </c>
    </row>
    <row r="838" spans="1:5" outlineLevel="2" x14ac:dyDescent="0.25">
      <c r="A838" s="3" t="s">
        <v>1098</v>
      </c>
      <c r="B838" s="3" t="s">
        <v>317</v>
      </c>
      <c r="C838" s="3" t="s">
        <v>11</v>
      </c>
      <c r="D838" s="4" t="s">
        <v>1099</v>
      </c>
      <c r="E838" s="5">
        <f>ROUND(63525.14,2)</f>
        <v>63525.14</v>
      </c>
    </row>
    <row r="839" spans="1:5" outlineLevel="2" x14ac:dyDescent="0.25">
      <c r="A839" s="3" t="s">
        <v>1098</v>
      </c>
      <c r="B839" s="3" t="s">
        <v>317</v>
      </c>
      <c r="C839" s="3" t="s">
        <v>28</v>
      </c>
      <c r="D839" s="4" t="s">
        <v>1100</v>
      </c>
      <c r="E839" s="5">
        <f>ROUND(16144.3,2)</f>
        <v>16144.3</v>
      </c>
    </row>
    <row r="840" spans="1:5" outlineLevel="2" x14ac:dyDescent="0.25">
      <c r="A840" s="3" t="s">
        <v>1098</v>
      </c>
      <c r="B840" s="3" t="s">
        <v>317</v>
      </c>
      <c r="C840" s="3" t="s">
        <v>13</v>
      </c>
      <c r="D840" s="4" t="s">
        <v>1101</v>
      </c>
      <c r="E840" s="5">
        <f>ROUND(12364.72,2)</f>
        <v>12364.72</v>
      </c>
    </row>
    <row r="841" spans="1:5" outlineLevel="2" x14ac:dyDescent="0.25">
      <c r="A841" s="3" t="s">
        <v>1098</v>
      </c>
      <c r="B841" s="3" t="s">
        <v>317</v>
      </c>
      <c r="C841" s="3" t="s">
        <v>15</v>
      </c>
      <c r="D841" s="4" t="s">
        <v>1102</v>
      </c>
      <c r="E841" s="5">
        <f>ROUND(20194.31,2)</f>
        <v>20194.310000000001</v>
      </c>
    </row>
    <row r="842" spans="1:5" outlineLevel="2" x14ac:dyDescent="0.25">
      <c r="A842" s="3" t="s">
        <v>1098</v>
      </c>
      <c r="B842" s="3" t="s">
        <v>317</v>
      </c>
      <c r="C842" s="3" t="s">
        <v>17</v>
      </c>
      <c r="D842" s="4" t="s">
        <v>1103</v>
      </c>
      <c r="E842" s="5">
        <f>ROUND(39041.93,2)</f>
        <v>39041.93</v>
      </c>
    </row>
    <row r="843" spans="1:5" outlineLevel="2" x14ac:dyDescent="0.25">
      <c r="A843" s="3" t="s">
        <v>1098</v>
      </c>
      <c r="B843" s="3" t="s">
        <v>317</v>
      </c>
      <c r="C843" s="3" t="s">
        <v>19</v>
      </c>
      <c r="D843" s="4" t="s">
        <v>1104</v>
      </c>
      <c r="E843" s="5">
        <f>ROUND(72848.38,2)</f>
        <v>72848.38</v>
      </c>
    </row>
    <row r="844" spans="1:5" outlineLevel="2" x14ac:dyDescent="0.25">
      <c r="A844" s="3" t="s">
        <v>1098</v>
      </c>
      <c r="B844" s="3" t="s">
        <v>317</v>
      </c>
      <c r="C844" s="3" t="s">
        <v>555</v>
      </c>
      <c r="D844" s="4" t="s">
        <v>1105</v>
      </c>
      <c r="E844" s="5">
        <f>ROUND(10,2)</f>
        <v>10</v>
      </c>
    </row>
    <row r="845" spans="1:5" outlineLevel="2" x14ac:dyDescent="0.25">
      <c r="A845" s="3" t="s">
        <v>1098</v>
      </c>
      <c r="B845" s="3" t="s">
        <v>317</v>
      </c>
      <c r="C845" s="3" t="s">
        <v>21</v>
      </c>
      <c r="D845" s="4" t="s">
        <v>1106</v>
      </c>
      <c r="E845" s="5">
        <f>ROUND(10210.1,2)</f>
        <v>10210.1</v>
      </c>
    </row>
    <row r="846" spans="1:5" outlineLevel="2" x14ac:dyDescent="0.25">
      <c r="A846" s="3" t="s">
        <v>1098</v>
      </c>
      <c r="B846" s="3" t="s">
        <v>317</v>
      </c>
      <c r="C846" s="3" t="s">
        <v>8</v>
      </c>
      <c r="D846" s="4" t="s">
        <v>1107</v>
      </c>
      <c r="E846" s="5">
        <f>ROUND(69309.03,2)</f>
        <v>69309.03</v>
      </c>
    </row>
    <row r="847" spans="1:5" outlineLevel="2" x14ac:dyDescent="0.25">
      <c r="A847" s="3" t="s">
        <v>1098</v>
      </c>
      <c r="B847" s="3" t="s">
        <v>317</v>
      </c>
      <c r="C847" s="3" t="s">
        <v>223</v>
      </c>
      <c r="D847" s="4" t="s">
        <v>1108</v>
      </c>
      <c r="E847" s="5">
        <f>ROUND(727.8,2)</f>
        <v>727.8</v>
      </c>
    </row>
    <row r="848" spans="1:5" outlineLevel="2" x14ac:dyDescent="0.25">
      <c r="A848" s="3" t="s">
        <v>1098</v>
      </c>
      <c r="B848" s="3" t="s">
        <v>317</v>
      </c>
      <c r="C848" s="3" t="s">
        <v>1109</v>
      </c>
      <c r="D848" s="4" t="s">
        <v>1110</v>
      </c>
      <c r="E848" s="5">
        <f>ROUND(5005,2)</f>
        <v>5005</v>
      </c>
    </row>
    <row r="849" spans="1:5" outlineLevel="2" x14ac:dyDescent="0.25">
      <c r="A849" s="3" t="s">
        <v>1098</v>
      </c>
      <c r="B849" s="3" t="s">
        <v>317</v>
      </c>
      <c r="C849" s="3" t="s">
        <v>132</v>
      </c>
      <c r="D849" s="4" t="s">
        <v>1111</v>
      </c>
      <c r="E849" s="5">
        <f>ROUND(31730,2)</f>
        <v>31730</v>
      </c>
    </row>
    <row r="850" spans="1:5" outlineLevel="2" x14ac:dyDescent="0.25">
      <c r="A850" s="3" t="s">
        <v>1098</v>
      </c>
      <c r="B850" s="3" t="s">
        <v>317</v>
      </c>
      <c r="C850" s="3" t="s">
        <v>134</v>
      </c>
      <c r="D850" s="4" t="s">
        <v>1112</v>
      </c>
      <c r="E850" s="5">
        <f>ROUND(8000,2)</f>
        <v>8000</v>
      </c>
    </row>
    <row r="851" spans="1:5" outlineLevel="2" x14ac:dyDescent="0.25">
      <c r="A851" s="3" t="s">
        <v>1098</v>
      </c>
      <c r="B851" s="3" t="s">
        <v>1113</v>
      </c>
      <c r="C851" s="3" t="s">
        <v>1114</v>
      </c>
      <c r="D851" s="4" t="s">
        <v>1115</v>
      </c>
      <c r="E851" s="5">
        <f>ROUND(80026,2)</f>
        <v>80026</v>
      </c>
    </row>
    <row r="852" spans="1:5" outlineLevel="2" x14ac:dyDescent="0.25">
      <c r="A852" s="3" t="s">
        <v>1098</v>
      </c>
      <c r="B852" s="3" t="s">
        <v>1113</v>
      </c>
      <c r="C852" s="3" t="s">
        <v>38</v>
      </c>
      <c r="D852" s="4" t="s">
        <v>1116</v>
      </c>
      <c r="E852" s="5">
        <f>ROUND(20685,2)</f>
        <v>20685</v>
      </c>
    </row>
    <row r="853" spans="1:5" outlineLevel="2" x14ac:dyDescent="0.25">
      <c r="A853" s="3" t="s">
        <v>1098</v>
      </c>
      <c r="B853" s="3" t="s">
        <v>1117</v>
      </c>
      <c r="C853" s="3" t="s">
        <v>1114</v>
      </c>
      <c r="D853" s="4" t="s">
        <v>1118</v>
      </c>
      <c r="E853" s="5">
        <f>ROUND(89828,2)</f>
        <v>89828</v>
      </c>
    </row>
    <row r="854" spans="1:5" outlineLevel="2" x14ac:dyDescent="0.25">
      <c r="A854" s="3" t="s">
        <v>1098</v>
      </c>
      <c r="B854" s="3" t="s">
        <v>1119</v>
      </c>
      <c r="C854" s="3" t="s">
        <v>173</v>
      </c>
      <c r="D854" s="4" t="s">
        <v>1120</v>
      </c>
      <c r="E854" s="5">
        <f>ROUND(8567,2)</f>
        <v>8567</v>
      </c>
    </row>
    <row r="855" spans="1:5" outlineLevel="1" x14ac:dyDescent="0.25">
      <c r="A855" s="6"/>
      <c r="B855" s="7"/>
      <c r="C855" s="7"/>
      <c r="D855" s="8" t="s">
        <v>1121</v>
      </c>
      <c r="E855" s="9">
        <f>SUBTOTAL(9,E838:E854)</f>
        <v>548216.71</v>
      </c>
    </row>
    <row r="856" spans="1:5" outlineLevel="2" x14ac:dyDescent="0.25">
      <c r="A856" s="3" t="s">
        <v>1122</v>
      </c>
      <c r="B856" s="3" t="s">
        <v>539</v>
      </c>
      <c r="C856" s="3" t="s">
        <v>11</v>
      </c>
      <c r="D856" s="4" t="s">
        <v>1123</v>
      </c>
      <c r="E856" s="5">
        <f>ROUND(18359.38,2)</f>
        <v>18359.38</v>
      </c>
    </row>
    <row r="857" spans="1:5" outlineLevel="2" x14ac:dyDescent="0.25">
      <c r="A857" s="3" t="s">
        <v>1122</v>
      </c>
      <c r="B857" s="3" t="s">
        <v>539</v>
      </c>
      <c r="C857" s="3" t="s">
        <v>15</v>
      </c>
      <c r="D857" s="4" t="s">
        <v>1124</v>
      </c>
      <c r="E857" s="5">
        <f>ROUND(6140.48,2)</f>
        <v>6140.48</v>
      </c>
    </row>
    <row r="858" spans="1:5" outlineLevel="2" x14ac:dyDescent="0.25">
      <c r="A858" s="3" t="s">
        <v>1122</v>
      </c>
      <c r="B858" s="3" t="s">
        <v>539</v>
      </c>
      <c r="C858" s="3" t="s">
        <v>17</v>
      </c>
      <c r="D858" s="4" t="s">
        <v>1125</v>
      </c>
      <c r="E858" s="5">
        <f>ROUND(12227.53,2)</f>
        <v>12227.53</v>
      </c>
    </row>
    <row r="859" spans="1:5" outlineLevel="2" x14ac:dyDescent="0.25">
      <c r="A859" s="3" t="s">
        <v>1122</v>
      </c>
      <c r="B859" s="3" t="s">
        <v>539</v>
      </c>
      <c r="C859" s="3" t="s">
        <v>19</v>
      </c>
      <c r="D859" s="4" t="s">
        <v>1126</v>
      </c>
      <c r="E859" s="5">
        <f>ROUND(29845.21,2)</f>
        <v>29845.21</v>
      </c>
    </row>
    <row r="860" spans="1:5" outlineLevel="2" x14ac:dyDescent="0.25">
      <c r="A860" s="3" t="s">
        <v>1122</v>
      </c>
      <c r="B860" s="3" t="s">
        <v>539</v>
      </c>
      <c r="C860" s="3" t="s">
        <v>21</v>
      </c>
      <c r="D860" s="4" t="s">
        <v>1127</v>
      </c>
      <c r="E860" s="5">
        <f>ROUND(2381.79,2)</f>
        <v>2381.79</v>
      </c>
    </row>
    <row r="861" spans="1:5" outlineLevel="2" x14ac:dyDescent="0.25">
      <c r="A861" s="3" t="s">
        <v>1122</v>
      </c>
      <c r="B861" s="3" t="s">
        <v>539</v>
      </c>
      <c r="C861" s="3" t="s">
        <v>8</v>
      </c>
      <c r="D861" s="4" t="s">
        <v>1128</v>
      </c>
      <c r="E861" s="5">
        <f>ROUND(16239.98,2)</f>
        <v>16239.98</v>
      </c>
    </row>
    <row r="862" spans="1:5" outlineLevel="2" x14ac:dyDescent="0.25">
      <c r="A862" s="3" t="s">
        <v>1122</v>
      </c>
      <c r="B862" s="3" t="s">
        <v>539</v>
      </c>
      <c r="C862" s="3" t="s">
        <v>100</v>
      </c>
      <c r="D862" s="4" t="s">
        <v>1129</v>
      </c>
      <c r="E862" s="5">
        <f>ROUND(8000,2)</f>
        <v>8000</v>
      </c>
    </row>
    <row r="863" spans="1:5" outlineLevel="2" x14ac:dyDescent="0.25">
      <c r="A863" s="3" t="s">
        <v>1122</v>
      </c>
      <c r="B863" s="3" t="s">
        <v>539</v>
      </c>
      <c r="C863" s="3" t="s">
        <v>132</v>
      </c>
      <c r="D863" s="4" t="s">
        <v>1130</v>
      </c>
      <c r="E863" s="5">
        <f>ROUND(150744,2)</f>
        <v>150744</v>
      </c>
    </row>
    <row r="864" spans="1:5" outlineLevel="2" x14ac:dyDescent="0.25">
      <c r="A864" s="3" t="s">
        <v>1122</v>
      </c>
      <c r="B864" s="3" t="s">
        <v>539</v>
      </c>
      <c r="C864" s="3" t="s">
        <v>173</v>
      </c>
      <c r="D864" s="4" t="s">
        <v>1131</v>
      </c>
      <c r="E864" s="5">
        <f>ROUND(33367,2)</f>
        <v>33367</v>
      </c>
    </row>
    <row r="865" spans="1:5" outlineLevel="2" x14ac:dyDescent="0.25">
      <c r="A865" s="3" t="s">
        <v>1122</v>
      </c>
      <c r="B865" s="3" t="s">
        <v>539</v>
      </c>
      <c r="C865" s="3" t="s">
        <v>662</v>
      </c>
      <c r="D865" s="4" t="s">
        <v>1132</v>
      </c>
      <c r="E865" s="5">
        <f>ROUND(117257,2)</f>
        <v>117257</v>
      </c>
    </row>
    <row r="866" spans="1:5" outlineLevel="2" x14ac:dyDescent="0.25">
      <c r="A866" s="3" t="s">
        <v>1122</v>
      </c>
      <c r="B866" s="3" t="s">
        <v>539</v>
      </c>
      <c r="C866" s="3" t="s">
        <v>907</v>
      </c>
      <c r="D866" s="4" t="s">
        <v>1133</v>
      </c>
      <c r="E866" s="5">
        <f>ROUND(3800,2)</f>
        <v>3800</v>
      </c>
    </row>
    <row r="867" spans="1:5" outlineLevel="2" x14ac:dyDescent="0.25">
      <c r="A867" s="3" t="s">
        <v>1122</v>
      </c>
      <c r="B867" s="3" t="s">
        <v>539</v>
      </c>
      <c r="C867" s="3" t="s">
        <v>1134</v>
      </c>
      <c r="D867" s="4" t="s">
        <v>1135</v>
      </c>
      <c r="E867" s="5">
        <f>ROUND(62000,2)</f>
        <v>62000</v>
      </c>
    </row>
    <row r="868" spans="1:5" outlineLevel="2" x14ac:dyDescent="0.25">
      <c r="A868" s="3" t="s">
        <v>1122</v>
      </c>
      <c r="B868" s="3" t="s">
        <v>539</v>
      </c>
      <c r="C868" s="3" t="s">
        <v>666</v>
      </c>
      <c r="D868" s="4" t="s">
        <v>1136</v>
      </c>
      <c r="E868" s="5">
        <f>ROUND(3500,2)</f>
        <v>3500</v>
      </c>
    </row>
    <row r="869" spans="1:5" outlineLevel="2" x14ac:dyDescent="0.25">
      <c r="A869" s="3" t="s">
        <v>1122</v>
      </c>
      <c r="B869" s="3" t="s">
        <v>50</v>
      </c>
      <c r="C869" s="3" t="s">
        <v>290</v>
      </c>
      <c r="D869" s="4" t="s">
        <v>1137</v>
      </c>
      <c r="E869" s="5">
        <f>ROUND(50628,2)</f>
        <v>50628</v>
      </c>
    </row>
    <row r="870" spans="1:5" outlineLevel="2" x14ac:dyDescent="0.25">
      <c r="A870" s="3" t="s">
        <v>1122</v>
      </c>
      <c r="B870" s="3" t="s">
        <v>905</v>
      </c>
      <c r="C870" s="3" t="s">
        <v>1138</v>
      </c>
      <c r="D870" s="4" t="s">
        <v>1139</v>
      </c>
      <c r="E870" s="5">
        <f>ROUND(30000,2)</f>
        <v>30000</v>
      </c>
    </row>
    <row r="871" spans="1:5" outlineLevel="1" x14ac:dyDescent="0.25">
      <c r="A871" s="6"/>
      <c r="B871" s="7"/>
      <c r="C871" s="7"/>
      <c r="D871" s="8" t="s">
        <v>1140</v>
      </c>
      <c r="E871" s="9">
        <f>SUBTOTAL(9,E856:E870)</f>
        <v>544490.37</v>
      </c>
    </row>
    <row r="872" spans="1:5" outlineLevel="2" x14ac:dyDescent="0.25">
      <c r="A872" s="3" t="s">
        <v>1141</v>
      </c>
      <c r="B872" s="3" t="s">
        <v>539</v>
      </c>
      <c r="C872" s="3" t="s">
        <v>28</v>
      </c>
      <c r="D872" s="4" t="s">
        <v>1142</v>
      </c>
      <c r="E872" s="5">
        <f>ROUND(208126.2,2)</f>
        <v>208126.2</v>
      </c>
    </row>
    <row r="873" spans="1:5" outlineLevel="2" x14ac:dyDescent="0.25">
      <c r="A873" s="3" t="s">
        <v>1141</v>
      </c>
      <c r="B873" s="3" t="s">
        <v>539</v>
      </c>
      <c r="C873" s="3" t="s">
        <v>13</v>
      </c>
      <c r="D873" s="4" t="s">
        <v>1143</v>
      </c>
      <c r="E873" s="5">
        <f>ROUND(61823.6,2)</f>
        <v>61823.6</v>
      </c>
    </row>
    <row r="874" spans="1:5" outlineLevel="2" x14ac:dyDescent="0.25">
      <c r="A874" s="3" t="s">
        <v>1141</v>
      </c>
      <c r="B874" s="3" t="s">
        <v>539</v>
      </c>
      <c r="C874" s="3" t="s">
        <v>214</v>
      </c>
      <c r="D874" s="4" t="s">
        <v>1144</v>
      </c>
      <c r="E874" s="5">
        <f>ROUND(20961.4,2)</f>
        <v>20961.400000000001</v>
      </c>
    </row>
    <row r="875" spans="1:5" outlineLevel="2" x14ac:dyDescent="0.25">
      <c r="A875" s="3" t="s">
        <v>1141</v>
      </c>
      <c r="B875" s="3" t="s">
        <v>539</v>
      </c>
      <c r="C875" s="3" t="s">
        <v>216</v>
      </c>
      <c r="D875" s="4" t="s">
        <v>1145</v>
      </c>
      <c r="E875" s="5">
        <f>ROUND(9605.14,2)</f>
        <v>9605.14</v>
      </c>
    </row>
    <row r="876" spans="1:5" outlineLevel="2" x14ac:dyDescent="0.25">
      <c r="A876" s="3" t="s">
        <v>1141</v>
      </c>
      <c r="B876" s="3" t="s">
        <v>539</v>
      </c>
      <c r="C876" s="3" t="s">
        <v>15</v>
      </c>
      <c r="D876" s="4" t="s">
        <v>1146</v>
      </c>
      <c r="E876" s="5">
        <f>ROUND(57818.87,2)</f>
        <v>57818.87</v>
      </c>
    </row>
    <row r="877" spans="1:5" outlineLevel="2" x14ac:dyDescent="0.25">
      <c r="A877" s="3" t="s">
        <v>1141</v>
      </c>
      <c r="B877" s="3" t="s">
        <v>539</v>
      </c>
      <c r="C877" s="3" t="s">
        <v>17</v>
      </c>
      <c r="D877" s="4" t="s">
        <v>1147</v>
      </c>
      <c r="E877" s="5">
        <f>ROUND(130058.47,2)</f>
        <v>130058.47</v>
      </c>
    </row>
    <row r="878" spans="1:5" outlineLevel="2" x14ac:dyDescent="0.25">
      <c r="A878" s="3" t="s">
        <v>1141</v>
      </c>
      <c r="B878" s="3" t="s">
        <v>539</v>
      </c>
      <c r="C878" s="3" t="s">
        <v>19</v>
      </c>
      <c r="D878" s="4" t="s">
        <v>1148</v>
      </c>
      <c r="E878" s="5">
        <f>ROUND(311450.03,2)</f>
        <v>311450.03000000003</v>
      </c>
    </row>
    <row r="879" spans="1:5" outlineLevel="2" x14ac:dyDescent="0.25">
      <c r="A879" s="3" t="s">
        <v>1141</v>
      </c>
      <c r="B879" s="3" t="s">
        <v>539</v>
      </c>
      <c r="C879" s="3" t="s">
        <v>555</v>
      </c>
      <c r="D879" s="4" t="s">
        <v>1149</v>
      </c>
      <c r="E879" s="5">
        <f>ROUND(7098.05,2)</f>
        <v>7098.05</v>
      </c>
    </row>
    <row r="880" spans="1:5" outlineLevel="2" x14ac:dyDescent="0.25">
      <c r="A880" s="3" t="s">
        <v>1141</v>
      </c>
      <c r="B880" s="3" t="s">
        <v>539</v>
      </c>
      <c r="C880" s="3" t="s">
        <v>53</v>
      </c>
      <c r="D880" s="4" t="s">
        <v>1150</v>
      </c>
      <c r="E880" s="5">
        <f>ROUND(49014.21,2)</f>
        <v>49014.21</v>
      </c>
    </row>
    <row r="881" spans="1:5" outlineLevel="2" x14ac:dyDescent="0.25">
      <c r="A881" s="3" t="s">
        <v>1141</v>
      </c>
      <c r="B881" s="3" t="s">
        <v>539</v>
      </c>
      <c r="C881" s="3" t="s">
        <v>55</v>
      </c>
      <c r="D881" s="4" t="s">
        <v>1151</v>
      </c>
      <c r="E881" s="5">
        <f>ROUND(71224.52,2)</f>
        <v>71224.52</v>
      </c>
    </row>
    <row r="882" spans="1:5" outlineLevel="2" x14ac:dyDescent="0.25">
      <c r="A882" s="3" t="s">
        <v>1141</v>
      </c>
      <c r="B882" s="3" t="s">
        <v>539</v>
      </c>
      <c r="C882" s="3" t="s">
        <v>21</v>
      </c>
      <c r="D882" s="4" t="s">
        <v>1152</v>
      </c>
      <c r="E882" s="5">
        <f>ROUND(46536.51,2)</f>
        <v>46536.51</v>
      </c>
    </row>
    <row r="883" spans="1:5" outlineLevel="2" x14ac:dyDescent="0.25">
      <c r="A883" s="3" t="s">
        <v>1141</v>
      </c>
      <c r="B883" s="3" t="s">
        <v>539</v>
      </c>
      <c r="C883" s="3" t="s">
        <v>265</v>
      </c>
      <c r="D883" s="4" t="s">
        <v>1153</v>
      </c>
      <c r="E883" s="5">
        <f>ROUND(1811.59,2)</f>
        <v>1811.59</v>
      </c>
    </row>
    <row r="884" spans="1:5" outlineLevel="2" x14ac:dyDescent="0.25">
      <c r="A884" s="3" t="s">
        <v>1141</v>
      </c>
      <c r="B884" s="3" t="s">
        <v>539</v>
      </c>
      <c r="C884" s="3" t="s">
        <v>8</v>
      </c>
      <c r="D884" s="4" t="s">
        <v>1154</v>
      </c>
      <c r="E884" s="5">
        <f>ROUND(278287.54,2)</f>
        <v>278287.53999999998</v>
      </c>
    </row>
    <row r="885" spans="1:5" outlineLevel="2" x14ac:dyDescent="0.25">
      <c r="A885" s="3" t="s">
        <v>1141</v>
      </c>
      <c r="B885" s="3" t="s">
        <v>539</v>
      </c>
      <c r="C885" s="3" t="s">
        <v>223</v>
      </c>
      <c r="D885" s="4" t="s">
        <v>1155</v>
      </c>
      <c r="E885" s="5">
        <f>ROUND(545.76,2)</f>
        <v>545.76</v>
      </c>
    </row>
    <row r="886" spans="1:5" outlineLevel="2" x14ac:dyDescent="0.25">
      <c r="A886" s="3" t="s">
        <v>1141</v>
      </c>
      <c r="B886" s="3" t="s">
        <v>539</v>
      </c>
      <c r="C886" s="3" t="s">
        <v>38</v>
      </c>
      <c r="D886" s="4" t="s">
        <v>1156</v>
      </c>
      <c r="E886" s="5">
        <f>ROUND(184686,2)</f>
        <v>184686</v>
      </c>
    </row>
    <row r="887" spans="1:5" outlineLevel="2" x14ac:dyDescent="0.25">
      <c r="A887" s="3" t="s">
        <v>1141</v>
      </c>
      <c r="B887" s="3" t="s">
        <v>539</v>
      </c>
      <c r="C887" s="3" t="s">
        <v>428</v>
      </c>
      <c r="D887" s="4" t="s">
        <v>1157</v>
      </c>
      <c r="E887" s="5">
        <f>ROUND(20751,2)</f>
        <v>20751</v>
      </c>
    </row>
    <row r="888" spans="1:5" outlineLevel="2" x14ac:dyDescent="0.25">
      <c r="A888" s="3" t="s">
        <v>1141</v>
      </c>
      <c r="B888" s="3" t="s">
        <v>539</v>
      </c>
      <c r="C888" s="3" t="s">
        <v>451</v>
      </c>
      <c r="D888" s="4" t="s">
        <v>1158</v>
      </c>
      <c r="E888" s="5">
        <f>ROUND(76000,2)</f>
        <v>76000</v>
      </c>
    </row>
    <row r="889" spans="1:5" outlineLevel="1" x14ac:dyDescent="0.25">
      <c r="A889" s="6"/>
      <c r="B889" s="7"/>
      <c r="C889" s="7"/>
      <c r="D889" s="8" t="s">
        <v>1159</v>
      </c>
      <c r="E889" s="9">
        <f>SUBTOTAL(9,E872:E888)</f>
        <v>1535798.8900000001</v>
      </c>
    </row>
    <row r="890" spans="1:5" outlineLevel="2" x14ac:dyDescent="0.25">
      <c r="A890" s="3" t="s">
        <v>1160</v>
      </c>
      <c r="B890" s="3" t="s">
        <v>1089</v>
      </c>
      <c r="C890" s="3" t="s">
        <v>11</v>
      </c>
      <c r="D890" s="4" t="s">
        <v>1161</v>
      </c>
      <c r="E890" s="5">
        <f>ROUND(18359.38,2)</f>
        <v>18359.38</v>
      </c>
    </row>
    <row r="891" spans="1:5" outlineLevel="2" x14ac:dyDescent="0.25">
      <c r="A891" s="3" t="s">
        <v>1160</v>
      </c>
      <c r="B891" s="3" t="s">
        <v>1089</v>
      </c>
      <c r="C891" s="3" t="s">
        <v>28</v>
      </c>
      <c r="D891" s="4" t="s">
        <v>1162</v>
      </c>
      <c r="E891" s="5">
        <f>ROUND(306741.7,2)</f>
        <v>306741.7</v>
      </c>
    </row>
    <row r="892" spans="1:5" outlineLevel="2" x14ac:dyDescent="0.25">
      <c r="A892" s="3" t="s">
        <v>1160</v>
      </c>
      <c r="B892" s="3" t="s">
        <v>1089</v>
      </c>
      <c r="C892" s="3" t="s">
        <v>13</v>
      </c>
      <c r="D892" s="4" t="s">
        <v>1163</v>
      </c>
      <c r="E892" s="5">
        <f>ROUND(61823.6,2)</f>
        <v>61823.6</v>
      </c>
    </row>
    <row r="893" spans="1:5" outlineLevel="2" x14ac:dyDescent="0.25">
      <c r="A893" s="3" t="s">
        <v>1160</v>
      </c>
      <c r="B893" s="3" t="s">
        <v>1089</v>
      </c>
      <c r="C893" s="3" t="s">
        <v>214</v>
      </c>
      <c r="D893" s="4" t="s">
        <v>1164</v>
      </c>
      <c r="E893" s="5">
        <f>ROUND(10480.7,2)</f>
        <v>10480.700000000001</v>
      </c>
    </row>
    <row r="894" spans="1:5" outlineLevel="2" x14ac:dyDescent="0.25">
      <c r="A894" s="3" t="s">
        <v>1160</v>
      </c>
      <c r="B894" s="3" t="s">
        <v>1089</v>
      </c>
      <c r="C894" s="3" t="s">
        <v>15</v>
      </c>
      <c r="D894" s="4" t="s">
        <v>1165</v>
      </c>
      <c r="E894" s="5">
        <f>ROUND(57547.87,2)</f>
        <v>57547.87</v>
      </c>
    </row>
    <row r="895" spans="1:5" outlineLevel="2" x14ac:dyDescent="0.25">
      <c r="A895" s="3" t="s">
        <v>1160</v>
      </c>
      <c r="B895" s="3" t="s">
        <v>1089</v>
      </c>
      <c r="C895" s="3" t="s">
        <v>17</v>
      </c>
      <c r="D895" s="4" t="s">
        <v>1166</v>
      </c>
      <c r="E895" s="5">
        <f>ROUND(172842.17,2)</f>
        <v>172842.17</v>
      </c>
    </row>
    <row r="896" spans="1:5" outlineLevel="2" x14ac:dyDescent="0.25">
      <c r="A896" s="3" t="s">
        <v>1160</v>
      </c>
      <c r="B896" s="3" t="s">
        <v>1089</v>
      </c>
      <c r="C896" s="3" t="s">
        <v>19</v>
      </c>
      <c r="D896" s="4" t="s">
        <v>1167</v>
      </c>
      <c r="E896" s="5">
        <f>ROUND(406857.63,2)</f>
        <v>406857.63</v>
      </c>
    </row>
    <row r="897" spans="1:5" outlineLevel="2" x14ac:dyDescent="0.25">
      <c r="A897" s="3" t="s">
        <v>1160</v>
      </c>
      <c r="B897" s="3" t="s">
        <v>1089</v>
      </c>
      <c r="C897" s="3" t="s">
        <v>21</v>
      </c>
      <c r="D897" s="4" t="s">
        <v>1168</v>
      </c>
      <c r="E897" s="5">
        <f>ROUND(52496.14,2)</f>
        <v>52496.14</v>
      </c>
    </row>
    <row r="898" spans="1:5" outlineLevel="2" x14ac:dyDescent="0.25">
      <c r="A898" s="3" t="s">
        <v>1160</v>
      </c>
      <c r="B898" s="3" t="s">
        <v>1089</v>
      </c>
      <c r="C898" s="3" t="s">
        <v>265</v>
      </c>
      <c r="D898" s="4" t="s">
        <v>1169</v>
      </c>
      <c r="E898" s="5">
        <f>ROUND(992.28,2)</f>
        <v>992.28</v>
      </c>
    </row>
    <row r="899" spans="1:5" outlineLevel="2" x14ac:dyDescent="0.25">
      <c r="A899" s="3" t="s">
        <v>1160</v>
      </c>
      <c r="B899" s="3" t="s">
        <v>1089</v>
      </c>
      <c r="C899" s="3" t="s">
        <v>8</v>
      </c>
      <c r="D899" s="4" t="s">
        <v>1170</v>
      </c>
      <c r="E899" s="5">
        <f>ROUND(308969.96,2)</f>
        <v>308969.96000000002</v>
      </c>
    </row>
    <row r="900" spans="1:5" outlineLevel="2" x14ac:dyDescent="0.25">
      <c r="A900" s="3" t="s">
        <v>1160</v>
      </c>
      <c r="B900" s="3" t="s">
        <v>1089</v>
      </c>
      <c r="C900" s="3" t="s">
        <v>223</v>
      </c>
      <c r="D900" s="4" t="s">
        <v>1171</v>
      </c>
      <c r="E900" s="5">
        <f>ROUND(545.76,2)</f>
        <v>545.76</v>
      </c>
    </row>
    <row r="901" spans="1:5" outlineLevel="2" x14ac:dyDescent="0.25">
      <c r="A901" s="3" t="s">
        <v>1160</v>
      </c>
      <c r="B901" s="3" t="s">
        <v>1089</v>
      </c>
      <c r="C901" s="3" t="s">
        <v>100</v>
      </c>
      <c r="D901" s="4" t="s">
        <v>1172</v>
      </c>
      <c r="E901" s="5">
        <f>ROUND(229438,2)</f>
        <v>229438</v>
      </c>
    </row>
    <row r="902" spans="1:5" outlineLevel="2" x14ac:dyDescent="0.25">
      <c r="A902" s="3" t="s">
        <v>1160</v>
      </c>
      <c r="B902" s="3" t="s">
        <v>1089</v>
      </c>
      <c r="C902" s="3" t="s">
        <v>38</v>
      </c>
      <c r="D902" s="4" t="s">
        <v>1173</v>
      </c>
      <c r="E902" s="5">
        <f>ROUND(2161115,2)</f>
        <v>2161115</v>
      </c>
    </row>
    <row r="903" spans="1:5" outlineLevel="2" x14ac:dyDescent="0.25">
      <c r="A903" s="3" t="s">
        <v>1160</v>
      </c>
      <c r="B903" s="3" t="s">
        <v>1174</v>
      </c>
      <c r="C903" s="3" t="s">
        <v>38</v>
      </c>
      <c r="D903" s="4" t="s">
        <v>1175</v>
      </c>
      <c r="E903" s="5">
        <f>ROUND(308565,2)</f>
        <v>308565</v>
      </c>
    </row>
    <row r="904" spans="1:5" outlineLevel="1" x14ac:dyDescent="0.25">
      <c r="A904" s="6"/>
      <c r="B904" s="7"/>
      <c r="C904" s="7"/>
      <c r="D904" s="8" t="s">
        <v>1176</v>
      </c>
      <c r="E904" s="9">
        <f>SUBTOTAL(9,E890:E903)</f>
        <v>4096775.19</v>
      </c>
    </row>
    <row r="905" spans="1:5" outlineLevel="2" x14ac:dyDescent="0.25">
      <c r="A905" s="3" t="s">
        <v>1177</v>
      </c>
      <c r="B905" s="3" t="s">
        <v>539</v>
      </c>
      <c r="C905" s="3" t="s">
        <v>907</v>
      </c>
      <c r="D905" s="4" t="s">
        <v>1178</v>
      </c>
      <c r="E905" s="5">
        <f>ROUND(6000,2)</f>
        <v>6000</v>
      </c>
    </row>
    <row r="906" spans="1:5" outlineLevel="2" x14ac:dyDescent="0.25">
      <c r="A906" s="3" t="s">
        <v>1177</v>
      </c>
      <c r="B906" s="3" t="s">
        <v>50</v>
      </c>
      <c r="C906" s="3" t="s">
        <v>11</v>
      </c>
      <c r="D906" s="4" t="s">
        <v>1179</v>
      </c>
      <c r="E906" s="5">
        <f>ROUND(18359.38,2)</f>
        <v>18359.38</v>
      </c>
    </row>
    <row r="907" spans="1:5" outlineLevel="2" x14ac:dyDescent="0.25">
      <c r="A907" s="3" t="s">
        <v>1177</v>
      </c>
      <c r="B907" s="3" t="s">
        <v>50</v>
      </c>
      <c r="C907" s="3" t="s">
        <v>28</v>
      </c>
      <c r="D907" s="4" t="s">
        <v>1180</v>
      </c>
      <c r="E907" s="5">
        <f>ROUND(96865.8,2)</f>
        <v>96865.8</v>
      </c>
    </row>
    <row r="908" spans="1:5" outlineLevel="2" x14ac:dyDescent="0.25">
      <c r="A908" s="3" t="s">
        <v>1177</v>
      </c>
      <c r="B908" s="3" t="s">
        <v>50</v>
      </c>
      <c r="C908" s="3" t="s">
        <v>13</v>
      </c>
      <c r="D908" s="4" t="s">
        <v>1181</v>
      </c>
      <c r="E908" s="5">
        <f>ROUND(12364.72,2)</f>
        <v>12364.72</v>
      </c>
    </row>
    <row r="909" spans="1:5" outlineLevel="2" x14ac:dyDescent="0.25">
      <c r="A909" s="3" t="s">
        <v>1177</v>
      </c>
      <c r="B909" s="3" t="s">
        <v>50</v>
      </c>
      <c r="C909" s="3" t="s">
        <v>15</v>
      </c>
      <c r="D909" s="4" t="s">
        <v>1182</v>
      </c>
      <c r="E909" s="5">
        <f>ROUND(3576.52,2)</f>
        <v>3576.52</v>
      </c>
    </row>
    <row r="910" spans="1:5" outlineLevel="2" x14ac:dyDescent="0.25">
      <c r="A910" s="3" t="s">
        <v>1177</v>
      </c>
      <c r="B910" s="3" t="s">
        <v>50</v>
      </c>
      <c r="C910" s="3" t="s">
        <v>17</v>
      </c>
      <c r="D910" s="4" t="s">
        <v>1183</v>
      </c>
      <c r="E910" s="5">
        <f>ROUND(53789.14,2)</f>
        <v>53789.14</v>
      </c>
    </row>
    <row r="911" spans="1:5" outlineLevel="2" x14ac:dyDescent="0.25">
      <c r="A911" s="3" t="s">
        <v>1177</v>
      </c>
      <c r="B911" s="3" t="s">
        <v>50</v>
      </c>
      <c r="C911" s="3" t="s">
        <v>19</v>
      </c>
      <c r="D911" s="4" t="s">
        <v>1184</v>
      </c>
      <c r="E911" s="5">
        <f>ROUND(113808.62,2)</f>
        <v>113808.62</v>
      </c>
    </row>
    <row r="912" spans="1:5" outlineLevel="2" x14ac:dyDescent="0.25">
      <c r="A912" s="3" t="s">
        <v>1177</v>
      </c>
      <c r="B912" s="3" t="s">
        <v>50</v>
      </c>
      <c r="C912" s="3" t="s">
        <v>53</v>
      </c>
      <c r="D912" s="4" t="s">
        <v>1185</v>
      </c>
      <c r="E912" s="5">
        <f>ROUND(19380.03,2)</f>
        <v>19380.03</v>
      </c>
    </row>
    <row r="913" spans="1:5" outlineLevel="2" x14ac:dyDescent="0.25">
      <c r="A913" s="3" t="s">
        <v>1177</v>
      </c>
      <c r="B913" s="3" t="s">
        <v>50</v>
      </c>
      <c r="C913" s="3" t="s">
        <v>55</v>
      </c>
      <c r="D913" s="4" t="s">
        <v>1186</v>
      </c>
      <c r="E913" s="5">
        <f>ROUND(42877.13,2)</f>
        <v>42877.13</v>
      </c>
    </row>
    <row r="914" spans="1:5" outlineLevel="2" x14ac:dyDescent="0.25">
      <c r="A914" s="3" t="s">
        <v>1177</v>
      </c>
      <c r="B914" s="3" t="s">
        <v>50</v>
      </c>
      <c r="C914" s="3" t="s">
        <v>21</v>
      </c>
      <c r="D914" s="4" t="s">
        <v>1187</v>
      </c>
      <c r="E914" s="5">
        <f>ROUND(16815.07,2)</f>
        <v>16815.07</v>
      </c>
    </row>
    <row r="915" spans="1:5" outlineLevel="2" x14ac:dyDescent="0.25">
      <c r="A915" s="3" t="s">
        <v>1177</v>
      </c>
      <c r="B915" s="3" t="s">
        <v>50</v>
      </c>
      <c r="C915" s="3" t="s">
        <v>8</v>
      </c>
      <c r="D915" s="4" t="s">
        <v>1188</v>
      </c>
      <c r="E915" s="5">
        <f>ROUND(119783.57,2)</f>
        <v>119783.57</v>
      </c>
    </row>
    <row r="916" spans="1:5" outlineLevel="2" x14ac:dyDescent="0.25">
      <c r="A916" s="3" t="s">
        <v>1177</v>
      </c>
      <c r="B916" s="3" t="s">
        <v>50</v>
      </c>
      <c r="C916" s="3" t="s">
        <v>38</v>
      </c>
      <c r="D916" s="4" t="s">
        <v>1189</v>
      </c>
      <c r="E916" s="5">
        <f>ROUND(3000,2)</f>
        <v>3000</v>
      </c>
    </row>
    <row r="917" spans="1:5" outlineLevel="2" x14ac:dyDescent="0.25">
      <c r="A917" s="3" t="s">
        <v>1177</v>
      </c>
      <c r="B917" s="3" t="s">
        <v>50</v>
      </c>
      <c r="C917" s="3" t="s">
        <v>173</v>
      </c>
      <c r="D917" s="4" t="s">
        <v>1190</v>
      </c>
      <c r="E917" s="5">
        <f>ROUND(75861,2)</f>
        <v>75861</v>
      </c>
    </row>
    <row r="918" spans="1:5" outlineLevel="2" x14ac:dyDescent="0.25">
      <c r="A918" s="3" t="s">
        <v>1177</v>
      </c>
      <c r="B918" s="3" t="s">
        <v>50</v>
      </c>
      <c r="C918" s="3" t="s">
        <v>722</v>
      </c>
      <c r="D918" s="4" t="s">
        <v>1191</v>
      </c>
      <c r="E918" s="5">
        <f>ROUND(1590,2)</f>
        <v>1590</v>
      </c>
    </row>
    <row r="919" spans="1:5" outlineLevel="2" x14ac:dyDescent="0.25">
      <c r="A919" s="3" t="s">
        <v>1177</v>
      </c>
      <c r="B919" s="3" t="s">
        <v>1192</v>
      </c>
      <c r="C919" s="3" t="s">
        <v>38</v>
      </c>
      <c r="D919" s="4" t="s">
        <v>1193</v>
      </c>
      <c r="E919" s="5">
        <f>ROUND(103341,2)</f>
        <v>103341</v>
      </c>
    </row>
    <row r="920" spans="1:5" outlineLevel="2" x14ac:dyDescent="0.25">
      <c r="A920" s="3" t="s">
        <v>1177</v>
      </c>
      <c r="B920" s="3" t="s">
        <v>1194</v>
      </c>
      <c r="C920" s="3" t="s">
        <v>28</v>
      </c>
      <c r="D920" s="4" t="s">
        <v>1195</v>
      </c>
      <c r="E920" s="5">
        <f>ROUND(16144.3,2)</f>
        <v>16144.3</v>
      </c>
    </row>
    <row r="921" spans="1:5" outlineLevel="2" x14ac:dyDescent="0.25">
      <c r="A921" s="3" t="s">
        <v>1177</v>
      </c>
      <c r="B921" s="3" t="s">
        <v>1194</v>
      </c>
      <c r="C921" s="3" t="s">
        <v>17</v>
      </c>
      <c r="D921" s="4" t="s">
        <v>1196</v>
      </c>
      <c r="E921" s="5">
        <f>ROUND(6914.14,2)</f>
        <v>6914.14</v>
      </c>
    </row>
    <row r="922" spans="1:5" outlineLevel="2" x14ac:dyDescent="0.25">
      <c r="A922" s="3" t="s">
        <v>1177</v>
      </c>
      <c r="B922" s="3" t="s">
        <v>1194</v>
      </c>
      <c r="C922" s="3" t="s">
        <v>19</v>
      </c>
      <c r="D922" s="4" t="s">
        <v>1197</v>
      </c>
      <c r="E922" s="5">
        <f>ROUND(15269.56,2)</f>
        <v>15269.56</v>
      </c>
    </row>
    <row r="923" spans="1:5" outlineLevel="2" x14ac:dyDescent="0.25">
      <c r="A923" s="3" t="s">
        <v>1177</v>
      </c>
      <c r="B923" s="3" t="s">
        <v>1194</v>
      </c>
      <c r="C923" s="3" t="s">
        <v>21</v>
      </c>
      <c r="D923" s="4" t="s">
        <v>1198</v>
      </c>
      <c r="E923" s="5">
        <f>ROUND(2031.11,2)</f>
        <v>2031.11</v>
      </c>
    </row>
    <row r="924" spans="1:5" outlineLevel="2" x14ac:dyDescent="0.25">
      <c r="A924" s="3" t="s">
        <v>1177</v>
      </c>
      <c r="B924" s="3" t="s">
        <v>1194</v>
      </c>
      <c r="C924" s="3" t="s">
        <v>8</v>
      </c>
      <c r="D924" s="4" t="s">
        <v>1199</v>
      </c>
      <c r="E924" s="5">
        <f>ROUND(12809.78,2)</f>
        <v>12809.78</v>
      </c>
    </row>
    <row r="925" spans="1:5" outlineLevel="2" x14ac:dyDescent="0.25">
      <c r="A925" s="3" t="s">
        <v>1177</v>
      </c>
      <c r="B925" s="3" t="s">
        <v>1200</v>
      </c>
      <c r="C925" s="3" t="s">
        <v>38</v>
      </c>
      <c r="D925" s="4" t="s">
        <v>1201</v>
      </c>
      <c r="E925" s="5">
        <f>ROUND(158001,2)</f>
        <v>158001</v>
      </c>
    </row>
    <row r="926" spans="1:5" outlineLevel="1" x14ac:dyDescent="0.25">
      <c r="A926" s="6"/>
      <c r="B926" s="7"/>
      <c r="C926" s="7"/>
      <c r="D926" s="8" t="s">
        <v>1202</v>
      </c>
      <c r="E926" s="9">
        <f>SUBTOTAL(9,E905:E925)</f>
        <v>898581.87000000011</v>
      </c>
    </row>
    <row r="927" spans="1:5" outlineLevel="2" x14ac:dyDescent="0.25">
      <c r="A927" s="3" t="s">
        <v>1203</v>
      </c>
      <c r="B927" s="3" t="s">
        <v>53</v>
      </c>
      <c r="C927" s="3" t="s">
        <v>11</v>
      </c>
      <c r="D927" s="4" t="s">
        <v>1204</v>
      </c>
      <c r="E927" s="5">
        <f>ROUND(36718.76,2)</f>
        <v>36718.76</v>
      </c>
    </row>
    <row r="928" spans="1:5" outlineLevel="2" x14ac:dyDescent="0.25">
      <c r="A928" s="3" t="s">
        <v>1203</v>
      </c>
      <c r="B928" s="3" t="s">
        <v>53</v>
      </c>
      <c r="C928" s="3" t="s">
        <v>15</v>
      </c>
      <c r="D928" s="4" t="s">
        <v>1205</v>
      </c>
      <c r="E928" s="5">
        <f>ROUND(4146.2,2)</f>
        <v>4146.2</v>
      </c>
    </row>
    <row r="929" spans="1:5" outlineLevel="2" x14ac:dyDescent="0.25">
      <c r="A929" s="3" t="s">
        <v>1203</v>
      </c>
      <c r="B929" s="3" t="s">
        <v>53</v>
      </c>
      <c r="C929" s="3" t="s">
        <v>17</v>
      </c>
      <c r="D929" s="4" t="s">
        <v>1206</v>
      </c>
      <c r="E929" s="5">
        <f>ROUND(24145.11,2)</f>
        <v>24145.11</v>
      </c>
    </row>
    <row r="930" spans="1:5" outlineLevel="2" x14ac:dyDescent="0.25">
      <c r="A930" s="3" t="s">
        <v>1203</v>
      </c>
      <c r="B930" s="3" t="s">
        <v>53</v>
      </c>
      <c r="C930" s="3" t="s">
        <v>19</v>
      </c>
      <c r="D930" s="4" t="s">
        <v>1207</v>
      </c>
      <c r="E930" s="5">
        <f>ROUND(53255.62,2)</f>
        <v>53255.62</v>
      </c>
    </row>
    <row r="931" spans="1:5" outlineLevel="2" x14ac:dyDescent="0.25">
      <c r="A931" s="3" t="s">
        <v>1203</v>
      </c>
      <c r="B931" s="3" t="s">
        <v>53</v>
      </c>
      <c r="C931" s="3" t="s">
        <v>555</v>
      </c>
      <c r="D931" s="4" t="s">
        <v>1208</v>
      </c>
      <c r="E931" s="5">
        <f>ROUND(10,2)</f>
        <v>10</v>
      </c>
    </row>
    <row r="932" spans="1:5" outlineLevel="2" x14ac:dyDescent="0.25">
      <c r="A932" s="3" t="s">
        <v>1203</v>
      </c>
      <c r="B932" s="3" t="s">
        <v>53</v>
      </c>
      <c r="C932" s="3" t="s">
        <v>21</v>
      </c>
      <c r="D932" s="4" t="s">
        <v>1209</v>
      </c>
      <c r="E932" s="5">
        <f>ROUND(6485.18,2)</f>
        <v>6485.18</v>
      </c>
    </row>
    <row r="933" spans="1:5" outlineLevel="2" x14ac:dyDescent="0.25">
      <c r="A933" s="3" t="s">
        <v>1203</v>
      </c>
      <c r="B933" s="3" t="s">
        <v>53</v>
      </c>
      <c r="C933" s="3" t="s">
        <v>8</v>
      </c>
      <c r="D933" s="4" t="s">
        <v>1210</v>
      </c>
      <c r="E933" s="5">
        <f>ROUND(35258.43,2)</f>
        <v>35258.43</v>
      </c>
    </row>
    <row r="934" spans="1:5" outlineLevel="2" x14ac:dyDescent="0.25">
      <c r="A934" s="3" t="s">
        <v>1203</v>
      </c>
      <c r="B934" s="3" t="s">
        <v>53</v>
      </c>
      <c r="C934" s="3" t="s">
        <v>132</v>
      </c>
      <c r="D934" s="4" t="s">
        <v>1211</v>
      </c>
      <c r="E934" s="5">
        <f>ROUND(7717,2)</f>
        <v>7717</v>
      </c>
    </row>
    <row r="935" spans="1:5" outlineLevel="2" x14ac:dyDescent="0.25">
      <c r="A935" s="3" t="s">
        <v>1203</v>
      </c>
      <c r="B935" s="3" t="s">
        <v>53</v>
      </c>
      <c r="C935" s="3" t="s">
        <v>146</v>
      </c>
      <c r="D935" s="4" t="s">
        <v>1212</v>
      </c>
      <c r="E935" s="5">
        <f>ROUND(1500,2)</f>
        <v>1500</v>
      </c>
    </row>
    <row r="936" spans="1:5" outlineLevel="2" x14ac:dyDescent="0.25">
      <c r="A936" s="3" t="s">
        <v>1203</v>
      </c>
      <c r="B936" s="3" t="s">
        <v>1213</v>
      </c>
      <c r="C936" s="3" t="s">
        <v>320</v>
      </c>
      <c r="D936" s="4" t="s">
        <v>1214</v>
      </c>
      <c r="E936" s="5">
        <f>ROUND(41500,2)</f>
        <v>41500</v>
      </c>
    </row>
    <row r="937" spans="1:5" outlineLevel="2" x14ac:dyDescent="0.25">
      <c r="A937" s="3" t="s">
        <v>1203</v>
      </c>
      <c r="B937" s="3" t="s">
        <v>1213</v>
      </c>
      <c r="C937" s="3" t="s">
        <v>666</v>
      </c>
      <c r="D937" s="4" t="s">
        <v>1215</v>
      </c>
      <c r="E937" s="5">
        <f>ROUND(3000,2)</f>
        <v>3000</v>
      </c>
    </row>
    <row r="938" spans="1:5" outlineLevel="2" x14ac:dyDescent="0.25">
      <c r="A938" s="3" t="s">
        <v>1203</v>
      </c>
      <c r="B938" s="3" t="s">
        <v>1216</v>
      </c>
      <c r="C938" s="3" t="s">
        <v>28</v>
      </c>
      <c r="D938" s="4" t="s">
        <v>1217</v>
      </c>
      <c r="E938" s="5">
        <f>ROUND(16144.3,2)</f>
        <v>16144.3</v>
      </c>
    </row>
    <row r="939" spans="1:5" outlineLevel="2" x14ac:dyDescent="0.25">
      <c r="A939" s="3" t="s">
        <v>1203</v>
      </c>
      <c r="B939" s="3" t="s">
        <v>1216</v>
      </c>
      <c r="C939" s="3" t="s">
        <v>15</v>
      </c>
      <c r="D939" s="4" t="s">
        <v>1218</v>
      </c>
      <c r="E939" s="5">
        <f>ROUND(7637.06,2)</f>
        <v>7637.06</v>
      </c>
    </row>
    <row r="940" spans="1:5" outlineLevel="2" x14ac:dyDescent="0.25">
      <c r="A940" s="3" t="s">
        <v>1203</v>
      </c>
      <c r="B940" s="3" t="s">
        <v>1216</v>
      </c>
      <c r="C940" s="3" t="s">
        <v>17</v>
      </c>
      <c r="D940" s="4" t="s">
        <v>1219</v>
      </c>
      <c r="E940" s="5">
        <f>ROUND(8928.57,2)</f>
        <v>8928.57</v>
      </c>
    </row>
    <row r="941" spans="1:5" outlineLevel="2" x14ac:dyDescent="0.25">
      <c r="A941" s="3" t="s">
        <v>1203</v>
      </c>
      <c r="B941" s="3" t="s">
        <v>1216</v>
      </c>
      <c r="C941" s="3" t="s">
        <v>19</v>
      </c>
      <c r="D941" s="4" t="s">
        <v>1220</v>
      </c>
      <c r="E941" s="5">
        <f>ROUND(22618.92,2)</f>
        <v>22618.92</v>
      </c>
    </row>
    <row r="942" spans="1:5" outlineLevel="2" x14ac:dyDescent="0.25">
      <c r="A942" s="3" t="s">
        <v>1203</v>
      </c>
      <c r="B942" s="3" t="s">
        <v>1216</v>
      </c>
      <c r="C942" s="3" t="s">
        <v>21</v>
      </c>
      <c r="D942" s="4" t="s">
        <v>1221</v>
      </c>
      <c r="E942" s="5">
        <f>ROUND(2110.01,2)</f>
        <v>2110.0100000000002</v>
      </c>
    </row>
    <row r="943" spans="1:5" outlineLevel="2" x14ac:dyDescent="0.25">
      <c r="A943" s="3" t="s">
        <v>1203</v>
      </c>
      <c r="B943" s="3" t="s">
        <v>1216</v>
      </c>
      <c r="C943" s="3" t="s">
        <v>8</v>
      </c>
      <c r="D943" s="4" t="s">
        <v>1222</v>
      </c>
      <c r="E943" s="5">
        <f>ROUND(14923.08,2)</f>
        <v>14923.08</v>
      </c>
    </row>
    <row r="944" spans="1:5" outlineLevel="2" x14ac:dyDescent="0.25">
      <c r="A944" s="3" t="s">
        <v>1203</v>
      </c>
      <c r="B944" s="3" t="s">
        <v>1223</v>
      </c>
      <c r="C944" s="3" t="s">
        <v>28</v>
      </c>
      <c r="D944" s="4" t="s">
        <v>1224</v>
      </c>
      <c r="E944" s="5">
        <f>ROUND(16144.3,2)</f>
        <v>16144.3</v>
      </c>
    </row>
    <row r="945" spans="1:5" outlineLevel="2" x14ac:dyDescent="0.25">
      <c r="A945" s="3" t="s">
        <v>1203</v>
      </c>
      <c r="B945" s="3" t="s">
        <v>1223</v>
      </c>
      <c r="C945" s="3" t="s">
        <v>15</v>
      </c>
      <c r="D945" s="4" t="s">
        <v>1225</v>
      </c>
      <c r="E945" s="5">
        <f>ROUND(590.32,2)</f>
        <v>590.32000000000005</v>
      </c>
    </row>
    <row r="946" spans="1:5" outlineLevel="2" x14ac:dyDescent="0.25">
      <c r="A946" s="3" t="s">
        <v>1203</v>
      </c>
      <c r="B946" s="3" t="s">
        <v>1223</v>
      </c>
      <c r="C946" s="3" t="s">
        <v>17</v>
      </c>
      <c r="D946" s="4" t="s">
        <v>1226</v>
      </c>
      <c r="E946" s="5">
        <f>ROUND(6128.33,2)</f>
        <v>6128.33</v>
      </c>
    </row>
    <row r="947" spans="1:5" outlineLevel="2" x14ac:dyDescent="0.25">
      <c r="A947" s="3" t="s">
        <v>1203</v>
      </c>
      <c r="B947" s="3" t="s">
        <v>1223</v>
      </c>
      <c r="C947" s="3" t="s">
        <v>19</v>
      </c>
      <c r="D947" s="4" t="s">
        <v>1227</v>
      </c>
      <c r="E947" s="5">
        <f>ROUND(8605.5,2)</f>
        <v>8605.5</v>
      </c>
    </row>
    <row r="948" spans="1:5" outlineLevel="2" x14ac:dyDescent="0.25">
      <c r="A948" s="3" t="s">
        <v>1203</v>
      </c>
      <c r="B948" s="3" t="s">
        <v>1223</v>
      </c>
      <c r="C948" s="3" t="s">
        <v>21</v>
      </c>
      <c r="D948" s="4" t="s">
        <v>1228</v>
      </c>
      <c r="E948" s="5">
        <f>ROUND(1912.63,2)</f>
        <v>1912.63</v>
      </c>
    </row>
    <row r="949" spans="1:5" outlineLevel="2" x14ac:dyDescent="0.25">
      <c r="A949" s="3" t="s">
        <v>1203</v>
      </c>
      <c r="B949" s="3" t="s">
        <v>1223</v>
      </c>
      <c r="C949" s="3" t="s">
        <v>8</v>
      </c>
      <c r="D949" s="4" t="s">
        <v>1229</v>
      </c>
      <c r="E949" s="5">
        <f>ROUND(10595.97,2)</f>
        <v>10595.97</v>
      </c>
    </row>
    <row r="950" spans="1:5" outlineLevel="2" x14ac:dyDescent="0.25">
      <c r="A950" s="3" t="s">
        <v>1203</v>
      </c>
      <c r="B950" s="3" t="s">
        <v>1223</v>
      </c>
      <c r="C950" s="3" t="s">
        <v>38</v>
      </c>
      <c r="D950" s="4" t="s">
        <v>1230</v>
      </c>
      <c r="E950" s="5">
        <f>ROUND(19800,2)</f>
        <v>19800</v>
      </c>
    </row>
    <row r="951" spans="1:5" outlineLevel="2" x14ac:dyDescent="0.25">
      <c r="A951" s="3" t="s">
        <v>1203</v>
      </c>
      <c r="B951" s="3" t="s">
        <v>1231</v>
      </c>
      <c r="C951" s="3" t="s">
        <v>132</v>
      </c>
      <c r="D951" s="4" t="s">
        <v>1232</v>
      </c>
      <c r="E951" s="5">
        <f>ROUND(69576,2)</f>
        <v>69576</v>
      </c>
    </row>
    <row r="952" spans="1:5" outlineLevel="2" x14ac:dyDescent="0.25">
      <c r="A952" s="3" t="s">
        <v>1203</v>
      </c>
      <c r="B952" s="3" t="s">
        <v>1233</v>
      </c>
      <c r="C952" s="3" t="s">
        <v>132</v>
      </c>
      <c r="D952" s="4" t="s">
        <v>1234</v>
      </c>
      <c r="E952" s="5">
        <f>ROUND(6584,2)</f>
        <v>6584</v>
      </c>
    </row>
    <row r="953" spans="1:5" outlineLevel="2" x14ac:dyDescent="0.25">
      <c r="A953" s="3" t="s">
        <v>1203</v>
      </c>
      <c r="B953" s="3" t="s">
        <v>1235</v>
      </c>
      <c r="C953" s="3" t="s">
        <v>132</v>
      </c>
      <c r="D953" s="4" t="s">
        <v>1236</v>
      </c>
      <c r="E953" s="5">
        <f>ROUND(55003,2)</f>
        <v>55003</v>
      </c>
    </row>
    <row r="954" spans="1:5" outlineLevel="2" x14ac:dyDescent="0.25">
      <c r="A954" s="3" t="s">
        <v>1203</v>
      </c>
      <c r="B954" s="3" t="s">
        <v>1237</v>
      </c>
      <c r="C954" s="3" t="s">
        <v>1114</v>
      </c>
      <c r="D954" s="4" t="s">
        <v>1238</v>
      </c>
      <c r="E954" s="5">
        <f>ROUND(303488,2)</f>
        <v>303488</v>
      </c>
    </row>
    <row r="955" spans="1:5" outlineLevel="2" x14ac:dyDescent="0.25">
      <c r="A955" s="3" t="s">
        <v>1203</v>
      </c>
      <c r="B955" s="3" t="s">
        <v>1239</v>
      </c>
      <c r="C955" s="3" t="s">
        <v>132</v>
      </c>
      <c r="D955" s="4" t="s">
        <v>1240</v>
      </c>
      <c r="E955" s="5">
        <f>ROUND(79648,2)</f>
        <v>79648</v>
      </c>
    </row>
    <row r="956" spans="1:5" outlineLevel="1" x14ac:dyDescent="0.25">
      <c r="A956" s="6"/>
      <c r="B956" s="7"/>
      <c r="C956" s="7"/>
      <c r="D956" s="8" t="s">
        <v>1241</v>
      </c>
      <c r="E956" s="9">
        <f>SUBTOTAL(9,E927:E955)</f>
        <v>864174.29</v>
      </c>
    </row>
    <row r="957" spans="1:5" outlineLevel="2" x14ac:dyDescent="0.25">
      <c r="A957" s="3" t="s">
        <v>1242</v>
      </c>
      <c r="B957" s="3" t="s">
        <v>1243</v>
      </c>
      <c r="C957" s="3" t="s">
        <v>13</v>
      </c>
      <c r="D957" s="4" t="s">
        <v>1244</v>
      </c>
      <c r="E957" s="5">
        <f>ROUND(37094.16,2)</f>
        <v>37094.160000000003</v>
      </c>
    </row>
    <row r="958" spans="1:5" outlineLevel="2" x14ac:dyDescent="0.25">
      <c r="A958" s="3" t="s">
        <v>1242</v>
      </c>
      <c r="B958" s="3" t="s">
        <v>1243</v>
      </c>
      <c r="C958" s="3" t="s">
        <v>214</v>
      </c>
      <c r="D958" s="4" t="s">
        <v>1245</v>
      </c>
      <c r="E958" s="5">
        <f>ROUND(10480.7,2)</f>
        <v>10480.700000000001</v>
      </c>
    </row>
    <row r="959" spans="1:5" outlineLevel="2" x14ac:dyDescent="0.25">
      <c r="A959" s="3" t="s">
        <v>1242</v>
      </c>
      <c r="B959" s="3" t="s">
        <v>1243</v>
      </c>
      <c r="C959" s="3" t="s">
        <v>15</v>
      </c>
      <c r="D959" s="4" t="s">
        <v>1246</v>
      </c>
      <c r="E959" s="5">
        <f>ROUND(7531.41,2)</f>
        <v>7531.41</v>
      </c>
    </row>
    <row r="960" spans="1:5" outlineLevel="2" x14ac:dyDescent="0.25">
      <c r="A960" s="3" t="s">
        <v>1242</v>
      </c>
      <c r="B960" s="3" t="s">
        <v>1243</v>
      </c>
      <c r="C960" s="3" t="s">
        <v>17</v>
      </c>
      <c r="D960" s="4" t="s">
        <v>1247</v>
      </c>
      <c r="E960" s="5">
        <f>ROUND(27262.44,2)</f>
        <v>27262.44</v>
      </c>
    </row>
    <row r="961" spans="1:5" outlineLevel="2" x14ac:dyDescent="0.25">
      <c r="A961" s="3" t="s">
        <v>1242</v>
      </c>
      <c r="B961" s="3" t="s">
        <v>1243</v>
      </c>
      <c r="C961" s="3" t="s">
        <v>19</v>
      </c>
      <c r="D961" s="4" t="s">
        <v>1248</v>
      </c>
      <c r="E961" s="5">
        <f>ROUND(73133.43,2)</f>
        <v>73133.429999999993</v>
      </c>
    </row>
    <row r="962" spans="1:5" outlineLevel="2" x14ac:dyDescent="0.25">
      <c r="A962" s="3" t="s">
        <v>1242</v>
      </c>
      <c r="B962" s="3" t="s">
        <v>1243</v>
      </c>
      <c r="C962" s="3" t="s">
        <v>555</v>
      </c>
      <c r="D962" s="4" t="s">
        <v>1249</v>
      </c>
      <c r="E962" s="5">
        <f>ROUND(606.71,2)</f>
        <v>606.71</v>
      </c>
    </row>
    <row r="963" spans="1:5" outlineLevel="2" x14ac:dyDescent="0.25">
      <c r="A963" s="3" t="s">
        <v>1242</v>
      </c>
      <c r="B963" s="3" t="s">
        <v>1243</v>
      </c>
      <c r="C963" s="3" t="s">
        <v>21</v>
      </c>
      <c r="D963" s="4" t="s">
        <v>1250</v>
      </c>
      <c r="E963" s="5">
        <f>ROUND(7912.2,2)</f>
        <v>7912.2</v>
      </c>
    </row>
    <row r="964" spans="1:5" outlineLevel="2" x14ac:dyDescent="0.25">
      <c r="A964" s="3" t="s">
        <v>1242</v>
      </c>
      <c r="B964" s="3" t="s">
        <v>1243</v>
      </c>
      <c r="C964" s="3" t="s">
        <v>8</v>
      </c>
      <c r="D964" s="4" t="s">
        <v>1251</v>
      </c>
      <c r="E964" s="5">
        <f>ROUND(49596.81,2)</f>
        <v>49596.81</v>
      </c>
    </row>
    <row r="965" spans="1:5" outlineLevel="2" x14ac:dyDescent="0.25">
      <c r="A965" s="3" t="s">
        <v>1242</v>
      </c>
      <c r="B965" s="3" t="s">
        <v>1243</v>
      </c>
      <c r="C965" s="3" t="s">
        <v>515</v>
      </c>
      <c r="D965" s="4" t="s">
        <v>1252</v>
      </c>
      <c r="E965" s="5">
        <f>ROUND(500,2)</f>
        <v>500</v>
      </c>
    </row>
    <row r="966" spans="1:5" outlineLevel="1" x14ac:dyDescent="0.25">
      <c r="A966" s="6"/>
      <c r="B966" s="7"/>
      <c r="C966" s="7"/>
      <c r="D966" s="8" t="s">
        <v>1253</v>
      </c>
      <c r="E966" s="9">
        <f>SUBTOTAL(9,E957:E965)</f>
        <v>214117.86000000002</v>
      </c>
    </row>
    <row r="967" spans="1:5" outlineLevel="2" x14ac:dyDescent="0.25">
      <c r="A967" s="3" t="s">
        <v>1254</v>
      </c>
      <c r="B967" s="3" t="s">
        <v>53</v>
      </c>
      <c r="C967" s="3" t="s">
        <v>13</v>
      </c>
      <c r="D967" s="4" t="s">
        <v>1255</v>
      </c>
      <c r="E967" s="5">
        <f>ROUND(24729.44,2)</f>
        <v>24729.439999999999</v>
      </c>
    </row>
    <row r="968" spans="1:5" outlineLevel="2" x14ac:dyDescent="0.25">
      <c r="A968" s="3" t="s">
        <v>1254</v>
      </c>
      <c r="B968" s="3" t="s">
        <v>53</v>
      </c>
      <c r="C968" s="3" t="s">
        <v>15</v>
      </c>
      <c r="D968" s="4" t="s">
        <v>1256</v>
      </c>
      <c r="E968" s="5">
        <f>ROUND(4030.73,2)</f>
        <v>4030.73</v>
      </c>
    </row>
    <row r="969" spans="1:5" outlineLevel="2" x14ac:dyDescent="0.25">
      <c r="A969" s="3" t="s">
        <v>1254</v>
      </c>
      <c r="B969" s="3" t="s">
        <v>53</v>
      </c>
      <c r="C969" s="3" t="s">
        <v>17</v>
      </c>
      <c r="D969" s="4" t="s">
        <v>1257</v>
      </c>
      <c r="E969" s="5">
        <f>ROUND(11470.41,2)</f>
        <v>11470.41</v>
      </c>
    </row>
    <row r="970" spans="1:5" outlineLevel="2" x14ac:dyDescent="0.25">
      <c r="A970" s="3" t="s">
        <v>1254</v>
      </c>
      <c r="B970" s="3" t="s">
        <v>53</v>
      </c>
      <c r="C970" s="3" t="s">
        <v>19</v>
      </c>
      <c r="D970" s="4" t="s">
        <v>1258</v>
      </c>
      <c r="E970" s="5">
        <f>ROUND(28821.39,2)</f>
        <v>28821.39</v>
      </c>
    </row>
    <row r="971" spans="1:5" outlineLevel="2" x14ac:dyDescent="0.25">
      <c r="A971" s="3" t="s">
        <v>1254</v>
      </c>
      <c r="B971" s="3" t="s">
        <v>53</v>
      </c>
      <c r="C971" s="3" t="s">
        <v>21</v>
      </c>
      <c r="D971" s="4" t="s">
        <v>1259</v>
      </c>
      <c r="E971" s="5">
        <f>ROUND(3876.82,2)</f>
        <v>3876.82</v>
      </c>
    </row>
    <row r="972" spans="1:5" outlineLevel="2" x14ac:dyDescent="0.25">
      <c r="A972" s="3" t="s">
        <v>1254</v>
      </c>
      <c r="B972" s="3" t="s">
        <v>53</v>
      </c>
      <c r="C972" s="3" t="s">
        <v>8</v>
      </c>
      <c r="D972" s="4" t="s">
        <v>1260</v>
      </c>
      <c r="E972" s="5">
        <f>ROUND(22481.59,2)</f>
        <v>22481.59</v>
      </c>
    </row>
    <row r="973" spans="1:5" outlineLevel="2" x14ac:dyDescent="0.25">
      <c r="A973" s="3" t="s">
        <v>1254</v>
      </c>
      <c r="B973" s="3" t="s">
        <v>1213</v>
      </c>
      <c r="C973" s="3" t="s">
        <v>28</v>
      </c>
      <c r="D973" s="4" t="s">
        <v>1261</v>
      </c>
      <c r="E973" s="5">
        <f>ROUND(17297.27,2)</f>
        <v>17297.27</v>
      </c>
    </row>
    <row r="974" spans="1:5" outlineLevel="2" x14ac:dyDescent="0.25">
      <c r="A974" s="3" t="s">
        <v>1254</v>
      </c>
      <c r="B974" s="3" t="s">
        <v>1213</v>
      </c>
      <c r="C974" s="3" t="s">
        <v>13</v>
      </c>
      <c r="D974" s="4" t="s">
        <v>1262</v>
      </c>
      <c r="E974" s="5">
        <f>ROUND(75425.85,2)</f>
        <v>75425.850000000006</v>
      </c>
    </row>
    <row r="975" spans="1:5" outlineLevel="2" x14ac:dyDescent="0.25">
      <c r="A975" s="3" t="s">
        <v>1254</v>
      </c>
      <c r="B975" s="3" t="s">
        <v>1213</v>
      </c>
      <c r="C975" s="3" t="s">
        <v>214</v>
      </c>
      <c r="D975" s="4" t="s">
        <v>1263</v>
      </c>
      <c r="E975" s="5">
        <f>ROUND(1066342.69,2)</f>
        <v>1066342.69</v>
      </c>
    </row>
    <row r="976" spans="1:5" outlineLevel="2" x14ac:dyDescent="0.25">
      <c r="A976" s="3" t="s">
        <v>1254</v>
      </c>
      <c r="B976" s="3" t="s">
        <v>1213</v>
      </c>
      <c r="C976" s="3" t="s">
        <v>15</v>
      </c>
      <c r="D976" s="4" t="s">
        <v>1264</v>
      </c>
      <c r="E976" s="5">
        <f>ROUND(175425.26,2)</f>
        <v>175425.26</v>
      </c>
    </row>
    <row r="977" spans="1:5" outlineLevel="2" x14ac:dyDescent="0.25">
      <c r="A977" s="3" t="s">
        <v>1254</v>
      </c>
      <c r="B977" s="3" t="s">
        <v>1213</v>
      </c>
      <c r="C977" s="3" t="s">
        <v>17</v>
      </c>
      <c r="D977" s="4" t="s">
        <v>1265</v>
      </c>
      <c r="E977" s="5">
        <f>ROUND(596976.57,2)</f>
        <v>596976.56999999995</v>
      </c>
    </row>
    <row r="978" spans="1:5" outlineLevel="2" x14ac:dyDescent="0.25">
      <c r="A978" s="3" t="s">
        <v>1254</v>
      </c>
      <c r="B978" s="3" t="s">
        <v>1213</v>
      </c>
      <c r="C978" s="3" t="s">
        <v>19</v>
      </c>
      <c r="D978" s="4" t="s">
        <v>1266</v>
      </c>
      <c r="E978" s="5">
        <f>ROUND(2097846.05,2)</f>
        <v>2097846.0499999998</v>
      </c>
    </row>
    <row r="979" spans="1:5" outlineLevel="2" x14ac:dyDescent="0.25">
      <c r="A979" s="3" t="s">
        <v>1254</v>
      </c>
      <c r="B979" s="3" t="s">
        <v>1213</v>
      </c>
      <c r="C979" s="3" t="s">
        <v>21</v>
      </c>
      <c r="D979" s="4" t="s">
        <v>1267</v>
      </c>
      <c r="E979" s="5">
        <f>ROUND(431524.8,2)</f>
        <v>431524.8</v>
      </c>
    </row>
    <row r="980" spans="1:5" outlineLevel="2" x14ac:dyDescent="0.25">
      <c r="A980" s="3" t="s">
        <v>1254</v>
      </c>
      <c r="B980" s="3" t="s">
        <v>1213</v>
      </c>
      <c r="C980" s="3" t="s">
        <v>492</v>
      </c>
      <c r="D980" s="4" t="s">
        <v>1268</v>
      </c>
      <c r="E980" s="5">
        <f>ROUND(20000,2)</f>
        <v>20000</v>
      </c>
    </row>
    <row r="981" spans="1:5" outlineLevel="2" x14ac:dyDescent="0.25">
      <c r="A981" s="3" t="s">
        <v>1254</v>
      </c>
      <c r="B981" s="3" t="s">
        <v>1213</v>
      </c>
      <c r="C981" s="3" t="s">
        <v>265</v>
      </c>
      <c r="D981" s="4" t="s">
        <v>1269</v>
      </c>
      <c r="E981" s="5">
        <f>ROUND(40000,2)</f>
        <v>40000</v>
      </c>
    </row>
    <row r="982" spans="1:5" outlineLevel="2" x14ac:dyDescent="0.25">
      <c r="A982" s="3" t="s">
        <v>1254</v>
      </c>
      <c r="B982" s="3" t="s">
        <v>1213</v>
      </c>
      <c r="C982" s="3" t="s">
        <v>8</v>
      </c>
      <c r="D982" s="4" t="s">
        <v>1270</v>
      </c>
      <c r="E982" s="5">
        <f>ROUND(1755930.64,2)</f>
        <v>1755930.64</v>
      </c>
    </row>
    <row r="983" spans="1:5" outlineLevel="2" x14ac:dyDescent="0.25">
      <c r="A983" s="3" t="s">
        <v>1254</v>
      </c>
      <c r="B983" s="3" t="s">
        <v>1213</v>
      </c>
      <c r="C983" s="3" t="s">
        <v>223</v>
      </c>
      <c r="D983" s="4" t="s">
        <v>1271</v>
      </c>
      <c r="E983" s="5">
        <f>ROUND(1273.56,2)</f>
        <v>1273.56</v>
      </c>
    </row>
    <row r="984" spans="1:5" outlineLevel="2" x14ac:dyDescent="0.25">
      <c r="A984" s="3" t="s">
        <v>1254</v>
      </c>
      <c r="B984" s="3" t="s">
        <v>1213</v>
      </c>
      <c r="C984" s="3" t="s">
        <v>1272</v>
      </c>
      <c r="D984" s="4" t="s">
        <v>1273</v>
      </c>
      <c r="E984" s="5">
        <f>ROUND(30000,2)</f>
        <v>30000</v>
      </c>
    </row>
    <row r="985" spans="1:5" outlineLevel="2" x14ac:dyDescent="0.25">
      <c r="A985" s="3" t="s">
        <v>1254</v>
      </c>
      <c r="B985" s="3" t="s">
        <v>841</v>
      </c>
      <c r="C985" s="3" t="s">
        <v>100</v>
      </c>
      <c r="D985" s="4" t="s">
        <v>1274</v>
      </c>
      <c r="E985" s="5">
        <f>ROUND(31064,2)</f>
        <v>31064</v>
      </c>
    </row>
    <row r="986" spans="1:5" outlineLevel="2" x14ac:dyDescent="0.25">
      <c r="A986" s="3" t="s">
        <v>1254</v>
      </c>
      <c r="B986" s="3" t="s">
        <v>1216</v>
      </c>
      <c r="C986" s="3" t="s">
        <v>53</v>
      </c>
      <c r="D986" s="4" t="s">
        <v>1275</v>
      </c>
      <c r="E986" s="5">
        <f>ROUND(11419.47,2)</f>
        <v>11419.47</v>
      </c>
    </row>
    <row r="987" spans="1:5" outlineLevel="2" x14ac:dyDescent="0.25">
      <c r="A987" s="3" t="s">
        <v>1254</v>
      </c>
      <c r="B987" s="3" t="s">
        <v>1216</v>
      </c>
      <c r="C987" s="3" t="s">
        <v>55</v>
      </c>
      <c r="D987" s="4" t="s">
        <v>1276</v>
      </c>
      <c r="E987" s="5">
        <f>ROUND(20809.83,2)</f>
        <v>20809.830000000002</v>
      </c>
    </row>
    <row r="988" spans="1:5" outlineLevel="2" x14ac:dyDescent="0.25">
      <c r="A988" s="3" t="s">
        <v>1254</v>
      </c>
      <c r="B988" s="3" t="s">
        <v>1216</v>
      </c>
      <c r="C988" s="3" t="s">
        <v>21</v>
      </c>
      <c r="D988" s="4" t="s">
        <v>1277</v>
      </c>
      <c r="E988" s="5">
        <f>ROUND(1918.62,2)</f>
        <v>1918.62</v>
      </c>
    </row>
    <row r="989" spans="1:5" outlineLevel="2" x14ac:dyDescent="0.25">
      <c r="A989" s="3" t="s">
        <v>1254</v>
      </c>
      <c r="B989" s="3" t="s">
        <v>1216</v>
      </c>
      <c r="C989" s="3" t="s">
        <v>8</v>
      </c>
      <c r="D989" s="4" t="s">
        <v>1278</v>
      </c>
      <c r="E989" s="5">
        <f>ROUND(11405.76,2)</f>
        <v>11405.76</v>
      </c>
    </row>
    <row r="990" spans="1:5" outlineLevel="2" x14ac:dyDescent="0.25">
      <c r="A990" s="3" t="s">
        <v>1254</v>
      </c>
      <c r="B990" s="3" t="s">
        <v>1216</v>
      </c>
      <c r="C990" s="3" t="s">
        <v>173</v>
      </c>
      <c r="D990" s="4" t="s">
        <v>1279</v>
      </c>
      <c r="E990" s="5">
        <f>ROUND(4000,2)</f>
        <v>4000</v>
      </c>
    </row>
    <row r="991" spans="1:5" outlineLevel="2" x14ac:dyDescent="0.25">
      <c r="A991" s="3" t="s">
        <v>1254</v>
      </c>
      <c r="B991" s="3" t="s">
        <v>115</v>
      </c>
      <c r="C991" s="3" t="s">
        <v>100</v>
      </c>
      <c r="D991" s="4" t="s">
        <v>1280</v>
      </c>
      <c r="E991" s="5">
        <f>ROUND(7850,2)</f>
        <v>7850</v>
      </c>
    </row>
    <row r="992" spans="1:5" outlineLevel="1" x14ac:dyDescent="0.25">
      <c r="A992" s="6"/>
      <c r="B992" s="7"/>
      <c r="C992" s="7"/>
      <c r="D992" s="8" t="s">
        <v>1281</v>
      </c>
      <c r="E992" s="9">
        <f>SUBTOTAL(9,E967:E991)</f>
        <v>6491920.7499999991</v>
      </c>
    </row>
    <row r="993" spans="1:5" outlineLevel="2" x14ac:dyDescent="0.25">
      <c r="A993" s="3" t="s">
        <v>411</v>
      </c>
      <c r="B993" s="3" t="s">
        <v>1282</v>
      </c>
      <c r="C993" s="3" t="s">
        <v>11</v>
      </c>
      <c r="D993" s="4" t="s">
        <v>1283</v>
      </c>
      <c r="E993" s="5">
        <f>ROUND(36718.76,2)</f>
        <v>36718.76</v>
      </c>
    </row>
    <row r="994" spans="1:5" outlineLevel="2" x14ac:dyDescent="0.25">
      <c r="A994" s="3" t="s">
        <v>411</v>
      </c>
      <c r="B994" s="3" t="s">
        <v>1282</v>
      </c>
      <c r="C994" s="3" t="s">
        <v>13</v>
      </c>
      <c r="D994" s="4" t="s">
        <v>1284</v>
      </c>
      <c r="E994" s="5">
        <f>ROUND(12364.72,2)</f>
        <v>12364.72</v>
      </c>
    </row>
    <row r="995" spans="1:5" outlineLevel="2" x14ac:dyDescent="0.25">
      <c r="A995" s="3" t="s">
        <v>411</v>
      </c>
      <c r="B995" s="3" t="s">
        <v>1282</v>
      </c>
      <c r="C995" s="3" t="s">
        <v>15</v>
      </c>
      <c r="D995" s="4" t="s">
        <v>1285</v>
      </c>
      <c r="E995" s="5">
        <f>ROUND(8030.1,2)</f>
        <v>8030.1</v>
      </c>
    </row>
    <row r="996" spans="1:5" outlineLevel="2" x14ac:dyDescent="0.25">
      <c r="A996" s="3" t="s">
        <v>411</v>
      </c>
      <c r="B996" s="3" t="s">
        <v>1282</v>
      </c>
      <c r="C996" s="3" t="s">
        <v>17</v>
      </c>
      <c r="D996" s="4" t="s">
        <v>1286</v>
      </c>
      <c r="E996" s="5">
        <f>ROUND(30835.75,2)</f>
        <v>30835.75</v>
      </c>
    </row>
    <row r="997" spans="1:5" outlineLevel="2" x14ac:dyDescent="0.25">
      <c r="A997" s="3" t="s">
        <v>411</v>
      </c>
      <c r="B997" s="3" t="s">
        <v>1282</v>
      </c>
      <c r="C997" s="3" t="s">
        <v>19</v>
      </c>
      <c r="D997" s="4" t="s">
        <v>1287</v>
      </c>
      <c r="E997" s="5">
        <f>ROUND(72264.16,2)</f>
        <v>72264.160000000003</v>
      </c>
    </row>
    <row r="998" spans="1:5" outlineLevel="2" x14ac:dyDescent="0.25">
      <c r="A998" s="3" t="s">
        <v>411</v>
      </c>
      <c r="B998" s="3" t="s">
        <v>1282</v>
      </c>
      <c r="C998" s="3" t="s">
        <v>555</v>
      </c>
      <c r="D998" s="4" t="s">
        <v>1288</v>
      </c>
      <c r="E998" s="5">
        <f>ROUND(852.25,2)</f>
        <v>852.25</v>
      </c>
    </row>
    <row r="999" spans="1:5" outlineLevel="2" x14ac:dyDescent="0.25">
      <c r="A999" s="3" t="s">
        <v>411</v>
      </c>
      <c r="B999" s="3" t="s">
        <v>1282</v>
      </c>
      <c r="C999" s="3" t="s">
        <v>21</v>
      </c>
      <c r="D999" s="4" t="s">
        <v>1289</v>
      </c>
      <c r="E999" s="5">
        <f>ROUND(11130.57,2)</f>
        <v>11130.57</v>
      </c>
    </row>
    <row r="1000" spans="1:5" outlineLevel="2" x14ac:dyDescent="0.25">
      <c r="A1000" s="3" t="s">
        <v>411</v>
      </c>
      <c r="B1000" s="3" t="s">
        <v>1282</v>
      </c>
      <c r="C1000" s="3" t="s">
        <v>8</v>
      </c>
      <c r="D1000" s="4" t="s">
        <v>1290</v>
      </c>
      <c r="E1000" s="5">
        <f>ROUND(40785.28,2)</f>
        <v>40785.279999999999</v>
      </c>
    </row>
    <row r="1001" spans="1:5" outlineLevel="2" x14ac:dyDescent="0.25">
      <c r="A1001" s="3" t="s">
        <v>411</v>
      </c>
      <c r="B1001" s="3" t="s">
        <v>21</v>
      </c>
      <c r="C1001" s="3" t="s">
        <v>13</v>
      </c>
      <c r="D1001" s="4" t="s">
        <v>1291</v>
      </c>
      <c r="E1001" s="5">
        <f>ROUND(12364.72,2)</f>
        <v>12364.72</v>
      </c>
    </row>
    <row r="1002" spans="1:5" outlineLevel="2" x14ac:dyDescent="0.25">
      <c r="A1002" s="3" t="s">
        <v>411</v>
      </c>
      <c r="B1002" s="3" t="s">
        <v>21</v>
      </c>
      <c r="C1002" s="3" t="s">
        <v>15</v>
      </c>
      <c r="D1002" s="4" t="s">
        <v>1292</v>
      </c>
      <c r="E1002" s="5">
        <f>ROUND(2819.28,2)</f>
        <v>2819.28</v>
      </c>
    </row>
    <row r="1003" spans="1:5" outlineLevel="2" x14ac:dyDescent="0.25">
      <c r="A1003" s="3" t="s">
        <v>411</v>
      </c>
      <c r="B1003" s="3" t="s">
        <v>21</v>
      </c>
      <c r="C1003" s="3" t="s">
        <v>17</v>
      </c>
      <c r="D1003" s="4" t="s">
        <v>1293</v>
      </c>
      <c r="E1003" s="5">
        <f>ROUND(6128.33,2)</f>
        <v>6128.33</v>
      </c>
    </row>
    <row r="1004" spans="1:5" outlineLevel="2" x14ac:dyDescent="0.25">
      <c r="A1004" s="3" t="s">
        <v>411</v>
      </c>
      <c r="B1004" s="3" t="s">
        <v>21</v>
      </c>
      <c r="C1004" s="3" t="s">
        <v>19</v>
      </c>
      <c r="D1004" s="4" t="s">
        <v>1294</v>
      </c>
      <c r="E1004" s="5">
        <f>ROUND(15258.78,2)</f>
        <v>15258.78</v>
      </c>
    </row>
    <row r="1005" spans="1:5" outlineLevel="2" x14ac:dyDescent="0.25">
      <c r="A1005" s="3" t="s">
        <v>411</v>
      </c>
      <c r="B1005" s="3" t="s">
        <v>21</v>
      </c>
      <c r="C1005" s="3" t="s">
        <v>53</v>
      </c>
      <c r="D1005" s="4" t="s">
        <v>1295</v>
      </c>
      <c r="E1005" s="5">
        <f>ROUND(21835.67,2)</f>
        <v>21835.67</v>
      </c>
    </row>
    <row r="1006" spans="1:5" outlineLevel="2" x14ac:dyDescent="0.25">
      <c r="A1006" s="3" t="s">
        <v>411</v>
      </c>
      <c r="B1006" s="3" t="s">
        <v>21</v>
      </c>
      <c r="C1006" s="3" t="s">
        <v>55</v>
      </c>
      <c r="D1006" s="4" t="s">
        <v>1296</v>
      </c>
      <c r="E1006" s="5">
        <f>ROUND(34144.17,2)</f>
        <v>34144.17</v>
      </c>
    </row>
    <row r="1007" spans="1:5" outlineLevel="2" x14ac:dyDescent="0.25">
      <c r="A1007" s="3" t="s">
        <v>411</v>
      </c>
      <c r="B1007" s="3" t="s">
        <v>21</v>
      </c>
      <c r="C1007" s="3" t="s">
        <v>21</v>
      </c>
      <c r="D1007" s="4" t="s">
        <v>1297</v>
      </c>
      <c r="E1007" s="5">
        <f>ROUND(1958.2,2)</f>
        <v>1958.2</v>
      </c>
    </row>
    <row r="1008" spans="1:5" outlineLevel="2" x14ac:dyDescent="0.25">
      <c r="A1008" s="3" t="s">
        <v>411</v>
      </c>
      <c r="B1008" s="3" t="s">
        <v>21</v>
      </c>
      <c r="C1008" s="3" t="s">
        <v>492</v>
      </c>
      <c r="D1008" s="4" t="s">
        <v>1298</v>
      </c>
      <c r="E1008" s="5">
        <f>ROUND(2134.9,2)</f>
        <v>2134.9</v>
      </c>
    </row>
    <row r="1009" spans="1:5" outlineLevel="2" x14ac:dyDescent="0.25">
      <c r="A1009" s="3" t="s">
        <v>411</v>
      </c>
      <c r="B1009" s="3" t="s">
        <v>21</v>
      </c>
      <c r="C1009" s="3" t="s">
        <v>8</v>
      </c>
      <c r="D1009" s="4" t="s">
        <v>1299</v>
      </c>
      <c r="E1009" s="5">
        <f>ROUND(30475.83,2)</f>
        <v>30475.83</v>
      </c>
    </row>
    <row r="1010" spans="1:5" outlineLevel="2" x14ac:dyDescent="0.25">
      <c r="A1010" s="3" t="s">
        <v>411</v>
      </c>
      <c r="B1010" s="3" t="s">
        <v>21</v>
      </c>
      <c r="C1010" s="3" t="s">
        <v>132</v>
      </c>
      <c r="D1010" s="4" t="s">
        <v>1300</v>
      </c>
      <c r="E1010" s="5">
        <f>ROUND(5000,2)</f>
        <v>5000</v>
      </c>
    </row>
    <row r="1011" spans="1:5" outlineLevel="2" x14ac:dyDescent="0.25">
      <c r="A1011" s="3" t="s">
        <v>411</v>
      </c>
      <c r="B1011" s="3" t="s">
        <v>1301</v>
      </c>
      <c r="C1011" s="3" t="s">
        <v>666</v>
      </c>
      <c r="D1011" s="4" t="s">
        <v>1302</v>
      </c>
      <c r="E1011" s="5">
        <f>ROUND(10,2)</f>
        <v>10</v>
      </c>
    </row>
    <row r="1012" spans="1:5" outlineLevel="2" x14ac:dyDescent="0.25">
      <c r="A1012" s="3" t="s">
        <v>411</v>
      </c>
      <c r="B1012" s="3" t="s">
        <v>1301</v>
      </c>
      <c r="C1012" s="3" t="s">
        <v>1303</v>
      </c>
      <c r="D1012" s="4" t="s">
        <v>1304</v>
      </c>
      <c r="E1012" s="5">
        <f>ROUND(40000,2)</f>
        <v>40000</v>
      </c>
    </row>
    <row r="1013" spans="1:5" outlineLevel="2" x14ac:dyDescent="0.25">
      <c r="A1013" s="3" t="s">
        <v>411</v>
      </c>
      <c r="B1013" s="3" t="s">
        <v>978</v>
      </c>
      <c r="C1013" s="3" t="s">
        <v>970</v>
      </c>
      <c r="D1013" s="4" t="s">
        <v>1305</v>
      </c>
      <c r="E1013" s="5">
        <f>ROUND(28500,2)</f>
        <v>28500</v>
      </c>
    </row>
    <row r="1014" spans="1:5" outlineLevel="2" x14ac:dyDescent="0.25">
      <c r="A1014" s="3" t="s">
        <v>411</v>
      </c>
      <c r="B1014" s="3" t="s">
        <v>6</v>
      </c>
      <c r="C1014" s="3" t="s">
        <v>5</v>
      </c>
      <c r="D1014" s="4" t="s">
        <v>1306</v>
      </c>
      <c r="E1014" s="5">
        <f>ROUND(70775.71,2)</f>
        <v>70775.710000000006</v>
      </c>
    </row>
    <row r="1015" spans="1:5" outlineLevel="2" x14ac:dyDescent="0.25">
      <c r="A1015" s="3" t="s">
        <v>411</v>
      </c>
      <c r="B1015" s="3" t="s">
        <v>6</v>
      </c>
      <c r="C1015" s="3" t="s">
        <v>8</v>
      </c>
      <c r="D1015" s="4" t="s">
        <v>1307</v>
      </c>
      <c r="E1015" s="5">
        <f>ROUND(20345.35,2)</f>
        <v>20345.349999999999</v>
      </c>
    </row>
    <row r="1016" spans="1:5" outlineLevel="2" x14ac:dyDescent="0.25">
      <c r="A1016" s="3" t="s">
        <v>411</v>
      </c>
      <c r="B1016" s="3" t="s">
        <v>157</v>
      </c>
      <c r="C1016" s="3" t="s">
        <v>114</v>
      </c>
      <c r="D1016" s="4" t="s">
        <v>1308</v>
      </c>
      <c r="E1016" s="5">
        <f>ROUND(10480.7,2)</f>
        <v>10480.700000000001</v>
      </c>
    </row>
    <row r="1017" spans="1:5" outlineLevel="2" x14ac:dyDescent="0.25">
      <c r="A1017" s="3" t="s">
        <v>411</v>
      </c>
      <c r="B1017" s="3" t="s">
        <v>157</v>
      </c>
      <c r="C1017" s="3" t="s">
        <v>156</v>
      </c>
      <c r="D1017" s="4" t="s">
        <v>1309</v>
      </c>
      <c r="E1017" s="5">
        <f>ROUND(55841.64,2)</f>
        <v>55841.64</v>
      </c>
    </row>
    <row r="1018" spans="1:5" outlineLevel="2" x14ac:dyDescent="0.25">
      <c r="A1018" s="3" t="s">
        <v>411</v>
      </c>
      <c r="B1018" s="3" t="s">
        <v>157</v>
      </c>
      <c r="C1018" s="3" t="s">
        <v>8</v>
      </c>
      <c r="D1018" s="4" t="s">
        <v>1310</v>
      </c>
      <c r="E1018" s="5">
        <f>ROUND(20306.53,2)</f>
        <v>20306.53</v>
      </c>
    </row>
    <row r="1019" spans="1:5" outlineLevel="2" x14ac:dyDescent="0.25">
      <c r="A1019" s="3" t="s">
        <v>411</v>
      </c>
      <c r="B1019" s="3" t="s">
        <v>10</v>
      </c>
      <c r="C1019" s="3" t="s">
        <v>1272</v>
      </c>
      <c r="D1019" s="4" t="s">
        <v>1311</v>
      </c>
      <c r="E1019" s="5">
        <f>ROUND(17000,2)</f>
        <v>17000</v>
      </c>
    </row>
    <row r="1020" spans="1:5" outlineLevel="2" x14ac:dyDescent="0.25">
      <c r="A1020" s="3" t="s">
        <v>411</v>
      </c>
      <c r="B1020" s="3" t="s">
        <v>10</v>
      </c>
      <c r="C1020" s="3" t="s">
        <v>38</v>
      </c>
      <c r="D1020" s="4" t="s">
        <v>1312</v>
      </c>
      <c r="E1020" s="5">
        <f>ROUND(64130,2)</f>
        <v>64130</v>
      </c>
    </row>
    <row r="1021" spans="1:5" outlineLevel="1" x14ac:dyDescent="0.25">
      <c r="A1021" s="6"/>
      <c r="B1021" s="7"/>
      <c r="C1021" s="7"/>
      <c r="D1021" s="8" t="s">
        <v>1313</v>
      </c>
      <c r="E1021" s="9">
        <f>SUBTOTAL(9,E993:E1020)</f>
        <v>672491.4</v>
      </c>
    </row>
    <row r="1022" spans="1:5" outlineLevel="2" x14ac:dyDescent="0.25">
      <c r="A1022" s="3" t="s">
        <v>1314</v>
      </c>
      <c r="B1022" s="3" t="s">
        <v>21</v>
      </c>
      <c r="C1022" s="3" t="s">
        <v>28</v>
      </c>
      <c r="D1022" s="4" t="s">
        <v>1315</v>
      </c>
      <c r="E1022" s="5">
        <f>ROUND(10655.78,2)</f>
        <v>10655.78</v>
      </c>
    </row>
    <row r="1023" spans="1:5" outlineLevel="2" x14ac:dyDescent="0.25">
      <c r="A1023" s="3" t="s">
        <v>1314</v>
      </c>
      <c r="B1023" s="3" t="s">
        <v>21</v>
      </c>
      <c r="C1023" s="3" t="s">
        <v>13</v>
      </c>
      <c r="D1023" s="4" t="s">
        <v>1316</v>
      </c>
      <c r="E1023" s="5">
        <f>ROUND(76389.2,2)</f>
        <v>76389.2</v>
      </c>
    </row>
    <row r="1024" spans="1:5" outlineLevel="2" x14ac:dyDescent="0.25">
      <c r="A1024" s="3" t="s">
        <v>1314</v>
      </c>
      <c r="B1024" s="3" t="s">
        <v>21</v>
      </c>
      <c r="C1024" s="3" t="s">
        <v>214</v>
      </c>
      <c r="D1024" s="4" t="s">
        <v>1317</v>
      </c>
      <c r="E1024" s="5">
        <f>ROUND(31442.1,2)</f>
        <v>31442.1</v>
      </c>
    </row>
    <row r="1025" spans="1:5" outlineLevel="2" x14ac:dyDescent="0.25">
      <c r="A1025" s="3" t="s">
        <v>1314</v>
      </c>
      <c r="B1025" s="3" t="s">
        <v>21</v>
      </c>
      <c r="C1025" s="3" t="s">
        <v>15</v>
      </c>
      <c r="D1025" s="4" t="s">
        <v>1318</v>
      </c>
      <c r="E1025" s="5">
        <f>ROUND(17679.38,2)</f>
        <v>17679.38</v>
      </c>
    </row>
    <row r="1026" spans="1:5" outlineLevel="2" x14ac:dyDescent="0.25">
      <c r="A1026" s="3" t="s">
        <v>1314</v>
      </c>
      <c r="B1026" s="3" t="s">
        <v>21</v>
      </c>
      <c r="C1026" s="3" t="s">
        <v>17</v>
      </c>
      <c r="D1026" s="4" t="s">
        <v>1319</v>
      </c>
      <c r="E1026" s="5">
        <f>ROUND(44307.82,2)</f>
        <v>44307.82</v>
      </c>
    </row>
    <row r="1027" spans="1:5" outlineLevel="2" x14ac:dyDescent="0.25">
      <c r="A1027" s="3" t="s">
        <v>1314</v>
      </c>
      <c r="B1027" s="3" t="s">
        <v>21</v>
      </c>
      <c r="C1027" s="3" t="s">
        <v>19</v>
      </c>
      <c r="D1027" s="4" t="s">
        <v>1320</v>
      </c>
      <c r="E1027" s="5">
        <f>ROUND(112914.71,2)</f>
        <v>112914.71</v>
      </c>
    </row>
    <row r="1028" spans="1:5" outlineLevel="2" x14ac:dyDescent="0.25">
      <c r="A1028" s="3" t="s">
        <v>1314</v>
      </c>
      <c r="B1028" s="3" t="s">
        <v>21</v>
      </c>
      <c r="C1028" s="3" t="s">
        <v>53</v>
      </c>
      <c r="D1028" s="4" t="s">
        <v>1321</v>
      </c>
      <c r="E1028" s="5">
        <f>ROUND(9450.37,2)</f>
        <v>9450.3700000000008</v>
      </c>
    </row>
    <row r="1029" spans="1:5" outlineLevel="2" x14ac:dyDescent="0.25">
      <c r="A1029" s="3" t="s">
        <v>1314</v>
      </c>
      <c r="B1029" s="3" t="s">
        <v>21</v>
      </c>
      <c r="C1029" s="3" t="s">
        <v>55</v>
      </c>
      <c r="D1029" s="4" t="s">
        <v>1322</v>
      </c>
      <c r="E1029" s="5">
        <f>ROUND(19011.29,2)</f>
        <v>19011.29</v>
      </c>
    </row>
    <row r="1030" spans="1:5" outlineLevel="2" x14ac:dyDescent="0.25">
      <c r="A1030" s="3" t="s">
        <v>1314</v>
      </c>
      <c r="B1030" s="3" t="s">
        <v>21</v>
      </c>
      <c r="C1030" s="3" t="s">
        <v>21</v>
      </c>
      <c r="D1030" s="4" t="s">
        <v>1323</v>
      </c>
      <c r="E1030" s="5">
        <f>ROUND(15858.35,2)</f>
        <v>15858.35</v>
      </c>
    </row>
    <row r="1031" spans="1:5" outlineLevel="2" x14ac:dyDescent="0.25">
      <c r="A1031" s="3" t="s">
        <v>1314</v>
      </c>
      <c r="B1031" s="3" t="s">
        <v>21</v>
      </c>
      <c r="C1031" s="3" t="s">
        <v>8</v>
      </c>
      <c r="D1031" s="4" t="s">
        <v>1324</v>
      </c>
      <c r="E1031" s="5">
        <f>ROUND(94750.4,2)</f>
        <v>94750.399999999994</v>
      </c>
    </row>
    <row r="1032" spans="1:5" outlineLevel="2" x14ac:dyDescent="0.25">
      <c r="A1032" s="3" t="s">
        <v>1314</v>
      </c>
      <c r="B1032" s="3" t="s">
        <v>21</v>
      </c>
      <c r="C1032" s="3" t="s">
        <v>223</v>
      </c>
      <c r="D1032" s="4" t="s">
        <v>1325</v>
      </c>
      <c r="E1032" s="5">
        <f>ROUND(667.08,2)</f>
        <v>667.08</v>
      </c>
    </row>
    <row r="1033" spans="1:5" outlineLevel="1" x14ac:dyDescent="0.25">
      <c r="A1033" s="6"/>
      <c r="B1033" s="7"/>
      <c r="C1033" s="7"/>
      <c r="D1033" s="8" t="s">
        <v>1326</v>
      </c>
      <c r="E1033" s="9">
        <f>SUBTOTAL(9,E1022:E1032)</f>
        <v>433126.47999999992</v>
      </c>
    </row>
    <row r="1034" spans="1:5" outlineLevel="2" x14ac:dyDescent="0.25">
      <c r="A1034" s="3" t="s">
        <v>1327</v>
      </c>
      <c r="B1034" s="3" t="s">
        <v>1328</v>
      </c>
      <c r="C1034" s="3" t="s">
        <v>11</v>
      </c>
      <c r="D1034" s="4" t="s">
        <v>1329</v>
      </c>
      <c r="E1034" s="5">
        <f>ROUND(18359.38,2)</f>
        <v>18359.38</v>
      </c>
    </row>
    <row r="1035" spans="1:5" outlineLevel="2" x14ac:dyDescent="0.25">
      <c r="A1035" s="3" t="s">
        <v>1327</v>
      </c>
      <c r="B1035" s="3" t="s">
        <v>1328</v>
      </c>
      <c r="C1035" s="3" t="s">
        <v>17</v>
      </c>
      <c r="D1035" s="4" t="s">
        <v>1330</v>
      </c>
      <c r="E1035" s="5">
        <f>ROUND(12227.53,2)</f>
        <v>12227.53</v>
      </c>
    </row>
    <row r="1036" spans="1:5" outlineLevel="2" x14ac:dyDescent="0.25">
      <c r="A1036" s="3" t="s">
        <v>1327</v>
      </c>
      <c r="B1036" s="3" t="s">
        <v>1328</v>
      </c>
      <c r="C1036" s="3" t="s">
        <v>19</v>
      </c>
      <c r="D1036" s="4" t="s">
        <v>1331</v>
      </c>
      <c r="E1036" s="5">
        <f>ROUND(29845.21,2)</f>
        <v>29845.21</v>
      </c>
    </row>
    <row r="1037" spans="1:5" outlineLevel="2" x14ac:dyDescent="0.25">
      <c r="A1037" s="3" t="s">
        <v>1327</v>
      </c>
      <c r="B1037" s="3" t="s">
        <v>1328</v>
      </c>
      <c r="C1037" s="3" t="s">
        <v>21</v>
      </c>
      <c r="D1037" s="4" t="s">
        <v>1332</v>
      </c>
      <c r="E1037" s="5">
        <f>ROUND(960.33,2)</f>
        <v>960.33</v>
      </c>
    </row>
    <row r="1038" spans="1:5" outlineLevel="2" x14ac:dyDescent="0.25">
      <c r="A1038" s="3" t="s">
        <v>1327</v>
      </c>
      <c r="B1038" s="3" t="s">
        <v>1328</v>
      </c>
      <c r="C1038" s="3" t="s">
        <v>8</v>
      </c>
      <c r="D1038" s="4" t="s">
        <v>1333</v>
      </c>
      <c r="E1038" s="5">
        <f>ROUND(23858.45,2)</f>
        <v>23858.45</v>
      </c>
    </row>
    <row r="1039" spans="1:5" outlineLevel="2" x14ac:dyDescent="0.25">
      <c r="A1039" s="3" t="s">
        <v>1327</v>
      </c>
      <c r="B1039" s="3" t="s">
        <v>536</v>
      </c>
      <c r="C1039" s="3" t="s">
        <v>1334</v>
      </c>
      <c r="D1039" s="4" t="s">
        <v>1335</v>
      </c>
      <c r="E1039" s="5">
        <f>ROUND(129459,2)</f>
        <v>129459</v>
      </c>
    </row>
    <row r="1040" spans="1:5" outlineLevel="2" x14ac:dyDescent="0.25">
      <c r="A1040" s="3" t="s">
        <v>1327</v>
      </c>
      <c r="B1040" s="3" t="s">
        <v>536</v>
      </c>
      <c r="C1040" s="3" t="s">
        <v>1336</v>
      </c>
      <c r="D1040" s="4" t="s">
        <v>1337</v>
      </c>
      <c r="E1040" s="5">
        <f>ROUND(100000,2)</f>
        <v>100000</v>
      </c>
    </row>
    <row r="1041" spans="1:5" outlineLevel="2" x14ac:dyDescent="0.25">
      <c r="A1041" s="3" t="s">
        <v>1327</v>
      </c>
      <c r="B1041" s="3" t="s">
        <v>536</v>
      </c>
      <c r="C1041" s="3" t="s">
        <v>1303</v>
      </c>
      <c r="D1041" s="4" t="s">
        <v>1338</v>
      </c>
      <c r="E1041" s="5">
        <f>ROUND(230000,2)</f>
        <v>230000</v>
      </c>
    </row>
    <row r="1042" spans="1:5" outlineLevel="1" x14ac:dyDescent="0.25">
      <c r="A1042" s="6"/>
      <c r="B1042" s="7"/>
      <c r="C1042" s="7"/>
      <c r="D1042" s="8" t="s">
        <v>1339</v>
      </c>
      <c r="E1042" s="9">
        <f>SUBTOTAL(9,E1034:E1041)</f>
        <v>544709.9</v>
      </c>
    </row>
    <row r="1043" spans="1:5" outlineLevel="2" x14ac:dyDescent="0.25">
      <c r="A1043" s="3" t="s">
        <v>1340</v>
      </c>
      <c r="B1043" s="3" t="s">
        <v>1341</v>
      </c>
      <c r="C1043" s="3" t="s">
        <v>515</v>
      </c>
      <c r="D1043" s="4" t="s">
        <v>1342</v>
      </c>
      <c r="E1043" s="5">
        <f>ROUND(11795,2)</f>
        <v>11795</v>
      </c>
    </row>
    <row r="1044" spans="1:5" outlineLevel="2" x14ac:dyDescent="0.25">
      <c r="A1044" s="3" t="s">
        <v>1340</v>
      </c>
      <c r="B1044" s="3" t="s">
        <v>1328</v>
      </c>
      <c r="C1044" s="3" t="s">
        <v>28</v>
      </c>
      <c r="D1044" s="4" t="s">
        <v>1343</v>
      </c>
      <c r="E1044" s="5">
        <f>ROUND(20942.5,2)</f>
        <v>20942.5</v>
      </c>
    </row>
    <row r="1045" spans="1:5" outlineLevel="2" x14ac:dyDescent="0.25">
      <c r="A1045" s="3" t="s">
        <v>1340</v>
      </c>
      <c r="B1045" s="3" t="s">
        <v>1328</v>
      </c>
      <c r="C1045" s="3" t="s">
        <v>13</v>
      </c>
      <c r="D1045" s="4" t="s">
        <v>1344</v>
      </c>
      <c r="E1045" s="5">
        <f>ROUND(24729.44,2)</f>
        <v>24729.439999999999</v>
      </c>
    </row>
    <row r="1046" spans="1:5" outlineLevel="2" x14ac:dyDescent="0.25">
      <c r="A1046" s="3" t="s">
        <v>1340</v>
      </c>
      <c r="B1046" s="3" t="s">
        <v>1328</v>
      </c>
      <c r="C1046" s="3" t="s">
        <v>15</v>
      </c>
      <c r="D1046" s="4" t="s">
        <v>1345</v>
      </c>
      <c r="E1046" s="5">
        <f>ROUND(13243.97,2)</f>
        <v>13243.97</v>
      </c>
    </row>
    <row r="1047" spans="1:5" outlineLevel="2" x14ac:dyDescent="0.25">
      <c r="A1047" s="3" t="s">
        <v>1340</v>
      </c>
      <c r="B1047" s="3" t="s">
        <v>1328</v>
      </c>
      <c r="C1047" s="3" t="s">
        <v>17</v>
      </c>
      <c r="D1047" s="4" t="s">
        <v>1346</v>
      </c>
      <c r="E1047" s="5">
        <f>ROUND(25724.7,2)</f>
        <v>25724.7</v>
      </c>
    </row>
    <row r="1048" spans="1:5" outlineLevel="2" x14ac:dyDescent="0.25">
      <c r="A1048" s="3" t="s">
        <v>1340</v>
      </c>
      <c r="B1048" s="3" t="s">
        <v>1328</v>
      </c>
      <c r="C1048" s="3" t="s">
        <v>19</v>
      </c>
      <c r="D1048" s="4" t="s">
        <v>1347</v>
      </c>
      <c r="E1048" s="5">
        <f>ROUND(61914.2,2)</f>
        <v>61914.2</v>
      </c>
    </row>
    <row r="1049" spans="1:5" outlineLevel="2" x14ac:dyDescent="0.25">
      <c r="A1049" s="3" t="s">
        <v>1340</v>
      </c>
      <c r="B1049" s="3" t="s">
        <v>1328</v>
      </c>
      <c r="C1049" s="3" t="s">
        <v>555</v>
      </c>
      <c r="D1049" s="4" t="s">
        <v>1348</v>
      </c>
      <c r="E1049" s="5">
        <f>ROUND(689.06,2)</f>
        <v>689.06</v>
      </c>
    </row>
    <row r="1050" spans="1:5" outlineLevel="2" x14ac:dyDescent="0.25">
      <c r="A1050" s="3" t="s">
        <v>1340</v>
      </c>
      <c r="B1050" s="3" t="s">
        <v>1328</v>
      </c>
      <c r="C1050" s="3" t="s">
        <v>53</v>
      </c>
      <c r="D1050" s="4" t="s">
        <v>1349</v>
      </c>
      <c r="E1050" s="5">
        <f>ROUND(23991.54,2)</f>
        <v>23991.54</v>
      </c>
    </row>
    <row r="1051" spans="1:5" outlineLevel="2" x14ac:dyDescent="0.25">
      <c r="A1051" s="3" t="s">
        <v>1340</v>
      </c>
      <c r="B1051" s="3" t="s">
        <v>1328</v>
      </c>
      <c r="C1051" s="3" t="s">
        <v>55</v>
      </c>
      <c r="D1051" s="4" t="s">
        <v>1350</v>
      </c>
      <c r="E1051" s="5">
        <f>ROUND(45536.33,2)</f>
        <v>45536.33</v>
      </c>
    </row>
    <row r="1052" spans="1:5" outlineLevel="2" x14ac:dyDescent="0.25">
      <c r="A1052" s="3" t="s">
        <v>1340</v>
      </c>
      <c r="B1052" s="3" t="s">
        <v>1328</v>
      </c>
      <c r="C1052" s="3" t="s">
        <v>21</v>
      </c>
      <c r="D1052" s="4" t="s">
        <v>1351</v>
      </c>
      <c r="E1052" s="5">
        <f>ROUND(11099.6,2)</f>
        <v>11099.6</v>
      </c>
    </row>
    <row r="1053" spans="1:5" outlineLevel="2" x14ac:dyDescent="0.25">
      <c r="A1053" s="3" t="s">
        <v>1340</v>
      </c>
      <c r="B1053" s="3" t="s">
        <v>1328</v>
      </c>
      <c r="C1053" s="3" t="s">
        <v>8</v>
      </c>
      <c r="D1053" s="4" t="s">
        <v>1352</v>
      </c>
      <c r="E1053" s="5">
        <f>ROUND(68331.53,2)</f>
        <v>68331.53</v>
      </c>
    </row>
    <row r="1054" spans="1:5" outlineLevel="2" x14ac:dyDescent="0.25">
      <c r="A1054" s="3" t="s">
        <v>1340</v>
      </c>
      <c r="B1054" s="3" t="s">
        <v>1328</v>
      </c>
      <c r="C1054" s="3" t="s">
        <v>515</v>
      </c>
      <c r="D1054" s="4" t="s">
        <v>1353</v>
      </c>
      <c r="E1054" s="5">
        <f>ROUND(872716,2)</f>
        <v>872716</v>
      </c>
    </row>
    <row r="1055" spans="1:5" outlineLevel="2" x14ac:dyDescent="0.25">
      <c r="A1055" s="3" t="s">
        <v>1340</v>
      </c>
      <c r="B1055" s="3" t="s">
        <v>597</v>
      </c>
      <c r="C1055" s="3" t="s">
        <v>38</v>
      </c>
      <c r="D1055" s="4" t="s">
        <v>1354</v>
      </c>
      <c r="E1055" s="5">
        <f>ROUND(45475,2)</f>
        <v>45475</v>
      </c>
    </row>
    <row r="1056" spans="1:5" outlineLevel="2" x14ac:dyDescent="0.25">
      <c r="A1056" s="3" t="s">
        <v>1340</v>
      </c>
      <c r="B1056" s="3" t="s">
        <v>597</v>
      </c>
      <c r="C1056" s="3" t="s">
        <v>173</v>
      </c>
      <c r="D1056" s="4" t="s">
        <v>1355</v>
      </c>
      <c r="E1056" s="5">
        <f>ROUND(10,2)</f>
        <v>10</v>
      </c>
    </row>
    <row r="1057" spans="1:5" outlineLevel="1" x14ac:dyDescent="0.25">
      <c r="A1057" s="6"/>
      <c r="B1057" s="7"/>
      <c r="C1057" s="7"/>
      <c r="D1057" s="8" t="s">
        <v>1356</v>
      </c>
      <c r="E1057" s="9">
        <f>SUBTOTAL(9,E1043:E1056)</f>
        <v>1226198.8700000001</v>
      </c>
    </row>
    <row r="1058" spans="1:5" outlineLevel="2" x14ac:dyDescent="0.25">
      <c r="A1058" s="3" t="s">
        <v>1357</v>
      </c>
      <c r="B1058" s="3" t="s">
        <v>319</v>
      </c>
      <c r="C1058" s="3" t="s">
        <v>53</v>
      </c>
      <c r="D1058" s="4" t="s">
        <v>1358</v>
      </c>
      <c r="E1058" s="5">
        <f>ROUND(75397.91,2)</f>
        <v>75397.91</v>
      </c>
    </row>
    <row r="1059" spans="1:5" outlineLevel="2" x14ac:dyDescent="0.25">
      <c r="A1059" s="3" t="s">
        <v>1357</v>
      </c>
      <c r="B1059" s="3" t="s">
        <v>319</v>
      </c>
      <c r="C1059" s="3" t="s">
        <v>55</v>
      </c>
      <c r="D1059" s="4" t="s">
        <v>1359</v>
      </c>
      <c r="E1059" s="5">
        <f>ROUND(161388.13,2)</f>
        <v>161388.13</v>
      </c>
    </row>
    <row r="1060" spans="1:5" outlineLevel="2" x14ac:dyDescent="0.25">
      <c r="A1060" s="3" t="s">
        <v>1357</v>
      </c>
      <c r="B1060" s="3" t="s">
        <v>319</v>
      </c>
      <c r="C1060" s="3" t="s">
        <v>1023</v>
      </c>
      <c r="D1060" s="4" t="s">
        <v>1360</v>
      </c>
      <c r="E1060" s="5">
        <f>ROUND(166513.17,2)</f>
        <v>166513.17000000001</v>
      </c>
    </row>
    <row r="1061" spans="1:5" outlineLevel="2" x14ac:dyDescent="0.25">
      <c r="A1061" s="3" t="s">
        <v>1357</v>
      </c>
      <c r="B1061" s="3" t="s">
        <v>319</v>
      </c>
      <c r="C1061" s="3" t="s">
        <v>21</v>
      </c>
      <c r="D1061" s="4" t="s">
        <v>1361</v>
      </c>
      <c r="E1061" s="5">
        <f>ROUND(20118.44,2)</f>
        <v>20118.439999999999</v>
      </c>
    </row>
    <row r="1062" spans="1:5" outlineLevel="2" x14ac:dyDescent="0.25">
      <c r="A1062" s="3" t="s">
        <v>1357</v>
      </c>
      <c r="B1062" s="3" t="s">
        <v>319</v>
      </c>
      <c r="C1062" s="3" t="s">
        <v>492</v>
      </c>
      <c r="D1062" s="4" t="s">
        <v>1362</v>
      </c>
      <c r="E1062" s="5">
        <f>ROUND(20000,2)</f>
        <v>20000</v>
      </c>
    </row>
    <row r="1063" spans="1:5" outlineLevel="2" x14ac:dyDescent="0.25">
      <c r="A1063" s="3" t="s">
        <v>1357</v>
      </c>
      <c r="B1063" s="3" t="s">
        <v>319</v>
      </c>
      <c r="C1063" s="3" t="s">
        <v>8</v>
      </c>
      <c r="D1063" s="4" t="s">
        <v>1363</v>
      </c>
      <c r="E1063" s="5">
        <f>ROUND(174373.73,2)</f>
        <v>174373.73</v>
      </c>
    </row>
    <row r="1064" spans="1:5" outlineLevel="2" x14ac:dyDescent="0.25">
      <c r="A1064" s="3" t="s">
        <v>1357</v>
      </c>
      <c r="B1064" s="3" t="s">
        <v>319</v>
      </c>
      <c r="C1064" s="3" t="s">
        <v>100</v>
      </c>
      <c r="D1064" s="4" t="s">
        <v>1364</v>
      </c>
      <c r="E1064" s="5">
        <f>ROUND(91554,2)</f>
        <v>91554</v>
      </c>
    </row>
    <row r="1065" spans="1:5" outlineLevel="1" x14ac:dyDescent="0.25">
      <c r="A1065" s="6"/>
      <c r="B1065" s="7"/>
      <c r="C1065" s="7"/>
      <c r="D1065" s="8" t="s">
        <v>1365</v>
      </c>
      <c r="E1065" s="9">
        <f>SUBTOTAL(9,E1058:E1064)</f>
        <v>709345.38</v>
      </c>
    </row>
    <row r="1066" spans="1:5" outlineLevel="2" x14ac:dyDescent="0.25">
      <c r="A1066" s="3" t="s">
        <v>1366</v>
      </c>
      <c r="B1066" s="3" t="s">
        <v>1213</v>
      </c>
      <c r="C1066" s="3" t="s">
        <v>1367</v>
      </c>
      <c r="D1066" s="4" t="s">
        <v>1368</v>
      </c>
      <c r="E1066" s="5">
        <f>ROUND(50000,2)</f>
        <v>50000</v>
      </c>
    </row>
    <row r="1067" spans="1:5" outlineLevel="2" x14ac:dyDescent="0.25">
      <c r="A1067" s="3" t="s">
        <v>1366</v>
      </c>
      <c r="B1067" s="3" t="s">
        <v>1282</v>
      </c>
      <c r="C1067" s="3" t="s">
        <v>11</v>
      </c>
      <c r="D1067" s="4" t="s">
        <v>1369</v>
      </c>
      <c r="E1067" s="5">
        <f>ROUND(18359.38,2)</f>
        <v>18359.38</v>
      </c>
    </row>
    <row r="1068" spans="1:5" outlineLevel="2" x14ac:dyDescent="0.25">
      <c r="A1068" s="3" t="s">
        <v>1366</v>
      </c>
      <c r="B1068" s="3" t="s">
        <v>1282</v>
      </c>
      <c r="C1068" s="3" t="s">
        <v>28</v>
      </c>
      <c r="D1068" s="4" t="s">
        <v>1370</v>
      </c>
      <c r="E1068" s="5">
        <f>ROUND(32294.85,2)</f>
        <v>32294.85</v>
      </c>
    </row>
    <row r="1069" spans="1:5" outlineLevel="2" x14ac:dyDescent="0.25">
      <c r="A1069" s="3" t="s">
        <v>1366</v>
      </c>
      <c r="B1069" s="3" t="s">
        <v>1282</v>
      </c>
      <c r="C1069" s="3" t="s">
        <v>15</v>
      </c>
      <c r="D1069" s="4" t="s">
        <v>1371</v>
      </c>
      <c r="E1069" s="5">
        <f>ROUND(8061.57,2)</f>
        <v>8061.57</v>
      </c>
    </row>
    <row r="1070" spans="1:5" outlineLevel="2" x14ac:dyDescent="0.25">
      <c r="A1070" s="3" t="s">
        <v>1366</v>
      </c>
      <c r="B1070" s="3" t="s">
        <v>1282</v>
      </c>
      <c r="C1070" s="3" t="s">
        <v>17</v>
      </c>
      <c r="D1070" s="4" t="s">
        <v>1372</v>
      </c>
      <c r="E1070" s="5">
        <f>ROUND(24822.55,2)</f>
        <v>24822.55</v>
      </c>
    </row>
    <row r="1071" spans="1:5" outlineLevel="2" x14ac:dyDescent="0.25">
      <c r="A1071" s="3" t="s">
        <v>1366</v>
      </c>
      <c r="B1071" s="3" t="s">
        <v>1282</v>
      </c>
      <c r="C1071" s="3" t="s">
        <v>19</v>
      </c>
      <c r="D1071" s="4" t="s">
        <v>1373</v>
      </c>
      <c r="E1071" s="5">
        <f>ROUND(62920.77,2)</f>
        <v>62920.77</v>
      </c>
    </row>
    <row r="1072" spans="1:5" outlineLevel="2" x14ac:dyDescent="0.25">
      <c r="A1072" s="3" t="s">
        <v>1366</v>
      </c>
      <c r="B1072" s="3" t="s">
        <v>1282</v>
      </c>
      <c r="C1072" s="3" t="s">
        <v>21</v>
      </c>
      <c r="D1072" s="4" t="s">
        <v>1374</v>
      </c>
      <c r="E1072" s="5">
        <f>ROUND(4941.03,2)</f>
        <v>4941.03</v>
      </c>
    </row>
    <row r="1073" spans="1:5" outlineLevel="2" x14ac:dyDescent="0.25">
      <c r="A1073" s="3" t="s">
        <v>1366</v>
      </c>
      <c r="B1073" s="3" t="s">
        <v>1282</v>
      </c>
      <c r="C1073" s="3" t="s">
        <v>8</v>
      </c>
      <c r="D1073" s="4" t="s">
        <v>1375</v>
      </c>
      <c r="E1073" s="5">
        <f>ROUND(44908.24,2)</f>
        <v>44908.24</v>
      </c>
    </row>
    <row r="1074" spans="1:5" outlineLevel="2" x14ac:dyDescent="0.25">
      <c r="A1074" s="3" t="s">
        <v>1366</v>
      </c>
      <c r="B1074" s="3" t="s">
        <v>1282</v>
      </c>
      <c r="C1074" s="3" t="s">
        <v>1336</v>
      </c>
      <c r="D1074" s="4" t="s">
        <v>1376</v>
      </c>
      <c r="E1074" s="5">
        <f>ROUND(50000,2)</f>
        <v>50000</v>
      </c>
    </row>
    <row r="1075" spans="1:5" outlineLevel="2" x14ac:dyDescent="0.25">
      <c r="A1075" s="3" t="s">
        <v>1366</v>
      </c>
      <c r="B1075" s="3" t="s">
        <v>1377</v>
      </c>
      <c r="C1075" s="3" t="s">
        <v>173</v>
      </c>
      <c r="D1075" s="4" t="s">
        <v>1378</v>
      </c>
      <c r="E1075" s="5">
        <f>ROUND(234583,2)</f>
        <v>234583</v>
      </c>
    </row>
    <row r="1076" spans="1:5" outlineLevel="2" x14ac:dyDescent="0.25">
      <c r="A1076" s="3" t="s">
        <v>1366</v>
      </c>
      <c r="B1076" s="3" t="s">
        <v>1377</v>
      </c>
      <c r="C1076" s="3" t="s">
        <v>290</v>
      </c>
      <c r="D1076" s="4" t="s">
        <v>1379</v>
      </c>
      <c r="E1076" s="5">
        <f>ROUND(315734,2)</f>
        <v>315734</v>
      </c>
    </row>
    <row r="1077" spans="1:5" outlineLevel="2" x14ac:dyDescent="0.25">
      <c r="A1077" s="3" t="s">
        <v>1366</v>
      </c>
      <c r="B1077" s="3" t="s">
        <v>1377</v>
      </c>
      <c r="C1077" s="3" t="s">
        <v>292</v>
      </c>
      <c r="D1077" s="4" t="s">
        <v>1380</v>
      </c>
      <c r="E1077" s="5">
        <f>ROUND(80306,2)</f>
        <v>80306</v>
      </c>
    </row>
    <row r="1078" spans="1:5" outlineLevel="2" x14ac:dyDescent="0.25">
      <c r="A1078" s="3" t="s">
        <v>1366</v>
      </c>
      <c r="B1078" s="3" t="s">
        <v>1381</v>
      </c>
      <c r="C1078" s="3" t="s">
        <v>290</v>
      </c>
      <c r="D1078" s="4" t="s">
        <v>1382</v>
      </c>
      <c r="E1078" s="5">
        <f>ROUND(197314,2)</f>
        <v>197314</v>
      </c>
    </row>
    <row r="1079" spans="1:5" outlineLevel="2" x14ac:dyDescent="0.25">
      <c r="A1079" s="3" t="s">
        <v>1366</v>
      </c>
      <c r="B1079" s="3" t="s">
        <v>10</v>
      </c>
      <c r="C1079" s="3" t="s">
        <v>1383</v>
      </c>
      <c r="D1079" s="4" t="s">
        <v>1384</v>
      </c>
      <c r="E1079" s="5">
        <f>ROUND(85506,2)</f>
        <v>85506</v>
      </c>
    </row>
    <row r="1080" spans="1:5" outlineLevel="2" x14ac:dyDescent="0.25">
      <c r="A1080" s="3" t="s">
        <v>1366</v>
      </c>
      <c r="B1080" s="3" t="s">
        <v>10</v>
      </c>
      <c r="C1080" s="3" t="s">
        <v>1272</v>
      </c>
      <c r="D1080" s="4" t="s">
        <v>1385</v>
      </c>
      <c r="E1080" s="5">
        <f>ROUND(7000,2)</f>
        <v>7000</v>
      </c>
    </row>
    <row r="1081" spans="1:5" outlineLevel="2" x14ac:dyDescent="0.25">
      <c r="A1081" s="3" t="s">
        <v>1366</v>
      </c>
      <c r="B1081" s="3" t="s">
        <v>10</v>
      </c>
      <c r="C1081" s="3" t="s">
        <v>1386</v>
      </c>
      <c r="D1081" s="4" t="s">
        <v>1387</v>
      </c>
      <c r="E1081" s="5">
        <f>ROUND(154968,2)</f>
        <v>154968</v>
      </c>
    </row>
    <row r="1082" spans="1:5" outlineLevel="1" x14ac:dyDescent="0.25">
      <c r="A1082" s="6"/>
      <c r="B1082" s="7"/>
      <c r="C1082" s="7"/>
      <c r="D1082" s="8" t="s">
        <v>1388</v>
      </c>
      <c r="E1082" s="9">
        <f>SUBTOTAL(9,E1066:E1081)</f>
        <v>1371719.3900000001</v>
      </c>
    </row>
    <row r="1083" spans="1:5" outlineLevel="2" x14ac:dyDescent="0.25">
      <c r="A1083" s="3" t="s">
        <v>1389</v>
      </c>
      <c r="B1083" s="3" t="s">
        <v>1390</v>
      </c>
      <c r="C1083" s="3" t="s">
        <v>1367</v>
      </c>
      <c r="D1083" s="4" t="s">
        <v>1391</v>
      </c>
      <c r="E1083" s="5">
        <f>ROUND(1604535,2)</f>
        <v>1604535</v>
      </c>
    </row>
    <row r="1084" spans="1:5" outlineLevel="2" x14ac:dyDescent="0.25">
      <c r="A1084" s="3" t="s">
        <v>1389</v>
      </c>
      <c r="B1084" s="3" t="s">
        <v>1390</v>
      </c>
      <c r="C1084" s="3" t="s">
        <v>387</v>
      </c>
      <c r="D1084" s="4" t="s">
        <v>1392</v>
      </c>
      <c r="E1084" s="5">
        <f>ROUND(10,2)</f>
        <v>10</v>
      </c>
    </row>
    <row r="1085" spans="1:5" outlineLevel="2" x14ac:dyDescent="0.25">
      <c r="A1085" s="3" t="s">
        <v>1389</v>
      </c>
      <c r="B1085" s="3" t="s">
        <v>1393</v>
      </c>
      <c r="C1085" s="3" t="s">
        <v>11</v>
      </c>
      <c r="D1085" s="4" t="s">
        <v>1394</v>
      </c>
      <c r="E1085" s="5">
        <f>ROUND(4000,2)</f>
        <v>4000</v>
      </c>
    </row>
    <row r="1086" spans="1:5" outlineLevel="2" x14ac:dyDescent="0.25">
      <c r="A1086" s="3" t="s">
        <v>1389</v>
      </c>
      <c r="B1086" s="3" t="s">
        <v>1393</v>
      </c>
      <c r="C1086" s="3" t="s">
        <v>15</v>
      </c>
      <c r="D1086" s="4" t="s">
        <v>1395</v>
      </c>
      <c r="E1086" s="5">
        <f>ROUND(50,2)</f>
        <v>50</v>
      </c>
    </row>
    <row r="1087" spans="1:5" outlineLevel="2" x14ac:dyDescent="0.25">
      <c r="A1087" s="3" t="s">
        <v>1389</v>
      </c>
      <c r="B1087" s="3" t="s">
        <v>1393</v>
      </c>
      <c r="C1087" s="3" t="s">
        <v>17</v>
      </c>
      <c r="D1087" s="4" t="s">
        <v>1396</v>
      </c>
      <c r="E1087" s="5">
        <f>ROUND(450,2)</f>
        <v>450</v>
      </c>
    </row>
    <row r="1088" spans="1:5" outlineLevel="2" x14ac:dyDescent="0.25">
      <c r="A1088" s="3" t="s">
        <v>1389</v>
      </c>
      <c r="B1088" s="3" t="s">
        <v>1393</v>
      </c>
      <c r="C1088" s="3" t="s">
        <v>19</v>
      </c>
      <c r="D1088" s="4" t="s">
        <v>1397</v>
      </c>
      <c r="E1088" s="5">
        <f>ROUND(300,2)</f>
        <v>300</v>
      </c>
    </row>
    <row r="1089" spans="1:5" outlineLevel="2" x14ac:dyDescent="0.25">
      <c r="A1089" s="3" t="s">
        <v>1389</v>
      </c>
      <c r="B1089" s="3" t="s">
        <v>1393</v>
      </c>
      <c r="C1089" s="3" t="s">
        <v>21</v>
      </c>
      <c r="D1089" s="4" t="s">
        <v>1398</v>
      </c>
      <c r="E1089" s="5">
        <f>ROUND(100,2)</f>
        <v>100</v>
      </c>
    </row>
    <row r="1090" spans="1:5" outlineLevel="2" x14ac:dyDescent="0.25">
      <c r="A1090" s="3" t="s">
        <v>1389</v>
      </c>
      <c r="B1090" s="3" t="s">
        <v>1393</v>
      </c>
      <c r="C1090" s="3" t="s">
        <v>8</v>
      </c>
      <c r="D1090" s="4" t="s">
        <v>1399</v>
      </c>
      <c r="E1090" s="5">
        <f>ROUND(200.91,2)</f>
        <v>200.91</v>
      </c>
    </row>
    <row r="1091" spans="1:5" outlineLevel="2" x14ac:dyDescent="0.25">
      <c r="A1091" s="3" t="s">
        <v>1389</v>
      </c>
      <c r="B1091" s="3" t="s">
        <v>379</v>
      </c>
      <c r="C1091" s="3" t="s">
        <v>1400</v>
      </c>
      <c r="D1091" s="4" t="s">
        <v>1401</v>
      </c>
      <c r="E1091" s="5">
        <f>ROUND(65118,2)</f>
        <v>65118</v>
      </c>
    </row>
    <row r="1092" spans="1:5" outlineLevel="2" x14ac:dyDescent="0.25">
      <c r="A1092" s="3" t="s">
        <v>1389</v>
      </c>
      <c r="B1092" s="3" t="s">
        <v>379</v>
      </c>
      <c r="C1092" s="3" t="s">
        <v>1402</v>
      </c>
      <c r="D1092" s="4" t="s">
        <v>1403</v>
      </c>
      <c r="E1092" s="5">
        <f>ROUND(190000,2)</f>
        <v>190000</v>
      </c>
    </row>
    <row r="1093" spans="1:5" outlineLevel="2" x14ac:dyDescent="0.25">
      <c r="A1093" s="3" t="s">
        <v>1389</v>
      </c>
      <c r="B1093" s="3" t="s">
        <v>373</v>
      </c>
      <c r="C1093" s="3" t="s">
        <v>381</v>
      </c>
      <c r="D1093" s="4" t="s">
        <v>1404</v>
      </c>
      <c r="E1093" s="5">
        <f>ROUND(10,2)</f>
        <v>10</v>
      </c>
    </row>
    <row r="1094" spans="1:5" outlineLevel="2" x14ac:dyDescent="0.25">
      <c r="A1094" s="3" t="s">
        <v>1389</v>
      </c>
      <c r="B1094" s="3" t="s">
        <v>373</v>
      </c>
      <c r="C1094" s="3" t="s">
        <v>1400</v>
      </c>
      <c r="D1094" s="4" t="s">
        <v>1405</v>
      </c>
      <c r="E1094" s="5">
        <f>ROUND(77110,2)</f>
        <v>77110</v>
      </c>
    </row>
    <row r="1095" spans="1:5" outlineLevel="2" x14ac:dyDescent="0.25">
      <c r="A1095" s="3" t="s">
        <v>1389</v>
      </c>
      <c r="B1095" s="3" t="s">
        <v>373</v>
      </c>
      <c r="C1095" s="3" t="s">
        <v>1402</v>
      </c>
      <c r="D1095" s="4" t="s">
        <v>1406</v>
      </c>
      <c r="E1095" s="5">
        <f>ROUND(60000,2)</f>
        <v>60000</v>
      </c>
    </row>
    <row r="1096" spans="1:5" outlineLevel="1" x14ac:dyDescent="0.25">
      <c r="A1096" s="6"/>
      <c r="B1096" s="7"/>
      <c r="C1096" s="7"/>
      <c r="D1096" s="8" t="s">
        <v>1407</v>
      </c>
      <c r="E1096" s="9">
        <f>SUBTOTAL(9,E1083:E1095)</f>
        <v>2001883.91</v>
      </c>
    </row>
    <row r="1097" spans="1:5" outlineLevel="2" x14ac:dyDescent="0.25">
      <c r="A1097" s="3" t="s">
        <v>1408</v>
      </c>
      <c r="B1097" s="3" t="s">
        <v>21</v>
      </c>
      <c r="C1097" s="3" t="s">
        <v>100</v>
      </c>
      <c r="D1097" s="4" t="s">
        <v>1409</v>
      </c>
      <c r="E1097" s="5">
        <f>ROUND(7060,2)</f>
        <v>7060</v>
      </c>
    </row>
    <row r="1098" spans="1:5" outlineLevel="2" x14ac:dyDescent="0.25">
      <c r="A1098" s="3" t="s">
        <v>1408</v>
      </c>
      <c r="B1098" s="3" t="s">
        <v>1393</v>
      </c>
      <c r="C1098" s="3" t="s">
        <v>28</v>
      </c>
      <c r="D1098" s="4" t="s">
        <v>1410</v>
      </c>
      <c r="E1098" s="5">
        <f>ROUND(48432.9,2)</f>
        <v>48432.9</v>
      </c>
    </row>
    <row r="1099" spans="1:5" outlineLevel="2" x14ac:dyDescent="0.25">
      <c r="A1099" s="3" t="s">
        <v>1408</v>
      </c>
      <c r="B1099" s="3" t="s">
        <v>1393</v>
      </c>
      <c r="C1099" s="3" t="s">
        <v>15</v>
      </c>
      <c r="D1099" s="4" t="s">
        <v>1411</v>
      </c>
      <c r="E1099" s="5">
        <f>ROUND(4202.46,2)</f>
        <v>4202.46</v>
      </c>
    </row>
    <row r="1100" spans="1:5" outlineLevel="2" x14ac:dyDescent="0.25">
      <c r="A1100" s="3" t="s">
        <v>1408</v>
      </c>
      <c r="B1100" s="3" t="s">
        <v>1393</v>
      </c>
      <c r="C1100" s="3" t="s">
        <v>17</v>
      </c>
      <c r="D1100" s="4" t="s">
        <v>1412</v>
      </c>
      <c r="E1100" s="5">
        <f>ROUND(25608.66,2)</f>
        <v>25608.66</v>
      </c>
    </row>
    <row r="1101" spans="1:5" outlineLevel="2" x14ac:dyDescent="0.25">
      <c r="A1101" s="3" t="s">
        <v>1408</v>
      </c>
      <c r="B1101" s="3" t="s">
        <v>1393</v>
      </c>
      <c r="C1101" s="3" t="s">
        <v>19</v>
      </c>
      <c r="D1101" s="4" t="s">
        <v>1413</v>
      </c>
      <c r="E1101" s="5">
        <f>ROUND(58175.44,2)</f>
        <v>58175.44</v>
      </c>
    </row>
    <row r="1102" spans="1:5" outlineLevel="2" x14ac:dyDescent="0.25">
      <c r="A1102" s="3" t="s">
        <v>1408</v>
      </c>
      <c r="B1102" s="3" t="s">
        <v>1393</v>
      </c>
      <c r="C1102" s="3" t="s">
        <v>555</v>
      </c>
      <c r="D1102" s="4" t="s">
        <v>1414</v>
      </c>
      <c r="E1102" s="5">
        <f>ROUND(10,2)</f>
        <v>10</v>
      </c>
    </row>
    <row r="1103" spans="1:5" outlineLevel="2" x14ac:dyDescent="0.25">
      <c r="A1103" s="3" t="s">
        <v>1408</v>
      </c>
      <c r="B1103" s="3" t="s">
        <v>1393</v>
      </c>
      <c r="C1103" s="3" t="s">
        <v>53</v>
      </c>
      <c r="D1103" s="4" t="s">
        <v>1415</v>
      </c>
      <c r="E1103" s="5">
        <f>ROUND(47014.78,2)</f>
        <v>47014.78</v>
      </c>
    </row>
    <row r="1104" spans="1:5" outlineLevel="2" x14ac:dyDescent="0.25">
      <c r="A1104" s="3" t="s">
        <v>1408</v>
      </c>
      <c r="B1104" s="3" t="s">
        <v>1393</v>
      </c>
      <c r="C1104" s="3" t="s">
        <v>55</v>
      </c>
      <c r="D1104" s="4" t="s">
        <v>1416</v>
      </c>
      <c r="E1104" s="5">
        <f>ROUND(91397.39,2)</f>
        <v>91397.39</v>
      </c>
    </row>
    <row r="1105" spans="1:5" outlineLevel="2" x14ac:dyDescent="0.25">
      <c r="A1105" s="3" t="s">
        <v>1408</v>
      </c>
      <c r="B1105" s="3" t="s">
        <v>1393</v>
      </c>
      <c r="C1105" s="3" t="s">
        <v>1023</v>
      </c>
      <c r="D1105" s="4" t="s">
        <v>1417</v>
      </c>
      <c r="E1105" s="5">
        <f>ROUND(6936.65,2)</f>
        <v>6936.65</v>
      </c>
    </row>
    <row r="1106" spans="1:5" outlineLevel="2" x14ac:dyDescent="0.25">
      <c r="A1106" s="3" t="s">
        <v>1408</v>
      </c>
      <c r="B1106" s="3" t="s">
        <v>1393</v>
      </c>
      <c r="C1106" s="3" t="s">
        <v>21</v>
      </c>
      <c r="D1106" s="4" t="s">
        <v>1418</v>
      </c>
      <c r="E1106" s="5">
        <f>ROUND(12827.11,2)</f>
        <v>12827.11</v>
      </c>
    </row>
    <row r="1107" spans="1:5" outlineLevel="2" x14ac:dyDescent="0.25">
      <c r="A1107" s="3" t="s">
        <v>1408</v>
      </c>
      <c r="B1107" s="3" t="s">
        <v>1393</v>
      </c>
      <c r="C1107" s="3" t="s">
        <v>492</v>
      </c>
      <c r="D1107" s="4" t="s">
        <v>1419</v>
      </c>
      <c r="E1107" s="5">
        <f>ROUND(19660.5,2)</f>
        <v>19660.5</v>
      </c>
    </row>
    <row r="1108" spans="1:5" outlineLevel="2" x14ac:dyDescent="0.25">
      <c r="A1108" s="3" t="s">
        <v>1408</v>
      </c>
      <c r="B1108" s="3" t="s">
        <v>1393</v>
      </c>
      <c r="C1108" s="3" t="s">
        <v>8</v>
      </c>
      <c r="D1108" s="4" t="s">
        <v>1420</v>
      </c>
      <c r="E1108" s="5">
        <f>ROUND(119808.36,2)</f>
        <v>119808.36</v>
      </c>
    </row>
    <row r="1109" spans="1:5" outlineLevel="2" x14ac:dyDescent="0.25">
      <c r="A1109" s="3" t="s">
        <v>1408</v>
      </c>
      <c r="B1109" s="3" t="s">
        <v>1393</v>
      </c>
      <c r="C1109" s="3" t="s">
        <v>1421</v>
      </c>
      <c r="D1109" s="4" t="s">
        <v>1422</v>
      </c>
      <c r="E1109" s="5">
        <f>ROUND(577202,2)</f>
        <v>577202</v>
      </c>
    </row>
    <row r="1110" spans="1:5" outlineLevel="2" x14ac:dyDescent="0.25">
      <c r="A1110" s="3" t="s">
        <v>1408</v>
      </c>
      <c r="B1110" s="3" t="s">
        <v>1393</v>
      </c>
      <c r="C1110" s="3" t="s">
        <v>173</v>
      </c>
      <c r="D1110" s="4" t="s">
        <v>1423</v>
      </c>
      <c r="E1110" s="5">
        <f>ROUND(782900,2)</f>
        <v>782900</v>
      </c>
    </row>
    <row r="1111" spans="1:5" outlineLevel="2" x14ac:dyDescent="0.25">
      <c r="A1111" s="3" t="s">
        <v>1408</v>
      </c>
      <c r="B1111" s="3" t="s">
        <v>1393</v>
      </c>
      <c r="C1111" s="3" t="s">
        <v>534</v>
      </c>
      <c r="D1111" s="4" t="s">
        <v>1424</v>
      </c>
      <c r="E1111" s="5">
        <f>ROUND(36300,2)</f>
        <v>36300</v>
      </c>
    </row>
    <row r="1112" spans="1:5" outlineLevel="2" x14ac:dyDescent="0.25">
      <c r="A1112" s="3" t="s">
        <v>1408</v>
      </c>
      <c r="B1112" s="3" t="s">
        <v>379</v>
      </c>
      <c r="C1112" s="3" t="s">
        <v>1421</v>
      </c>
      <c r="D1112" s="4" t="s">
        <v>1425</v>
      </c>
      <c r="E1112" s="5">
        <f>ROUND(278364,2)</f>
        <v>278364</v>
      </c>
    </row>
    <row r="1113" spans="1:5" outlineLevel="2" x14ac:dyDescent="0.25">
      <c r="A1113" s="3" t="s">
        <v>1408</v>
      </c>
      <c r="B1113" s="3" t="s">
        <v>373</v>
      </c>
      <c r="C1113" s="3" t="s">
        <v>1421</v>
      </c>
      <c r="D1113" s="4" t="s">
        <v>1426</v>
      </c>
      <c r="E1113" s="5">
        <f>ROUND(592432,2)</f>
        <v>592432</v>
      </c>
    </row>
    <row r="1114" spans="1:5" outlineLevel="2" x14ac:dyDescent="0.25">
      <c r="A1114" s="3" t="s">
        <v>1408</v>
      </c>
      <c r="B1114" s="3" t="s">
        <v>373</v>
      </c>
      <c r="C1114" s="3" t="s">
        <v>574</v>
      </c>
      <c r="D1114" s="4" t="s">
        <v>1427</v>
      </c>
      <c r="E1114" s="5">
        <f>ROUND(48400,2)</f>
        <v>48400</v>
      </c>
    </row>
    <row r="1115" spans="1:5" outlineLevel="2" x14ac:dyDescent="0.25">
      <c r="A1115" s="3" t="s">
        <v>1408</v>
      </c>
      <c r="B1115" s="3" t="s">
        <v>576</v>
      </c>
      <c r="C1115" s="3" t="s">
        <v>381</v>
      </c>
      <c r="D1115" s="4" t="s">
        <v>1428</v>
      </c>
      <c r="E1115" s="5">
        <f>ROUND(218348,2)</f>
        <v>218348</v>
      </c>
    </row>
    <row r="1116" spans="1:5" outlineLevel="2" x14ac:dyDescent="0.25">
      <c r="A1116" s="3" t="s">
        <v>1408</v>
      </c>
      <c r="B1116" s="3" t="s">
        <v>578</v>
      </c>
      <c r="C1116" s="3" t="s">
        <v>381</v>
      </c>
      <c r="D1116" s="4" t="s">
        <v>1429</v>
      </c>
      <c r="E1116" s="5">
        <f>ROUND(161478,2)</f>
        <v>161478</v>
      </c>
    </row>
    <row r="1117" spans="1:5" outlineLevel="1" x14ac:dyDescent="0.25">
      <c r="A1117" s="6"/>
      <c r="B1117" s="7"/>
      <c r="C1117" s="7"/>
      <c r="D1117" s="8" t="s">
        <v>1430</v>
      </c>
      <c r="E1117" s="9">
        <f>SUBTOTAL(9,E1097:E1116)</f>
        <v>3136558.25</v>
      </c>
    </row>
    <row r="1118" spans="1:5" outlineLevel="2" x14ac:dyDescent="0.25">
      <c r="A1118" s="3" t="s">
        <v>1431</v>
      </c>
      <c r="B1118" s="3" t="s">
        <v>1390</v>
      </c>
      <c r="C1118" s="3" t="s">
        <v>173</v>
      </c>
      <c r="D1118" s="4" t="s">
        <v>1432</v>
      </c>
      <c r="E1118" s="5">
        <f>ROUND(4988192,2)</f>
        <v>4988192</v>
      </c>
    </row>
    <row r="1119" spans="1:5" outlineLevel="2" x14ac:dyDescent="0.25">
      <c r="A1119" s="3" t="s">
        <v>1431</v>
      </c>
      <c r="B1119" s="3" t="s">
        <v>1433</v>
      </c>
      <c r="C1119" s="3" t="s">
        <v>173</v>
      </c>
      <c r="D1119" s="4" t="s">
        <v>1434</v>
      </c>
      <c r="E1119" s="5">
        <f>ROUND(110000,2)</f>
        <v>110000</v>
      </c>
    </row>
    <row r="1120" spans="1:5" outlineLevel="2" x14ac:dyDescent="0.25">
      <c r="A1120" s="3" t="s">
        <v>1431</v>
      </c>
      <c r="B1120" s="3" t="s">
        <v>1435</v>
      </c>
      <c r="C1120" s="3" t="s">
        <v>1436</v>
      </c>
      <c r="D1120" s="4" t="s">
        <v>1437</v>
      </c>
      <c r="E1120" s="5">
        <f>ROUND(5625321,2)</f>
        <v>5625321</v>
      </c>
    </row>
    <row r="1121" spans="1:5" outlineLevel="2" x14ac:dyDescent="0.25">
      <c r="A1121" s="3" t="s">
        <v>1431</v>
      </c>
      <c r="B1121" s="3" t="s">
        <v>1438</v>
      </c>
      <c r="C1121" s="3" t="s">
        <v>1436</v>
      </c>
      <c r="D1121" s="4" t="s">
        <v>1439</v>
      </c>
      <c r="E1121" s="5">
        <f>ROUND(10,2)</f>
        <v>10</v>
      </c>
    </row>
    <row r="1122" spans="1:5" outlineLevel="2" x14ac:dyDescent="0.25">
      <c r="A1122" s="3" t="s">
        <v>1431</v>
      </c>
      <c r="B1122" s="3" t="s">
        <v>317</v>
      </c>
      <c r="C1122" s="3" t="s">
        <v>1114</v>
      </c>
      <c r="D1122" s="4" t="s">
        <v>1440</v>
      </c>
      <c r="E1122" s="5">
        <f>ROUND(75994,2)</f>
        <v>75994</v>
      </c>
    </row>
    <row r="1123" spans="1:5" outlineLevel="2" x14ac:dyDescent="0.25">
      <c r="A1123" s="3" t="s">
        <v>1431</v>
      </c>
      <c r="B1123" s="3" t="s">
        <v>379</v>
      </c>
      <c r="C1123" s="3" t="s">
        <v>1436</v>
      </c>
      <c r="D1123" s="4" t="s">
        <v>1441</v>
      </c>
      <c r="E1123" s="5">
        <f>ROUND(1936000,2)</f>
        <v>1936000</v>
      </c>
    </row>
    <row r="1124" spans="1:5" outlineLevel="2" x14ac:dyDescent="0.25">
      <c r="A1124" s="3" t="s">
        <v>1431</v>
      </c>
      <c r="B1124" s="3" t="s">
        <v>10</v>
      </c>
      <c r="C1124" s="3" t="s">
        <v>1436</v>
      </c>
      <c r="D1124" s="4" t="s">
        <v>1442</v>
      </c>
      <c r="E1124" s="5">
        <f>ROUND(1060000,2)</f>
        <v>1060000</v>
      </c>
    </row>
    <row r="1125" spans="1:5" outlineLevel="2" x14ac:dyDescent="0.25">
      <c r="A1125" s="3" t="s">
        <v>1431</v>
      </c>
      <c r="B1125" s="3" t="s">
        <v>373</v>
      </c>
      <c r="C1125" s="3" t="s">
        <v>11</v>
      </c>
      <c r="D1125" s="4" t="s">
        <v>1443</v>
      </c>
      <c r="E1125" s="5">
        <f>ROUND(18359.38,2)</f>
        <v>18359.38</v>
      </c>
    </row>
    <row r="1126" spans="1:5" outlineLevel="2" x14ac:dyDescent="0.25">
      <c r="A1126" s="3" t="s">
        <v>1431</v>
      </c>
      <c r="B1126" s="3" t="s">
        <v>373</v>
      </c>
      <c r="C1126" s="3" t="s">
        <v>28</v>
      </c>
      <c r="D1126" s="4" t="s">
        <v>1444</v>
      </c>
      <c r="E1126" s="5">
        <f>ROUND(37490.6,2)</f>
        <v>37490.6</v>
      </c>
    </row>
    <row r="1127" spans="1:5" outlineLevel="2" x14ac:dyDescent="0.25">
      <c r="A1127" s="3" t="s">
        <v>1431</v>
      </c>
      <c r="B1127" s="3" t="s">
        <v>373</v>
      </c>
      <c r="C1127" s="3" t="s">
        <v>15</v>
      </c>
      <c r="D1127" s="4" t="s">
        <v>1445</v>
      </c>
      <c r="E1127" s="5">
        <f>ROUND(3594.31,2)</f>
        <v>3594.31</v>
      </c>
    </row>
    <row r="1128" spans="1:5" outlineLevel="2" x14ac:dyDescent="0.25">
      <c r="A1128" s="3" t="s">
        <v>1431</v>
      </c>
      <c r="B1128" s="3" t="s">
        <v>373</v>
      </c>
      <c r="C1128" s="3" t="s">
        <v>17</v>
      </c>
      <c r="D1128" s="4" t="s">
        <v>1446</v>
      </c>
      <c r="E1128" s="5">
        <f>ROUND(26050.87,2)</f>
        <v>26050.87</v>
      </c>
    </row>
    <row r="1129" spans="1:5" outlineLevel="2" x14ac:dyDescent="0.25">
      <c r="A1129" s="3" t="s">
        <v>1431</v>
      </c>
      <c r="B1129" s="3" t="s">
        <v>373</v>
      </c>
      <c r="C1129" s="3" t="s">
        <v>19</v>
      </c>
      <c r="D1129" s="4" t="s">
        <v>1447</v>
      </c>
      <c r="E1129" s="5">
        <f>ROUND(50774.95,2)</f>
        <v>50774.95</v>
      </c>
    </row>
    <row r="1130" spans="1:5" outlineLevel="2" x14ac:dyDescent="0.25">
      <c r="A1130" s="3" t="s">
        <v>1431</v>
      </c>
      <c r="B1130" s="3" t="s">
        <v>373</v>
      </c>
      <c r="C1130" s="3" t="s">
        <v>21</v>
      </c>
      <c r="D1130" s="4" t="s">
        <v>1448</v>
      </c>
      <c r="E1130" s="5">
        <f>ROUND(4867.61,2)</f>
        <v>4867.6099999999997</v>
      </c>
    </row>
    <row r="1131" spans="1:5" outlineLevel="2" x14ac:dyDescent="0.25">
      <c r="A1131" s="3" t="s">
        <v>1431</v>
      </c>
      <c r="B1131" s="3" t="s">
        <v>373</v>
      </c>
      <c r="C1131" s="3" t="s">
        <v>8</v>
      </c>
      <c r="D1131" s="4" t="s">
        <v>1449</v>
      </c>
      <c r="E1131" s="5">
        <f>ROUND(40433.53,2)</f>
        <v>40433.53</v>
      </c>
    </row>
    <row r="1132" spans="1:5" outlineLevel="1" x14ac:dyDescent="0.25">
      <c r="A1132" s="6"/>
      <c r="B1132" s="7"/>
      <c r="C1132" s="7"/>
      <c r="D1132" s="8" t="s">
        <v>1450</v>
      </c>
      <c r="E1132" s="9">
        <f>SUBTOTAL(9,E1118:E1131)</f>
        <v>13977088.249999998</v>
      </c>
    </row>
    <row r="1133" spans="1:5" outlineLevel="2" x14ac:dyDescent="0.25">
      <c r="A1133" s="3" t="s">
        <v>1451</v>
      </c>
      <c r="B1133" s="3" t="s">
        <v>536</v>
      </c>
      <c r="C1133" s="3" t="s">
        <v>28</v>
      </c>
      <c r="D1133" s="4" t="s">
        <v>1452</v>
      </c>
      <c r="E1133" s="5">
        <f>ROUND(39488.81,2)</f>
        <v>39488.81</v>
      </c>
    </row>
    <row r="1134" spans="1:5" outlineLevel="2" x14ac:dyDescent="0.25">
      <c r="A1134" s="3" t="s">
        <v>1451</v>
      </c>
      <c r="B1134" s="3" t="s">
        <v>536</v>
      </c>
      <c r="C1134" s="3" t="s">
        <v>13</v>
      </c>
      <c r="D1134" s="4" t="s">
        <v>1453</v>
      </c>
      <c r="E1134" s="5">
        <f>ROUND(12364.72,2)</f>
        <v>12364.72</v>
      </c>
    </row>
    <row r="1135" spans="1:5" outlineLevel="2" x14ac:dyDescent="0.25">
      <c r="A1135" s="3" t="s">
        <v>1451</v>
      </c>
      <c r="B1135" s="3" t="s">
        <v>536</v>
      </c>
      <c r="C1135" s="3" t="s">
        <v>15</v>
      </c>
      <c r="D1135" s="4" t="s">
        <v>1454</v>
      </c>
      <c r="E1135" s="5">
        <f>ROUND(7191.66,2)</f>
        <v>7191.66</v>
      </c>
    </row>
    <row r="1136" spans="1:5" outlineLevel="2" x14ac:dyDescent="0.25">
      <c r="A1136" s="3" t="s">
        <v>1451</v>
      </c>
      <c r="B1136" s="3" t="s">
        <v>536</v>
      </c>
      <c r="C1136" s="3" t="s">
        <v>17</v>
      </c>
      <c r="D1136" s="4" t="s">
        <v>1455</v>
      </c>
      <c r="E1136" s="5">
        <f>ROUND(22464.38,2)</f>
        <v>22464.38</v>
      </c>
    </row>
    <row r="1137" spans="1:5" outlineLevel="2" x14ac:dyDescent="0.25">
      <c r="A1137" s="3" t="s">
        <v>1451</v>
      </c>
      <c r="B1137" s="3" t="s">
        <v>536</v>
      </c>
      <c r="C1137" s="3" t="s">
        <v>19</v>
      </c>
      <c r="D1137" s="4" t="s">
        <v>1456</v>
      </c>
      <c r="E1137" s="5">
        <f>ROUND(53077.05,2)</f>
        <v>53077.05</v>
      </c>
    </row>
    <row r="1138" spans="1:5" outlineLevel="2" x14ac:dyDescent="0.25">
      <c r="A1138" s="3" t="s">
        <v>1451</v>
      </c>
      <c r="B1138" s="3" t="s">
        <v>536</v>
      </c>
      <c r="C1138" s="3" t="s">
        <v>21</v>
      </c>
      <c r="D1138" s="4" t="s">
        <v>1457</v>
      </c>
      <c r="E1138" s="5">
        <f>ROUND(6211.06,2)</f>
        <v>6211.06</v>
      </c>
    </row>
    <row r="1139" spans="1:5" outlineLevel="2" x14ac:dyDescent="0.25">
      <c r="A1139" s="3" t="s">
        <v>1451</v>
      </c>
      <c r="B1139" s="3" t="s">
        <v>536</v>
      </c>
      <c r="C1139" s="3" t="s">
        <v>8</v>
      </c>
      <c r="D1139" s="4" t="s">
        <v>1458</v>
      </c>
      <c r="E1139" s="5">
        <f>ROUND(39877.66,2)</f>
        <v>39877.660000000003</v>
      </c>
    </row>
    <row r="1140" spans="1:5" outlineLevel="2" x14ac:dyDescent="0.25">
      <c r="A1140" s="3" t="s">
        <v>1451</v>
      </c>
      <c r="B1140" s="3" t="s">
        <v>536</v>
      </c>
      <c r="C1140" s="3" t="s">
        <v>1459</v>
      </c>
      <c r="D1140" s="4" t="s">
        <v>1460</v>
      </c>
      <c r="E1140" s="5">
        <f>ROUND(5600,2)</f>
        <v>5600</v>
      </c>
    </row>
    <row r="1141" spans="1:5" outlineLevel="2" x14ac:dyDescent="0.25">
      <c r="A1141" s="3" t="s">
        <v>1451</v>
      </c>
      <c r="B1141" s="3" t="s">
        <v>536</v>
      </c>
      <c r="C1141" s="3" t="s">
        <v>1400</v>
      </c>
      <c r="D1141" s="4" t="s">
        <v>1461</v>
      </c>
      <c r="E1141" s="5">
        <f>ROUND(120322,2)</f>
        <v>120322</v>
      </c>
    </row>
    <row r="1142" spans="1:5" outlineLevel="2" x14ac:dyDescent="0.25">
      <c r="A1142" s="3" t="s">
        <v>1451</v>
      </c>
      <c r="B1142" s="3" t="s">
        <v>536</v>
      </c>
      <c r="C1142" s="3" t="s">
        <v>173</v>
      </c>
      <c r="D1142" s="4" t="s">
        <v>1462</v>
      </c>
      <c r="E1142" s="5">
        <f>ROUND(3390151,2)</f>
        <v>3390151</v>
      </c>
    </row>
    <row r="1143" spans="1:5" outlineLevel="2" x14ac:dyDescent="0.25">
      <c r="A1143" s="3" t="s">
        <v>1451</v>
      </c>
      <c r="B1143" s="3" t="s">
        <v>536</v>
      </c>
      <c r="C1143" s="3" t="s">
        <v>1134</v>
      </c>
      <c r="D1143" s="4" t="s">
        <v>1463</v>
      </c>
      <c r="E1143" s="5">
        <f>ROUND(6073,2)</f>
        <v>6073</v>
      </c>
    </row>
    <row r="1144" spans="1:5" outlineLevel="2" x14ac:dyDescent="0.25">
      <c r="A1144" s="3" t="s">
        <v>1451</v>
      </c>
      <c r="B1144" s="3" t="s">
        <v>536</v>
      </c>
      <c r="C1144" s="3" t="s">
        <v>1464</v>
      </c>
      <c r="D1144" s="4" t="s">
        <v>1465</v>
      </c>
      <c r="E1144" s="5">
        <f>ROUND(4355,2)</f>
        <v>4355</v>
      </c>
    </row>
    <row r="1145" spans="1:5" outlineLevel="2" x14ac:dyDescent="0.25">
      <c r="A1145" s="3" t="s">
        <v>1451</v>
      </c>
      <c r="B1145" s="3" t="s">
        <v>536</v>
      </c>
      <c r="C1145" s="3" t="s">
        <v>1466</v>
      </c>
      <c r="D1145" s="4" t="s">
        <v>1467</v>
      </c>
      <c r="E1145" s="5">
        <f>ROUND(3524,2)</f>
        <v>3524</v>
      </c>
    </row>
    <row r="1146" spans="1:5" outlineLevel="2" x14ac:dyDescent="0.25">
      <c r="A1146" s="3" t="s">
        <v>1451</v>
      </c>
      <c r="B1146" s="3" t="s">
        <v>536</v>
      </c>
      <c r="C1146" s="3" t="s">
        <v>534</v>
      </c>
      <c r="D1146" s="4" t="s">
        <v>1468</v>
      </c>
      <c r="E1146" s="5">
        <f>ROUND(100000,2)</f>
        <v>100000</v>
      </c>
    </row>
    <row r="1147" spans="1:5" outlineLevel="1" x14ac:dyDescent="0.25">
      <c r="A1147" s="6"/>
      <c r="B1147" s="7"/>
      <c r="C1147" s="7"/>
      <c r="D1147" s="8" t="s">
        <v>1469</v>
      </c>
      <c r="E1147" s="9">
        <f>SUBTOTAL(9,E1133:E1146)</f>
        <v>3810700.34</v>
      </c>
    </row>
    <row r="1148" spans="1:5" outlineLevel="2" x14ac:dyDescent="0.25">
      <c r="A1148" s="3" t="s">
        <v>1470</v>
      </c>
      <c r="B1148" s="3" t="s">
        <v>10</v>
      </c>
      <c r="C1148" s="3" t="s">
        <v>11</v>
      </c>
      <c r="D1148" s="4" t="s">
        <v>1471</v>
      </c>
      <c r="E1148" s="5">
        <f>ROUND(9179.69,2)</f>
        <v>9179.69</v>
      </c>
    </row>
    <row r="1149" spans="1:5" outlineLevel="2" x14ac:dyDescent="0.25">
      <c r="A1149" s="3" t="s">
        <v>1470</v>
      </c>
      <c r="B1149" s="3" t="s">
        <v>10</v>
      </c>
      <c r="C1149" s="3" t="s">
        <v>17</v>
      </c>
      <c r="D1149" s="4" t="s">
        <v>1472</v>
      </c>
      <c r="E1149" s="5">
        <f>ROUND(8991.52,2)</f>
        <v>8991.52</v>
      </c>
    </row>
    <row r="1150" spans="1:5" outlineLevel="2" x14ac:dyDescent="0.25">
      <c r="A1150" s="3" t="s">
        <v>1470</v>
      </c>
      <c r="B1150" s="3" t="s">
        <v>10</v>
      </c>
      <c r="C1150" s="3" t="s">
        <v>19</v>
      </c>
      <c r="D1150" s="4" t="s">
        <v>1473</v>
      </c>
      <c r="E1150" s="5">
        <f>ROUND(23152.36,2)</f>
        <v>23152.36</v>
      </c>
    </row>
    <row r="1151" spans="1:5" outlineLevel="2" x14ac:dyDescent="0.25">
      <c r="A1151" s="3" t="s">
        <v>1470</v>
      </c>
      <c r="B1151" s="3" t="s">
        <v>10</v>
      </c>
      <c r="C1151" s="3" t="s">
        <v>53</v>
      </c>
      <c r="D1151" s="4" t="s">
        <v>1474</v>
      </c>
      <c r="E1151" s="5">
        <f>ROUND(9179.69,2)</f>
        <v>9179.69</v>
      </c>
    </row>
    <row r="1152" spans="1:5" outlineLevel="2" x14ac:dyDescent="0.25">
      <c r="A1152" s="3" t="s">
        <v>1470</v>
      </c>
      <c r="B1152" s="3" t="s">
        <v>10</v>
      </c>
      <c r="C1152" s="3" t="s">
        <v>55</v>
      </c>
      <c r="D1152" s="4" t="s">
        <v>1475</v>
      </c>
      <c r="E1152" s="5">
        <f>ROUND(32143.89,2)</f>
        <v>32143.89</v>
      </c>
    </row>
    <row r="1153" spans="1:5" outlineLevel="2" x14ac:dyDescent="0.25">
      <c r="A1153" s="3" t="s">
        <v>1470</v>
      </c>
      <c r="B1153" s="3" t="s">
        <v>10</v>
      </c>
      <c r="C1153" s="3" t="s">
        <v>21</v>
      </c>
      <c r="D1153" s="4" t="s">
        <v>1476</v>
      </c>
      <c r="E1153" s="5">
        <f>ROUND(8415.84,2)</f>
        <v>8415.84</v>
      </c>
    </row>
    <row r="1154" spans="1:5" outlineLevel="2" x14ac:dyDescent="0.25">
      <c r="A1154" s="3" t="s">
        <v>1470</v>
      </c>
      <c r="B1154" s="3" t="s">
        <v>10</v>
      </c>
      <c r="C1154" s="3" t="s">
        <v>8</v>
      </c>
      <c r="D1154" s="4" t="s">
        <v>1477</v>
      </c>
      <c r="E1154" s="5">
        <f>ROUND(15876.67,2)</f>
        <v>15876.67</v>
      </c>
    </row>
    <row r="1155" spans="1:5" outlineLevel="2" x14ac:dyDescent="0.25">
      <c r="A1155" s="3" t="s">
        <v>1470</v>
      </c>
      <c r="B1155" s="3" t="s">
        <v>10</v>
      </c>
      <c r="C1155" s="3" t="s">
        <v>38</v>
      </c>
      <c r="D1155" s="4" t="s">
        <v>1478</v>
      </c>
      <c r="E1155" s="5">
        <f>ROUND(28001,2)</f>
        <v>28001</v>
      </c>
    </row>
    <row r="1156" spans="1:5" outlineLevel="2" x14ac:dyDescent="0.25">
      <c r="A1156" s="3" t="s">
        <v>1470</v>
      </c>
      <c r="B1156" s="3" t="s">
        <v>1479</v>
      </c>
      <c r="C1156" s="3" t="s">
        <v>114</v>
      </c>
      <c r="D1156" s="4" t="s">
        <v>1480</v>
      </c>
      <c r="E1156" s="5">
        <f>ROUND(18269.88,2)</f>
        <v>18269.88</v>
      </c>
    </row>
    <row r="1157" spans="1:5" outlineLevel="2" x14ac:dyDescent="0.25">
      <c r="A1157" s="3" t="s">
        <v>1470</v>
      </c>
      <c r="B1157" s="3" t="s">
        <v>1479</v>
      </c>
      <c r="C1157" s="3" t="s">
        <v>156</v>
      </c>
      <c r="D1157" s="4" t="s">
        <v>1481</v>
      </c>
      <c r="E1157" s="5">
        <f>ROUND(39714.25,2)</f>
        <v>39714.25</v>
      </c>
    </row>
    <row r="1158" spans="1:5" outlineLevel="2" x14ac:dyDescent="0.25">
      <c r="A1158" s="3" t="s">
        <v>1470</v>
      </c>
      <c r="B1158" s="3" t="s">
        <v>1479</v>
      </c>
      <c r="C1158" s="3" t="s">
        <v>8</v>
      </c>
      <c r="D1158" s="4" t="s">
        <v>1482</v>
      </c>
      <c r="E1158" s="5">
        <f>ROUND(19126.96,2)</f>
        <v>19126.96</v>
      </c>
    </row>
    <row r="1159" spans="1:5" outlineLevel="1" x14ac:dyDescent="0.25">
      <c r="A1159" s="6"/>
      <c r="B1159" s="7"/>
      <c r="C1159" s="7"/>
      <c r="D1159" s="8" t="s">
        <v>1483</v>
      </c>
      <c r="E1159" s="9">
        <f>SUBTOTAL(9,E1148:E1158)</f>
        <v>212051.74999999997</v>
      </c>
    </row>
    <row r="1160" spans="1:5" outlineLevel="2" x14ac:dyDescent="0.25">
      <c r="A1160" s="3" t="s">
        <v>1484</v>
      </c>
      <c r="B1160" s="3" t="s">
        <v>700</v>
      </c>
      <c r="C1160" s="3" t="s">
        <v>134</v>
      </c>
      <c r="D1160" s="4" t="s">
        <v>1485</v>
      </c>
      <c r="E1160" s="5">
        <f>ROUND(1500,2)</f>
        <v>1500</v>
      </c>
    </row>
    <row r="1161" spans="1:5" outlineLevel="2" x14ac:dyDescent="0.25">
      <c r="A1161" s="3" t="s">
        <v>1484</v>
      </c>
      <c r="B1161" s="3" t="s">
        <v>700</v>
      </c>
      <c r="C1161" s="3" t="s">
        <v>1486</v>
      </c>
      <c r="D1161" s="4" t="s">
        <v>1487</v>
      </c>
      <c r="E1161" s="5">
        <f>ROUND(2000,2)</f>
        <v>2000</v>
      </c>
    </row>
    <row r="1162" spans="1:5" outlineLevel="2" x14ac:dyDescent="0.25">
      <c r="A1162" s="3" t="s">
        <v>1484</v>
      </c>
      <c r="B1162" s="3" t="s">
        <v>431</v>
      </c>
      <c r="C1162" s="3" t="s">
        <v>132</v>
      </c>
      <c r="D1162" s="4" t="s">
        <v>1488</v>
      </c>
      <c r="E1162" s="5">
        <f>ROUND(2000,2)</f>
        <v>2000</v>
      </c>
    </row>
    <row r="1163" spans="1:5" outlineLevel="2" x14ac:dyDescent="0.25">
      <c r="A1163" s="3" t="s">
        <v>1484</v>
      </c>
      <c r="B1163" s="3" t="s">
        <v>10</v>
      </c>
      <c r="C1163" s="3" t="s">
        <v>11</v>
      </c>
      <c r="D1163" s="4" t="s">
        <v>1489</v>
      </c>
      <c r="E1163" s="5">
        <f>ROUND(18359.38,2)</f>
        <v>18359.38</v>
      </c>
    </row>
    <row r="1164" spans="1:5" outlineLevel="2" x14ac:dyDescent="0.25">
      <c r="A1164" s="3" t="s">
        <v>1484</v>
      </c>
      <c r="B1164" s="3" t="s">
        <v>10</v>
      </c>
      <c r="C1164" s="3" t="s">
        <v>15</v>
      </c>
      <c r="D1164" s="4" t="s">
        <v>1490</v>
      </c>
      <c r="E1164" s="5">
        <f>ROUND(8684.57,2)</f>
        <v>8684.57</v>
      </c>
    </row>
    <row r="1165" spans="1:5" outlineLevel="2" x14ac:dyDescent="0.25">
      <c r="A1165" s="3" t="s">
        <v>1484</v>
      </c>
      <c r="B1165" s="3" t="s">
        <v>10</v>
      </c>
      <c r="C1165" s="3" t="s">
        <v>17</v>
      </c>
      <c r="D1165" s="4" t="s">
        <v>1491</v>
      </c>
      <c r="E1165" s="5">
        <f>ROUND(14541.55,2)</f>
        <v>14541.55</v>
      </c>
    </row>
    <row r="1166" spans="1:5" outlineLevel="2" x14ac:dyDescent="0.25">
      <c r="A1166" s="3" t="s">
        <v>1484</v>
      </c>
      <c r="B1166" s="3" t="s">
        <v>10</v>
      </c>
      <c r="C1166" s="3" t="s">
        <v>19</v>
      </c>
      <c r="D1166" s="4" t="s">
        <v>1492</v>
      </c>
      <c r="E1166" s="5">
        <f>ROUND(47228.25,2)</f>
        <v>47228.25</v>
      </c>
    </row>
    <row r="1167" spans="1:5" outlineLevel="2" x14ac:dyDescent="0.25">
      <c r="A1167" s="3" t="s">
        <v>1484</v>
      </c>
      <c r="B1167" s="3" t="s">
        <v>10</v>
      </c>
      <c r="C1167" s="3" t="s">
        <v>21</v>
      </c>
      <c r="D1167" s="4" t="s">
        <v>1493</v>
      </c>
      <c r="E1167" s="5">
        <f>ROUND(7225.66,2)</f>
        <v>7225.66</v>
      </c>
    </row>
    <row r="1168" spans="1:5" outlineLevel="2" x14ac:dyDescent="0.25">
      <c r="A1168" s="3" t="s">
        <v>1484</v>
      </c>
      <c r="B1168" s="3" t="s">
        <v>10</v>
      </c>
      <c r="C1168" s="3" t="s">
        <v>8</v>
      </c>
      <c r="D1168" s="4" t="s">
        <v>1494</v>
      </c>
      <c r="E1168" s="5">
        <f>ROUND(16462.43,2)</f>
        <v>16462.43</v>
      </c>
    </row>
    <row r="1169" spans="1:5" outlineLevel="2" x14ac:dyDescent="0.25">
      <c r="A1169" s="3" t="s">
        <v>1484</v>
      </c>
      <c r="B1169" s="3" t="s">
        <v>10</v>
      </c>
      <c r="C1169" s="3" t="s">
        <v>132</v>
      </c>
      <c r="D1169" s="4" t="s">
        <v>1495</v>
      </c>
      <c r="E1169" s="5">
        <f>ROUND(2000,2)</f>
        <v>2000</v>
      </c>
    </row>
    <row r="1170" spans="1:5" outlineLevel="2" x14ac:dyDescent="0.25">
      <c r="A1170" s="3" t="s">
        <v>1484</v>
      </c>
      <c r="B1170" s="3" t="s">
        <v>270</v>
      </c>
      <c r="C1170" s="3" t="s">
        <v>28</v>
      </c>
      <c r="D1170" s="4" t="s">
        <v>1496</v>
      </c>
      <c r="E1170" s="5">
        <f>ROUND(16144.3,2)</f>
        <v>16144.3</v>
      </c>
    </row>
    <row r="1171" spans="1:5" outlineLevel="2" x14ac:dyDescent="0.25">
      <c r="A1171" s="3" t="s">
        <v>1484</v>
      </c>
      <c r="B1171" s="3" t="s">
        <v>270</v>
      </c>
      <c r="C1171" s="3" t="s">
        <v>17</v>
      </c>
      <c r="D1171" s="4" t="s">
        <v>1497</v>
      </c>
      <c r="E1171" s="5">
        <f>ROUND(6914.14,2)</f>
        <v>6914.14</v>
      </c>
    </row>
    <row r="1172" spans="1:5" outlineLevel="2" x14ac:dyDescent="0.25">
      <c r="A1172" s="3" t="s">
        <v>1484</v>
      </c>
      <c r="B1172" s="3" t="s">
        <v>270</v>
      </c>
      <c r="C1172" s="3" t="s">
        <v>19</v>
      </c>
      <c r="D1172" s="4" t="s">
        <v>1498</v>
      </c>
      <c r="E1172" s="5">
        <f>ROUND(15269.56,2)</f>
        <v>15269.56</v>
      </c>
    </row>
    <row r="1173" spans="1:5" outlineLevel="2" x14ac:dyDescent="0.25">
      <c r="A1173" s="3" t="s">
        <v>1484</v>
      </c>
      <c r="B1173" s="3" t="s">
        <v>270</v>
      </c>
      <c r="C1173" s="3" t="s">
        <v>21</v>
      </c>
      <c r="D1173" s="4" t="s">
        <v>1499</v>
      </c>
      <c r="E1173" s="5">
        <f>ROUND(609.26,2)</f>
        <v>609.26</v>
      </c>
    </row>
    <row r="1174" spans="1:5" outlineLevel="2" x14ac:dyDescent="0.25">
      <c r="A1174" s="3" t="s">
        <v>1484</v>
      </c>
      <c r="B1174" s="3" t="s">
        <v>270</v>
      </c>
      <c r="C1174" s="3" t="s">
        <v>8</v>
      </c>
      <c r="D1174" s="4" t="s">
        <v>1500</v>
      </c>
      <c r="E1174" s="5">
        <f>ROUND(13221.4,2)</f>
        <v>13221.4</v>
      </c>
    </row>
    <row r="1175" spans="1:5" outlineLevel="2" x14ac:dyDescent="0.25">
      <c r="A1175" s="3" t="s">
        <v>1484</v>
      </c>
      <c r="B1175" s="3" t="s">
        <v>40</v>
      </c>
      <c r="C1175" s="3" t="s">
        <v>132</v>
      </c>
      <c r="D1175" s="4" t="s">
        <v>1501</v>
      </c>
      <c r="E1175" s="5">
        <f>ROUND(25000,2)</f>
        <v>25000</v>
      </c>
    </row>
    <row r="1176" spans="1:5" outlineLevel="2" x14ac:dyDescent="0.25">
      <c r="A1176" s="3" t="s">
        <v>1484</v>
      </c>
      <c r="B1176" s="3" t="s">
        <v>40</v>
      </c>
      <c r="C1176" s="3" t="s">
        <v>61</v>
      </c>
      <c r="D1176" s="4" t="s">
        <v>1502</v>
      </c>
      <c r="E1176" s="5">
        <f>ROUND(41001,2)</f>
        <v>41001</v>
      </c>
    </row>
    <row r="1177" spans="1:5" outlineLevel="1" x14ac:dyDescent="0.25">
      <c r="A1177" s="6"/>
      <c r="B1177" s="7"/>
      <c r="C1177" s="7"/>
      <c r="D1177" s="8" t="s">
        <v>1503</v>
      </c>
      <c r="E1177" s="9">
        <f>SUBTOTAL(9,E1160:E1176)</f>
        <v>238161.5</v>
      </c>
    </row>
    <row r="1178" spans="1:5" outlineLevel="2" x14ac:dyDescent="0.25">
      <c r="A1178" s="3" t="s">
        <v>1504</v>
      </c>
      <c r="B1178" s="3" t="s">
        <v>6</v>
      </c>
      <c r="C1178" s="3" t="s">
        <v>5</v>
      </c>
      <c r="D1178" s="4" t="s">
        <v>1505</v>
      </c>
      <c r="E1178" s="5">
        <f>ROUND(275869.16,2)</f>
        <v>275869.15999999997</v>
      </c>
    </row>
    <row r="1179" spans="1:5" outlineLevel="2" x14ac:dyDescent="0.25">
      <c r="A1179" s="3" t="s">
        <v>1504</v>
      </c>
      <c r="B1179" s="3" t="s">
        <v>6</v>
      </c>
      <c r="C1179" s="3" t="s">
        <v>8</v>
      </c>
      <c r="D1179" s="4" t="s">
        <v>1506</v>
      </c>
      <c r="E1179" s="5">
        <f>ROUND(39302.58,2)</f>
        <v>39302.58</v>
      </c>
    </row>
    <row r="1180" spans="1:5" outlineLevel="2" x14ac:dyDescent="0.25">
      <c r="A1180" s="3" t="s">
        <v>1504</v>
      </c>
      <c r="B1180" s="3" t="s">
        <v>6</v>
      </c>
      <c r="C1180" s="3" t="s">
        <v>427</v>
      </c>
      <c r="D1180" s="4" t="s">
        <v>1507</v>
      </c>
      <c r="E1180" s="5">
        <f>ROUND(10,2)</f>
        <v>10</v>
      </c>
    </row>
    <row r="1181" spans="1:5" outlineLevel="1" x14ac:dyDescent="0.25">
      <c r="A1181" s="6"/>
      <c r="B1181" s="7"/>
      <c r="C1181" s="7"/>
      <c r="D1181" s="8" t="s">
        <v>1508</v>
      </c>
      <c r="E1181" s="9">
        <f>SUBTOTAL(9,E1178:E1180)</f>
        <v>315181.74</v>
      </c>
    </row>
    <row r="1182" spans="1:5" outlineLevel="2" x14ac:dyDescent="0.25">
      <c r="A1182" s="3" t="s">
        <v>1509</v>
      </c>
      <c r="B1182" s="3" t="s">
        <v>10</v>
      </c>
      <c r="C1182" s="3" t="s">
        <v>53</v>
      </c>
      <c r="D1182" s="4" t="s">
        <v>1510</v>
      </c>
      <c r="E1182" s="5">
        <f>ROUND(8323.61,2)</f>
        <v>8323.61</v>
      </c>
    </row>
    <row r="1183" spans="1:5" outlineLevel="2" x14ac:dyDescent="0.25">
      <c r="A1183" s="3" t="s">
        <v>1509</v>
      </c>
      <c r="B1183" s="3" t="s">
        <v>10</v>
      </c>
      <c r="C1183" s="3" t="s">
        <v>55</v>
      </c>
      <c r="D1183" s="4" t="s">
        <v>1511</v>
      </c>
      <c r="E1183" s="5">
        <f>ROUND(26904.55,2)</f>
        <v>26904.55</v>
      </c>
    </row>
    <row r="1184" spans="1:5" outlineLevel="2" x14ac:dyDescent="0.25">
      <c r="A1184" s="3" t="s">
        <v>1509</v>
      </c>
      <c r="B1184" s="3" t="s">
        <v>10</v>
      </c>
      <c r="C1184" s="3" t="s">
        <v>21</v>
      </c>
      <c r="D1184" s="4" t="s">
        <v>1512</v>
      </c>
      <c r="E1184" s="5">
        <f>ROUND(2837.74,2)</f>
        <v>2837.74</v>
      </c>
    </row>
    <row r="1185" spans="1:5" outlineLevel="2" x14ac:dyDescent="0.25">
      <c r="A1185" s="3" t="s">
        <v>1509</v>
      </c>
      <c r="B1185" s="3" t="s">
        <v>10</v>
      </c>
      <c r="C1185" s="3" t="s">
        <v>8</v>
      </c>
      <c r="D1185" s="4" t="s">
        <v>1513</v>
      </c>
      <c r="E1185" s="5">
        <f>ROUND(11967.18,2)</f>
        <v>11967.18</v>
      </c>
    </row>
    <row r="1186" spans="1:5" outlineLevel="1" x14ac:dyDescent="0.25">
      <c r="A1186" s="6"/>
      <c r="B1186" s="7"/>
      <c r="C1186" s="7"/>
      <c r="D1186" s="8" t="s">
        <v>1514</v>
      </c>
      <c r="E1186" s="9">
        <f>SUBTOTAL(9,E1182:E1185)</f>
        <v>50033.08</v>
      </c>
    </row>
    <row r="1187" spans="1:5" outlineLevel="2" x14ac:dyDescent="0.25">
      <c r="A1187" s="3" t="s">
        <v>1515</v>
      </c>
      <c r="B1187" s="3" t="s">
        <v>157</v>
      </c>
      <c r="C1187" s="3" t="s">
        <v>114</v>
      </c>
      <c r="D1187" s="4" t="s">
        <v>1516</v>
      </c>
      <c r="E1187" s="5">
        <f>ROUND(12364.72,2)</f>
        <v>12364.72</v>
      </c>
    </row>
    <row r="1188" spans="1:5" outlineLevel="2" x14ac:dyDescent="0.25">
      <c r="A1188" s="3" t="s">
        <v>1515</v>
      </c>
      <c r="B1188" s="3" t="s">
        <v>157</v>
      </c>
      <c r="C1188" s="3" t="s">
        <v>156</v>
      </c>
      <c r="D1188" s="4" t="s">
        <v>1517</v>
      </c>
      <c r="E1188" s="5">
        <f>ROUND(57852.13,2)</f>
        <v>57852.13</v>
      </c>
    </row>
    <row r="1189" spans="1:5" outlineLevel="2" x14ac:dyDescent="0.25">
      <c r="A1189" s="3" t="s">
        <v>1515</v>
      </c>
      <c r="B1189" s="3" t="s">
        <v>157</v>
      </c>
      <c r="C1189" s="3" t="s">
        <v>8</v>
      </c>
      <c r="D1189" s="4" t="s">
        <v>1518</v>
      </c>
      <c r="E1189" s="5">
        <f>ROUND(20337.86,2)</f>
        <v>20337.86</v>
      </c>
    </row>
    <row r="1190" spans="1:5" outlineLevel="1" x14ac:dyDescent="0.25">
      <c r="A1190" s="6"/>
      <c r="B1190" s="7"/>
      <c r="C1190" s="7"/>
      <c r="D1190" s="8" t="s">
        <v>1519</v>
      </c>
      <c r="E1190" s="9">
        <f>SUBTOTAL(9,E1187:E1189)</f>
        <v>90554.709999999992</v>
      </c>
    </row>
    <row r="1191" spans="1:5" x14ac:dyDescent="0.25">
      <c r="A1191" s="1"/>
      <c r="B1191" s="10"/>
      <c r="C1191" s="10"/>
      <c r="D1191" s="11" t="s">
        <v>1520</v>
      </c>
      <c r="E1191" s="12">
        <f>SUBTOTAL(9,E2:E1189)</f>
        <v>95094485.999999881</v>
      </c>
    </row>
  </sheetData>
  <pageMargins left="0.7" right="0.7" top="0.75" bottom="0.75" header="0.3" footer="0.3"/>
  <ignoredErrors>
    <ignoredError sqref="A2:C118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7" ma:contentTypeDescription="Crea un document nou" ma:contentTypeScope="" ma:versionID="14b09a04e04507251b7070410bfb5b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e5c69314043c5c5a022cdf305234a224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42BABB-9DF1-4346-9B29-1B6A53383F7D}">
  <ds:schemaRefs>
    <ds:schemaRef ds:uri="http://purl.org/dc/elements/1.1/"/>
    <ds:schemaRef ds:uri="http://purl.org/dc/dcmitype/"/>
    <ds:schemaRef ds:uri="http://purl.org/dc/terms/"/>
    <ds:schemaRef ds:uri="4675374c-5b94-4640-a46e-7db27059e4e5"/>
    <ds:schemaRef ds:uri="http://schemas.microsoft.com/office/infopath/2007/PartnerControls"/>
    <ds:schemaRef ds:uri="4fc8459e-692b-470d-a014-31b9e2216e4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10C92C-6495-479A-B819-491455850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60590A-D465-4F44-A5EC-3EE77D56E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 x Org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Gálvez Bricullé</dc:creator>
  <cp:lastModifiedBy>Marc Gálvez Bricullé</cp:lastModifiedBy>
  <dcterms:created xsi:type="dcterms:W3CDTF">2025-12-24T08:24:43Z</dcterms:created>
  <dcterms:modified xsi:type="dcterms:W3CDTF">2025-12-24T08:31:35Z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