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msanchezm\Downloads\"/>
    </mc:Choice>
  </mc:AlternateContent>
  <xr:revisionPtr revIDLastSave="0" documentId="13_ncr:1_{2DD6BE8A-03D8-409B-85E2-28AE6BA129F8}" xr6:coauthVersionLast="47" xr6:coauthVersionMax="47" xr10:uidLastSave="{00000000-0000-0000-0000-000000000000}"/>
  <bookViews>
    <workbookView xWindow="28680" yWindow="-120" windowWidth="29040" windowHeight="15720" xr2:uid="{5A7168D0-4FBE-408B-B701-8583A423D113}"/>
  </bookViews>
  <sheets>
    <sheet name="Report" sheetId="1" r:id="rId1"/>
  </sheets>
  <definedNames>
    <definedName name="__bookmark_1">Report!$A$6:$K$50</definedName>
    <definedName name="__bookmark_2">Report!$A$6:$K$7</definedName>
    <definedName name="__bookmark_3">Report!$A$8:$K$22</definedName>
    <definedName name="__bookmark_4">Report!$A$23:$K$24</definedName>
    <definedName name="__bookmark_5">Report!$A$25:$K$40</definedName>
    <definedName name="__bookmark_6">Report!$A$41:$K$45</definedName>
    <definedName name="__bookmark_7">Report!$A$46:$K$50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E7" i="1"/>
  <c r="F7" i="1"/>
  <c r="G7" i="1"/>
  <c r="I7" i="1"/>
  <c r="J7" i="1"/>
  <c r="K7" i="1"/>
  <c r="C9" i="1"/>
  <c r="E9" i="1"/>
  <c r="F9" i="1"/>
  <c r="G9" i="1"/>
  <c r="I9" i="1"/>
  <c r="J9" i="1"/>
  <c r="K9" i="1"/>
  <c r="C10" i="1"/>
  <c r="E10" i="1"/>
  <c r="F10" i="1"/>
  <c r="G10" i="1"/>
  <c r="I10" i="1"/>
  <c r="J10" i="1"/>
  <c r="K10" i="1"/>
  <c r="C11" i="1"/>
  <c r="E11" i="1"/>
  <c r="F11" i="1"/>
  <c r="G11" i="1"/>
  <c r="I11" i="1"/>
  <c r="J11" i="1"/>
  <c r="K11" i="1"/>
  <c r="C12" i="1"/>
  <c r="E12" i="1"/>
  <c r="F12" i="1"/>
  <c r="G12" i="1"/>
  <c r="I12" i="1"/>
  <c r="J12" i="1"/>
  <c r="K12" i="1"/>
  <c r="C13" i="1"/>
  <c r="E13" i="1"/>
  <c r="F13" i="1"/>
  <c r="G13" i="1"/>
  <c r="I13" i="1"/>
  <c r="J13" i="1"/>
  <c r="K13" i="1"/>
  <c r="C14" i="1"/>
  <c r="E14" i="1"/>
  <c r="F14" i="1"/>
  <c r="G14" i="1"/>
  <c r="I14" i="1"/>
  <c r="J14" i="1"/>
  <c r="K14" i="1"/>
  <c r="C16" i="1"/>
  <c r="E16" i="1"/>
  <c r="F16" i="1"/>
  <c r="G16" i="1"/>
  <c r="I16" i="1"/>
  <c r="J16" i="1"/>
  <c r="K16" i="1"/>
  <c r="C17" i="1"/>
  <c r="E17" i="1"/>
  <c r="F17" i="1"/>
  <c r="G17" i="1"/>
  <c r="I17" i="1"/>
  <c r="J17" i="1"/>
  <c r="K17" i="1"/>
  <c r="C19" i="1"/>
  <c r="E19" i="1"/>
  <c r="F19" i="1"/>
  <c r="G19" i="1"/>
  <c r="I19" i="1"/>
  <c r="J19" i="1"/>
  <c r="K19" i="1"/>
  <c r="C20" i="1"/>
  <c r="E20" i="1"/>
  <c r="F20" i="1"/>
  <c r="G20" i="1"/>
  <c r="I20" i="1"/>
  <c r="J20" i="1"/>
  <c r="K20" i="1"/>
  <c r="C21" i="1"/>
  <c r="E21" i="1"/>
  <c r="F21" i="1"/>
  <c r="G21" i="1"/>
  <c r="I21" i="1"/>
  <c r="J21" i="1"/>
  <c r="K21" i="1"/>
  <c r="C22" i="1"/>
  <c r="E22" i="1"/>
  <c r="F22" i="1"/>
  <c r="G22" i="1"/>
  <c r="I22" i="1"/>
  <c r="J22" i="1"/>
  <c r="K22" i="1"/>
  <c r="C24" i="1"/>
  <c r="E24" i="1"/>
  <c r="F24" i="1"/>
  <c r="G24" i="1"/>
  <c r="I24" i="1"/>
  <c r="J24" i="1"/>
  <c r="K24" i="1"/>
  <c r="C26" i="1"/>
  <c r="E26" i="1"/>
  <c r="F26" i="1"/>
  <c r="G26" i="1"/>
  <c r="I26" i="1"/>
  <c r="J26" i="1"/>
  <c r="K26" i="1"/>
  <c r="C27" i="1"/>
  <c r="E27" i="1"/>
  <c r="F27" i="1"/>
  <c r="G27" i="1"/>
  <c r="I27" i="1"/>
  <c r="J27" i="1"/>
  <c r="K27" i="1"/>
  <c r="C28" i="1"/>
  <c r="E28" i="1"/>
  <c r="F28" i="1"/>
  <c r="G28" i="1"/>
  <c r="I28" i="1"/>
  <c r="J28" i="1"/>
  <c r="K28" i="1"/>
  <c r="C29" i="1"/>
  <c r="E29" i="1"/>
  <c r="F29" i="1"/>
  <c r="G29" i="1"/>
  <c r="I29" i="1"/>
  <c r="J29" i="1"/>
  <c r="K29" i="1"/>
  <c r="C30" i="1"/>
  <c r="E30" i="1"/>
  <c r="F30" i="1"/>
  <c r="G30" i="1"/>
  <c r="I30" i="1"/>
  <c r="J30" i="1"/>
  <c r="K30" i="1"/>
  <c r="C31" i="1"/>
  <c r="E31" i="1"/>
  <c r="F31" i="1"/>
  <c r="G31" i="1"/>
  <c r="I31" i="1"/>
  <c r="J31" i="1"/>
  <c r="K31" i="1"/>
  <c r="C33" i="1"/>
  <c r="E33" i="1"/>
  <c r="F33" i="1"/>
  <c r="G33" i="1"/>
  <c r="I33" i="1"/>
  <c r="J33" i="1"/>
  <c r="K33" i="1"/>
  <c r="C34" i="1"/>
  <c r="E34" i="1"/>
  <c r="F34" i="1"/>
  <c r="G34" i="1"/>
  <c r="I34" i="1"/>
  <c r="J34" i="1"/>
  <c r="K34" i="1"/>
  <c r="C35" i="1"/>
  <c r="E35" i="1"/>
  <c r="F35" i="1"/>
  <c r="G35" i="1"/>
  <c r="I35" i="1"/>
  <c r="J35" i="1"/>
  <c r="K35" i="1"/>
  <c r="C37" i="1"/>
  <c r="E37" i="1"/>
  <c r="F37" i="1"/>
  <c r="G37" i="1"/>
  <c r="I37" i="1"/>
  <c r="J37" i="1"/>
  <c r="K37" i="1"/>
  <c r="C38" i="1"/>
  <c r="E38" i="1"/>
  <c r="F38" i="1"/>
  <c r="G38" i="1"/>
  <c r="I38" i="1"/>
  <c r="J38" i="1"/>
  <c r="K38" i="1"/>
  <c r="C39" i="1"/>
  <c r="E39" i="1"/>
  <c r="F39" i="1"/>
  <c r="G39" i="1"/>
  <c r="I39" i="1"/>
  <c r="J39" i="1"/>
  <c r="K39" i="1"/>
  <c r="C40" i="1"/>
  <c r="E40" i="1"/>
  <c r="F40" i="1"/>
  <c r="G40" i="1"/>
  <c r="I40" i="1"/>
  <c r="J40" i="1"/>
  <c r="K40" i="1"/>
  <c r="C43" i="1"/>
  <c r="E43" i="1"/>
  <c r="F43" i="1"/>
  <c r="G43" i="1"/>
  <c r="I43" i="1"/>
  <c r="J43" i="1"/>
  <c r="K43" i="1"/>
  <c r="C44" i="1"/>
  <c r="E44" i="1"/>
  <c r="F44" i="1"/>
  <c r="G44" i="1"/>
  <c r="I44" i="1"/>
  <c r="J44" i="1"/>
  <c r="K44" i="1"/>
  <c r="C45" i="1"/>
  <c r="E45" i="1"/>
  <c r="F45" i="1"/>
  <c r="G45" i="1"/>
  <c r="I45" i="1"/>
  <c r="J45" i="1"/>
  <c r="K45" i="1"/>
  <c r="C48" i="1"/>
  <c r="E48" i="1"/>
  <c r="F48" i="1"/>
  <c r="G48" i="1"/>
  <c r="I48" i="1"/>
  <c r="J48" i="1"/>
  <c r="K48" i="1"/>
  <c r="C49" i="1"/>
  <c r="E49" i="1"/>
  <c r="F49" i="1"/>
  <c r="G49" i="1"/>
  <c r="I49" i="1"/>
  <c r="J49" i="1"/>
  <c r="K49" i="1"/>
  <c r="C50" i="1"/>
  <c r="E50" i="1"/>
  <c r="F50" i="1"/>
  <c r="G50" i="1"/>
  <c r="I50" i="1"/>
  <c r="J50" i="1"/>
  <c r="K50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<sst xmlns="http://schemas.openxmlformats.org/spreadsheetml/2006/main" count="76" uniqueCount="52">
  <si>
    <t/>
  </si>
  <si>
    <t>AJUNTAMENT DE VILADECANS</t>
  </si>
  <si>
    <t>Estat d'execució resumit</t>
  </si>
  <si>
    <t>Període: 2025</t>
  </si>
  <si>
    <t>Data del llistat igual a: 31/12/2025</t>
  </si>
  <si>
    <t>Capítols d'ingrés</t>
  </si>
  <si>
    <t>Previsió Inicial</t>
  </si>
  <si>
    <t>Modificació</t>
  </si>
  <si>
    <t>Previsió Definitiva</t>
  </si>
  <si>
    <t>Drets liquidats</t>
  </si>
  <si>
    <t>Recaptació líquida</t>
  </si>
  <si>
    <t>Pendent de cobrament</t>
  </si>
  <si>
    <t>Estat d'execució</t>
  </si>
  <si>
    <t>Resultes tancats</t>
  </si>
  <si>
    <t>OPERACIONS CORRENTS</t>
  </si>
  <si>
    <t>1 IMPOSTOS DIRECTES</t>
  </si>
  <si>
    <t>2 IMPOSTOS INDIRECTES</t>
  </si>
  <si>
    <t>3 TAXES, PREUS PÚBLICS I ALTRES INGRESSOS</t>
  </si>
  <si>
    <t>4 TRANSFERÈNCIES CORRENTS</t>
  </si>
  <si>
    <t>5 INGRESSOS PATRIMONIALS</t>
  </si>
  <si>
    <t>Total OPERACIONS CORRENTS</t>
  </si>
  <si>
    <t>OPERACIONS DE CAPITAL</t>
  </si>
  <si>
    <t>7 TRANSFERÈNCIES DE CAPITAL</t>
  </si>
  <si>
    <t>Total OPERACIONS DE CAPITAL</t>
  </si>
  <si>
    <t>OPERACIONS FINANCERES</t>
  </si>
  <si>
    <t>8 ACTIUS FINANCERS</t>
  </si>
  <si>
    <t>9 PASSIUS FINANCERS</t>
  </si>
  <si>
    <t>Total OPERACIONS FINANCERES</t>
  </si>
  <si>
    <t>Total INGRESSOS</t>
  </si>
  <si>
    <t>Capítols despesa</t>
  </si>
  <si>
    <t>Crèdit inicial</t>
  </si>
  <si>
    <t>Crèdit definitiu</t>
  </si>
  <si>
    <t>Obligacions reconegudes</t>
  </si>
  <si>
    <t>Pagaments líquids</t>
  </si>
  <si>
    <t>Pendent de pagar</t>
  </si>
  <si>
    <t>1 DESPESES DE PERSONAL</t>
  </si>
  <si>
    <t>2 DESPESES CORRENTS EN COMPRA DE BÉNS I SERVEIS</t>
  </si>
  <si>
    <t>3 DESPESES FINANCERES</t>
  </si>
  <si>
    <t>5 FONS DE CONTINGENCIA I ALTRES IMPREVISTOS</t>
  </si>
  <si>
    <t>6 INVERSIONS REALS</t>
  </si>
  <si>
    <t>Total DESPESES</t>
  </si>
  <si>
    <t>Situació econòmica - Exercici CORRENT</t>
  </si>
  <si>
    <t>Superàvit inicial</t>
  </si>
  <si>
    <t>Superàvit definitiu</t>
  </si>
  <si>
    <t>Superàvit Final</t>
  </si>
  <si>
    <t>Moviments de fons</t>
  </si>
  <si>
    <t>Deutors / Creditors</t>
  </si>
  <si>
    <t>Total Ingressos</t>
  </si>
  <si>
    <t>Total Despeses</t>
  </si>
  <si>
    <t>Diferència corrent</t>
  </si>
  <si>
    <t>Situació econòmica - Exercicis CORRENTS I TANCATS</t>
  </si>
  <si>
    <t>Diferència corrents i tancats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</si>
</sst>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indexed="64"/>
      <name val="Arial"/>
    </font>
    <font>
      <sz val="10"/>
      <color indexed="8"/>
      <name val="Arial"/>
    </font>
    <font>
      <sz val="13"/>
      <color indexed="29"/>
      <name val="Arial"/>
    </font>
    <font>
      <sz val="10"/>
      <color indexed="29"/>
      <name val="Arial"/>
    </font>
    <font>
      <sz val="8"/>
      <color indexed="29"/>
      <name val="Arial"/>
    </font>
    <font>
      <b/>
      <sz val="7"/>
      <color indexed="29"/>
      <name val="serif"/>
      <family val="1"/>
    </font>
    <font>
      <sz val="7"/>
      <color indexed="29"/>
      <name val="serif"/>
      <family val="1"/>
    </font>
    <font>
      <sz val="10"/>
      <color indexed="8"/>
      <name val="serif"/>
      <family val="1"/>
    </font>
  </fonts>
  <fills count="3">
    <fill>
      <patternFill patternType="none"/>
    </fill>
    <fill>
      <patternFill patternType="gray125"/>
    </fill>
    <fill>
      <patternFill patternType="solid">
        <fgColor indexed="30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29"/>
      </bottom>
      <diagonal/>
    </border>
    <border>
      <left/>
      <right/>
      <top style="thin">
        <color indexed="29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5" fillId="2" borderId="0" xfId="0" applyFont="1" applyFill="1" applyAlignment="1">
      <alignment horizontal="right" vertical="top" wrapText="1"/>
    </xf>
    <xf numFmtId="4" fontId="6" fillId="0" borderId="0" xfId="0" applyNumberFormat="1" applyFont="1" applyAlignment="1">
      <alignment horizontal="right" vertical="top" wrapText="1"/>
    </xf>
    <xf numFmtId="0" fontId="7" fillId="0" borderId="0" xfId="0" applyFont="1" applyAlignment="1">
      <alignment horizontal="left" vertical="top" wrapText="1"/>
    </xf>
    <xf numFmtId="4" fontId="5" fillId="0" borderId="0" xfId="0" applyNumberFormat="1" applyFont="1" applyAlignment="1">
      <alignment horizontal="right" vertical="top" wrapText="1"/>
    </xf>
    <xf numFmtId="4" fontId="5" fillId="0" borderId="2" xfId="0" applyNumberFormat="1" applyFont="1" applyBorder="1" applyAlignment="1">
      <alignment horizontal="right" vertical="top" wrapText="1"/>
    </xf>
    <xf numFmtId="4" fontId="5" fillId="0" borderId="2" xfId="0" applyNumberFormat="1" applyFont="1" applyBorder="1" applyAlignment="1">
      <alignment horizontal="right" vertical="top" wrapText="1"/>
    </xf>
    <xf numFmtId="4" fontId="6" fillId="0" borderId="0" xfId="0" applyNumberFormat="1" applyFont="1" applyAlignment="1">
      <alignment horizontal="right" vertical="top" wrapText="1"/>
    </xf>
    <xf numFmtId="0" fontId="1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4" fontId="5" fillId="0" borderId="0" xfId="0" applyNumberFormat="1" applyFont="1" applyAlignment="1">
      <alignment horizontal="right" vertical="top" wrapText="1"/>
    </xf>
    <xf numFmtId="0" fontId="6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000000"/>
      <rgbColor rgb="003B5998"/>
      <rgbColor rgb="00E0E0E0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1333500</xdr:colOff>
      <xdr:row>4</xdr:row>
      <xdr:rowOff>152400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4A5A70D5-2EBD-36AE-CDFD-3920BC67BC8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33500" cy="1127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A4ABA-809E-4AFE-9B62-C07C5184085A}">
  <sheetPr codeName="Sheet1"/>
  <dimension ref="A1:K50"/>
  <sheetViews>
    <sheetView tabSelected="1" workbookViewId="0">
      <selection activeCell="M10" sqref="M10"/>
    </sheetView>
  </sheetViews>
  <sheetFormatPr baseColWidth="10" defaultColWidth="9.109375" defaultRowHeight="13.2"/>
  <cols>
    <col min="1" max="1" width="19.5546875" customWidth="1"/>
    <col min="2" max="2" width="7.44140625" customWidth="1"/>
    <col min="3" max="3" width="7.21875" customWidth="1"/>
    <col min="4" max="4" width="3.5546875" customWidth="1"/>
    <col min="5" max="6" width="10.77734375" customWidth="1"/>
    <col min="7" max="7" width="9" customWidth="1"/>
    <col min="8" max="8" width="3.33203125" customWidth="1"/>
    <col min="9" max="11" width="10.77734375" customWidth="1"/>
  </cols>
  <sheetData>
    <row r="1" spans="1:11" ht="19.5" customHeight="1">
      <c r="A1" s="8"/>
      <c r="B1" s="8"/>
      <c r="C1" s="8"/>
      <c r="D1" s="19" t="s">
        <v>0</v>
      </c>
      <c r="E1" s="19"/>
      <c r="F1" s="19"/>
      <c r="G1" s="19"/>
      <c r="H1" s="8" t="e" vm="1">
        <v>#VALUE!</v>
      </c>
      <c r="I1" s="8"/>
      <c r="J1" s="8"/>
      <c r="K1" s="8"/>
    </row>
    <row r="2" spans="1:11" ht="19.5" customHeight="1" thickBot="1">
      <c r="A2" s="8"/>
      <c r="B2" s="8"/>
      <c r="C2" s="8"/>
      <c r="D2" s="18" t="s">
        <v>1</v>
      </c>
      <c r="E2" s="18"/>
      <c r="F2" s="18"/>
      <c r="G2" s="18"/>
      <c r="H2" s="8"/>
      <c r="I2" s="8"/>
      <c r="J2" s="8"/>
      <c r="K2" s="8"/>
    </row>
    <row r="3" spans="1:11" ht="19.5" customHeight="1">
      <c r="A3" s="8"/>
      <c r="B3" s="8"/>
      <c r="C3" s="8"/>
      <c r="D3" s="17" t="s">
        <v>2</v>
      </c>
      <c r="E3" s="17"/>
      <c r="F3" s="17"/>
      <c r="G3" s="17"/>
      <c r="H3" s="8"/>
      <c r="I3" s="8"/>
      <c r="J3" s="8"/>
      <c r="K3" s="8"/>
    </row>
    <row r="4" spans="1:11" ht="19.5" customHeight="1">
      <c r="A4" s="8"/>
      <c r="B4" s="8"/>
      <c r="C4" s="8"/>
      <c r="D4" s="16" t="s">
        <v>3</v>
      </c>
      <c r="E4" s="16"/>
      <c r="F4" s="16"/>
      <c r="G4" s="16"/>
      <c r="H4" s="8"/>
      <c r="I4" s="8"/>
      <c r="J4" s="8"/>
      <c r="K4" s="8"/>
    </row>
    <row r="5" spans="1:11" ht="19.5" customHeight="1">
      <c r="A5" s="8"/>
      <c r="B5" s="8"/>
      <c r="C5" s="8"/>
      <c r="D5" s="16" t="s">
        <v>4</v>
      </c>
      <c r="E5" s="16"/>
      <c r="F5" s="16"/>
      <c r="G5" s="16"/>
      <c r="H5" s="8"/>
      <c r="I5" s="8"/>
      <c r="J5" s="8"/>
      <c r="K5" s="8"/>
    </row>
    <row r="6" spans="1:11" ht="19.2">
      <c r="A6" s="13" t="s">
        <v>5</v>
      </c>
      <c r="B6" s="13"/>
      <c r="C6" s="14" t="s">
        <v>6</v>
      </c>
      <c r="D6" s="14"/>
      <c r="E6" s="1" t="s">
        <v>7</v>
      </c>
      <c r="F6" s="1" t="s">
        <v>8</v>
      </c>
      <c r="G6" s="14" t="s">
        <v>9</v>
      </c>
      <c r="H6" s="14"/>
      <c r="I6" s="1" t="s">
        <v>10</v>
      </c>
      <c r="J6" s="1" t="s">
        <v>11</v>
      </c>
      <c r="K6" s="1" t="s">
        <v>12</v>
      </c>
    </row>
    <row r="7" spans="1:11">
      <c r="A7" s="11" t="s">
        <v>13</v>
      </c>
      <c r="B7" s="11"/>
      <c r="C7" s="7">
        <f>ROUND(18581441.37,2)</f>
        <v>18581441.370000001</v>
      </c>
      <c r="D7" s="7"/>
      <c r="E7" s="2">
        <f>ROUND(-1545769.31,2)</f>
        <v>-1545769.31</v>
      </c>
      <c r="F7" s="2">
        <f>ROUND(17035672.06,2)</f>
        <v>17035672.059999999</v>
      </c>
      <c r="G7" s="7">
        <f>ROUND(17035672.06,2)</f>
        <v>17035672.059999999</v>
      </c>
      <c r="H7" s="7"/>
      <c r="I7" s="2">
        <f>ROUND(5439262.5,2)</f>
        <v>5439262.5</v>
      </c>
      <c r="J7" s="2">
        <f>ROUND(11596409.56,2)</f>
        <v>11596409.560000001</v>
      </c>
      <c r="K7" s="2">
        <f>ROUND(0,2)</f>
        <v>0</v>
      </c>
    </row>
    <row r="8" spans="1:11">
      <c r="A8" s="15" t="s">
        <v>14</v>
      </c>
      <c r="B8" s="15"/>
      <c r="C8" s="9"/>
      <c r="D8" s="9"/>
      <c r="E8" s="3"/>
      <c r="F8" s="3"/>
      <c r="G8" s="9"/>
      <c r="H8" s="9"/>
      <c r="I8" s="3"/>
      <c r="J8" s="3"/>
      <c r="K8" s="3"/>
    </row>
    <row r="9" spans="1:11">
      <c r="A9" s="11" t="s">
        <v>15</v>
      </c>
      <c r="B9" s="11"/>
      <c r="C9" s="7">
        <f>ROUND(38084320,2)</f>
        <v>38084320</v>
      </c>
      <c r="D9" s="7"/>
      <c r="E9" s="2">
        <f>ROUND(0,2)</f>
        <v>0</v>
      </c>
      <c r="F9" s="2">
        <f>ROUND(38084320,2)</f>
        <v>38084320</v>
      </c>
      <c r="G9" s="7">
        <f>ROUND(40046698.49,2)</f>
        <v>40046698.490000002</v>
      </c>
      <c r="H9" s="7"/>
      <c r="I9" s="2">
        <f>ROUND(37347201.44,2)</f>
        <v>37347201.439999998</v>
      </c>
      <c r="J9" s="2">
        <f>ROUND(2699497.05,2)</f>
        <v>2699497.05</v>
      </c>
      <c r="K9" s="2">
        <f>ROUND(-1962378.49,2)</f>
        <v>-1962378.49</v>
      </c>
    </row>
    <row r="10" spans="1:11">
      <c r="A10" s="11" t="s">
        <v>16</v>
      </c>
      <c r="B10" s="11"/>
      <c r="C10" s="7">
        <f>ROUND(2470000,2)</f>
        <v>2470000</v>
      </c>
      <c r="D10" s="7"/>
      <c r="E10" s="2">
        <f>ROUND(0,2)</f>
        <v>0</v>
      </c>
      <c r="F10" s="2">
        <f>ROUND(2470000,2)</f>
        <v>2470000</v>
      </c>
      <c r="G10" s="7">
        <f>ROUND(5045507.51,2)</f>
        <v>5045507.51</v>
      </c>
      <c r="H10" s="7"/>
      <c r="I10" s="2">
        <f>ROUND(4082944.74,2)</f>
        <v>4082944.74</v>
      </c>
      <c r="J10" s="2">
        <f>ROUND(962562.77,2)</f>
        <v>962562.77</v>
      </c>
      <c r="K10" s="2">
        <f>ROUND(-2575507.51,2)</f>
        <v>-2575507.5099999998</v>
      </c>
    </row>
    <row r="11" spans="1:11">
      <c r="A11" s="11" t="s">
        <v>17</v>
      </c>
      <c r="B11" s="11"/>
      <c r="C11" s="7">
        <f>ROUND(13147347,2)</f>
        <v>13147347</v>
      </c>
      <c r="D11" s="7"/>
      <c r="E11" s="2">
        <f>ROUND(2668,2)</f>
        <v>2668</v>
      </c>
      <c r="F11" s="2">
        <f>ROUND(13150015,2)</f>
        <v>13150015</v>
      </c>
      <c r="G11" s="7">
        <f>ROUND(14018103.27,2)</f>
        <v>14018103.27</v>
      </c>
      <c r="H11" s="7"/>
      <c r="I11" s="2">
        <f>ROUND(8663338.9,2)</f>
        <v>8663338.9000000004</v>
      </c>
      <c r="J11" s="2">
        <f>ROUND(5354764.37,2)</f>
        <v>5354764.37</v>
      </c>
      <c r="K11" s="2">
        <f>ROUND(-868088.27,2)</f>
        <v>-868088.27</v>
      </c>
    </row>
    <row r="12" spans="1:11">
      <c r="A12" s="11" t="s">
        <v>18</v>
      </c>
      <c r="B12" s="11"/>
      <c r="C12" s="7">
        <f>ROUND(32675674,2)</f>
        <v>32675674</v>
      </c>
      <c r="D12" s="7"/>
      <c r="E12" s="2">
        <f>ROUND(5885439.94,2)</f>
        <v>5885439.9400000004</v>
      </c>
      <c r="F12" s="2">
        <f>ROUND(38561113.94,2)</f>
        <v>38561113.939999998</v>
      </c>
      <c r="G12" s="7">
        <f>ROUND(39455658.8,2)</f>
        <v>39455658.799999997</v>
      </c>
      <c r="H12" s="7"/>
      <c r="I12" s="2">
        <f>ROUND(34132288.51,2)</f>
        <v>34132288.509999998</v>
      </c>
      <c r="J12" s="2">
        <f>ROUND(5323370.29,2)</f>
        <v>5323370.29</v>
      </c>
      <c r="K12" s="2">
        <f>ROUND(-894544.859999999,2)</f>
        <v>-894544.86</v>
      </c>
    </row>
    <row r="13" spans="1:11">
      <c r="A13" s="11" t="s">
        <v>19</v>
      </c>
      <c r="B13" s="11"/>
      <c r="C13" s="7">
        <f>ROUND(1326276,2)</f>
        <v>1326276</v>
      </c>
      <c r="D13" s="7"/>
      <c r="E13" s="2">
        <f>ROUND(7515.34,2)</f>
        <v>7515.34</v>
      </c>
      <c r="F13" s="2">
        <f>ROUND(1333791.34,2)</f>
        <v>1333791.3400000001</v>
      </c>
      <c r="G13" s="7">
        <f>ROUND(1332031.17,2)</f>
        <v>1332031.17</v>
      </c>
      <c r="H13" s="7"/>
      <c r="I13" s="2">
        <f>ROUND(1307252.59,2)</f>
        <v>1307252.5900000001</v>
      </c>
      <c r="J13" s="2">
        <f>ROUND(24778.58,2)</f>
        <v>24778.58</v>
      </c>
      <c r="K13" s="2">
        <f>ROUND(1760.17000000003,2)</f>
        <v>1760.17</v>
      </c>
    </row>
    <row r="14" spans="1:11">
      <c r="A14" s="15" t="s">
        <v>20</v>
      </c>
      <c r="B14" s="15"/>
      <c r="C14" s="10">
        <f>ROUND(87703617,2)</f>
        <v>87703617</v>
      </c>
      <c r="D14" s="10"/>
      <c r="E14" s="4">
        <f>ROUND(5895623.28,2)</f>
        <v>5895623.2800000003</v>
      </c>
      <c r="F14" s="4">
        <f>ROUND(93599240.28,2)</f>
        <v>93599240.280000001</v>
      </c>
      <c r="G14" s="10">
        <f>ROUND(99897999.24,2)</f>
        <v>99897999.239999995</v>
      </c>
      <c r="H14" s="10"/>
      <c r="I14" s="4">
        <f>ROUND(85533026.18,2)</f>
        <v>85533026.180000007</v>
      </c>
      <c r="J14" s="4">
        <f>ROUND(14364973.06,2)</f>
        <v>14364973.060000001</v>
      </c>
      <c r="K14" s="4">
        <f>ROUND(-6298758.96,2)</f>
        <v>-6298758.96</v>
      </c>
    </row>
    <row r="15" spans="1:11">
      <c r="A15" s="15" t="s">
        <v>21</v>
      </c>
      <c r="B15" s="15"/>
      <c r="C15" s="9"/>
      <c r="D15" s="9"/>
      <c r="E15" s="3"/>
      <c r="F15" s="3"/>
      <c r="G15" s="9"/>
      <c r="H15" s="9"/>
      <c r="I15" s="3"/>
      <c r="J15" s="3"/>
      <c r="K15" s="3"/>
    </row>
    <row r="16" spans="1:11">
      <c r="A16" s="11" t="s">
        <v>22</v>
      </c>
      <c r="B16" s="11"/>
      <c r="C16" s="7">
        <f>ROUND(2144586,2)</f>
        <v>2144586</v>
      </c>
      <c r="D16" s="7"/>
      <c r="E16" s="2">
        <f>ROUND(6148946.89,2)</f>
        <v>6148946.8899999997</v>
      </c>
      <c r="F16" s="2">
        <f>ROUND(8293532.89,2)</f>
        <v>8293532.8899999997</v>
      </c>
      <c r="G16" s="7">
        <f>ROUND(2337571.47,2)</f>
        <v>2337571.4700000002</v>
      </c>
      <c r="H16" s="7"/>
      <c r="I16" s="2">
        <f>ROUND(2310571.47,2)</f>
        <v>2310571.4700000002</v>
      </c>
      <c r="J16" s="2">
        <f>ROUND(27000,2)</f>
        <v>27000</v>
      </c>
      <c r="K16" s="2">
        <f>ROUND(5955961.42,2)</f>
        <v>5955961.4199999999</v>
      </c>
    </row>
    <row r="17" spans="1:11">
      <c r="A17" s="15" t="s">
        <v>23</v>
      </c>
      <c r="B17" s="15"/>
      <c r="C17" s="10">
        <f>ROUND(2144586,2)</f>
        <v>2144586</v>
      </c>
      <c r="D17" s="10"/>
      <c r="E17" s="4">
        <f>ROUND(6148946.89,2)</f>
        <v>6148946.8899999997</v>
      </c>
      <c r="F17" s="4">
        <f>ROUND(8293532.89,2)</f>
        <v>8293532.8899999997</v>
      </c>
      <c r="G17" s="10">
        <f>ROUND(2337571.47,2)</f>
        <v>2337571.4700000002</v>
      </c>
      <c r="H17" s="10"/>
      <c r="I17" s="4">
        <f>ROUND(2310571.47,2)</f>
        <v>2310571.4700000002</v>
      </c>
      <c r="J17" s="4">
        <f>ROUND(27000,2)</f>
        <v>27000</v>
      </c>
      <c r="K17" s="4">
        <f>ROUND(5955961.42,2)</f>
        <v>5955961.4199999999</v>
      </c>
    </row>
    <row r="18" spans="1:11">
      <c r="A18" s="15" t="s">
        <v>24</v>
      </c>
      <c r="B18" s="15"/>
      <c r="C18" s="9"/>
      <c r="D18" s="9"/>
      <c r="E18" s="3"/>
      <c r="F18" s="3"/>
      <c r="G18" s="9"/>
      <c r="H18" s="9"/>
      <c r="I18" s="3"/>
      <c r="J18" s="3"/>
      <c r="K18" s="3"/>
    </row>
    <row r="19" spans="1:11">
      <c r="A19" s="11" t="s">
        <v>25</v>
      </c>
      <c r="B19" s="11"/>
      <c r="C19" s="7">
        <f>ROUND(600,2)</f>
        <v>600</v>
      </c>
      <c r="D19" s="7"/>
      <c r="E19" s="2">
        <f>ROUND(36297748.62,2)</f>
        <v>36297748.619999997</v>
      </c>
      <c r="F19" s="2">
        <f>ROUND(36298348.62,2)</f>
        <v>36298348.619999997</v>
      </c>
      <c r="G19" s="7">
        <f>ROUND(44057.13,2)</f>
        <v>44057.13</v>
      </c>
      <c r="H19" s="7"/>
      <c r="I19" s="2">
        <f>ROUND(44057.13,2)</f>
        <v>44057.13</v>
      </c>
      <c r="J19" s="2">
        <f>ROUND(0,2)</f>
        <v>0</v>
      </c>
      <c r="K19" s="2">
        <f>ROUND(36254291.49,2)</f>
        <v>36254291.490000002</v>
      </c>
    </row>
    <row r="20" spans="1:11">
      <c r="A20" s="11" t="s">
        <v>26</v>
      </c>
      <c r="B20" s="11"/>
      <c r="C20" s="7">
        <f>ROUND(2000000,2)</f>
        <v>2000000</v>
      </c>
      <c r="D20" s="7"/>
      <c r="E20" s="2">
        <f>ROUND(1046176.21,2)</f>
        <v>1046176.21</v>
      </c>
      <c r="F20" s="2">
        <f>ROUND(3046176.21,2)</f>
        <v>3046176.21</v>
      </c>
      <c r="G20" s="7">
        <f>ROUND(1525000,2)</f>
        <v>1525000</v>
      </c>
      <c r="H20" s="7"/>
      <c r="I20" s="2">
        <f>ROUND(1525000,2)</f>
        <v>1525000</v>
      </c>
      <c r="J20" s="2">
        <f>ROUND(0,2)</f>
        <v>0</v>
      </c>
      <c r="K20" s="2">
        <f>ROUND(1521176.21,2)</f>
        <v>1521176.21</v>
      </c>
    </row>
    <row r="21" spans="1:11">
      <c r="A21" s="15" t="s">
        <v>27</v>
      </c>
      <c r="B21" s="15"/>
      <c r="C21" s="10">
        <f>ROUND(2000600,2)</f>
        <v>2000600</v>
      </c>
      <c r="D21" s="10"/>
      <c r="E21" s="4">
        <f>ROUND(37343924.83,2)</f>
        <v>37343924.829999998</v>
      </c>
      <c r="F21" s="4">
        <f>ROUND(39344524.83,2)</f>
        <v>39344524.829999998</v>
      </c>
      <c r="G21" s="10">
        <f>ROUND(1569057.13,2)</f>
        <v>1569057.13</v>
      </c>
      <c r="H21" s="10"/>
      <c r="I21" s="4">
        <f>ROUND(1569057.13,2)</f>
        <v>1569057.13</v>
      </c>
      <c r="J21" s="4">
        <f>ROUND(0,2)</f>
        <v>0</v>
      </c>
      <c r="K21" s="4">
        <f>ROUND(37775467.7,2)</f>
        <v>37775467.700000003</v>
      </c>
    </row>
    <row r="22" spans="1:11">
      <c r="A22" s="12" t="s">
        <v>28</v>
      </c>
      <c r="B22" s="12"/>
      <c r="C22" s="6">
        <f>ROUND(91848803,2)</f>
        <v>91848803</v>
      </c>
      <c r="D22" s="6"/>
      <c r="E22" s="5">
        <f>ROUND(49388495,2)</f>
        <v>49388495</v>
      </c>
      <c r="F22" s="5">
        <f>ROUND(141237298,2)</f>
        <v>141237298</v>
      </c>
      <c r="G22" s="6">
        <f>ROUND(103804627.84,2)</f>
        <v>103804627.84</v>
      </c>
      <c r="H22" s="6"/>
      <c r="I22" s="5">
        <f>ROUND(89412654.78,2)</f>
        <v>89412654.780000001</v>
      </c>
      <c r="J22" s="5">
        <f>ROUND(14391973.06,2)</f>
        <v>14391973.060000001</v>
      </c>
      <c r="K22" s="5">
        <f>ROUND(37432670.16,2)</f>
        <v>37432670.159999996</v>
      </c>
    </row>
    <row r="23" spans="1:11" ht="26.55" customHeight="1">
      <c r="A23" s="13" t="s">
        <v>29</v>
      </c>
      <c r="B23" s="13"/>
      <c r="C23" s="14" t="s">
        <v>30</v>
      </c>
      <c r="D23" s="14"/>
      <c r="E23" s="1" t="s">
        <v>7</v>
      </c>
      <c r="F23" s="1" t="s">
        <v>31</v>
      </c>
      <c r="G23" s="14" t="s">
        <v>32</v>
      </c>
      <c r="H23" s="14"/>
      <c r="I23" s="1" t="s">
        <v>33</v>
      </c>
      <c r="J23" s="1" t="s">
        <v>34</v>
      </c>
      <c r="K23" s="1" t="s">
        <v>12</v>
      </c>
    </row>
    <row r="24" spans="1:11" ht="26.55" customHeight="1">
      <c r="A24" s="11" t="s">
        <v>13</v>
      </c>
      <c r="B24" s="11"/>
      <c r="C24" s="7">
        <f>ROUND(9097903.83,2)</f>
        <v>9097903.8300000001</v>
      </c>
      <c r="D24" s="7"/>
      <c r="E24" s="2">
        <f>ROUND(0,2)</f>
        <v>0</v>
      </c>
      <c r="F24" s="2">
        <f>ROUND(9097903.83,2)</f>
        <v>9097903.8300000001</v>
      </c>
      <c r="G24" s="7">
        <f>ROUND(9097903.83,2)</f>
        <v>9097903.8300000001</v>
      </c>
      <c r="H24" s="7"/>
      <c r="I24" s="2">
        <f>ROUND(7551687.19,2)</f>
        <v>7551687.1900000004</v>
      </c>
      <c r="J24" s="2">
        <f>ROUND(1546216.64,2)</f>
        <v>1546216.64</v>
      </c>
      <c r="K24" s="2">
        <f>ROUND(0,2)</f>
        <v>0</v>
      </c>
    </row>
    <row r="25" spans="1:11">
      <c r="A25" s="15" t="s">
        <v>14</v>
      </c>
      <c r="B25" s="15"/>
      <c r="C25" s="9"/>
      <c r="D25" s="9"/>
      <c r="E25" s="3"/>
      <c r="F25" s="3"/>
      <c r="G25" s="9"/>
      <c r="H25" s="9"/>
      <c r="I25" s="3"/>
      <c r="J25" s="3"/>
      <c r="K25" s="3"/>
    </row>
    <row r="26" spans="1:11">
      <c r="A26" s="11" t="s">
        <v>35</v>
      </c>
      <c r="B26" s="11"/>
      <c r="C26" s="7">
        <f>ROUND(31350000,2)</f>
        <v>31350000</v>
      </c>
      <c r="D26" s="7"/>
      <c r="E26" s="2">
        <f>ROUND(5152232.41,2)</f>
        <v>5152232.41</v>
      </c>
      <c r="F26" s="2">
        <f>ROUND(36502232.4099999,2)</f>
        <v>36502232.409999996</v>
      </c>
      <c r="G26" s="7">
        <f>ROUND(33510121.1,2)</f>
        <v>33510121.100000001</v>
      </c>
      <c r="H26" s="7"/>
      <c r="I26" s="2">
        <f>ROUND(32901923.14,2)</f>
        <v>32901923.140000001</v>
      </c>
      <c r="J26" s="2">
        <f>ROUND(608197.959999999,2)</f>
        <v>608197.96</v>
      </c>
      <c r="K26" s="2">
        <f>ROUND(2992111.31,2)</f>
        <v>2992111.31</v>
      </c>
    </row>
    <row r="27" spans="1:11">
      <c r="A27" s="11" t="s">
        <v>36</v>
      </c>
      <c r="B27" s="11"/>
      <c r="C27" s="7">
        <f>ROUND(36772993,2)</f>
        <v>36772993</v>
      </c>
      <c r="D27" s="7"/>
      <c r="E27" s="2">
        <f>ROUND(8624346.22,2)</f>
        <v>8624346.2200000007</v>
      </c>
      <c r="F27" s="2">
        <f>ROUND(45397339.22,2)</f>
        <v>45397339.219999999</v>
      </c>
      <c r="G27" s="7">
        <f>ROUND(36512564.51,2)</f>
        <v>36512564.509999998</v>
      </c>
      <c r="H27" s="7"/>
      <c r="I27" s="2">
        <f>ROUND(31252408.04,2)</f>
        <v>31252408.039999999</v>
      </c>
      <c r="J27" s="2">
        <f>ROUND(5260156.47,2)</f>
        <v>5260156.47</v>
      </c>
      <c r="K27" s="2">
        <f>ROUND(8884774.71,2)</f>
        <v>8884774.7100000009</v>
      </c>
    </row>
    <row r="28" spans="1:11">
      <c r="A28" s="11" t="s">
        <v>37</v>
      </c>
      <c r="B28" s="11"/>
      <c r="C28" s="7">
        <f>ROUND(379939,2)</f>
        <v>379939</v>
      </c>
      <c r="D28" s="7"/>
      <c r="E28" s="2">
        <f>ROUND(0,2)</f>
        <v>0</v>
      </c>
      <c r="F28" s="2">
        <f>ROUND(379939,2)</f>
        <v>379939</v>
      </c>
      <c r="G28" s="7">
        <f>ROUND(278645.04,2)</f>
        <v>278645.03999999998</v>
      </c>
      <c r="H28" s="7"/>
      <c r="I28" s="2">
        <f>ROUND(278645.04,2)</f>
        <v>278645.03999999998</v>
      </c>
      <c r="J28" s="2">
        <f>ROUND(0,2)</f>
        <v>0</v>
      </c>
      <c r="K28" s="2">
        <f>ROUND(101293.96,2)</f>
        <v>101293.96</v>
      </c>
    </row>
    <row r="29" spans="1:11">
      <c r="A29" s="11" t="s">
        <v>18</v>
      </c>
      <c r="B29" s="11"/>
      <c r="C29" s="7">
        <f>ROUND(12768636,2)</f>
        <v>12768636</v>
      </c>
      <c r="D29" s="7"/>
      <c r="E29" s="2">
        <f>ROUND(3832077.03,2)</f>
        <v>3832077.03</v>
      </c>
      <c r="F29" s="2">
        <f>ROUND(16600713.03,2)</f>
        <v>16600713.029999999</v>
      </c>
      <c r="G29" s="7">
        <f>ROUND(15415024.33,2)</f>
        <v>15415024.33</v>
      </c>
      <c r="H29" s="7"/>
      <c r="I29" s="2">
        <f>ROUND(9905839.64,2)</f>
        <v>9905839.6400000006</v>
      </c>
      <c r="J29" s="2">
        <f>ROUND(5509184.69,2)</f>
        <v>5509184.6900000004</v>
      </c>
      <c r="K29" s="2">
        <f>ROUND(1185688.7,2)</f>
        <v>1185688.7</v>
      </c>
    </row>
    <row r="30" spans="1:11">
      <c r="A30" s="11" t="s">
        <v>38</v>
      </c>
      <c r="B30" s="11"/>
      <c r="C30" s="7">
        <f>ROUND(680838,2)</f>
        <v>680838</v>
      </c>
      <c r="D30" s="7"/>
      <c r="E30" s="2">
        <f>ROUND(0,2)</f>
        <v>0</v>
      </c>
      <c r="F30" s="2">
        <f>ROUND(680838,2)</f>
        <v>680838</v>
      </c>
      <c r="G30" s="7">
        <f>ROUND(0,2)</f>
        <v>0</v>
      </c>
      <c r="H30" s="7"/>
      <c r="I30" s="2">
        <f>ROUND(0,2)</f>
        <v>0</v>
      </c>
      <c r="J30" s="2">
        <f>ROUND(0,2)</f>
        <v>0</v>
      </c>
      <c r="K30" s="2">
        <f>ROUND(680838,2)</f>
        <v>680838</v>
      </c>
    </row>
    <row r="31" spans="1:11">
      <c r="A31" s="15" t="s">
        <v>20</v>
      </c>
      <c r="B31" s="15"/>
      <c r="C31" s="10">
        <f>ROUND(81952406,2)</f>
        <v>81952406</v>
      </c>
      <c r="D31" s="10"/>
      <c r="E31" s="4">
        <f>ROUND(17608655.66,2)</f>
        <v>17608655.66</v>
      </c>
      <c r="F31" s="4">
        <f>ROUND(99561061.66,2)</f>
        <v>99561061.659999996</v>
      </c>
      <c r="G31" s="10">
        <f>ROUND(85716354.98,2)</f>
        <v>85716354.980000004</v>
      </c>
      <c r="H31" s="10"/>
      <c r="I31" s="4">
        <f>ROUND(74338815.86,2)</f>
        <v>74338815.859999999</v>
      </c>
      <c r="J31" s="4">
        <f>ROUND(11377539.12,2)</f>
        <v>11377539.119999999</v>
      </c>
      <c r="K31" s="4">
        <f>ROUND(13844706.68,2)</f>
        <v>13844706.68</v>
      </c>
    </row>
    <row r="32" spans="1:11">
      <c r="A32" s="15" t="s">
        <v>21</v>
      </c>
      <c r="B32" s="15"/>
      <c r="C32" s="9"/>
      <c r="D32" s="9"/>
      <c r="E32" s="3"/>
      <c r="F32" s="3"/>
      <c r="G32" s="9"/>
      <c r="H32" s="9"/>
      <c r="I32" s="3"/>
      <c r="J32" s="3"/>
      <c r="K32" s="3"/>
    </row>
    <row r="33" spans="1:11">
      <c r="A33" s="11" t="s">
        <v>39</v>
      </c>
      <c r="B33" s="11"/>
      <c r="C33" s="7">
        <f>ROUND(7830894,2)</f>
        <v>7830894</v>
      </c>
      <c r="D33" s="7"/>
      <c r="E33" s="2">
        <f>ROUND(24497446.79,2)</f>
        <v>24497446.789999999</v>
      </c>
      <c r="F33" s="2">
        <f>ROUND(32328340.79,2)</f>
        <v>32328340.789999999</v>
      </c>
      <c r="G33" s="7">
        <f>ROUND(10593898.37,2)</f>
        <v>10593898.369999999</v>
      </c>
      <c r="H33" s="7"/>
      <c r="I33" s="2">
        <f>ROUND(8991246.58,2)</f>
        <v>8991246.5800000001</v>
      </c>
      <c r="J33" s="2">
        <f>ROUND(1602651.79,2)</f>
        <v>1602651.79</v>
      </c>
      <c r="K33" s="2">
        <f>ROUND(21734442.42,2)</f>
        <v>21734442.420000002</v>
      </c>
    </row>
    <row r="34" spans="1:11">
      <c r="A34" s="11" t="s">
        <v>22</v>
      </c>
      <c r="B34" s="11"/>
      <c r="C34" s="7">
        <f>ROUND(663903,2)</f>
        <v>663903</v>
      </c>
      <c r="D34" s="7"/>
      <c r="E34" s="2">
        <f>ROUND(2167090.87,2)</f>
        <v>2167090.87</v>
      </c>
      <c r="F34" s="2">
        <f>ROUND(2830993.87,2)</f>
        <v>2830993.87</v>
      </c>
      <c r="G34" s="7">
        <f>ROUND(759068.43,2)</f>
        <v>759068.43</v>
      </c>
      <c r="H34" s="7"/>
      <c r="I34" s="2">
        <f>ROUND(759068.43,2)</f>
        <v>759068.43</v>
      </c>
      <c r="J34" s="2">
        <f>ROUND(0,2)</f>
        <v>0</v>
      </c>
      <c r="K34" s="2">
        <f>ROUND(2071925.44,2)</f>
        <v>2071925.44</v>
      </c>
    </row>
    <row r="35" spans="1:11">
      <c r="A35" s="15" t="s">
        <v>23</v>
      </c>
      <c r="B35" s="15"/>
      <c r="C35" s="10">
        <f>ROUND(8494797,2)</f>
        <v>8494797</v>
      </c>
      <c r="D35" s="10"/>
      <c r="E35" s="4">
        <f>ROUND(26664537.66,2)</f>
        <v>26664537.66</v>
      </c>
      <c r="F35" s="4">
        <f>ROUND(35159334.66,2)</f>
        <v>35159334.659999996</v>
      </c>
      <c r="G35" s="10">
        <f>ROUND(11352966.8,2)</f>
        <v>11352966.800000001</v>
      </c>
      <c r="H35" s="10"/>
      <c r="I35" s="4">
        <f>ROUND(9750315.01,2)</f>
        <v>9750315.0099999998</v>
      </c>
      <c r="J35" s="4">
        <f>ROUND(1602651.79,2)</f>
        <v>1602651.79</v>
      </c>
      <c r="K35" s="4">
        <f>ROUND(23806367.86,2)</f>
        <v>23806367.859999999</v>
      </c>
    </row>
    <row r="36" spans="1:11">
      <c r="A36" s="15" t="s">
        <v>24</v>
      </c>
      <c r="B36" s="15"/>
      <c r="C36" s="9"/>
      <c r="D36" s="9"/>
      <c r="E36" s="3"/>
      <c r="F36" s="3"/>
      <c r="G36" s="9"/>
      <c r="H36" s="9"/>
      <c r="I36" s="3"/>
      <c r="J36" s="3"/>
      <c r="K36" s="3"/>
    </row>
    <row r="37" spans="1:11">
      <c r="A37" s="11" t="s">
        <v>25</v>
      </c>
      <c r="B37" s="11"/>
      <c r="C37" s="7">
        <f>ROUND(46600,2)</f>
        <v>46600</v>
      </c>
      <c r="D37" s="7"/>
      <c r="E37" s="2">
        <f>ROUND(5017920,2)</f>
        <v>5017920</v>
      </c>
      <c r="F37" s="2">
        <f>ROUND(5064520,2)</f>
        <v>5064520</v>
      </c>
      <c r="G37" s="7">
        <f>ROUND(5036919.84,2)</f>
        <v>5036919.84</v>
      </c>
      <c r="H37" s="7"/>
      <c r="I37" s="2">
        <f>ROUND(5036919.84,2)</f>
        <v>5036919.84</v>
      </c>
      <c r="J37" s="2">
        <f>ROUND(0,2)</f>
        <v>0</v>
      </c>
      <c r="K37" s="2">
        <f>ROUND(27600.1600000001,2)</f>
        <v>27600.16</v>
      </c>
    </row>
    <row r="38" spans="1:11">
      <c r="A38" s="11" t="s">
        <v>26</v>
      </c>
      <c r="B38" s="11"/>
      <c r="C38" s="7">
        <f>ROUND(1355000,2)</f>
        <v>1355000</v>
      </c>
      <c r="D38" s="7"/>
      <c r="E38" s="2">
        <f>ROUND(97381.68,2)</f>
        <v>97381.68</v>
      </c>
      <c r="F38" s="2">
        <f>ROUND(1452381.68,2)</f>
        <v>1452381.68</v>
      </c>
      <c r="G38" s="7">
        <f>ROUND(1429041.56,2)</f>
        <v>1429041.56</v>
      </c>
      <c r="H38" s="7"/>
      <c r="I38" s="2">
        <f>ROUND(1429041.56,2)</f>
        <v>1429041.56</v>
      </c>
      <c r="J38" s="2">
        <f>ROUND(0,2)</f>
        <v>0</v>
      </c>
      <c r="K38" s="2">
        <f>ROUND(23340.1199999999,2)</f>
        <v>23340.12</v>
      </c>
    </row>
    <row r="39" spans="1:11">
      <c r="A39" s="15" t="s">
        <v>27</v>
      </c>
      <c r="B39" s="15"/>
      <c r="C39" s="10">
        <f>ROUND(1401600,2)</f>
        <v>1401600</v>
      </c>
      <c r="D39" s="10"/>
      <c r="E39" s="4">
        <f>ROUND(5115301.68,2)</f>
        <v>5115301.68</v>
      </c>
      <c r="F39" s="4">
        <f>ROUND(6516901.68,2)</f>
        <v>6516901.6799999997</v>
      </c>
      <c r="G39" s="10">
        <f>ROUND(6465961.4,2)</f>
        <v>6465961.4000000004</v>
      </c>
      <c r="H39" s="10"/>
      <c r="I39" s="4">
        <f>ROUND(6465961.4,2)</f>
        <v>6465961.4000000004</v>
      </c>
      <c r="J39" s="4">
        <f>ROUND(0,2)</f>
        <v>0</v>
      </c>
      <c r="K39" s="4">
        <f>ROUND(50940.28,2)</f>
        <v>50940.28</v>
      </c>
    </row>
    <row r="40" spans="1:11">
      <c r="A40" s="12" t="s">
        <v>40</v>
      </c>
      <c r="B40" s="12"/>
      <c r="C40" s="6">
        <f>ROUND(91848803,2)</f>
        <v>91848803</v>
      </c>
      <c r="D40" s="6"/>
      <c r="E40" s="5">
        <f>ROUND(49388495,2)</f>
        <v>49388495</v>
      </c>
      <c r="F40" s="5">
        <f>ROUND(141237298,2)</f>
        <v>141237298</v>
      </c>
      <c r="G40" s="6">
        <f>ROUND(103535283.18,2)</f>
        <v>103535283.18000001</v>
      </c>
      <c r="H40" s="6"/>
      <c r="I40" s="5">
        <f>ROUND(90555092.27,2)</f>
        <v>90555092.269999996</v>
      </c>
      <c r="J40" s="5">
        <f>ROUND(12980190.91,2)</f>
        <v>12980190.91</v>
      </c>
      <c r="K40" s="5">
        <f>ROUND(37702014.82,2)</f>
        <v>37702014.82</v>
      </c>
    </row>
    <row r="41" spans="1:11">
      <c r="A41" s="9"/>
      <c r="B41" s="9"/>
      <c r="C41" s="9"/>
      <c r="D41" s="9"/>
      <c r="E41" s="3"/>
      <c r="F41" s="3"/>
      <c r="G41" s="9"/>
      <c r="H41" s="9"/>
      <c r="I41" s="3"/>
      <c r="J41" s="3"/>
      <c r="K41" s="3"/>
    </row>
    <row r="42" spans="1:11" ht="19.2">
      <c r="A42" s="13" t="s">
        <v>41</v>
      </c>
      <c r="B42" s="13"/>
      <c r="C42" s="14" t="s">
        <v>42</v>
      </c>
      <c r="D42" s="14"/>
      <c r="E42" s="1" t="s">
        <v>7</v>
      </c>
      <c r="F42" s="1" t="s">
        <v>43</v>
      </c>
      <c r="G42" s="14" t="s">
        <v>44</v>
      </c>
      <c r="H42" s="14"/>
      <c r="I42" s="1" t="s">
        <v>45</v>
      </c>
      <c r="J42" s="1" t="s">
        <v>46</v>
      </c>
      <c r="K42" s="1" t="s">
        <v>12</v>
      </c>
    </row>
    <row r="43" spans="1:11">
      <c r="A43" s="11" t="s">
        <v>47</v>
      </c>
      <c r="B43" s="11"/>
      <c r="C43" s="7">
        <f>ROUND(91848803,2)</f>
        <v>91848803</v>
      </c>
      <c r="D43" s="7"/>
      <c r="E43" s="2">
        <f>ROUND(49388495,2)</f>
        <v>49388495</v>
      </c>
      <c r="F43" s="2">
        <f>ROUND(141237298,2)</f>
        <v>141237298</v>
      </c>
      <c r="G43" s="7">
        <f>ROUND(103804627.84,2)</f>
        <v>103804627.84</v>
      </c>
      <c r="H43" s="7"/>
      <c r="I43" s="2">
        <f>ROUND(89412654.78,2)</f>
        <v>89412654.780000001</v>
      </c>
      <c r="J43" s="2">
        <f>ROUND(14391973.06,2)</f>
        <v>14391973.060000001</v>
      </c>
      <c r="K43" s="2">
        <f>ROUND(-61344319.84,2)</f>
        <v>-61344319.840000004</v>
      </c>
    </row>
    <row r="44" spans="1:11">
      <c r="A44" s="11" t="s">
        <v>48</v>
      </c>
      <c r="B44" s="11"/>
      <c r="C44" s="7">
        <f>ROUND(91848803,2)</f>
        <v>91848803</v>
      </c>
      <c r="D44" s="7"/>
      <c r="E44" s="2">
        <f>ROUND(49388495,2)</f>
        <v>49388495</v>
      </c>
      <c r="F44" s="2">
        <f>ROUND(141237298,2)</f>
        <v>141237298</v>
      </c>
      <c r="G44" s="7">
        <f>ROUND(103535283.18,2)</f>
        <v>103535283.18000001</v>
      </c>
      <c r="H44" s="7"/>
      <c r="I44" s="2">
        <f>ROUND(90555092.27,2)</f>
        <v>90555092.269999996</v>
      </c>
      <c r="J44" s="2">
        <f>ROUND(12980190.91,2)</f>
        <v>12980190.91</v>
      </c>
      <c r="K44" s="2">
        <f>ROUND(37702014.82,2)</f>
        <v>37702014.82</v>
      </c>
    </row>
    <row r="45" spans="1:11">
      <c r="A45" s="12" t="s">
        <v>49</v>
      </c>
      <c r="B45" s="12"/>
      <c r="C45" s="6">
        <f>ROUND(0,2)</f>
        <v>0</v>
      </c>
      <c r="D45" s="6"/>
      <c r="E45" s="5">
        <f>ROUND(7.45058059692383E-09,2)</f>
        <v>0</v>
      </c>
      <c r="F45" s="5">
        <f>ROUND(7.45058059692383E-09,2)</f>
        <v>0</v>
      </c>
      <c r="G45" s="6">
        <f>ROUND(269344.659999952,2)</f>
        <v>269344.65999999997</v>
      </c>
      <c r="H45" s="6"/>
      <c r="I45" s="5">
        <f>ROUND(-1142437.48999999,2)</f>
        <v>-1142437.49</v>
      </c>
      <c r="J45" s="5">
        <f>ROUND(1411782.14999995,2)</f>
        <v>1411782.15</v>
      </c>
      <c r="K45" s="5">
        <f>ROUND(-269344.659999937,2)</f>
        <v>-269344.65999999997</v>
      </c>
    </row>
    <row r="46" spans="1:11">
      <c r="A46" s="9"/>
      <c r="B46" s="9"/>
      <c r="C46" s="9"/>
      <c r="D46" s="9"/>
      <c r="E46" s="3"/>
      <c r="F46" s="3"/>
      <c r="G46" s="9"/>
      <c r="H46" s="9"/>
      <c r="I46" s="3"/>
      <c r="J46" s="3"/>
      <c r="K46" s="3"/>
    </row>
    <row r="47" spans="1:11" ht="19.2">
      <c r="A47" s="13" t="s">
        <v>50</v>
      </c>
      <c r="B47" s="13"/>
      <c r="C47" s="14" t="s">
        <v>42</v>
      </c>
      <c r="D47" s="14"/>
      <c r="E47" s="1" t="s">
        <v>7</v>
      </c>
      <c r="F47" s="1" t="s">
        <v>43</v>
      </c>
      <c r="G47" s="14" t="s">
        <v>44</v>
      </c>
      <c r="H47" s="14"/>
      <c r="I47" s="1" t="s">
        <v>45</v>
      </c>
      <c r="J47" s="1" t="s">
        <v>46</v>
      </c>
      <c r="K47" s="1" t="s">
        <v>12</v>
      </c>
    </row>
    <row r="48" spans="1:11">
      <c r="A48" s="11" t="s">
        <v>47</v>
      </c>
      <c r="B48" s="11"/>
      <c r="C48" s="7">
        <f>ROUND(110430244.37,2)</f>
        <v>110430244.37</v>
      </c>
      <c r="D48" s="7"/>
      <c r="E48" s="2">
        <f>ROUND(47842725.69,2)</f>
        <v>47842725.689999998</v>
      </c>
      <c r="F48" s="2">
        <f>ROUND(158272970.06,2)</f>
        <v>158272970.06</v>
      </c>
      <c r="G48" s="7">
        <f>ROUND(120840299.9,2)</f>
        <v>120840299.90000001</v>
      </c>
      <c r="H48" s="7"/>
      <c r="I48" s="2">
        <f>ROUND(94851917.28,2)</f>
        <v>94851917.280000001</v>
      </c>
      <c r="J48" s="2">
        <f>ROUND(25988382.62,2)</f>
        <v>25988382.620000001</v>
      </c>
      <c r="K48" s="2">
        <f>ROUND(-61344319.84,2)</f>
        <v>-61344319.840000004</v>
      </c>
    </row>
    <row r="49" spans="1:11">
      <c r="A49" s="11" t="s">
        <v>48</v>
      </c>
      <c r="B49" s="11"/>
      <c r="C49" s="7">
        <f>ROUND(100946706.83,2)</f>
        <v>100946706.83</v>
      </c>
      <c r="D49" s="7"/>
      <c r="E49" s="2">
        <f>ROUND(49388495,2)</f>
        <v>49388495</v>
      </c>
      <c r="F49" s="2">
        <f>ROUND(150335201.83,2)</f>
        <v>150335201.83000001</v>
      </c>
      <c r="G49" s="7">
        <f>ROUND(112633187.01,2)</f>
        <v>112633187.01000001</v>
      </c>
      <c r="H49" s="7"/>
      <c r="I49" s="2">
        <f>ROUND(98106779.46,2)</f>
        <v>98106779.459999993</v>
      </c>
      <c r="J49" s="2">
        <f>ROUND(14526407.55,2)</f>
        <v>14526407.550000001</v>
      </c>
      <c r="K49" s="2">
        <f>ROUND(37702014.82,2)</f>
        <v>37702014.82</v>
      </c>
    </row>
    <row r="50" spans="1:11">
      <c r="A50" s="12" t="s">
        <v>51</v>
      </c>
      <c r="B50" s="12"/>
      <c r="C50" s="6">
        <f>ROUND(9483537.54,2)</f>
        <v>9483537.5399999991</v>
      </c>
      <c r="D50" s="6"/>
      <c r="E50" s="5">
        <f>ROUND(-1545769.30999999,2)</f>
        <v>-1545769.31</v>
      </c>
      <c r="F50" s="5">
        <f>ROUND(7937768.23000001,2)</f>
        <v>7937768.2300000004</v>
      </c>
      <c r="G50" s="6">
        <f>ROUND(8207112.88999995,2)</f>
        <v>8207112.8899999997</v>
      </c>
      <c r="H50" s="6"/>
      <c r="I50" s="5">
        <f>ROUND(-3254862.18,2)</f>
        <v>-3254862.18</v>
      </c>
      <c r="J50" s="5">
        <f>ROUND(11461975.07,2)</f>
        <v>11461975.07</v>
      </c>
      <c r="K50" s="5">
        <f>ROUND(-269344.659999937,2)</f>
        <v>-269344.65999999997</v>
      </c>
    </row>
  </sheetData>
  <mergeCells count="143">
    <mergeCell ref="D3:G3"/>
    <mergeCell ref="D2:G2"/>
    <mergeCell ref="D1:G1"/>
    <mergeCell ref="C8:D8"/>
    <mergeCell ref="C7:D7"/>
    <mergeCell ref="C6:D6"/>
    <mergeCell ref="G8:H8"/>
    <mergeCell ref="G7:H7"/>
    <mergeCell ref="G6:H6"/>
    <mergeCell ref="A22:B22"/>
    <mergeCell ref="A21:B21"/>
    <mergeCell ref="A20:B20"/>
    <mergeCell ref="C18:D18"/>
    <mergeCell ref="G18:H18"/>
    <mergeCell ref="A7:B7"/>
    <mergeCell ref="A6:B6"/>
    <mergeCell ref="A19:B19"/>
    <mergeCell ref="A18:B18"/>
    <mergeCell ref="G19:H19"/>
    <mergeCell ref="C19:D19"/>
    <mergeCell ref="A1:A5"/>
    <mergeCell ref="G17:H17"/>
    <mergeCell ref="G16:H16"/>
    <mergeCell ref="G14:H14"/>
    <mergeCell ref="C15:D15"/>
    <mergeCell ref="G15:H15"/>
    <mergeCell ref="G11:H11"/>
    <mergeCell ref="G10:H10"/>
    <mergeCell ref="A13:B13"/>
    <mergeCell ref="A12:B12"/>
    <mergeCell ref="A11:B11"/>
    <mergeCell ref="A10:B10"/>
    <mergeCell ref="A9:B9"/>
    <mergeCell ref="A8:B8"/>
    <mergeCell ref="A17:B17"/>
    <mergeCell ref="A16:B16"/>
    <mergeCell ref="A15:B15"/>
    <mergeCell ref="A14:B14"/>
    <mergeCell ref="C13:D13"/>
    <mergeCell ref="C14:D14"/>
    <mergeCell ref="C16:D16"/>
    <mergeCell ref="C17:D17"/>
    <mergeCell ref="D5:G5"/>
    <mergeCell ref="D4:G4"/>
    <mergeCell ref="G40:H40"/>
    <mergeCell ref="G39:H39"/>
    <mergeCell ref="G38:H38"/>
    <mergeCell ref="C33:D33"/>
    <mergeCell ref="C31:D31"/>
    <mergeCell ref="A32:B32"/>
    <mergeCell ref="A31:B31"/>
    <mergeCell ref="A23:B23"/>
    <mergeCell ref="A24:B24"/>
    <mergeCell ref="A25:B25"/>
    <mergeCell ref="A26:B26"/>
    <mergeCell ref="A27:B27"/>
    <mergeCell ref="A28:B28"/>
    <mergeCell ref="A29:B29"/>
    <mergeCell ref="A30:B30"/>
    <mergeCell ref="G23:H23"/>
    <mergeCell ref="C23:D23"/>
    <mergeCell ref="C41:D41"/>
    <mergeCell ref="A41:B41"/>
    <mergeCell ref="A33:B33"/>
    <mergeCell ref="A34:B34"/>
    <mergeCell ref="A35:B35"/>
    <mergeCell ref="A36:B36"/>
    <mergeCell ref="A37:B37"/>
    <mergeCell ref="A38:B38"/>
    <mergeCell ref="A39:B39"/>
    <mergeCell ref="A40:B40"/>
    <mergeCell ref="A50:B50"/>
    <mergeCell ref="B1:C5"/>
    <mergeCell ref="G50:H50"/>
    <mergeCell ref="G49:H49"/>
    <mergeCell ref="G48:H48"/>
    <mergeCell ref="G45:H45"/>
    <mergeCell ref="G44:H44"/>
    <mergeCell ref="G43:H43"/>
    <mergeCell ref="A42:B42"/>
    <mergeCell ref="A43:B43"/>
    <mergeCell ref="A44:B44"/>
    <mergeCell ref="G13:H13"/>
    <mergeCell ref="G12:H12"/>
    <mergeCell ref="C12:D12"/>
    <mergeCell ref="C11:D11"/>
    <mergeCell ref="C10:D10"/>
    <mergeCell ref="C9:D9"/>
    <mergeCell ref="G9:H9"/>
    <mergeCell ref="G21:H21"/>
    <mergeCell ref="C21:D21"/>
    <mergeCell ref="G20:H20"/>
    <mergeCell ref="C20:D20"/>
    <mergeCell ref="G47:H47"/>
    <mergeCell ref="C47:D47"/>
    <mergeCell ref="C26:D26"/>
    <mergeCell ref="G22:H22"/>
    <mergeCell ref="C22:D22"/>
    <mergeCell ref="G25:H25"/>
    <mergeCell ref="C25:D25"/>
    <mergeCell ref="G24:H24"/>
    <mergeCell ref="C24:D24"/>
    <mergeCell ref="A48:B48"/>
    <mergeCell ref="A49:B49"/>
    <mergeCell ref="G46:H46"/>
    <mergeCell ref="C46:D46"/>
    <mergeCell ref="G42:H42"/>
    <mergeCell ref="C42:D42"/>
    <mergeCell ref="G41:H41"/>
    <mergeCell ref="A45:B45"/>
    <mergeCell ref="A46:B46"/>
    <mergeCell ref="A47:B47"/>
    <mergeCell ref="G37:H37"/>
    <mergeCell ref="G35:H35"/>
    <mergeCell ref="G34:H34"/>
    <mergeCell ref="G33:H33"/>
    <mergeCell ref="G31:H31"/>
    <mergeCell ref="G36:H36"/>
    <mergeCell ref="G32:H32"/>
    <mergeCell ref="C50:D50"/>
    <mergeCell ref="C49:D49"/>
    <mergeCell ref="C48:D48"/>
    <mergeCell ref="C45:D45"/>
    <mergeCell ref="C44:D44"/>
    <mergeCell ref="C43:D43"/>
    <mergeCell ref="H1:K5"/>
    <mergeCell ref="C30:D30"/>
    <mergeCell ref="C29:D29"/>
    <mergeCell ref="C28:D28"/>
    <mergeCell ref="G30:H30"/>
    <mergeCell ref="G29:H29"/>
    <mergeCell ref="G28:H28"/>
    <mergeCell ref="C32:D32"/>
    <mergeCell ref="C40:D40"/>
    <mergeCell ref="C39:D39"/>
    <mergeCell ref="C38:D38"/>
    <mergeCell ref="C37:D37"/>
    <mergeCell ref="C35:D35"/>
    <mergeCell ref="C34:D34"/>
    <mergeCell ref="C36:D36"/>
    <mergeCell ref="G27:H27"/>
    <mergeCell ref="C27:D27"/>
    <mergeCell ref="G26:H26"/>
  </mergeCells>
  <pageMargins left="0.39369446039199829" right="0.39369446039199829" top="0.39369446039199829" bottom="0.39369446039199829" header="0" footer="0"/>
  <pageSetup paperSize="9" orientation="portrait" horizontalDpi="0" verticalDpi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7</vt:i4>
      </vt:variant>
    </vt:vector>
  </HeadingPairs>
  <TitlesOfParts>
    <vt:vector size="8" baseType="lpstr">
      <vt:lpstr>Report</vt:lpstr>
      <vt:lpstr>__bookmark_1</vt:lpstr>
      <vt:lpstr>__bookmark_2</vt:lpstr>
      <vt:lpstr>__bookmark_3</vt:lpstr>
      <vt:lpstr>__bookmark_4</vt:lpstr>
      <vt:lpstr>__bookmark_5</vt:lpstr>
      <vt:lpstr>__bookmark_6</vt:lpstr>
      <vt:lpstr>__bookmark_7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Tilve Balaguer</dc:creator>
  <cp:lastModifiedBy>Monica Sanchez Muñoz</cp:lastModifiedBy>
  <dcterms:created xsi:type="dcterms:W3CDTF">2026-03-05T08:40:34Z</dcterms:created>
  <dcterms:modified xsi:type="dcterms:W3CDTF">2026-03-05T10:21:25Z</dcterms:modified>
</cp:coreProperties>
</file>