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Transp_ExpElec/Docs explotacio/TRANSPARENCIA/CONTINGUTS WEB/4_GESTIO ECONOMICA/Actualitzacio continguts/4.1.5 Modificacio_pressupostos/2024/"/>
    </mc:Choice>
  </mc:AlternateContent>
  <xr:revisionPtr revIDLastSave="3" documentId="8_{3AD85661-8C55-40F4-8B0D-2BB163D0317A}" xr6:coauthVersionLast="47" xr6:coauthVersionMax="47" xr10:uidLastSave="{6882758C-92D7-4BC5-A0D9-9473BAD60A85}"/>
  <bookViews>
    <workbookView xWindow="-120" yWindow="-120" windowWidth="29040" windowHeight="15720" xr2:uid="{BA2EDF84-F789-4547-9ACF-4FF932FA6E33}"/>
  </bookViews>
  <sheets>
    <sheet name="Report" sheetId="1" r:id="rId1"/>
  </sheets>
  <definedNames>
    <definedName name="__bookmark_1">Report!$A$5:$U$677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J7" i="1"/>
  <c r="K7" i="1"/>
  <c r="L7" i="1"/>
  <c r="N7" i="1"/>
  <c r="O7" i="1"/>
  <c r="P7" i="1"/>
  <c r="Q7" i="1"/>
  <c r="S7" i="1"/>
  <c r="H8" i="1"/>
  <c r="I8" i="1"/>
  <c r="J8" i="1"/>
  <c r="K8" i="1"/>
  <c r="L8" i="1"/>
  <c r="N8" i="1"/>
  <c r="O8" i="1"/>
  <c r="P8" i="1"/>
  <c r="Q8" i="1"/>
  <c r="S8" i="1"/>
  <c r="H9" i="1"/>
  <c r="I9" i="1"/>
  <c r="J9" i="1"/>
  <c r="K9" i="1"/>
  <c r="L9" i="1"/>
  <c r="N9" i="1"/>
  <c r="O9" i="1"/>
  <c r="P9" i="1"/>
  <c r="Q9" i="1"/>
  <c r="S9" i="1"/>
  <c r="H10" i="1"/>
  <c r="I10" i="1"/>
  <c r="J10" i="1"/>
  <c r="K10" i="1"/>
  <c r="L10" i="1"/>
  <c r="N10" i="1"/>
  <c r="O10" i="1"/>
  <c r="P10" i="1"/>
  <c r="Q10" i="1"/>
  <c r="S10" i="1"/>
  <c r="H11" i="1"/>
  <c r="I11" i="1"/>
  <c r="J11" i="1"/>
  <c r="K11" i="1"/>
  <c r="L11" i="1"/>
  <c r="N11" i="1"/>
  <c r="O11" i="1"/>
  <c r="P11" i="1"/>
  <c r="Q11" i="1"/>
  <c r="S11" i="1"/>
  <c r="H12" i="1"/>
  <c r="I12" i="1"/>
  <c r="J12" i="1"/>
  <c r="K12" i="1"/>
  <c r="L12" i="1"/>
  <c r="N12" i="1"/>
  <c r="O12" i="1"/>
  <c r="P12" i="1"/>
  <c r="Q12" i="1"/>
  <c r="S12" i="1"/>
  <c r="H13" i="1"/>
  <c r="I13" i="1"/>
  <c r="J13" i="1"/>
  <c r="K13" i="1"/>
  <c r="L13" i="1"/>
  <c r="N13" i="1"/>
  <c r="O13" i="1"/>
  <c r="P13" i="1"/>
  <c r="Q13" i="1"/>
  <c r="S13" i="1"/>
  <c r="H14" i="1"/>
  <c r="I14" i="1"/>
  <c r="J14" i="1"/>
  <c r="K14" i="1"/>
  <c r="L14" i="1"/>
  <c r="N14" i="1"/>
  <c r="O14" i="1"/>
  <c r="P14" i="1"/>
  <c r="Q14" i="1"/>
  <c r="S14" i="1"/>
  <c r="H15" i="1"/>
  <c r="I15" i="1"/>
  <c r="J15" i="1"/>
  <c r="K15" i="1"/>
  <c r="L15" i="1"/>
  <c r="N15" i="1"/>
  <c r="O15" i="1"/>
  <c r="P15" i="1"/>
  <c r="Q15" i="1"/>
  <c r="S15" i="1"/>
  <c r="H16" i="1"/>
  <c r="I16" i="1"/>
  <c r="J16" i="1"/>
  <c r="K16" i="1"/>
  <c r="L16" i="1"/>
  <c r="N16" i="1"/>
  <c r="O16" i="1"/>
  <c r="P16" i="1"/>
  <c r="Q16" i="1"/>
  <c r="S16" i="1"/>
  <c r="H17" i="1"/>
  <c r="I17" i="1"/>
  <c r="J17" i="1"/>
  <c r="K17" i="1"/>
  <c r="L17" i="1"/>
  <c r="N17" i="1"/>
  <c r="O17" i="1"/>
  <c r="P17" i="1"/>
  <c r="Q17" i="1"/>
  <c r="S17" i="1"/>
  <c r="H18" i="1"/>
  <c r="I18" i="1"/>
  <c r="J18" i="1"/>
  <c r="K18" i="1"/>
  <c r="L18" i="1"/>
  <c r="N18" i="1"/>
  <c r="O18" i="1"/>
  <c r="P18" i="1"/>
  <c r="Q18" i="1"/>
  <c r="S18" i="1"/>
  <c r="H19" i="1"/>
  <c r="I19" i="1"/>
  <c r="J19" i="1"/>
  <c r="K19" i="1"/>
  <c r="L19" i="1"/>
  <c r="N19" i="1"/>
  <c r="O19" i="1"/>
  <c r="P19" i="1"/>
  <c r="Q19" i="1"/>
  <c r="S19" i="1"/>
  <c r="H20" i="1"/>
  <c r="I20" i="1"/>
  <c r="J20" i="1"/>
  <c r="K20" i="1"/>
  <c r="L20" i="1"/>
  <c r="N20" i="1"/>
  <c r="O20" i="1"/>
  <c r="P20" i="1"/>
  <c r="Q20" i="1"/>
  <c r="S20" i="1"/>
  <c r="H21" i="1"/>
  <c r="I21" i="1"/>
  <c r="J21" i="1"/>
  <c r="K21" i="1"/>
  <c r="L21" i="1"/>
  <c r="N21" i="1"/>
  <c r="O21" i="1"/>
  <c r="P21" i="1"/>
  <c r="Q21" i="1"/>
  <c r="S21" i="1"/>
  <c r="H22" i="1"/>
  <c r="I22" i="1"/>
  <c r="J22" i="1"/>
  <c r="K22" i="1"/>
  <c r="L22" i="1"/>
  <c r="N22" i="1"/>
  <c r="O22" i="1"/>
  <c r="P22" i="1"/>
  <c r="Q22" i="1"/>
  <c r="S22" i="1"/>
  <c r="H23" i="1"/>
  <c r="I23" i="1"/>
  <c r="J23" i="1"/>
  <c r="K23" i="1"/>
  <c r="L23" i="1"/>
  <c r="N23" i="1"/>
  <c r="O23" i="1"/>
  <c r="P23" i="1"/>
  <c r="Q23" i="1"/>
  <c r="S23" i="1"/>
  <c r="H24" i="1"/>
  <c r="I24" i="1"/>
  <c r="J24" i="1"/>
  <c r="K24" i="1"/>
  <c r="L24" i="1"/>
  <c r="N24" i="1"/>
  <c r="O24" i="1"/>
  <c r="P24" i="1"/>
  <c r="Q24" i="1"/>
  <c r="S24" i="1"/>
  <c r="H25" i="1"/>
  <c r="I25" i="1"/>
  <c r="J25" i="1"/>
  <c r="K25" i="1"/>
  <c r="L25" i="1"/>
  <c r="N25" i="1"/>
  <c r="O25" i="1"/>
  <c r="P25" i="1"/>
  <c r="Q25" i="1"/>
  <c r="S25" i="1"/>
  <c r="H26" i="1"/>
  <c r="I26" i="1"/>
  <c r="J26" i="1"/>
  <c r="K26" i="1"/>
  <c r="L26" i="1"/>
  <c r="N26" i="1"/>
  <c r="O26" i="1"/>
  <c r="P26" i="1"/>
  <c r="Q26" i="1"/>
  <c r="S26" i="1"/>
  <c r="H27" i="1"/>
  <c r="I27" i="1"/>
  <c r="J27" i="1"/>
  <c r="K27" i="1"/>
  <c r="L27" i="1"/>
  <c r="N27" i="1"/>
  <c r="O27" i="1"/>
  <c r="P27" i="1"/>
  <c r="Q27" i="1"/>
  <c r="S27" i="1"/>
  <c r="H28" i="1"/>
  <c r="I28" i="1"/>
  <c r="J28" i="1"/>
  <c r="K28" i="1"/>
  <c r="L28" i="1"/>
  <c r="N28" i="1"/>
  <c r="O28" i="1"/>
  <c r="P28" i="1"/>
  <c r="Q28" i="1"/>
  <c r="S28" i="1"/>
  <c r="H29" i="1"/>
  <c r="I29" i="1"/>
  <c r="J29" i="1"/>
  <c r="K29" i="1"/>
  <c r="L29" i="1"/>
  <c r="N29" i="1"/>
  <c r="O29" i="1"/>
  <c r="P29" i="1"/>
  <c r="Q29" i="1"/>
  <c r="S29" i="1"/>
  <c r="H30" i="1"/>
  <c r="I30" i="1"/>
  <c r="J30" i="1"/>
  <c r="K30" i="1"/>
  <c r="L30" i="1"/>
  <c r="N30" i="1"/>
  <c r="O30" i="1"/>
  <c r="P30" i="1"/>
  <c r="Q30" i="1"/>
  <c r="S30" i="1"/>
  <c r="H31" i="1"/>
  <c r="I31" i="1"/>
  <c r="J31" i="1"/>
  <c r="K31" i="1"/>
  <c r="L31" i="1"/>
  <c r="N31" i="1"/>
  <c r="O31" i="1"/>
  <c r="P31" i="1"/>
  <c r="Q31" i="1"/>
  <c r="S31" i="1"/>
  <c r="H32" i="1"/>
  <c r="I32" i="1"/>
  <c r="J32" i="1"/>
  <c r="K32" i="1"/>
  <c r="L32" i="1"/>
  <c r="N32" i="1"/>
  <c r="O32" i="1"/>
  <c r="P32" i="1"/>
  <c r="Q32" i="1"/>
  <c r="S32" i="1"/>
  <c r="H33" i="1"/>
  <c r="I33" i="1"/>
  <c r="J33" i="1"/>
  <c r="K33" i="1"/>
  <c r="L33" i="1"/>
  <c r="N33" i="1"/>
  <c r="O33" i="1"/>
  <c r="P33" i="1"/>
  <c r="Q33" i="1"/>
  <c r="S33" i="1"/>
  <c r="H34" i="1"/>
  <c r="I34" i="1"/>
  <c r="J34" i="1"/>
  <c r="K34" i="1"/>
  <c r="L34" i="1"/>
  <c r="N34" i="1"/>
  <c r="O34" i="1"/>
  <c r="P34" i="1"/>
  <c r="Q34" i="1"/>
  <c r="S34" i="1"/>
  <c r="H35" i="1"/>
  <c r="I35" i="1"/>
  <c r="J35" i="1"/>
  <c r="K35" i="1"/>
  <c r="L35" i="1"/>
  <c r="N35" i="1"/>
  <c r="O35" i="1"/>
  <c r="P35" i="1"/>
  <c r="Q35" i="1"/>
  <c r="S35" i="1"/>
  <c r="H36" i="1"/>
  <c r="I36" i="1"/>
  <c r="J36" i="1"/>
  <c r="K36" i="1"/>
  <c r="L36" i="1"/>
  <c r="N36" i="1"/>
  <c r="O36" i="1"/>
  <c r="P36" i="1"/>
  <c r="Q36" i="1"/>
  <c r="S36" i="1"/>
  <c r="H37" i="1"/>
  <c r="I37" i="1"/>
  <c r="J37" i="1"/>
  <c r="K37" i="1"/>
  <c r="L37" i="1"/>
  <c r="N37" i="1"/>
  <c r="O37" i="1"/>
  <c r="P37" i="1"/>
  <c r="Q37" i="1"/>
  <c r="S37" i="1"/>
  <c r="H38" i="1"/>
  <c r="I38" i="1"/>
  <c r="J38" i="1"/>
  <c r="K38" i="1"/>
  <c r="L38" i="1"/>
  <c r="N38" i="1"/>
  <c r="O38" i="1"/>
  <c r="P38" i="1"/>
  <c r="Q38" i="1"/>
  <c r="S38" i="1"/>
  <c r="H39" i="1"/>
  <c r="I39" i="1"/>
  <c r="J39" i="1"/>
  <c r="K39" i="1"/>
  <c r="L39" i="1"/>
  <c r="N39" i="1"/>
  <c r="O39" i="1"/>
  <c r="P39" i="1"/>
  <c r="Q39" i="1"/>
  <c r="S39" i="1"/>
  <c r="H40" i="1"/>
  <c r="I40" i="1"/>
  <c r="J40" i="1"/>
  <c r="K40" i="1"/>
  <c r="L40" i="1"/>
  <c r="N40" i="1"/>
  <c r="O40" i="1"/>
  <c r="P40" i="1"/>
  <c r="Q40" i="1"/>
  <c r="S40" i="1"/>
  <c r="H41" i="1"/>
  <c r="I41" i="1"/>
  <c r="J41" i="1"/>
  <c r="K41" i="1"/>
  <c r="L41" i="1"/>
  <c r="N41" i="1"/>
  <c r="O41" i="1"/>
  <c r="P41" i="1"/>
  <c r="Q41" i="1"/>
  <c r="S41" i="1"/>
  <c r="H42" i="1"/>
  <c r="I42" i="1"/>
  <c r="J42" i="1"/>
  <c r="K42" i="1"/>
  <c r="L42" i="1"/>
  <c r="N42" i="1"/>
  <c r="O42" i="1"/>
  <c r="P42" i="1"/>
  <c r="Q42" i="1"/>
  <c r="S42" i="1"/>
  <c r="H43" i="1"/>
  <c r="I43" i="1"/>
  <c r="J43" i="1"/>
  <c r="K43" i="1"/>
  <c r="L43" i="1"/>
  <c r="N43" i="1"/>
  <c r="O43" i="1"/>
  <c r="P43" i="1"/>
  <c r="Q43" i="1"/>
  <c r="S43" i="1"/>
  <c r="H44" i="1"/>
  <c r="I44" i="1"/>
  <c r="J44" i="1"/>
  <c r="K44" i="1"/>
  <c r="L44" i="1"/>
  <c r="N44" i="1"/>
  <c r="O44" i="1"/>
  <c r="P44" i="1"/>
  <c r="Q44" i="1"/>
  <c r="S44" i="1"/>
  <c r="H45" i="1"/>
  <c r="I45" i="1"/>
  <c r="J45" i="1"/>
  <c r="K45" i="1"/>
  <c r="L45" i="1"/>
  <c r="N45" i="1"/>
  <c r="O45" i="1"/>
  <c r="P45" i="1"/>
  <c r="Q45" i="1"/>
  <c r="S45" i="1"/>
  <c r="H46" i="1"/>
  <c r="I46" i="1"/>
  <c r="J46" i="1"/>
  <c r="K46" i="1"/>
  <c r="L46" i="1"/>
  <c r="N46" i="1"/>
  <c r="O46" i="1"/>
  <c r="P46" i="1"/>
  <c r="Q46" i="1"/>
  <c r="S46" i="1"/>
  <c r="H47" i="1"/>
  <c r="I47" i="1"/>
  <c r="J47" i="1"/>
  <c r="K47" i="1"/>
  <c r="L47" i="1"/>
  <c r="N47" i="1"/>
  <c r="O47" i="1"/>
  <c r="P47" i="1"/>
  <c r="Q47" i="1"/>
  <c r="S47" i="1"/>
  <c r="H48" i="1"/>
  <c r="I48" i="1"/>
  <c r="J48" i="1"/>
  <c r="K48" i="1"/>
  <c r="L48" i="1"/>
  <c r="N48" i="1"/>
  <c r="O48" i="1"/>
  <c r="P48" i="1"/>
  <c r="Q48" i="1"/>
  <c r="S48" i="1"/>
  <c r="H49" i="1"/>
  <c r="I49" i="1"/>
  <c r="J49" i="1"/>
  <c r="K49" i="1"/>
  <c r="L49" i="1"/>
  <c r="N49" i="1"/>
  <c r="O49" i="1"/>
  <c r="P49" i="1"/>
  <c r="Q49" i="1"/>
  <c r="S49" i="1"/>
  <c r="H50" i="1"/>
  <c r="I50" i="1"/>
  <c r="J50" i="1"/>
  <c r="K50" i="1"/>
  <c r="L50" i="1"/>
  <c r="N50" i="1"/>
  <c r="O50" i="1"/>
  <c r="P50" i="1"/>
  <c r="Q50" i="1"/>
  <c r="S50" i="1"/>
  <c r="H51" i="1"/>
  <c r="I51" i="1"/>
  <c r="J51" i="1"/>
  <c r="K51" i="1"/>
  <c r="L51" i="1"/>
  <c r="N51" i="1"/>
  <c r="O51" i="1"/>
  <c r="P51" i="1"/>
  <c r="Q51" i="1"/>
  <c r="S51" i="1"/>
  <c r="H52" i="1"/>
  <c r="I52" i="1"/>
  <c r="J52" i="1"/>
  <c r="K52" i="1"/>
  <c r="L52" i="1"/>
  <c r="N52" i="1"/>
  <c r="O52" i="1"/>
  <c r="P52" i="1"/>
  <c r="Q52" i="1"/>
  <c r="S52" i="1"/>
  <c r="H53" i="1"/>
  <c r="I53" i="1"/>
  <c r="J53" i="1"/>
  <c r="K53" i="1"/>
  <c r="L53" i="1"/>
  <c r="N53" i="1"/>
  <c r="O53" i="1"/>
  <c r="P53" i="1"/>
  <c r="Q53" i="1"/>
  <c r="S53" i="1"/>
  <c r="H54" i="1"/>
  <c r="I54" i="1"/>
  <c r="J54" i="1"/>
  <c r="K54" i="1"/>
  <c r="L54" i="1"/>
  <c r="N54" i="1"/>
  <c r="O54" i="1"/>
  <c r="P54" i="1"/>
  <c r="Q54" i="1"/>
  <c r="S54" i="1"/>
  <c r="H55" i="1"/>
  <c r="I55" i="1"/>
  <c r="J55" i="1"/>
  <c r="K55" i="1"/>
  <c r="L55" i="1"/>
  <c r="N55" i="1"/>
  <c r="O55" i="1"/>
  <c r="P55" i="1"/>
  <c r="Q55" i="1"/>
  <c r="S55" i="1"/>
  <c r="H56" i="1"/>
  <c r="I56" i="1"/>
  <c r="J56" i="1"/>
  <c r="K56" i="1"/>
  <c r="L56" i="1"/>
  <c r="N56" i="1"/>
  <c r="O56" i="1"/>
  <c r="P56" i="1"/>
  <c r="Q56" i="1"/>
  <c r="S56" i="1"/>
  <c r="H57" i="1"/>
  <c r="I57" i="1"/>
  <c r="J57" i="1"/>
  <c r="K57" i="1"/>
  <c r="L57" i="1"/>
  <c r="N57" i="1"/>
  <c r="O57" i="1"/>
  <c r="P57" i="1"/>
  <c r="Q57" i="1"/>
  <c r="S57" i="1"/>
  <c r="H58" i="1"/>
  <c r="I58" i="1"/>
  <c r="J58" i="1"/>
  <c r="K58" i="1"/>
  <c r="L58" i="1"/>
  <c r="N58" i="1"/>
  <c r="O58" i="1"/>
  <c r="P58" i="1"/>
  <c r="Q58" i="1"/>
  <c r="S58" i="1"/>
  <c r="H59" i="1"/>
  <c r="I59" i="1"/>
  <c r="J59" i="1"/>
  <c r="K59" i="1"/>
  <c r="L59" i="1"/>
  <c r="N59" i="1"/>
  <c r="O59" i="1"/>
  <c r="P59" i="1"/>
  <c r="Q59" i="1"/>
  <c r="S59" i="1"/>
  <c r="H60" i="1"/>
  <c r="I60" i="1"/>
  <c r="J60" i="1"/>
  <c r="K60" i="1"/>
  <c r="L60" i="1"/>
  <c r="N60" i="1"/>
  <c r="O60" i="1"/>
  <c r="P60" i="1"/>
  <c r="Q60" i="1"/>
  <c r="S60" i="1"/>
  <c r="H61" i="1"/>
  <c r="I61" i="1"/>
  <c r="J61" i="1"/>
  <c r="K61" i="1"/>
  <c r="L61" i="1"/>
  <c r="N61" i="1"/>
  <c r="O61" i="1"/>
  <c r="P61" i="1"/>
  <c r="Q61" i="1"/>
  <c r="S61" i="1"/>
  <c r="H62" i="1"/>
  <c r="I62" i="1"/>
  <c r="J62" i="1"/>
  <c r="K62" i="1"/>
  <c r="L62" i="1"/>
  <c r="N62" i="1"/>
  <c r="O62" i="1"/>
  <c r="P62" i="1"/>
  <c r="Q62" i="1"/>
  <c r="S62" i="1"/>
  <c r="H63" i="1"/>
  <c r="I63" i="1"/>
  <c r="J63" i="1"/>
  <c r="K63" i="1"/>
  <c r="L63" i="1"/>
  <c r="N63" i="1"/>
  <c r="O63" i="1"/>
  <c r="P63" i="1"/>
  <c r="Q63" i="1"/>
  <c r="S63" i="1"/>
  <c r="H64" i="1"/>
  <c r="I64" i="1"/>
  <c r="J64" i="1"/>
  <c r="K64" i="1"/>
  <c r="L64" i="1"/>
  <c r="N64" i="1"/>
  <c r="O64" i="1"/>
  <c r="P64" i="1"/>
  <c r="Q64" i="1"/>
  <c r="S64" i="1"/>
  <c r="H65" i="1"/>
  <c r="I65" i="1"/>
  <c r="J65" i="1"/>
  <c r="K65" i="1"/>
  <c r="L65" i="1"/>
  <c r="N65" i="1"/>
  <c r="O65" i="1"/>
  <c r="P65" i="1"/>
  <c r="Q65" i="1"/>
  <c r="S65" i="1"/>
  <c r="H66" i="1"/>
  <c r="I66" i="1"/>
  <c r="J66" i="1"/>
  <c r="K66" i="1"/>
  <c r="L66" i="1"/>
  <c r="N66" i="1"/>
  <c r="O66" i="1"/>
  <c r="P66" i="1"/>
  <c r="Q66" i="1"/>
  <c r="S66" i="1"/>
  <c r="H67" i="1"/>
  <c r="I67" i="1"/>
  <c r="J67" i="1"/>
  <c r="K67" i="1"/>
  <c r="L67" i="1"/>
  <c r="N67" i="1"/>
  <c r="O67" i="1"/>
  <c r="P67" i="1"/>
  <c r="Q67" i="1"/>
  <c r="S67" i="1"/>
  <c r="H68" i="1"/>
  <c r="I68" i="1"/>
  <c r="J68" i="1"/>
  <c r="K68" i="1"/>
  <c r="L68" i="1"/>
  <c r="N68" i="1"/>
  <c r="O68" i="1"/>
  <c r="P68" i="1"/>
  <c r="Q68" i="1"/>
  <c r="S68" i="1"/>
  <c r="H69" i="1"/>
  <c r="I69" i="1"/>
  <c r="J69" i="1"/>
  <c r="K69" i="1"/>
  <c r="L69" i="1"/>
  <c r="N69" i="1"/>
  <c r="O69" i="1"/>
  <c r="P69" i="1"/>
  <c r="Q69" i="1"/>
  <c r="S69" i="1"/>
  <c r="H70" i="1"/>
  <c r="I70" i="1"/>
  <c r="J70" i="1"/>
  <c r="K70" i="1"/>
  <c r="L70" i="1"/>
  <c r="N70" i="1"/>
  <c r="O70" i="1"/>
  <c r="P70" i="1"/>
  <c r="Q70" i="1"/>
  <c r="S70" i="1"/>
  <c r="H71" i="1"/>
  <c r="I71" i="1"/>
  <c r="J71" i="1"/>
  <c r="K71" i="1"/>
  <c r="L71" i="1"/>
  <c r="N71" i="1"/>
  <c r="O71" i="1"/>
  <c r="P71" i="1"/>
  <c r="Q71" i="1"/>
  <c r="S71" i="1"/>
  <c r="H72" i="1"/>
  <c r="I72" i="1"/>
  <c r="J72" i="1"/>
  <c r="K72" i="1"/>
  <c r="L72" i="1"/>
  <c r="N72" i="1"/>
  <c r="O72" i="1"/>
  <c r="P72" i="1"/>
  <c r="Q72" i="1"/>
  <c r="S72" i="1"/>
  <c r="H73" i="1"/>
  <c r="I73" i="1"/>
  <c r="J73" i="1"/>
  <c r="K73" i="1"/>
  <c r="L73" i="1"/>
  <c r="N73" i="1"/>
  <c r="O73" i="1"/>
  <c r="P73" i="1"/>
  <c r="Q73" i="1"/>
  <c r="S73" i="1"/>
  <c r="H74" i="1"/>
  <c r="I74" i="1"/>
  <c r="J74" i="1"/>
  <c r="K74" i="1"/>
  <c r="L74" i="1"/>
  <c r="N74" i="1"/>
  <c r="O74" i="1"/>
  <c r="P74" i="1"/>
  <c r="Q74" i="1"/>
  <c r="S74" i="1"/>
  <c r="H75" i="1"/>
  <c r="I75" i="1"/>
  <c r="J75" i="1"/>
  <c r="K75" i="1"/>
  <c r="L75" i="1"/>
  <c r="N75" i="1"/>
  <c r="O75" i="1"/>
  <c r="P75" i="1"/>
  <c r="Q75" i="1"/>
  <c r="S75" i="1"/>
  <c r="H76" i="1"/>
  <c r="I76" i="1"/>
  <c r="J76" i="1"/>
  <c r="K76" i="1"/>
  <c r="L76" i="1"/>
  <c r="N76" i="1"/>
  <c r="O76" i="1"/>
  <c r="P76" i="1"/>
  <c r="Q76" i="1"/>
  <c r="S76" i="1"/>
  <c r="H77" i="1"/>
  <c r="I77" i="1"/>
  <c r="J77" i="1"/>
  <c r="K77" i="1"/>
  <c r="L77" i="1"/>
  <c r="N77" i="1"/>
  <c r="O77" i="1"/>
  <c r="P77" i="1"/>
  <c r="Q77" i="1"/>
  <c r="S77" i="1"/>
  <c r="H78" i="1"/>
  <c r="I78" i="1"/>
  <c r="J78" i="1"/>
  <c r="K78" i="1"/>
  <c r="L78" i="1"/>
  <c r="N78" i="1"/>
  <c r="O78" i="1"/>
  <c r="P78" i="1"/>
  <c r="Q78" i="1"/>
  <c r="S78" i="1"/>
  <c r="H79" i="1"/>
  <c r="I79" i="1"/>
  <c r="J79" i="1"/>
  <c r="K79" i="1"/>
  <c r="L79" i="1"/>
  <c r="N79" i="1"/>
  <c r="O79" i="1"/>
  <c r="P79" i="1"/>
  <c r="Q79" i="1"/>
  <c r="S79" i="1"/>
  <c r="H80" i="1"/>
  <c r="I80" i="1"/>
  <c r="J80" i="1"/>
  <c r="K80" i="1"/>
  <c r="L80" i="1"/>
  <c r="N80" i="1"/>
  <c r="O80" i="1"/>
  <c r="P80" i="1"/>
  <c r="Q80" i="1"/>
  <c r="S80" i="1"/>
  <c r="H81" i="1"/>
  <c r="I81" i="1"/>
  <c r="J81" i="1"/>
  <c r="K81" i="1"/>
  <c r="L81" i="1"/>
  <c r="N81" i="1"/>
  <c r="O81" i="1"/>
  <c r="P81" i="1"/>
  <c r="Q81" i="1"/>
  <c r="S81" i="1"/>
  <c r="H82" i="1"/>
  <c r="I82" i="1"/>
  <c r="J82" i="1"/>
  <c r="K82" i="1"/>
  <c r="L82" i="1"/>
  <c r="N82" i="1"/>
  <c r="O82" i="1"/>
  <c r="P82" i="1"/>
  <c r="Q82" i="1"/>
  <c r="S82" i="1"/>
  <c r="H83" i="1"/>
  <c r="I83" i="1"/>
  <c r="J83" i="1"/>
  <c r="K83" i="1"/>
  <c r="L83" i="1"/>
  <c r="N83" i="1"/>
  <c r="O83" i="1"/>
  <c r="P83" i="1"/>
  <c r="Q83" i="1"/>
  <c r="S83" i="1"/>
  <c r="H84" i="1"/>
  <c r="I84" i="1"/>
  <c r="J84" i="1"/>
  <c r="K84" i="1"/>
  <c r="L84" i="1"/>
  <c r="N84" i="1"/>
  <c r="O84" i="1"/>
  <c r="P84" i="1"/>
  <c r="Q84" i="1"/>
  <c r="S84" i="1"/>
  <c r="H85" i="1"/>
  <c r="I85" i="1"/>
  <c r="J85" i="1"/>
  <c r="K85" i="1"/>
  <c r="L85" i="1"/>
  <c r="N85" i="1"/>
  <c r="O85" i="1"/>
  <c r="P85" i="1"/>
  <c r="Q85" i="1"/>
  <c r="S85" i="1"/>
  <c r="H86" i="1"/>
  <c r="I86" i="1"/>
  <c r="J86" i="1"/>
  <c r="K86" i="1"/>
  <c r="L86" i="1"/>
  <c r="N86" i="1"/>
  <c r="O86" i="1"/>
  <c r="P86" i="1"/>
  <c r="Q86" i="1"/>
  <c r="S86" i="1"/>
  <c r="H87" i="1"/>
  <c r="I87" i="1"/>
  <c r="J87" i="1"/>
  <c r="K87" i="1"/>
  <c r="L87" i="1"/>
  <c r="N87" i="1"/>
  <c r="O87" i="1"/>
  <c r="P87" i="1"/>
  <c r="Q87" i="1"/>
  <c r="S87" i="1"/>
  <c r="H88" i="1"/>
  <c r="I88" i="1"/>
  <c r="J88" i="1"/>
  <c r="K88" i="1"/>
  <c r="L88" i="1"/>
  <c r="N88" i="1"/>
  <c r="O88" i="1"/>
  <c r="P88" i="1"/>
  <c r="Q88" i="1"/>
  <c r="S88" i="1"/>
  <c r="H89" i="1"/>
  <c r="I89" i="1"/>
  <c r="J89" i="1"/>
  <c r="K89" i="1"/>
  <c r="L89" i="1"/>
  <c r="N89" i="1"/>
  <c r="O89" i="1"/>
  <c r="P89" i="1"/>
  <c r="Q89" i="1"/>
  <c r="S89" i="1"/>
  <c r="H90" i="1"/>
  <c r="I90" i="1"/>
  <c r="J90" i="1"/>
  <c r="K90" i="1"/>
  <c r="L90" i="1"/>
  <c r="N90" i="1"/>
  <c r="O90" i="1"/>
  <c r="P90" i="1"/>
  <c r="Q90" i="1"/>
  <c r="S90" i="1"/>
  <c r="H91" i="1"/>
  <c r="I91" i="1"/>
  <c r="J91" i="1"/>
  <c r="K91" i="1"/>
  <c r="L91" i="1"/>
  <c r="N91" i="1"/>
  <c r="O91" i="1"/>
  <c r="P91" i="1"/>
  <c r="Q91" i="1"/>
  <c r="S91" i="1"/>
  <c r="H92" i="1"/>
  <c r="I92" i="1"/>
  <c r="J92" i="1"/>
  <c r="K92" i="1"/>
  <c r="L92" i="1"/>
  <c r="N92" i="1"/>
  <c r="O92" i="1"/>
  <c r="P92" i="1"/>
  <c r="Q92" i="1"/>
  <c r="S92" i="1"/>
  <c r="H93" i="1"/>
  <c r="I93" i="1"/>
  <c r="J93" i="1"/>
  <c r="K93" i="1"/>
  <c r="L93" i="1"/>
  <c r="N93" i="1"/>
  <c r="O93" i="1"/>
  <c r="P93" i="1"/>
  <c r="Q93" i="1"/>
  <c r="S93" i="1"/>
  <c r="H94" i="1"/>
  <c r="I94" i="1"/>
  <c r="J94" i="1"/>
  <c r="K94" i="1"/>
  <c r="L94" i="1"/>
  <c r="N94" i="1"/>
  <c r="O94" i="1"/>
  <c r="P94" i="1"/>
  <c r="Q94" i="1"/>
  <c r="S94" i="1"/>
  <c r="H95" i="1"/>
  <c r="I95" i="1"/>
  <c r="J95" i="1"/>
  <c r="K95" i="1"/>
  <c r="L95" i="1"/>
  <c r="N95" i="1"/>
  <c r="O95" i="1"/>
  <c r="P95" i="1"/>
  <c r="Q95" i="1"/>
  <c r="S95" i="1"/>
  <c r="H96" i="1"/>
  <c r="I96" i="1"/>
  <c r="J96" i="1"/>
  <c r="K96" i="1"/>
  <c r="L96" i="1"/>
  <c r="N96" i="1"/>
  <c r="O96" i="1"/>
  <c r="P96" i="1"/>
  <c r="Q96" i="1"/>
  <c r="S96" i="1"/>
  <c r="H97" i="1"/>
  <c r="I97" i="1"/>
  <c r="J97" i="1"/>
  <c r="K97" i="1"/>
  <c r="L97" i="1"/>
  <c r="N97" i="1"/>
  <c r="O97" i="1"/>
  <c r="P97" i="1"/>
  <c r="Q97" i="1"/>
  <c r="S97" i="1"/>
  <c r="H98" i="1"/>
  <c r="I98" i="1"/>
  <c r="J98" i="1"/>
  <c r="K98" i="1"/>
  <c r="L98" i="1"/>
  <c r="N98" i="1"/>
  <c r="O98" i="1"/>
  <c r="P98" i="1"/>
  <c r="Q98" i="1"/>
  <c r="S98" i="1"/>
  <c r="H99" i="1"/>
  <c r="I99" i="1"/>
  <c r="J99" i="1"/>
  <c r="K99" i="1"/>
  <c r="L99" i="1"/>
  <c r="N99" i="1"/>
  <c r="O99" i="1"/>
  <c r="P99" i="1"/>
  <c r="Q99" i="1"/>
  <c r="S99" i="1"/>
  <c r="H100" i="1"/>
  <c r="I100" i="1"/>
  <c r="J100" i="1"/>
  <c r="K100" i="1"/>
  <c r="L100" i="1"/>
  <c r="N100" i="1"/>
  <c r="O100" i="1"/>
  <c r="P100" i="1"/>
  <c r="Q100" i="1"/>
  <c r="S100" i="1"/>
  <c r="H101" i="1"/>
  <c r="I101" i="1"/>
  <c r="J101" i="1"/>
  <c r="K101" i="1"/>
  <c r="L101" i="1"/>
  <c r="N101" i="1"/>
  <c r="O101" i="1"/>
  <c r="P101" i="1"/>
  <c r="Q101" i="1"/>
  <c r="S101" i="1"/>
  <c r="H102" i="1"/>
  <c r="I102" i="1"/>
  <c r="J102" i="1"/>
  <c r="K102" i="1"/>
  <c r="L102" i="1"/>
  <c r="N102" i="1"/>
  <c r="O102" i="1"/>
  <c r="P102" i="1"/>
  <c r="Q102" i="1"/>
  <c r="S102" i="1"/>
  <c r="H103" i="1"/>
  <c r="I103" i="1"/>
  <c r="J103" i="1"/>
  <c r="K103" i="1"/>
  <c r="L103" i="1"/>
  <c r="N103" i="1"/>
  <c r="O103" i="1"/>
  <c r="P103" i="1"/>
  <c r="Q103" i="1"/>
  <c r="S103" i="1"/>
  <c r="H104" i="1"/>
  <c r="I104" i="1"/>
  <c r="J104" i="1"/>
  <c r="K104" i="1"/>
  <c r="L104" i="1"/>
  <c r="N104" i="1"/>
  <c r="O104" i="1"/>
  <c r="P104" i="1"/>
  <c r="Q104" i="1"/>
  <c r="S104" i="1"/>
  <c r="H105" i="1"/>
  <c r="I105" i="1"/>
  <c r="J105" i="1"/>
  <c r="K105" i="1"/>
  <c r="L105" i="1"/>
  <c r="N105" i="1"/>
  <c r="O105" i="1"/>
  <c r="P105" i="1"/>
  <c r="Q105" i="1"/>
  <c r="S105" i="1"/>
  <c r="H106" i="1"/>
  <c r="I106" i="1"/>
  <c r="J106" i="1"/>
  <c r="K106" i="1"/>
  <c r="L106" i="1"/>
  <c r="N106" i="1"/>
  <c r="O106" i="1"/>
  <c r="P106" i="1"/>
  <c r="Q106" i="1"/>
  <c r="S106" i="1"/>
  <c r="H107" i="1"/>
  <c r="I107" i="1"/>
  <c r="J107" i="1"/>
  <c r="K107" i="1"/>
  <c r="L107" i="1"/>
  <c r="N107" i="1"/>
  <c r="O107" i="1"/>
  <c r="P107" i="1"/>
  <c r="Q107" i="1"/>
  <c r="S107" i="1"/>
  <c r="H108" i="1"/>
  <c r="I108" i="1"/>
  <c r="J108" i="1"/>
  <c r="K108" i="1"/>
  <c r="L108" i="1"/>
  <c r="N108" i="1"/>
  <c r="O108" i="1"/>
  <c r="P108" i="1"/>
  <c r="Q108" i="1"/>
  <c r="S108" i="1"/>
  <c r="H109" i="1"/>
  <c r="I109" i="1"/>
  <c r="J109" i="1"/>
  <c r="K109" i="1"/>
  <c r="L109" i="1"/>
  <c r="N109" i="1"/>
  <c r="O109" i="1"/>
  <c r="P109" i="1"/>
  <c r="Q109" i="1"/>
  <c r="S109" i="1"/>
  <c r="H110" i="1"/>
  <c r="I110" i="1"/>
  <c r="J110" i="1"/>
  <c r="K110" i="1"/>
  <c r="L110" i="1"/>
  <c r="N110" i="1"/>
  <c r="O110" i="1"/>
  <c r="P110" i="1"/>
  <c r="Q110" i="1"/>
  <c r="S110" i="1"/>
  <c r="H111" i="1"/>
  <c r="I111" i="1"/>
  <c r="J111" i="1"/>
  <c r="K111" i="1"/>
  <c r="L111" i="1"/>
  <c r="N111" i="1"/>
  <c r="O111" i="1"/>
  <c r="P111" i="1"/>
  <c r="Q111" i="1"/>
  <c r="S111" i="1"/>
  <c r="H112" i="1"/>
  <c r="I112" i="1"/>
  <c r="J112" i="1"/>
  <c r="K112" i="1"/>
  <c r="L112" i="1"/>
  <c r="N112" i="1"/>
  <c r="O112" i="1"/>
  <c r="P112" i="1"/>
  <c r="Q112" i="1"/>
  <c r="S112" i="1"/>
  <c r="H113" i="1"/>
  <c r="I113" i="1"/>
  <c r="J113" i="1"/>
  <c r="K113" i="1"/>
  <c r="L113" i="1"/>
  <c r="N113" i="1"/>
  <c r="O113" i="1"/>
  <c r="P113" i="1"/>
  <c r="Q113" i="1"/>
  <c r="S113" i="1"/>
  <c r="H114" i="1"/>
  <c r="I114" i="1"/>
  <c r="J114" i="1"/>
  <c r="K114" i="1"/>
  <c r="L114" i="1"/>
  <c r="N114" i="1"/>
  <c r="O114" i="1"/>
  <c r="P114" i="1"/>
  <c r="Q114" i="1"/>
  <c r="S114" i="1"/>
  <c r="H115" i="1"/>
  <c r="I115" i="1"/>
  <c r="J115" i="1"/>
  <c r="K115" i="1"/>
  <c r="L115" i="1"/>
  <c r="N115" i="1"/>
  <c r="O115" i="1"/>
  <c r="P115" i="1"/>
  <c r="Q115" i="1"/>
  <c r="S115" i="1"/>
  <c r="H116" i="1"/>
  <c r="I116" i="1"/>
  <c r="J116" i="1"/>
  <c r="K116" i="1"/>
  <c r="L116" i="1"/>
  <c r="N116" i="1"/>
  <c r="O116" i="1"/>
  <c r="P116" i="1"/>
  <c r="Q116" i="1"/>
  <c r="S116" i="1"/>
  <c r="H117" i="1"/>
  <c r="I117" i="1"/>
  <c r="J117" i="1"/>
  <c r="K117" i="1"/>
  <c r="L117" i="1"/>
  <c r="N117" i="1"/>
  <c r="O117" i="1"/>
  <c r="P117" i="1"/>
  <c r="Q117" i="1"/>
  <c r="S117" i="1"/>
  <c r="H118" i="1"/>
  <c r="I118" i="1"/>
  <c r="J118" i="1"/>
  <c r="K118" i="1"/>
  <c r="L118" i="1"/>
  <c r="N118" i="1"/>
  <c r="O118" i="1"/>
  <c r="P118" i="1"/>
  <c r="Q118" i="1"/>
  <c r="S118" i="1"/>
  <c r="H119" i="1"/>
  <c r="I119" i="1"/>
  <c r="J119" i="1"/>
  <c r="K119" i="1"/>
  <c r="L119" i="1"/>
  <c r="N119" i="1"/>
  <c r="O119" i="1"/>
  <c r="P119" i="1"/>
  <c r="Q119" i="1"/>
  <c r="S119" i="1"/>
  <c r="H120" i="1"/>
  <c r="I120" i="1"/>
  <c r="J120" i="1"/>
  <c r="K120" i="1"/>
  <c r="L120" i="1"/>
  <c r="N120" i="1"/>
  <c r="O120" i="1"/>
  <c r="P120" i="1"/>
  <c r="Q120" i="1"/>
  <c r="S120" i="1"/>
  <c r="H121" i="1"/>
  <c r="I121" i="1"/>
  <c r="J121" i="1"/>
  <c r="K121" i="1"/>
  <c r="L121" i="1"/>
  <c r="N121" i="1"/>
  <c r="O121" i="1"/>
  <c r="P121" i="1"/>
  <c r="Q121" i="1"/>
  <c r="S121" i="1"/>
  <c r="H122" i="1"/>
  <c r="I122" i="1"/>
  <c r="J122" i="1"/>
  <c r="K122" i="1"/>
  <c r="L122" i="1"/>
  <c r="N122" i="1"/>
  <c r="O122" i="1"/>
  <c r="P122" i="1"/>
  <c r="Q122" i="1"/>
  <c r="S122" i="1"/>
  <c r="H123" i="1"/>
  <c r="I123" i="1"/>
  <c r="J123" i="1"/>
  <c r="K123" i="1"/>
  <c r="L123" i="1"/>
  <c r="N123" i="1"/>
  <c r="O123" i="1"/>
  <c r="P123" i="1"/>
  <c r="Q123" i="1"/>
  <c r="S123" i="1"/>
  <c r="H124" i="1"/>
  <c r="I124" i="1"/>
  <c r="J124" i="1"/>
  <c r="K124" i="1"/>
  <c r="L124" i="1"/>
  <c r="N124" i="1"/>
  <c r="O124" i="1"/>
  <c r="P124" i="1"/>
  <c r="Q124" i="1"/>
  <c r="S124" i="1"/>
  <c r="H125" i="1"/>
  <c r="I125" i="1"/>
  <c r="J125" i="1"/>
  <c r="K125" i="1"/>
  <c r="L125" i="1"/>
  <c r="N125" i="1"/>
  <c r="O125" i="1"/>
  <c r="P125" i="1"/>
  <c r="Q125" i="1"/>
  <c r="S125" i="1"/>
  <c r="H126" i="1"/>
  <c r="I126" i="1"/>
  <c r="J126" i="1"/>
  <c r="K126" i="1"/>
  <c r="L126" i="1"/>
  <c r="N126" i="1"/>
  <c r="O126" i="1"/>
  <c r="P126" i="1"/>
  <c r="Q126" i="1"/>
  <c r="S126" i="1"/>
  <c r="H127" i="1"/>
  <c r="I127" i="1"/>
  <c r="J127" i="1"/>
  <c r="K127" i="1"/>
  <c r="L127" i="1"/>
  <c r="N127" i="1"/>
  <c r="O127" i="1"/>
  <c r="P127" i="1"/>
  <c r="Q127" i="1"/>
  <c r="S127" i="1"/>
  <c r="H128" i="1"/>
  <c r="I128" i="1"/>
  <c r="J128" i="1"/>
  <c r="K128" i="1"/>
  <c r="L128" i="1"/>
  <c r="N128" i="1"/>
  <c r="O128" i="1"/>
  <c r="P128" i="1"/>
  <c r="Q128" i="1"/>
  <c r="S128" i="1"/>
  <c r="H129" i="1"/>
  <c r="I129" i="1"/>
  <c r="J129" i="1"/>
  <c r="K129" i="1"/>
  <c r="L129" i="1"/>
  <c r="N129" i="1"/>
  <c r="O129" i="1"/>
  <c r="P129" i="1"/>
  <c r="Q129" i="1"/>
  <c r="S129" i="1"/>
  <c r="H130" i="1"/>
  <c r="I130" i="1"/>
  <c r="J130" i="1"/>
  <c r="K130" i="1"/>
  <c r="L130" i="1"/>
  <c r="N130" i="1"/>
  <c r="O130" i="1"/>
  <c r="P130" i="1"/>
  <c r="Q130" i="1"/>
  <c r="S130" i="1"/>
  <c r="H131" i="1"/>
  <c r="I131" i="1"/>
  <c r="J131" i="1"/>
  <c r="K131" i="1"/>
  <c r="L131" i="1"/>
  <c r="N131" i="1"/>
  <c r="O131" i="1"/>
  <c r="P131" i="1"/>
  <c r="Q131" i="1"/>
  <c r="S131" i="1"/>
  <c r="H132" i="1"/>
  <c r="I132" i="1"/>
  <c r="J132" i="1"/>
  <c r="K132" i="1"/>
  <c r="L132" i="1"/>
  <c r="N132" i="1"/>
  <c r="O132" i="1"/>
  <c r="P132" i="1"/>
  <c r="Q132" i="1"/>
  <c r="S132" i="1"/>
  <c r="H133" i="1"/>
  <c r="I133" i="1"/>
  <c r="J133" i="1"/>
  <c r="K133" i="1"/>
  <c r="L133" i="1"/>
  <c r="N133" i="1"/>
  <c r="O133" i="1"/>
  <c r="P133" i="1"/>
  <c r="Q133" i="1"/>
  <c r="S133" i="1"/>
  <c r="H134" i="1"/>
  <c r="I134" i="1"/>
  <c r="J134" i="1"/>
  <c r="K134" i="1"/>
  <c r="L134" i="1"/>
  <c r="N134" i="1"/>
  <c r="O134" i="1"/>
  <c r="P134" i="1"/>
  <c r="Q134" i="1"/>
  <c r="S134" i="1"/>
  <c r="H135" i="1"/>
  <c r="I135" i="1"/>
  <c r="J135" i="1"/>
  <c r="K135" i="1"/>
  <c r="L135" i="1"/>
  <c r="N135" i="1"/>
  <c r="O135" i="1"/>
  <c r="P135" i="1"/>
  <c r="Q135" i="1"/>
  <c r="S135" i="1"/>
  <c r="H136" i="1"/>
  <c r="I136" i="1"/>
  <c r="J136" i="1"/>
  <c r="K136" i="1"/>
  <c r="L136" i="1"/>
  <c r="N136" i="1"/>
  <c r="O136" i="1"/>
  <c r="P136" i="1"/>
  <c r="Q136" i="1"/>
  <c r="S136" i="1"/>
  <c r="H137" i="1"/>
  <c r="I137" i="1"/>
  <c r="J137" i="1"/>
  <c r="K137" i="1"/>
  <c r="L137" i="1"/>
  <c r="N137" i="1"/>
  <c r="O137" i="1"/>
  <c r="P137" i="1"/>
  <c r="Q137" i="1"/>
  <c r="S137" i="1"/>
  <c r="H138" i="1"/>
  <c r="I138" i="1"/>
  <c r="J138" i="1"/>
  <c r="K138" i="1"/>
  <c r="L138" i="1"/>
  <c r="N138" i="1"/>
  <c r="O138" i="1"/>
  <c r="P138" i="1"/>
  <c r="Q138" i="1"/>
  <c r="S138" i="1"/>
  <c r="H139" i="1"/>
  <c r="I139" i="1"/>
  <c r="J139" i="1"/>
  <c r="K139" i="1"/>
  <c r="L139" i="1"/>
  <c r="N139" i="1"/>
  <c r="O139" i="1"/>
  <c r="P139" i="1"/>
  <c r="Q139" i="1"/>
  <c r="S139" i="1"/>
  <c r="H140" i="1"/>
  <c r="I140" i="1"/>
  <c r="J140" i="1"/>
  <c r="K140" i="1"/>
  <c r="L140" i="1"/>
  <c r="N140" i="1"/>
  <c r="O140" i="1"/>
  <c r="P140" i="1"/>
  <c r="Q140" i="1"/>
  <c r="S140" i="1"/>
  <c r="H141" i="1"/>
  <c r="I141" i="1"/>
  <c r="J141" i="1"/>
  <c r="K141" i="1"/>
  <c r="L141" i="1"/>
  <c r="N141" i="1"/>
  <c r="O141" i="1"/>
  <c r="P141" i="1"/>
  <c r="Q141" i="1"/>
  <c r="S141" i="1"/>
  <c r="H142" i="1"/>
  <c r="I142" i="1"/>
  <c r="J142" i="1"/>
  <c r="K142" i="1"/>
  <c r="L142" i="1"/>
  <c r="N142" i="1"/>
  <c r="O142" i="1"/>
  <c r="P142" i="1"/>
  <c r="Q142" i="1"/>
  <c r="S142" i="1"/>
  <c r="H143" i="1"/>
  <c r="I143" i="1"/>
  <c r="J143" i="1"/>
  <c r="K143" i="1"/>
  <c r="L143" i="1"/>
  <c r="N143" i="1"/>
  <c r="O143" i="1"/>
  <c r="P143" i="1"/>
  <c r="Q143" i="1"/>
  <c r="S143" i="1"/>
  <c r="H144" i="1"/>
  <c r="I144" i="1"/>
  <c r="J144" i="1"/>
  <c r="K144" i="1"/>
  <c r="L144" i="1"/>
  <c r="N144" i="1"/>
  <c r="O144" i="1"/>
  <c r="P144" i="1"/>
  <c r="Q144" i="1"/>
  <c r="S144" i="1"/>
  <c r="H145" i="1"/>
  <c r="I145" i="1"/>
  <c r="J145" i="1"/>
  <c r="K145" i="1"/>
  <c r="L145" i="1"/>
  <c r="N145" i="1"/>
  <c r="O145" i="1"/>
  <c r="P145" i="1"/>
  <c r="Q145" i="1"/>
  <c r="S145" i="1"/>
  <c r="H146" i="1"/>
  <c r="I146" i="1"/>
  <c r="J146" i="1"/>
  <c r="K146" i="1"/>
  <c r="L146" i="1"/>
  <c r="N146" i="1"/>
  <c r="O146" i="1"/>
  <c r="P146" i="1"/>
  <c r="Q146" i="1"/>
  <c r="S146" i="1"/>
  <c r="H147" i="1"/>
  <c r="I147" i="1"/>
  <c r="J147" i="1"/>
  <c r="K147" i="1"/>
  <c r="L147" i="1"/>
  <c r="N147" i="1"/>
  <c r="O147" i="1"/>
  <c r="P147" i="1"/>
  <c r="Q147" i="1"/>
  <c r="S147" i="1"/>
  <c r="H148" i="1"/>
  <c r="I148" i="1"/>
  <c r="J148" i="1"/>
  <c r="K148" i="1"/>
  <c r="L148" i="1"/>
  <c r="N148" i="1"/>
  <c r="O148" i="1"/>
  <c r="P148" i="1"/>
  <c r="Q148" i="1"/>
  <c r="S148" i="1"/>
  <c r="H149" i="1"/>
  <c r="I149" i="1"/>
  <c r="J149" i="1"/>
  <c r="K149" i="1"/>
  <c r="L149" i="1"/>
  <c r="N149" i="1"/>
  <c r="O149" i="1"/>
  <c r="P149" i="1"/>
  <c r="Q149" i="1"/>
  <c r="S149" i="1"/>
  <c r="H150" i="1"/>
  <c r="I150" i="1"/>
  <c r="J150" i="1"/>
  <c r="K150" i="1"/>
  <c r="L150" i="1"/>
  <c r="N150" i="1"/>
  <c r="O150" i="1"/>
  <c r="P150" i="1"/>
  <c r="Q150" i="1"/>
  <c r="S150" i="1"/>
  <c r="H151" i="1"/>
  <c r="I151" i="1"/>
  <c r="J151" i="1"/>
  <c r="K151" i="1"/>
  <c r="L151" i="1"/>
  <c r="N151" i="1"/>
  <c r="O151" i="1"/>
  <c r="P151" i="1"/>
  <c r="Q151" i="1"/>
  <c r="S151" i="1"/>
  <c r="H152" i="1"/>
  <c r="I152" i="1"/>
  <c r="J152" i="1"/>
  <c r="K152" i="1"/>
  <c r="L152" i="1"/>
  <c r="N152" i="1"/>
  <c r="O152" i="1"/>
  <c r="P152" i="1"/>
  <c r="Q152" i="1"/>
  <c r="S152" i="1"/>
  <c r="H153" i="1"/>
  <c r="I153" i="1"/>
  <c r="J153" i="1"/>
  <c r="K153" i="1"/>
  <c r="L153" i="1"/>
  <c r="N153" i="1"/>
  <c r="O153" i="1"/>
  <c r="P153" i="1"/>
  <c r="Q153" i="1"/>
  <c r="S153" i="1"/>
  <c r="H154" i="1"/>
  <c r="I154" i="1"/>
  <c r="J154" i="1"/>
  <c r="K154" i="1"/>
  <c r="L154" i="1"/>
  <c r="N154" i="1"/>
  <c r="O154" i="1"/>
  <c r="P154" i="1"/>
  <c r="Q154" i="1"/>
  <c r="S154" i="1"/>
  <c r="H155" i="1"/>
  <c r="I155" i="1"/>
  <c r="J155" i="1"/>
  <c r="K155" i="1"/>
  <c r="L155" i="1"/>
  <c r="N155" i="1"/>
  <c r="O155" i="1"/>
  <c r="P155" i="1"/>
  <c r="Q155" i="1"/>
  <c r="S155" i="1"/>
  <c r="H156" i="1"/>
  <c r="I156" i="1"/>
  <c r="J156" i="1"/>
  <c r="K156" i="1"/>
  <c r="L156" i="1"/>
  <c r="N156" i="1"/>
  <c r="O156" i="1"/>
  <c r="P156" i="1"/>
  <c r="Q156" i="1"/>
  <c r="S156" i="1"/>
  <c r="H157" i="1"/>
  <c r="I157" i="1"/>
  <c r="J157" i="1"/>
  <c r="K157" i="1"/>
  <c r="L157" i="1"/>
  <c r="N157" i="1"/>
  <c r="O157" i="1"/>
  <c r="P157" i="1"/>
  <c r="Q157" i="1"/>
  <c r="S157" i="1"/>
  <c r="H158" i="1"/>
  <c r="I158" i="1"/>
  <c r="J158" i="1"/>
  <c r="K158" i="1"/>
  <c r="L158" i="1"/>
  <c r="N158" i="1"/>
  <c r="O158" i="1"/>
  <c r="P158" i="1"/>
  <c r="Q158" i="1"/>
  <c r="S158" i="1"/>
  <c r="H159" i="1"/>
  <c r="I159" i="1"/>
  <c r="J159" i="1"/>
  <c r="K159" i="1"/>
  <c r="L159" i="1"/>
  <c r="N159" i="1"/>
  <c r="O159" i="1"/>
  <c r="P159" i="1"/>
  <c r="Q159" i="1"/>
  <c r="S159" i="1"/>
  <c r="H160" i="1"/>
  <c r="I160" i="1"/>
  <c r="J160" i="1"/>
  <c r="K160" i="1"/>
  <c r="L160" i="1"/>
  <c r="N160" i="1"/>
  <c r="O160" i="1"/>
  <c r="P160" i="1"/>
  <c r="Q160" i="1"/>
  <c r="S160" i="1"/>
  <c r="H161" i="1"/>
  <c r="I161" i="1"/>
  <c r="J161" i="1"/>
  <c r="K161" i="1"/>
  <c r="L161" i="1"/>
  <c r="N161" i="1"/>
  <c r="O161" i="1"/>
  <c r="P161" i="1"/>
  <c r="Q161" i="1"/>
  <c r="S161" i="1"/>
  <c r="H162" i="1"/>
  <c r="I162" i="1"/>
  <c r="J162" i="1"/>
  <c r="K162" i="1"/>
  <c r="L162" i="1"/>
  <c r="N162" i="1"/>
  <c r="O162" i="1"/>
  <c r="P162" i="1"/>
  <c r="Q162" i="1"/>
  <c r="S162" i="1"/>
  <c r="H163" i="1"/>
  <c r="I163" i="1"/>
  <c r="J163" i="1"/>
  <c r="K163" i="1"/>
  <c r="L163" i="1"/>
  <c r="N163" i="1"/>
  <c r="O163" i="1"/>
  <c r="P163" i="1"/>
  <c r="Q163" i="1"/>
  <c r="S163" i="1"/>
  <c r="H164" i="1"/>
  <c r="I164" i="1"/>
  <c r="J164" i="1"/>
  <c r="K164" i="1"/>
  <c r="L164" i="1"/>
  <c r="N164" i="1"/>
  <c r="O164" i="1"/>
  <c r="P164" i="1"/>
  <c r="Q164" i="1"/>
  <c r="S164" i="1"/>
  <c r="H165" i="1"/>
  <c r="I165" i="1"/>
  <c r="J165" i="1"/>
  <c r="K165" i="1"/>
  <c r="L165" i="1"/>
  <c r="N165" i="1"/>
  <c r="O165" i="1"/>
  <c r="P165" i="1"/>
  <c r="Q165" i="1"/>
  <c r="S165" i="1"/>
  <c r="H166" i="1"/>
  <c r="I166" i="1"/>
  <c r="J166" i="1"/>
  <c r="K166" i="1"/>
  <c r="L166" i="1"/>
  <c r="N166" i="1"/>
  <c r="O166" i="1"/>
  <c r="P166" i="1"/>
  <c r="Q166" i="1"/>
  <c r="S166" i="1"/>
  <c r="H167" i="1"/>
  <c r="I167" i="1"/>
  <c r="J167" i="1"/>
  <c r="K167" i="1"/>
  <c r="L167" i="1"/>
  <c r="N167" i="1"/>
  <c r="O167" i="1"/>
  <c r="P167" i="1"/>
  <c r="Q167" i="1"/>
  <c r="S167" i="1"/>
  <c r="H168" i="1"/>
  <c r="I168" i="1"/>
  <c r="J168" i="1"/>
  <c r="K168" i="1"/>
  <c r="L168" i="1"/>
  <c r="N168" i="1"/>
  <c r="O168" i="1"/>
  <c r="P168" i="1"/>
  <c r="Q168" i="1"/>
  <c r="S168" i="1"/>
  <c r="H169" i="1"/>
  <c r="I169" i="1"/>
  <c r="J169" i="1"/>
  <c r="K169" i="1"/>
  <c r="L169" i="1"/>
  <c r="N169" i="1"/>
  <c r="O169" i="1"/>
  <c r="P169" i="1"/>
  <c r="Q169" i="1"/>
  <c r="S169" i="1"/>
  <c r="H170" i="1"/>
  <c r="I170" i="1"/>
  <c r="J170" i="1"/>
  <c r="K170" i="1"/>
  <c r="L170" i="1"/>
  <c r="N170" i="1"/>
  <c r="O170" i="1"/>
  <c r="P170" i="1"/>
  <c r="Q170" i="1"/>
  <c r="S170" i="1"/>
  <c r="H171" i="1"/>
  <c r="I171" i="1"/>
  <c r="J171" i="1"/>
  <c r="K171" i="1"/>
  <c r="L171" i="1"/>
  <c r="N171" i="1"/>
  <c r="O171" i="1"/>
  <c r="P171" i="1"/>
  <c r="Q171" i="1"/>
  <c r="S171" i="1"/>
  <c r="H172" i="1"/>
  <c r="I172" i="1"/>
  <c r="J172" i="1"/>
  <c r="K172" i="1"/>
  <c r="L172" i="1"/>
  <c r="N172" i="1"/>
  <c r="O172" i="1"/>
  <c r="P172" i="1"/>
  <c r="Q172" i="1"/>
  <c r="S172" i="1"/>
  <c r="H173" i="1"/>
  <c r="I173" i="1"/>
  <c r="J173" i="1"/>
  <c r="K173" i="1"/>
  <c r="L173" i="1"/>
  <c r="N173" i="1"/>
  <c r="O173" i="1"/>
  <c r="P173" i="1"/>
  <c r="Q173" i="1"/>
  <c r="S173" i="1"/>
  <c r="H174" i="1"/>
  <c r="I174" i="1"/>
  <c r="J174" i="1"/>
  <c r="K174" i="1"/>
  <c r="L174" i="1"/>
  <c r="N174" i="1"/>
  <c r="O174" i="1"/>
  <c r="P174" i="1"/>
  <c r="Q174" i="1"/>
  <c r="S174" i="1"/>
  <c r="H175" i="1"/>
  <c r="I175" i="1"/>
  <c r="J175" i="1"/>
  <c r="K175" i="1"/>
  <c r="L175" i="1"/>
  <c r="N175" i="1"/>
  <c r="O175" i="1"/>
  <c r="P175" i="1"/>
  <c r="Q175" i="1"/>
  <c r="S175" i="1"/>
  <c r="H176" i="1"/>
  <c r="I176" i="1"/>
  <c r="J176" i="1"/>
  <c r="K176" i="1"/>
  <c r="L176" i="1"/>
  <c r="N176" i="1"/>
  <c r="O176" i="1"/>
  <c r="P176" i="1"/>
  <c r="Q176" i="1"/>
  <c r="S176" i="1"/>
  <c r="H177" i="1"/>
  <c r="I177" i="1"/>
  <c r="J177" i="1"/>
  <c r="K177" i="1"/>
  <c r="L177" i="1"/>
  <c r="N177" i="1"/>
  <c r="O177" i="1"/>
  <c r="P177" i="1"/>
  <c r="Q177" i="1"/>
  <c r="S177" i="1"/>
  <c r="H178" i="1"/>
  <c r="I178" i="1"/>
  <c r="J178" i="1"/>
  <c r="K178" i="1"/>
  <c r="L178" i="1"/>
  <c r="N178" i="1"/>
  <c r="O178" i="1"/>
  <c r="P178" i="1"/>
  <c r="Q178" i="1"/>
  <c r="S178" i="1"/>
  <c r="H179" i="1"/>
  <c r="I179" i="1"/>
  <c r="J179" i="1"/>
  <c r="K179" i="1"/>
  <c r="L179" i="1"/>
  <c r="N179" i="1"/>
  <c r="O179" i="1"/>
  <c r="P179" i="1"/>
  <c r="Q179" i="1"/>
  <c r="S179" i="1"/>
  <c r="H180" i="1"/>
  <c r="I180" i="1"/>
  <c r="J180" i="1"/>
  <c r="K180" i="1"/>
  <c r="L180" i="1"/>
  <c r="N180" i="1"/>
  <c r="O180" i="1"/>
  <c r="P180" i="1"/>
  <c r="Q180" i="1"/>
  <c r="S180" i="1"/>
  <c r="H181" i="1"/>
  <c r="I181" i="1"/>
  <c r="J181" i="1"/>
  <c r="K181" i="1"/>
  <c r="L181" i="1"/>
  <c r="N181" i="1"/>
  <c r="O181" i="1"/>
  <c r="P181" i="1"/>
  <c r="Q181" i="1"/>
  <c r="S181" i="1"/>
  <c r="H182" i="1"/>
  <c r="I182" i="1"/>
  <c r="J182" i="1"/>
  <c r="K182" i="1"/>
  <c r="L182" i="1"/>
  <c r="N182" i="1"/>
  <c r="O182" i="1"/>
  <c r="P182" i="1"/>
  <c r="Q182" i="1"/>
  <c r="S182" i="1"/>
  <c r="H183" i="1"/>
  <c r="I183" i="1"/>
  <c r="J183" i="1"/>
  <c r="K183" i="1"/>
  <c r="L183" i="1"/>
  <c r="N183" i="1"/>
  <c r="O183" i="1"/>
  <c r="P183" i="1"/>
  <c r="Q183" i="1"/>
  <c r="S183" i="1"/>
  <c r="H184" i="1"/>
  <c r="I184" i="1"/>
  <c r="J184" i="1"/>
  <c r="K184" i="1"/>
  <c r="L184" i="1"/>
  <c r="N184" i="1"/>
  <c r="O184" i="1"/>
  <c r="P184" i="1"/>
  <c r="Q184" i="1"/>
  <c r="S184" i="1"/>
  <c r="H185" i="1"/>
  <c r="I185" i="1"/>
  <c r="J185" i="1"/>
  <c r="K185" i="1"/>
  <c r="L185" i="1"/>
  <c r="N185" i="1"/>
  <c r="O185" i="1"/>
  <c r="P185" i="1"/>
  <c r="Q185" i="1"/>
  <c r="S185" i="1"/>
  <c r="H186" i="1"/>
  <c r="I186" i="1"/>
  <c r="J186" i="1"/>
  <c r="K186" i="1"/>
  <c r="L186" i="1"/>
  <c r="N186" i="1"/>
  <c r="O186" i="1"/>
  <c r="P186" i="1"/>
  <c r="Q186" i="1"/>
  <c r="S186" i="1"/>
  <c r="H187" i="1"/>
  <c r="I187" i="1"/>
  <c r="J187" i="1"/>
  <c r="K187" i="1"/>
  <c r="L187" i="1"/>
  <c r="N187" i="1"/>
  <c r="O187" i="1"/>
  <c r="P187" i="1"/>
  <c r="Q187" i="1"/>
  <c r="S187" i="1"/>
  <c r="H188" i="1"/>
  <c r="I188" i="1"/>
  <c r="J188" i="1"/>
  <c r="K188" i="1"/>
  <c r="L188" i="1"/>
  <c r="N188" i="1"/>
  <c r="O188" i="1"/>
  <c r="P188" i="1"/>
  <c r="Q188" i="1"/>
  <c r="S188" i="1"/>
  <c r="H189" i="1"/>
  <c r="I189" i="1"/>
  <c r="J189" i="1"/>
  <c r="K189" i="1"/>
  <c r="L189" i="1"/>
  <c r="N189" i="1"/>
  <c r="O189" i="1"/>
  <c r="P189" i="1"/>
  <c r="Q189" i="1"/>
  <c r="S189" i="1"/>
  <c r="H190" i="1"/>
  <c r="I190" i="1"/>
  <c r="J190" i="1"/>
  <c r="K190" i="1"/>
  <c r="L190" i="1"/>
  <c r="N190" i="1"/>
  <c r="O190" i="1"/>
  <c r="P190" i="1"/>
  <c r="Q190" i="1"/>
  <c r="S190" i="1"/>
  <c r="H191" i="1"/>
  <c r="I191" i="1"/>
  <c r="J191" i="1"/>
  <c r="K191" i="1"/>
  <c r="L191" i="1"/>
  <c r="N191" i="1"/>
  <c r="O191" i="1"/>
  <c r="P191" i="1"/>
  <c r="Q191" i="1"/>
  <c r="S191" i="1"/>
  <c r="H192" i="1"/>
  <c r="I192" i="1"/>
  <c r="J192" i="1"/>
  <c r="K192" i="1"/>
  <c r="L192" i="1"/>
  <c r="N192" i="1"/>
  <c r="O192" i="1"/>
  <c r="P192" i="1"/>
  <c r="Q192" i="1"/>
  <c r="S192" i="1"/>
  <c r="H193" i="1"/>
  <c r="I193" i="1"/>
  <c r="J193" i="1"/>
  <c r="K193" i="1"/>
  <c r="L193" i="1"/>
  <c r="N193" i="1"/>
  <c r="O193" i="1"/>
  <c r="P193" i="1"/>
  <c r="Q193" i="1"/>
  <c r="S193" i="1"/>
  <c r="H194" i="1"/>
  <c r="I194" i="1"/>
  <c r="J194" i="1"/>
  <c r="K194" i="1"/>
  <c r="L194" i="1"/>
  <c r="N194" i="1"/>
  <c r="O194" i="1"/>
  <c r="P194" i="1"/>
  <c r="Q194" i="1"/>
  <c r="S194" i="1"/>
  <c r="H195" i="1"/>
  <c r="I195" i="1"/>
  <c r="J195" i="1"/>
  <c r="K195" i="1"/>
  <c r="L195" i="1"/>
  <c r="N195" i="1"/>
  <c r="O195" i="1"/>
  <c r="P195" i="1"/>
  <c r="Q195" i="1"/>
  <c r="S195" i="1"/>
  <c r="H196" i="1"/>
  <c r="I196" i="1"/>
  <c r="J196" i="1"/>
  <c r="K196" i="1"/>
  <c r="L196" i="1"/>
  <c r="N196" i="1"/>
  <c r="O196" i="1"/>
  <c r="P196" i="1"/>
  <c r="Q196" i="1"/>
  <c r="S196" i="1"/>
  <c r="H197" i="1"/>
  <c r="I197" i="1"/>
  <c r="J197" i="1"/>
  <c r="K197" i="1"/>
  <c r="L197" i="1"/>
  <c r="N197" i="1"/>
  <c r="O197" i="1"/>
  <c r="P197" i="1"/>
  <c r="Q197" i="1"/>
  <c r="S197" i="1"/>
  <c r="H198" i="1"/>
  <c r="I198" i="1"/>
  <c r="J198" i="1"/>
  <c r="K198" i="1"/>
  <c r="L198" i="1"/>
  <c r="N198" i="1"/>
  <c r="O198" i="1"/>
  <c r="P198" i="1"/>
  <c r="Q198" i="1"/>
  <c r="S198" i="1"/>
  <c r="H199" i="1"/>
  <c r="I199" i="1"/>
  <c r="J199" i="1"/>
  <c r="K199" i="1"/>
  <c r="L199" i="1"/>
  <c r="N199" i="1"/>
  <c r="O199" i="1"/>
  <c r="P199" i="1"/>
  <c r="Q199" i="1"/>
  <c r="S199" i="1"/>
  <c r="H200" i="1"/>
  <c r="I200" i="1"/>
  <c r="J200" i="1"/>
  <c r="K200" i="1"/>
  <c r="L200" i="1"/>
  <c r="N200" i="1"/>
  <c r="O200" i="1"/>
  <c r="P200" i="1"/>
  <c r="Q200" i="1"/>
  <c r="S200" i="1"/>
  <c r="H201" i="1"/>
  <c r="I201" i="1"/>
  <c r="J201" i="1"/>
  <c r="K201" i="1"/>
  <c r="L201" i="1"/>
  <c r="N201" i="1"/>
  <c r="O201" i="1"/>
  <c r="P201" i="1"/>
  <c r="Q201" i="1"/>
  <c r="S201" i="1"/>
  <c r="H202" i="1"/>
  <c r="I202" i="1"/>
  <c r="J202" i="1"/>
  <c r="K202" i="1"/>
  <c r="L202" i="1"/>
  <c r="N202" i="1"/>
  <c r="O202" i="1"/>
  <c r="P202" i="1"/>
  <c r="Q202" i="1"/>
  <c r="S202" i="1"/>
  <c r="H203" i="1"/>
  <c r="I203" i="1"/>
  <c r="J203" i="1"/>
  <c r="K203" i="1"/>
  <c r="L203" i="1"/>
  <c r="N203" i="1"/>
  <c r="O203" i="1"/>
  <c r="P203" i="1"/>
  <c r="Q203" i="1"/>
  <c r="S203" i="1"/>
  <c r="H204" i="1"/>
  <c r="I204" i="1"/>
  <c r="J204" i="1"/>
  <c r="K204" i="1"/>
  <c r="L204" i="1"/>
  <c r="N204" i="1"/>
  <c r="O204" i="1"/>
  <c r="P204" i="1"/>
  <c r="Q204" i="1"/>
  <c r="S204" i="1"/>
  <c r="H205" i="1"/>
  <c r="I205" i="1"/>
  <c r="J205" i="1"/>
  <c r="K205" i="1"/>
  <c r="L205" i="1"/>
  <c r="N205" i="1"/>
  <c r="O205" i="1"/>
  <c r="P205" i="1"/>
  <c r="Q205" i="1"/>
  <c r="S205" i="1"/>
  <c r="H206" i="1"/>
  <c r="I206" i="1"/>
  <c r="J206" i="1"/>
  <c r="K206" i="1"/>
  <c r="L206" i="1"/>
  <c r="N206" i="1"/>
  <c r="O206" i="1"/>
  <c r="P206" i="1"/>
  <c r="Q206" i="1"/>
  <c r="S206" i="1"/>
  <c r="H207" i="1"/>
  <c r="I207" i="1"/>
  <c r="J207" i="1"/>
  <c r="K207" i="1"/>
  <c r="L207" i="1"/>
  <c r="N207" i="1"/>
  <c r="O207" i="1"/>
  <c r="P207" i="1"/>
  <c r="Q207" i="1"/>
  <c r="S207" i="1"/>
  <c r="H208" i="1"/>
  <c r="I208" i="1"/>
  <c r="J208" i="1"/>
  <c r="K208" i="1"/>
  <c r="L208" i="1"/>
  <c r="N208" i="1"/>
  <c r="O208" i="1"/>
  <c r="P208" i="1"/>
  <c r="Q208" i="1"/>
  <c r="S208" i="1"/>
  <c r="H209" i="1"/>
  <c r="I209" i="1"/>
  <c r="J209" i="1"/>
  <c r="K209" i="1"/>
  <c r="L209" i="1"/>
  <c r="N209" i="1"/>
  <c r="O209" i="1"/>
  <c r="P209" i="1"/>
  <c r="Q209" i="1"/>
  <c r="S209" i="1"/>
  <c r="H210" i="1"/>
  <c r="I210" i="1"/>
  <c r="J210" i="1"/>
  <c r="K210" i="1"/>
  <c r="L210" i="1"/>
  <c r="N210" i="1"/>
  <c r="O210" i="1"/>
  <c r="P210" i="1"/>
  <c r="Q210" i="1"/>
  <c r="S210" i="1"/>
  <c r="H211" i="1"/>
  <c r="I211" i="1"/>
  <c r="J211" i="1"/>
  <c r="K211" i="1"/>
  <c r="L211" i="1"/>
  <c r="N211" i="1"/>
  <c r="O211" i="1"/>
  <c r="P211" i="1"/>
  <c r="Q211" i="1"/>
  <c r="S211" i="1"/>
  <c r="H212" i="1"/>
  <c r="I212" i="1"/>
  <c r="J212" i="1"/>
  <c r="K212" i="1"/>
  <c r="L212" i="1"/>
  <c r="N212" i="1"/>
  <c r="O212" i="1"/>
  <c r="P212" i="1"/>
  <c r="Q212" i="1"/>
  <c r="S212" i="1"/>
  <c r="H213" i="1"/>
  <c r="I213" i="1"/>
  <c r="J213" i="1"/>
  <c r="K213" i="1"/>
  <c r="L213" i="1"/>
  <c r="N213" i="1"/>
  <c r="O213" i="1"/>
  <c r="P213" i="1"/>
  <c r="Q213" i="1"/>
  <c r="S213" i="1"/>
  <c r="H214" i="1"/>
  <c r="I214" i="1"/>
  <c r="J214" i="1"/>
  <c r="K214" i="1"/>
  <c r="L214" i="1"/>
  <c r="N214" i="1"/>
  <c r="O214" i="1"/>
  <c r="P214" i="1"/>
  <c r="Q214" i="1"/>
  <c r="S214" i="1"/>
  <c r="H215" i="1"/>
  <c r="I215" i="1"/>
  <c r="J215" i="1"/>
  <c r="K215" i="1"/>
  <c r="L215" i="1"/>
  <c r="N215" i="1"/>
  <c r="O215" i="1"/>
  <c r="P215" i="1"/>
  <c r="Q215" i="1"/>
  <c r="S215" i="1"/>
  <c r="H216" i="1"/>
  <c r="I216" i="1"/>
  <c r="J216" i="1"/>
  <c r="K216" i="1"/>
  <c r="L216" i="1"/>
  <c r="N216" i="1"/>
  <c r="O216" i="1"/>
  <c r="P216" i="1"/>
  <c r="Q216" i="1"/>
  <c r="S216" i="1"/>
  <c r="H217" i="1"/>
  <c r="I217" i="1"/>
  <c r="J217" i="1"/>
  <c r="K217" i="1"/>
  <c r="L217" i="1"/>
  <c r="N217" i="1"/>
  <c r="O217" i="1"/>
  <c r="P217" i="1"/>
  <c r="Q217" i="1"/>
  <c r="S217" i="1"/>
  <c r="H218" i="1"/>
  <c r="I218" i="1"/>
  <c r="J218" i="1"/>
  <c r="K218" i="1"/>
  <c r="L218" i="1"/>
  <c r="N218" i="1"/>
  <c r="O218" i="1"/>
  <c r="P218" i="1"/>
  <c r="Q218" i="1"/>
  <c r="S218" i="1"/>
  <c r="H219" i="1"/>
  <c r="I219" i="1"/>
  <c r="J219" i="1"/>
  <c r="K219" i="1"/>
  <c r="L219" i="1"/>
  <c r="N219" i="1"/>
  <c r="O219" i="1"/>
  <c r="P219" i="1"/>
  <c r="Q219" i="1"/>
  <c r="S219" i="1"/>
  <c r="H220" i="1"/>
  <c r="I220" i="1"/>
  <c r="J220" i="1"/>
  <c r="K220" i="1"/>
  <c r="L220" i="1"/>
  <c r="N220" i="1"/>
  <c r="O220" i="1"/>
  <c r="P220" i="1"/>
  <c r="Q220" i="1"/>
  <c r="S220" i="1"/>
  <c r="H221" i="1"/>
  <c r="I221" i="1"/>
  <c r="J221" i="1"/>
  <c r="K221" i="1"/>
  <c r="L221" i="1"/>
  <c r="N221" i="1"/>
  <c r="O221" i="1"/>
  <c r="P221" i="1"/>
  <c r="Q221" i="1"/>
  <c r="S221" i="1"/>
  <c r="H222" i="1"/>
  <c r="I222" i="1"/>
  <c r="J222" i="1"/>
  <c r="K222" i="1"/>
  <c r="L222" i="1"/>
  <c r="N222" i="1"/>
  <c r="O222" i="1"/>
  <c r="P222" i="1"/>
  <c r="Q222" i="1"/>
  <c r="S222" i="1"/>
  <c r="H223" i="1"/>
  <c r="I223" i="1"/>
  <c r="J223" i="1"/>
  <c r="K223" i="1"/>
  <c r="L223" i="1"/>
  <c r="N223" i="1"/>
  <c r="O223" i="1"/>
  <c r="P223" i="1"/>
  <c r="Q223" i="1"/>
  <c r="S223" i="1"/>
  <c r="H224" i="1"/>
  <c r="I224" i="1"/>
  <c r="J224" i="1"/>
  <c r="K224" i="1"/>
  <c r="L224" i="1"/>
  <c r="N224" i="1"/>
  <c r="O224" i="1"/>
  <c r="P224" i="1"/>
  <c r="Q224" i="1"/>
  <c r="S224" i="1"/>
  <c r="H225" i="1"/>
  <c r="I225" i="1"/>
  <c r="J225" i="1"/>
  <c r="K225" i="1"/>
  <c r="L225" i="1"/>
  <c r="N225" i="1"/>
  <c r="O225" i="1"/>
  <c r="P225" i="1"/>
  <c r="Q225" i="1"/>
  <c r="S225" i="1"/>
  <c r="H226" i="1"/>
  <c r="I226" i="1"/>
  <c r="J226" i="1"/>
  <c r="K226" i="1"/>
  <c r="L226" i="1"/>
  <c r="N226" i="1"/>
  <c r="O226" i="1"/>
  <c r="P226" i="1"/>
  <c r="Q226" i="1"/>
  <c r="S226" i="1"/>
  <c r="H227" i="1"/>
  <c r="I227" i="1"/>
  <c r="J227" i="1"/>
  <c r="K227" i="1"/>
  <c r="L227" i="1"/>
  <c r="N227" i="1"/>
  <c r="O227" i="1"/>
  <c r="P227" i="1"/>
  <c r="Q227" i="1"/>
  <c r="S227" i="1"/>
  <c r="H228" i="1"/>
  <c r="I228" i="1"/>
  <c r="J228" i="1"/>
  <c r="K228" i="1"/>
  <c r="L228" i="1"/>
  <c r="N228" i="1"/>
  <c r="O228" i="1"/>
  <c r="P228" i="1"/>
  <c r="Q228" i="1"/>
  <c r="S228" i="1"/>
  <c r="H229" i="1"/>
  <c r="I229" i="1"/>
  <c r="J229" i="1"/>
  <c r="K229" i="1"/>
  <c r="L229" i="1"/>
  <c r="N229" i="1"/>
  <c r="O229" i="1"/>
  <c r="P229" i="1"/>
  <c r="Q229" i="1"/>
  <c r="S229" i="1"/>
  <c r="H230" i="1"/>
  <c r="I230" i="1"/>
  <c r="J230" i="1"/>
  <c r="K230" i="1"/>
  <c r="L230" i="1"/>
  <c r="N230" i="1"/>
  <c r="O230" i="1"/>
  <c r="P230" i="1"/>
  <c r="Q230" i="1"/>
  <c r="S230" i="1"/>
  <c r="H231" i="1"/>
  <c r="I231" i="1"/>
  <c r="J231" i="1"/>
  <c r="K231" i="1"/>
  <c r="L231" i="1"/>
  <c r="N231" i="1"/>
  <c r="O231" i="1"/>
  <c r="P231" i="1"/>
  <c r="Q231" i="1"/>
  <c r="S231" i="1"/>
  <c r="H232" i="1"/>
  <c r="I232" i="1"/>
  <c r="J232" i="1"/>
  <c r="K232" i="1"/>
  <c r="L232" i="1"/>
  <c r="N232" i="1"/>
  <c r="O232" i="1"/>
  <c r="P232" i="1"/>
  <c r="Q232" i="1"/>
  <c r="S232" i="1"/>
  <c r="H233" i="1"/>
  <c r="I233" i="1"/>
  <c r="J233" i="1"/>
  <c r="K233" i="1"/>
  <c r="L233" i="1"/>
  <c r="N233" i="1"/>
  <c r="O233" i="1"/>
  <c r="P233" i="1"/>
  <c r="Q233" i="1"/>
  <c r="S233" i="1"/>
  <c r="H234" i="1"/>
  <c r="I234" i="1"/>
  <c r="J234" i="1"/>
  <c r="K234" i="1"/>
  <c r="L234" i="1"/>
  <c r="N234" i="1"/>
  <c r="O234" i="1"/>
  <c r="P234" i="1"/>
  <c r="Q234" i="1"/>
  <c r="S234" i="1"/>
  <c r="H235" i="1"/>
  <c r="I235" i="1"/>
  <c r="J235" i="1"/>
  <c r="K235" i="1"/>
  <c r="L235" i="1"/>
  <c r="N235" i="1"/>
  <c r="O235" i="1"/>
  <c r="P235" i="1"/>
  <c r="Q235" i="1"/>
  <c r="S235" i="1"/>
  <c r="H236" i="1"/>
  <c r="I236" i="1"/>
  <c r="J236" i="1"/>
  <c r="K236" i="1"/>
  <c r="L236" i="1"/>
  <c r="N236" i="1"/>
  <c r="O236" i="1"/>
  <c r="P236" i="1"/>
  <c r="Q236" i="1"/>
  <c r="S236" i="1"/>
  <c r="H237" i="1"/>
  <c r="I237" i="1"/>
  <c r="J237" i="1"/>
  <c r="K237" i="1"/>
  <c r="L237" i="1"/>
  <c r="N237" i="1"/>
  <c r="O237" i="1"/>
  <c r="P237" i="1"/>
  <c r="Q237" i="1"/>
  <c r="S237" i="1"/>
  <c r="H238" i="1"/>
  <c r="I238" i="1"/>
  <c r="J238" i="1"/>
  <c r="K238" i="1"/>
  <c r="L238" i="1"/>
  <c r="N238" i="1"/>
  <c r="O238" i="1"/>
  <c r="P238" i="1"/>
  <c r="Q238" i="1"/>
  <c r="S238" i="1"/>
  <c r="H239" i="1"/>
  <c r="I239" i="1"/>
  <c r="J239" i="1"/>
  <c r="K239" i="1"/>
  <c r="L239" i="1"/>
  <c r="N239" i="1"/>
  <c r="O239" i="1"/>
  <c r="P239" i="1"/>
  <c r="Q239" i="1"/>
  <c r="S239" i="1"/>
  <c r="H240" i="1"/>
  <c r="I240" i="1"/>
  <c r="J240" i="1"/>
  <c r="K240" i="1"/>
  <c r="L240" i="1"/>
  <c r="N240" i="1"/>
  <c r="O240" i="1"/>
  <c r="P240" i="1"/>
  <c r="Q240" i="1"/>
  <c r="S240" i="1"/>
  <c r="H241" i="1"/>
  <c r="I241" i="1"/>
  <c r="J241" i="1"/>
  <c r="K241" i="1"/>
  <c r="L241" i="1"/>
  <c r="N241" i="1"/>
  <c r="O241" i="1"/>
  <c r="P241" i="1"/>
  <c r="Q241" i="1"/>
  <c r="S241" i="1"/>
  <c r="H242" i="1"/>
  <c r="I242" i="1"/>
  <c r="J242" i="1"/>
  <c r="K242" i="1"/>
  <c r="L242" i="1"/>
  <c r="N242" i="1"/>
  <c r="O242" i="1"/>
  <c r="P242" i="1"/>
  <c r="Q242" i="1"/>
  <c r="S242" i="1"/>
  <c r="H243" i="1"/>
  <c r="I243" i="1"/>
  <c r="J243" i="1"/>
  <c r="K243" i="1"/>
  <c r="L243" i="1"/>
  <c r="N243" i="1"/>
  <c r="O243" i="1"/>
  <c r="P243" i="1"/>
  <c r="Q243" i="1"/>
  <c r="S243" i="1"/>
  <c r="H244" i="1"/>
  <c r="I244" i="1"/>
  <c r="J244" i="1"/>
  <c r="K244" i="1"/>
  <c r="L244" i="1"/>
  <c r="N244" i="1"/>
  <c r="O244" i="1"/>
  <c r="P244" i="1"/>
  <c r="Q244" i="1"/>
  <c r="S244" i="1"/>
  <c r="H245" i="1"/>
  <c r="I245" i="1"/>
  <c r="J245" i="1"/>
  <c r="K245" i="1"/>
  <c r="L245" i="1"/>
  <c r="N245" i="1"/>
  <c r="O245" i="1"/>
  <c r="P245" i="1"/>
  <c r="Q245" i="1"/>
  <c r="S245" i="1"/>
  <c r="H246" i="1"/>
  <c r="I246" i="1"/>
  <c r="J246" i="1"/>
  <c r="K246" i="1"/>
  <c r="L246" i="1"/>
  <c r="N246" i="1"/>
  <c r="O246" i="1"/>
  <c r="P246" i="1"/>
  <c r="Q246" i="1"/>
  <c r="S246" i="1"/>
  <c r="H247" i="1"/>
  <c r="I247" i="1"/>
  <c r="J247" i="1"/>
  <c r="K247" i="1"/>
  <c r="L247" i="1"/>
  <c r="N247" i="1"/>
  <c r="O247" i="1"/>
  <c r="P247" i="1"/>
  <c r="Q247" i="1"/>
  <c r="S247" i="1"/>
  <c r="H248" i="1"/>
  <c r="I248" i="1"/>
  <c r="J248" i="1"/>
  <c r="K248" i="1"/>
  <c r="L248" i="1"/>
  <c r="N248" i="1"/>
  <c r="O248" i="1"/>
  <c r="P248" i="1"/>
  <c r="Q248" i="1"/>
  <c r="S248" i="1"/>
  <c r="H249" i="1"/>
  <c r="I249" i="1"/>
  <c r="J249" i="1"/>
  <c r="K249" i="1"/>
  <c r="L249" i="1"/>
  <c r="N249" i="1"/>
  <c r="O249" i="1"/>
  <c r="P249" i="1"/>
  <c r="Q249" i="1"/>
  <c r="S249" i="1"/>
  <c r="H250" i="1"/>
  <c r="I250" i="1"/>
  <c r="J250" i="1"/>
  <c r="K250" i="1"/>
  <c r="L250" i="1"/>
  <c r="N250" i="1"/>
  <c r="O250" i="1"/>
  <c r="P250" i="1"/>
  <c r="Q250" i="1"/>
  <c r="S250" i="1"/>
  <c r="H251" i="1"/>
  <c r="I251" i="1"/>
  <c r="J251" i="1"/>
  <c r="K251" i="1"/>
  <c r="L251" i="1"/>
  <c r="N251" i="1"/>
  <c r="O251" i="1"/>
  <c r="P251" i="1"/>
  <c r="Q251" i="1"/>
  <c r="S251" i="1"/>
  <c r="H252" i="1"/>
  <c r="I252" i="1"/>
  <c r="J252" i="1"/>
  <c r="K252" i="1"/>
  <c r="L252" i="1"/>
  <c r="N252" i="1"/>
  <c r="O252" i="1"/>
  <c r="P252" i="1"/>
  <c r="Q252" i="1"/>
  <c r="S252" i="1"/>
  <c r="H253" i="1"/>
  <c r="I253" i="1"/>
  <c r="J253" i="1"/>
  <c r="K253" i="1"/>
  <c r="L253" i="1"/>
  <c r="N253" i="1"/>
  <c r="O253" i="1"/>
  <c r="P253" i="1"/>
  <c r="Q253" i="1"/>
  <c r="S253" i="1"/>
  <c r="H254" i="1"/>
  <c r="I254" i="1"/>
  <c r="J254" i="1"/>
  <c r="K254" i="1"/>
  <c r="L254" i="1"/>
  <c r="N254" i="1"/>
  <c r="O254" i="1"/>
  <c r="P254" i="1"/>
  <c r="Q254" i="1"/>
  <c r="S254" i="1"/>
  <c r="H255" i="1"/>
  <c r="I255" i="1"/>
  <c r="J255" i="1"/>
  <c r="K255" i="1"/>
  <c r="L255" i="1"/>
  <c r="N255" i="1"/>
  <c r="O255" i="1"/>
  <c r="P255" i="1"/>
  <c r="Q255" i="1"/>
  <c r="S255" i="1"/>
  <c r="H256" i="1"/>
  <c r="I256" i="1"/>
  <c r="J256" i="1"/>
  <c r="K256" i="1"/>
  <c r="L256" i="1"/>
  <c r="N256" i="1"/>
  <c r="O256" i="1"/>
  <c r="P256" i="1"/>
  <c r="Q256" i="1"/>
  <c r="S256" i="1"/>
  <c r="H257" i="1"/>
  <c r="I257" i="1"/>
  <c r="J257" i="1"/>
  <c r="K257" i="1"/>
  <c r="L257" i="1"/>
  <c r="N257" i="1"/>
  <c r="O257" i="1"/>
  <c r="P257" i="1"/>
  <c r="Q257" i="1"/>
  <c r="S257" i="1"/>
  <c r="H258" i="1"/>
  <c r="I258" i="1"/>
  <c r="J258" i="1"/>
  <c r="K258" i="1"/>
  <c r="L258" i="1"/>
  <c r="N258" i="1"/>
  <c r="O258" i="1"/>
  <c r="P258" i="1"/>
  <c r="Q258" i="1"/>
  <c r="S258" i="1"/>
  <c r="H259" i="1"/>
  <c r="I259" i="1"/>
  <c r="J259" i="1"/>
  <c r="K259" i="1"/>
  <c r="L259" i="1"/>
  <c r="N259" i="1"/>
  <c r="O259" i="1"/>
  <c r="P259" i="1"/>
  <c r="Q259" i="1"/>
  <c r="S259" i="1"/>
  <c r="H260" i="1"/>
  <c r="I260" i="1"/>
  <c r="J260" i="1"/>
  <c r="K260" i="1"/>
  <c r="L260" i="1"/>
  <c r="N260" i="1"/>
  <c r="O260" i="1"/>
  <c r="P260" i="1"/>
  <c r="Q260" i="1"/>
  <c r="S260" i="1"/>
  <c r="H261" i="1"/>
  <c r="I261" i="1"/>
  <c r="J261" i="1"/>
  <c r="K261" i="1"/>
  <c r="L261" i="1"/>
  <c r="N261" i="1"/>
  <c r="O261" i="1"/>
  <c r="P261" i="1"/>
  <c r="Q261" i="1"/>
  <c r="S261" i="1"/>
  <c r="H262" i="1"/>
  <c r="I262" i="1"/>
  <c r="J262" i="1"/>
  <c r="K262" i="1"/>
  <c r="L262" i="1"/>
  <c r="N262" i="1"/>
  <c r="O262" i="1"/>
  <c r="P262" i="1"/>
  <c r="Q262" i="1"/>
  <c r="S262" i="1"/>
  <c r="H263" i="1"/>
  <c r="I263" i="1"/>
  <c r="J263" i="1"/>
  <c r="K263" i="1"/>
  <c r="L263" i="1"/>
  <c r="N263" i="1"/>
  <c r="O263" i="1"/>
  <c r="P263" i="1"/>
  <c r="Q263" i="1"/>
  <c r="S263" i="1"/>
  <c r="H264" i="1"/>
  <c r="I264" i="1"/>
  <c r="J264" i="1"/>
  <c r="K264" i="1"/>
  <c r="L264" i="1"/>
  <c r="N264" i="1"/>
  <c r="O264" i="1"/>
  <c r="P264" i="1"/>
  <c r="Q264" i="1"/>
  <c r="S264" i="1"/>
  <c r="H265" i="1"/>
  <c r="I265" i="1"/>
  <c r="J265" i="1"/>
  <c r="K265" i="1"/>
  <c r="L265" i="1"/>
  <c r="N265" i="1"/>
  <c r="O265" i="1"/>
  <c r="P265" i="1"/>
  <c r="Q265" i="1"/>
  <c r="S265" i="1"/>
  <c r="H266" i="1"/>
  <c r="I266" i="1"/>
  <c r="J266" i="1"/>
  <c r="K266" i="1"/>
  <c r="L266" i="1"/>
  <c r="N266" i="1"/>
  <c r="O266" i="1"/>
  <c r="P266" i="1"/>
  <c r="Q266" i="1"/>
  <c r="S266" i="1"/>
  <c r="H267" i="1"/>
  <c r="I267" i="1"/>
  <c r="J267" i="1"/>
  <c r="K267" i="1"/>
  <c r="L267" i="1"/>
  <c r="N267" i="1"/>
  <c r="O267" i="1"/>
  <c r="P267" i="1"/>
  <c r="Q267" i="1"/>
  <c r="S267" i="1"/>
  <c r="H268" i="1"/>
  <c r="I268" i="1"/>
  <c r="J268" i="1"/>
  <c r="K268" i="1"/>
  <c r="L268" i="1"/>
  <c r="N268" i="1"/>
  <c r="O268" i="1"/>
  <c r="P268" i="1"/>
  <c r="Q268" i="1"/>
  <c r="S268" i="1"/>
  <c r="H269" i="1"/>
  <c r="I269" i="1"/>
  <c r="J269" i="1"/>
  <c r="K269" i="1"/>
  <c r="L269" i="1"/>
  <c r="N269" i="1"/>
  <c r="O269" i="1"/>
  <c r="P269" i="1"/>
  <c r="Q269" i="1"/>
  <c r="S269" i="1"/>
  <c r="H270" i="1"/>
  <c r="I270" i="1"/>
  <c r="J270" i="1"/>
  <c r="K270" i="1"/>
  <c r="L270" i="1"/>
  <c r="N270" i="1"/>
  <c r="O270" i="1"/>
  <c r="P270" i="1"/>
  <c r="Q270" i="1"/>
  <c r="S270" i="1"/>
  <c r="H271" i="1"/>
  <c r="I271" i="1"/>
  <c r="J271" i="1"/>
  <c r="K271" i="1"/>
  <c r="L271" i="1"/>
  <c r="N271" i="1"/>
  <c r="O271" i="1"/>
  <c r="P271" i="1"/>
  <c r="Q271" i="1"/>
  <c r="S271" i="1"/>
  <c r="H272" i="1"/>
  <c r="I272" i="1"/>
  <c r="J272" i="1"/>
  <c r="K272" i="1"/>
  <c r="L272" i="1"/>
  <c r="N272" i="1"/>
  <c r="O272" i="1"/>
  <c r="P272" i="1"/>
  <c r="Q272" i="1"/>
  <c r="S272" i="1"/>
  <c r="H273" i="1"/>
  <c r="I273" i="1"/>
  <c r="J273" i="1"/>
  <c r="K273" i="1"/>
  <c r="L273" i="1"/>
  <c r="N273" i="1"/>
  <c r="O273" i="1"/>
  <c r="P273" i="1"/>
  <c r="Q273" i="1"/>
  <c r="S273" i="1"/>
  <c r="H274" i="1"/>
  <c r="I274" i="1"/>
  <c r="J274" i="1"/>
  <c r="K274" i="1"/>
  <c r="L274" i="1"/>
  <c r="N274" i="1"/>
  <c r="O274" i="1"/>
  <c r="P274" i="1"/>
  <c r="Q274" i="1"/>
  <c r="S274" i="1"/>
  <c r="H275" i="1"/>
  <c r="I275" i="1"/>
  <c r="J275" i="1"/>
  <c r="K275" i="1"/>
  <c r="L275" i="1"/>
  <c r="N275" i="1"/>
  <c r="O275" i="1"/>
  <c r="P275" i="1"/>
  <c r="Q275" i="1"/>
  <c r="S275" i="1"/>
  <c r="H276" i="1"/>
  <c r="I276" i="1"/>
  <c r="J276" i="1"/>
  <c r="K276" i="1"/>
  <c r="L276" i="1"/>
  <c r="N276" i="1"/>
  <c r="O276" i="1"/>
  <c r="P276" i="1"/>
  <c r="Q276" i="1"/>
  <c r="S276" i="1"/>
  <c r="H277" i="1"/>
  <c r="I277" i="1"/>
  <c r="J277" i="1"/>
  <c r="K277" i="1"/>
  <c r="L277" i="1"/>
  <c r="N277" i="1"/>
  <c r="O277" i="1"/>
  <c r="P277" i="1"/>
  <c r="Q277" i="1"/>
  <c r="S277" i="1"/>
  <c r="H278" i="1"/>
  <c r="I278" i="1"/>
  <c r="J278" i="1"/>
  <c r="K278" i="1"/>
  <c r="L278" i="1"/>
  <c r="N278" i="1"/>
  <c r="O278" i="1"/>
  <c r="P278" i="1"/>
  <c r="Q278" i="1"/>
  <c r="S278" i="1"/>
  <c r="H279" i="1"/>
  <c r="I279" i="1"/>
  <c r="J279" i="1"/>
  <c r="K279" i="1"/>
  <c r="L279" i="1"/>
  <c r="N279" i="1"/>
  <c r="O279" i="1"/>
  <c r="P279" i="1"/>
  <c r="Q279" i="1"/>
  <c r="S279" i="1"/>
  <c r="H280" i="1"/>
  <c r="I280" i="1"/>
  <c r="J280" i="1"/>
  <c r="K280" i="1"/>
  <c r="L280" i="1"/>
  <c r="N280" i="1"/>
  <c r="O280" i="1"/>
  <c r="P280" i="1"/>
  <c r="Q280" i="1"/>
  <c r="S280" i="1"/>
  <c r="H281" i="1"/>
  <c r="I281" i="1"/>
  <c r="J281" i="1"/>
  <c r="K281" i="1"/>
  <c r="L281" i="1"/>
  <c r="N281" i="1"/>
  <c r="O281" i="1"/>
  <c r="P281" i="1"/>
  <c r="Q281" i="1"/>
  <c r="S281" i="1"/>
  <c r="H282" i="1"/>
  <c r="I282" i="1"/>
  <c r="J282" i="1"/>
  <c r="K282" i="1"/>
  <c r="L282" i="1"/>
  <c r="N282" i="1"/>
  <c r="O282" i="1"/>
  <c r="P282" i="1"/>
  <c r="Q282" i="1"/>
  <c r="S282" i="1"/>
  <c r="H283" i="1"/>
  <c r="I283" i="1"/>
  <c r="J283" i="1"/>
  <c r="K283" i="1"/>
  <c r="L283" i="1"/>
  <c r="N283" i="1"/>
  <c r="O283" i="1"/>
  <c r="P283" i="1"/>
  <c r="Q283" i="1"/>
  <c r="S283" i="1"/>
  <c r="H284" i="1"/>
  <c r="I284" i="1"/>
  <c r="J284" i="1"/>
  <c r="K284" i="1"/>
  <c r="L284" i="1"/>
  <c r="N284" i="1"/>
  <c r="O284" i="1"/>
  <c r="P284" i="1"/>
  <c r="Q284" i="1"/>
  <c r="S284" i="1"/>
  <c r="H285" i="1"/>
  <c r="I285" i="1"/>
  <c r="J285" i="1"/>
  <c r="K285" i="1"/>
  <c r="L285" i="1"/>
  <c r="N285" i="1"/>
  <c r="O285" i="1"/>
  <c r="P285" i="1"/>
  <c r="Q285" i="1"/>
  <c r="S285" i="1"/>
  <c r="H286" i="1"/>
  <c r="I286" i="1"/>
  <c r="J286" i="1"/>
  <c r="K286" i="1"/>
  <c r="L286" i="1"/>
  <c r="N286" i="1"/>
  <c r="O286" i="1"/>
  <c r="P286" i="1"/>
  <c r="Q286" i="1"/>
  <c r="S286" i="1"/>
  <c r="H287" i="1"/>
  <c r="I287" i="1"/>
  <c r="J287" i="1"/>
  <c r="K287" i="1"/>
  <c r="L287" i="1"/>
  <c r="N287" i="1"/>
  <c r="O287" i="1"/>
  <c r="P287" i="1"/>
  <c r="Q287" i="1"/>
  <c r="S287" i="1"/>
  <c r="H288" i="1"/>
  <c r="I288" i="1"/>
  <c r="J288" i="1"/>
  <c r="K288" i="1"/>
  <c r="L288" i="1"/>
  <c r="N288" i="1"/>
  <c r="O288" i="1"/>
  <c r="P288" i="1"/>
  <c r="Q288" i="1"/>
  <c r="S288" i="1"/>
  <c r="H289" i="1"/>
  <c r="I289" i="1"/>
  <c r="J289" i="1"/>
  <c r="K289" i="1"/>
  <c r="L289" i="1"/>
  <c r="N289" i="1"/>
  <c r="O289" i="1"/>
  <c r="P289" i="1"/>
  <c r="Q289" i="1"/>
  <c r="S289" i="1"/>
  <c r="H290" i="1"/>
  <c r="I290" i="1"/>
  <c r="J290" i="1"/>
  <c r="K290" i="1"/>
  <c r="L290" i="1"/>
  <c r="N290" i="1"/>
  <c r="O290" i="1"/>
  <c r="P290" i="1"/>
  <c r="Q290" i="1"/>
  <c r="S290" i="1"/>
  <c r="H291" i="1"/>
  <c r="I291" i="1"/>
  <c r="J291" i="1"/>
  <c r="K291" i="1"/>
  <c r="L291" i="1"/>
  <c r="N291" i="1"/>
  <c r="O291" i="1"/>
  <c r="P291" i="1"/>
  <c r="Q291" i="1"/>
  <c r="S291" i="1"/>
  <c r="H292" i="1"/>
  <c r="I292" i="1"/>
  <c r="J292" i="1"/>
  <c r="K292" i="1"/>
  <c r="L292" i="1"/>
  <c r="N292" i="1"/>
  <c r="O292" i="1"/>
  <c r="P292" i="1"/>
  <c r="Q292" i="1"/>
  <c r="S292" i="1"/>
  <c r="H293" i="1"/>
  <c r="I293" i="1"/>
  <c r="J293" i="1"/>
  <c r="K293" i="1"/>
  <c r="L293" i="1"/>
  <c r="N293" i="1"/>
  <c r="O293" i="1"/>
  <c r="P293" i="1"/>
  <c r="Q293" i="1"/>
  <c r="S293" i="1"/>
  <c r="H294" i="1"/>
  <c r="I294" i="1"/>
  <c r="J294" i="1"/>
  <c r="K294" i="1"/>
  <c r="L294" i="1"/>
  <c r="N294" i="1"/>
  <c r="O294" i="1"/>
  <c r="P294" i="1"/>
  <c r="Q294" i="1"/>
  <c r="S294" i="1"/>
  <c r="H295" i="1"/>
  <c r="I295" i="1"/>
  <c r="J295" i="1"/>
  <c r="K295" i="1"/>
  <c r="L295" i="1"/>
  <c r="N295" i="1"/>
  <c r="O295" i="1"/>
  <c r="P295" i="1"/>
  <c r="Q295" i="1"/>
  <c r="S295" i="1"/>
  <c r="H296" i="1"/>
  <c r="I296" i="1"/>
  <c r="J296" i="1"/>
  <c r="K296" i="1"/>
  <c r="L296" i="1"/>
  <c r="N296" i="1"/>
  <c r="O296" i="1"/>
  <c r="P296" i="1"/>
  <c r="Q296" i="1"/>
  <c r="S296" i="1"/>
  <c r="H297" i="1"/>
  <c r="I297" i="1"/>
  <c r="J297" i="1"/>
  <c r="K297" i="1"/>
  <c r="L297" i="1"/>
  <c r="N297" i="1"/>
  <c r="O297" i="1"/>
  <c r="P297" i="1"/>
  <c r="Q297" i="1"/>
  <c r="S297" i="1"/>
  <c r="H298" i="1"/>
  <c r="I298" i="1"/>
  <c r="J298" i="1"/>
  <c r="K298" i="1"/>
  <c r="L298" i="1"/>
  <c r="N298" i="1"/>
  <c r="O298" i="1"/>
  <c r="P298" i="1"/>
  <c r="Q298" i="1"/>
  <c r="S298" i="1"/>
  <c r="H299" i="1"/>
  <c r="I299" i="1"/>
  <c r="J299" i="1"/>
  <c r="K299" i="1"/>
  <c r="L299" i="1"/>
  <c r="N299" i="1"/>
  <c r="O299" i="1"/>
  <c r="P299" i="1"/>
  <c r="Q299" i="1"/>
  <c r="S299" i="1"/>
  <c r="H300" i="1"/>
  <c r="I300" i="1"/>
  <c r="J300" i="1"/>
  <c r="K300" i="1"/>
  <c r="L300" i="1"/>
  <c r="N300" i="1"/>
  <c r="O300" i="1"/>
  <c r="P300" i="1"/>
  <c r="Q300" i="1"/>
  <c r="S300" i="1"/>
  <c r="H301" i="1"/>
  <c r="I301" i="1"/>
  <c r="J301" i="1"/>
  <c r="K301" i="1"/>
  <c r="L301" i="1"/>
  <c r="N301" i="1"/>
  <c r="O301" i="1"/>
  <c r="P301" i="1"/>
  <c r="Q301" i="1"/>
  <c r="S301" i="1"/>
  <c r="H302" i="1"/>
  <c r="I302" i="1"/>
  <c r="J302" i="1"/>
  <c r="K302" i="1"/>
  <c r="L302" i="1"/>
  <c r="N302" i="1"/>
  <c r="O302" i="1"/>
  <c r="P302" i="1"/>
  <c r="Q302" i="1"/>
  <c r="S302" i="1"/>
  <c r="H303" i="1"/>
  <c r="I303" i="1"/>
  <c r="J303" i="1"/>
  <c r="K303" i="1"/>
  <c r="L303" i="1"/>
  <c r="N303" i="1"/>
  <c r="O303" i="1"/>
  <c r="P303" i="1"/>
  <c r="Q303" i="1"/>
  <c r="S303" i="1"/>
  <c r="H304" i="1"/>
  <c r="I304" i="1"/>
  <c r="J304" i="1"/>
  <c r="K304" i="1"/>
  <c r="L304" i="1"/>
  <c r="N304" i="1"/>
  <c r="O304" i="1"/>
  <c r="P304" i="1"/>
  <c r="Q304" i="1"/>
  <c r="S304" i="1"/>
  <c r="H305" i="1"/>
  <c r="I305" i="1"/>
  <c r="J305" i="1"/>
  <c r="K305" i="1"/>
  <c r="L305" i="1"/>
  <c r="N305" i="1"/>
  <c r="O305" i="1"/>
  <c r="P305" i="1"/>
  <c r="Q305" i="1"/>
  <c r="S305" i="1"/>
  <c r="H306" i="1"/>
  <c r="I306" i="1"/>
  <c r="J306" i="1"/>
  <c r="K306" i="1"/>
  <c r="L306" i="1"/>
  <c r="N306" i="1"/>
  <c r="O306" i="1"/>
  <c r="P306" i="1"/>
  <c r="Q306" i="1"/>
  <c r="S306" i="1"/>
  <c r="H307" i="1"/>
  <c r="I307" i="1"/>
  <c r="J307" i="1"/>
  <c r="K307" i="1"/>
  <c r="L307" i="1"/>
  <c r="N307" i="1"/>
  <c r="O307" i="1"/>
  <c r="P307" i="1"/>
  <c r="Q307" i="1"/>
  <c r="S307" i="1"/>
  <c r="H308" i="1"/>
  <c r="I308" i="1"/>
  <c r="J308" i="1"/>
  <c r="K308" i="1"/>
  <c r="L308" i="1"/>
  <c r="N308" i="1"/>
  <c r="O308" i="1"/>
  <c r="P308" i="1"/>
  <c r="Q308" i="1"/>
  <c r="S308" i="1"/>
  <c r="H309" i="1"/>
  <c r="I309" i="1"/>
  <c r="J309" i="1"/>
  <c r="K309" i="1"/>
  <c r="L309" i="1"/>
  <c r="N309" i="1"/>
  <c r="O309" i="1"/>
  <c r="P309" i="1"/>
  <c r="Q309" i="1"/>
  <c r="S309" i="1"/>
  <c r="H310" i="1"/>
  <c r="I310" i="1"/>
  <c r="J310" i="1"/>
  <c r="K310" i="1"/>
  <c r="L310" i="1"/>
  <c r="N310" i="1"/>
  <c r="O310" i="1"/>
  <c r="P310" i="1"/>
  <c r="Q310" i="1"/>
  <c r="S310" i="1"/>
  <c r="H311" i="1"/>
  <c r="I311" i="1"/>
  <c r="J311" i="1"/>
  <c r="K311" i="1"/>
  <c r="L311" i="1"/>
  <c r="N311" i="1"/>
  <c r="O311" i="1"/>
  <c r="P311" i="1"/>
  <c r="Q311" i="1"/>
  <c r="S311" i="1"/>
  <c r="H312" i="1"/>
  <c r="I312" i="1"/>
  <c r="J312" i="1"/>
  <c r="K312" i="1"/>
  <c r="L312" i="1"/>
  <c r="N312" i="1"/>
  <c r="O312" i="1"/>
  <c r="P312" i="1"/>
  <c r="Q312" i="1"/>
  <c r="S312" i="1"/>
  <c r="H313" i="1"/>
  <c r="I313" i="1"/>
  <c r="J313" i="1"/>
  <c r="K313" i="1"/>
  <c r="L313" i="1"/>
  <c r="N313" i="1"/>
  <c r="O313" i="1"/>
  <c r="P313" i="1"/>
  <c r="Q313" i="1"/>
  <c r="S313" i="1"/>
  <c r="H314" i="1"/>
  <c r="I314" i="1"/>
  <c r="J314" i="1"/>
  <c r="K314" i="1"/>
  <c r="L314" i="1"/>
  <c r="N314" i="1"/>
  <c r="O314" i="1"/>
  <c r="P314" i="1"/>
  <c r="Q314" i="1"/>
  <c r="S314" i="1"/>
  <c r="H315" i="1"/>
  <c r="I315" i="1"/>
  <c r="J315" i="1"/>
  <c r="K315" i="1"/>
  <c r="L315" i="1"/>
  <c r="N315" i="1"/>
  <c r="O315" i="1"/>
  <c r="P315" i="1"/>
  <c r="Q315" i="1"/>
  <c r="S315" i="1"/>
  <c r="H316" i="1"/>
  <c r="I316" i="1"/>
  <c r="J316" i="1"/>
  <c r="K316" i="1"/>
  <c r="L316" i="1"/>
  <c r="N316" i="1"/>
  <c r="O316" i="1"/>
  <c r="P316" i="1"/>
  <c r="Q316" i="1"/>
  <c r="S316" i="1"/>
  <c r="H317" i="1"/>
  <c r="I317" i="1"/>
  <c r="J317" i="1"/>
  <c r="K317" i="1"/>
  <c r="L317" i="1"/>
  <c r="N317" i="1"/>
  <c r="O317" i="1"/>
  <c r="P317" i="1"/>
  <c r="Q317" i="1"/>
  <c r="S317" i="1"/>
  <c r="H318" i="1"/>
  <c r="I318" i="1"/>
  <c r="J318" i="1"/>
  <c r="K318" i="1"/>
  <c r="L318" i="1"/>
  <c r="N318" i="1"/>
  <c r="O318" i="1"/>
  <c r="P318" i="1"/>
  <c r="Q318" i="1"/>
  <c r="S318" i="1"/>
  <c r="H319" i="1"/>
  <c r="I319" i="1"/>
  <c r="J319" i="1"/>
  <c r="K319" i="1"/>
  <c r="L319" i="1"/>
  <c r="N319" i="1"/>
  <c r="O319" i="1"/>
  <c r="P319" i="1"/>
  <c r="Q319" i="1"/>
  <c r="S319" i="1"/>
  <c r="H320" i="1"/>
  <c r="I320" i="1"/>
  <c r="J320" i="1"/>
  <c r="K320" i="1"/>
  <c r="L320" i="1"/>
  <c r="N320" i="1"/>
  <c r="O320" i="1"/>
  <c r="P320" i="1"/>
  <c r="Q320" i="1"/>
  <c r="S320" i="1"/>
  <c r="H321" i="1"/>
  <c r="I321" i="1"/>
  <c r="J321" i="1"/>
  <c r="K321" i="1"/>
  <c r="L321" i="1"/>
  <c r="N321" i="1"/>
  <c r="O321" i="1"/>
  <c r="P321" i="1"/>
  <c r="Q321" i="1"/>
  <c r="S321" i="1"/>
  <c r="H322" i="1"/>
  <c r="I322" i="1"/>
  <c r="J322" i="1"/>
  <c r="K322" i="1"/>
  <c r="L322" i="1"/>
  <c r="N322" i="1"/>
  <c r="O322" i="1"/>
  <c r="P322" i="1"/>
  <c r="Q322" i="1"/>
  <c r="S322" i="1"/>
  <c r="H323" i="1"/>
  <c r="I323" i="1"/>
  <c r="J323" i="1"/>
  <c r="K323" i="1"/>
  <c r="L323" i="1"/>
  <c r="N323" i="1"/>
  <c r="O323" i="1"/>
  <c r="P323" i="1"/>
  <c r="Q323" i="1"/>
  <c r="S323" i="1"/>
  <c r="H324" i="1"/>
  <c r="I324" i="1"/>
  <c r="J324" i="1"/>
  <c r="K324" i="1"/>
  <c r="L324" i="1"/>
  <c r="N324" i="1"/>
  <c r="O324" i="1"/>
  <c r="P324" i="1"/>
  <c r="Q324" i="1"/>
  <c r="S324" i="1"/>
  <c r="H325" i="1"/>
  <c r="I325" i="1"/>
  <c r="J325" i="1"/>
  <c r="K325" i="1"/>
  <c r="L325" i="1"/>
  <c r="N325" i="1"/>
  <c r="O325" i="1"/>
  <c r="P325" i="1"/>
  <c r="Q325" i="1"/>
  <c r="S325" i="1"/>
  <c r="H326" i="1"/>
  <c r="I326" i="1"/>
  <c r="J326" i="1"/>
  <c r="K326" i="1"/>
  <c r="L326" i="1"/>
  <c r="N326" i="1"/>
  <c r="O326" i="1"/>
  <c r="P326" i="1"/>
  <c r="Q326" i="1"/>
  <c r="S326" i="1"/>
  <c r="H327" i="1"/>
  <c r="I327" i="1"/>
  <c r="J327" i="1"/>
  <c r="K327" i="1"/>
  <c r="L327" i="1"/>
  <c r="N327" i="1"/>
  <c r="O327" i="1"/>
  <c r="P327" i="1"/>
  <c r="Q327" i="1"/>
  <c r="S327" i="1"/>
  <c r="H328" i="1"/>
  <c r="I328" i="1"/>
  <c r="J328" i="1"/>
  <c r="K328" i="1"/>
  <c r="L328" i="1"/>
  <c r="N328" i="1"/>
  <c r="O328" i="1"/>
  <c r="P328" i="1"/>
  <c r="Q328" i="1"/>
  <c r="S328" i="1"/>
  <c r="H329" i="1"/>
  <c r="I329" i="1"/>
  <c r="J329" i="1"/>
  <c r="K329" i="1"/>
  <c r="L329" i="1"/>
  <c r="N329" i="1"/>
  <c r="O329" i="1"/>
  <c r="P329" i="1"/>
  <c r="Q329" i="1"/>
  <c r="S329" i="1"/>
  <c r="H330" i="1"/>
  <c r="I330" i="1"/>
  <c r="J330" i="1"/>
  <c r="K330" i="1"/>
  <c r="L330" i="1"/>
  <c r="N330" i="1"/>
  <c r="O330" i="1"/>
  <c r="P330" i="1"/>
  <c r="Q330" i="1"/>
  <c r="S330" i="1"/>
  <c r="H331" i="1"/>
  <c r="I331" i="1"/>
  <c r="J331" i="1"/>
  <c r="K331" i="1"/>
  <c r="L331" i="1"/>
  <c r="N331" i="1"/>
  <c r="O331" i="1"/>
  <c r="P331" i="1"/>
  <c r="Q331" i="1"/>
  <c r="S331" i="1"/>
  <c r="H332" i="1"/>
  <c r="I332" i="1"/>
  <c r="J332" i="1"/>
  <c r="K332" i="1"/>
  <c r="L332" i="1"/>
  <c r="N332" i="1"/>
  <c r="O332" i="1"/>
  <c r="P332" i="1"/>
  <c r="Q332" i="1"/>
  <c r="S332" i="1"/>
  <c r="H333" i="1"/>
  <c r="I333" i="1"/>
  <c r="J333" i="1"/>
  <c r="K333" i="1"/>
  <c r="L333" i="1"/>
  <c r="N333" i="1"/>
  <c r="O333" i="1"/>
  <c r="P333" i="1"/>
  <c r="Q333" i="1"/>
  <c r="S333" i="1"/>
  <c r="H334" i="1"/>
  <c r="I334" i="1"/>
  <c r="J334" i="1"/>
  <c r="K334" i="1"/>
  <c r="L334" i="1"/>
  <c r="N334" i="1"/>
  <c r="O334" i="1"/>
  <c r="P334" i="1"/>
  <c r="Q334" i="1"/>
  <c r="S334" i="1"/>
  <c r="H335" i="1"/>
  <c r="I335" i="1"/>
  <c r="J335" i="1"/>
  <c r="K335" i="1"/>
  <c r="L335" i="1"/>
  <c r="N335" i="1"/>
  <c r="O335" i="1"/>
  <c r="P335" i="1"/>
  <c r="Q335" i="1"/>
  <c r="S335" i="1"/>
  <c r="H336" i="1"/>
  <c r="I336" i="1"/>
  <c r="J336" i="1"/>
  <c r="K336" i="1"/>
  <c r="L336" i="1"/>
  <c r="N336" i="1"/>
  <c r="O336" i="1"/>
  <c r="P336" i="1"/>
  <c r="Q336" i="1"/>
  <c r="S336" i="1"/>
  <c r="H337" i="1"/>
  <c r="I337" i="1"/>
  <c r="J337" i="1"/>
  <c r="K337" i="1"/>
  <c r="L337" i="1"/>
  <c r="N337" i="1"/>
  <c r="O337" i="1"/>
  <c r="P337" i="1"/>
  <c r="Q337" i="1"/>
  <c r="S337" i="1"/>
  <c r="H338" i="1"/>
  <c r="I338" i="1"/>
  <c r="J338" i="1"/>
  <c r="K338" i="1"/>
  <c r="L338" i="1"/>
  <c r="N338" i="1"/>
  <c r="O338" i="1"/>
  <c r="P338" i="1"/>
  <c r="Q338" i="1"/>
  <c r="S338" i="1"/>
  <c r="H339" i="1"/>
  <c r="I339" i="1"/>
  <c r="J339" i="1"/>
  <c r="K339" i="1"/>
  <c r="L339" i="1"/>
  <c r="N339" i="1"/>
  <c r="O339" i="1"/>
  <c r="P339" i="1"/>
  <c r="Q339" i="1"/>
  <c r="S339" i="1"/>
  <c r="H340" i="1"/>
  <c r="I340" i="1"/>
  <c r="J340" i="1"/>
  <c r="K340" i="1"/>
  <c r="L340" i="1"/>
  <c r="N340" i="1"/>
  <c r="O340" i="1"/>
  <c r="P340" i="1"/>
  <c r="Q340" i="1"/>
  <c r="S340" i="1"/>
  <c r="H341" i="1"/>
  <c r="I341" i="1"/>
  <c r="J341" i="1"/>
  <c r="K341" i="1"/>
  <c r="L341" i="1"/>
  <c r="N341" i="1"/>
  <c r="O341" i="1"/>
  <c r="P341" i="1"/>
  <c r="Q341" i="1"/>
  <c r="S341" i="1"/>
  <c r="H342" i="1"/>
  <c r="I342" i="1"/>
  <c r="J342" i="1"/>
  <c r="K342" i="1"/>
  <c r="L342" i="1"/>
  <c r="N342" i="1"/>
  <c r="O342" i="1"/>
  <c r="P342" i="1"/>
  <c r="Q342" i="1"/>
  <c r="S342" i="1"/>
  <c r="H343" i="1"/>
  <c r="I343" i="1"/>
  <c r="J343" i="1"/>
  <c r="K343" i="1"/>
  <c r="L343" i="1"/>
  <c r="N343" i="1"/>
  <c r="O343" i="1"/>
  <c r="P343" i="1"/>
  <c r="Q343" i="1"/>
  <c r="S343" i="1"/>
  <c r="H344" i="1"/>
  <c r="I344" i="1"/>
  <c r="J344" i="1"/>
  <c r="K344" i="1"/>
  <c r="L344" i="1"/>
  <c r="N344" i="1"/>
  <c r="O344" i="1"/>
  <c r="P344" i="1"/>
  <c r="Q344" i="1"/>
  <c r="S344" i="1"/>
  <c r="H345" i="1"/>
  <c r="I345" i="1"/>
  <c r="J345" i="1"/>
  <c r="K345" i="1"/>
  <c r="L345" i="1"/>
  <c r="N345" i="1"/>
  <c r="O345" i="1"/>
  <c r="P345" i="1"/>
  <c r="Q345" i="1"/>
  <c r="S345" i="1"/>
  <c r="H346" i="1"/>
  <c r="I346" i="1"/>
  <c r="J346" i="1"/>
  <c r="K346" i="1"/>
  <c r="L346" i="1"/>
  <c r="N346" i="1"/>
  <c r="O346" i="1"/>
  <c r="P346" i="1"/>
  <c r="Q346" i="1"/>
  <c r="S346" i="1"/>
  <c r="H347" i="1"/>
  <c r="I347" i="1"/>
  <c r="J347" i="1"/>
  <c r="K347" i="1"/>
  <c r="L347" i="1"/>
  <c r="N347" i="1"/>
  <c r="O347" i="1"/>
  <c r="P347" i="1"/>
  <c r="Q347" i="1"/>
  <c r="S347" i="1"/>
  <c r="H348" i="1"/>
  <c r="I348" i="1"/>
  <c r="J348" i="1"/>
  <c r="K348" i="1"/>
  <c r="L348" i="1"/>
  <c r="N348" i="1"/>
  <c r="O348" i="1"/>
  <c r="P348" i="1"/>
  <c r="Q348" i="1"/>
  <c r="S348" i="1"/>
  <c r="H349" i="1"/>
  <c r="I349" i="1"/>
  <c r="J349" i="1"/>
  <c r="K349" i="1"/>
  <c r="L349" i="1"/>
  <c r="N349" i="1"/>
  <c r="O349" i="1"/>
  <c r="P349" i="1"/>
  <c r="Q349" i="1"/>
  <c r="S349" i="1"/>
  <c r="H350" i="1"/>
  <c r="I350" i="1"/>
  <c r="J350" i="1"/>
  <c r="K350" i="1"/>
  <c r="L350" i="1"/>
  <c r="N350" i="1"/>
  <c r="O350" i="1"/>
  <c r="P350" i="1"/>
  <c r="Q350" i="1"/>
  <c r="S350" i="1"/>
  <c r="H351" i="1"/>
  <c r="I351" i="1"/>
  <c r="J351" i="1"/>
  <c r="K351" i="1"/>
  <c r="L351" i="1"/>
  <c r="N351" i="1"/>
  <c r="O351" i="1"/>
  <c r="P351" i="1"/>
  <c r="Q351" i="1"/>
  <c r="S351" i="1"/>
  <c r="H352" i="1"/>
  <c r="I352" i="1"/>
  <c r="J352" i="1"/>
  <c r="K352" i="1"/>
  <c r="L352" i="1"/>
  <c r="N352" i="1"/>
  <c r="O352" i="1"/>
  <c r="P352" i="1"/>
  <c r="Q352" i="1"/>
  <c r="S352" i="1"/>
  <c r="H353" i="1"/>
  <c r="I353" i="1"/>
  <c r="J353" i="1"/>
  <c r="K353" i="1"/>
  <c r="L353" i="1"/>
  <c r="N353" i="1"/>
  <c r="O353" i="1"/>
  <c r="P353" i="1"/>
  <c r="Q353" i="1"/>
  <c r="S353" i="1"/>
  <c r="H354" i="1"/>
  <c r="I354" i="1"/>
  <c r="J354" i="1"/>
  <c r="K354" i="1"/>
  <c r="L354" i="1"/>
  <c r="N354" i="1"/>
  <c r="O354" i="1"/>
  <c r="P354" i="1"/>
  <c r="Q354" i="1"/>
  <c r="S354" i="1"/>
  <c r="H355" i="1"/>
  <c r="I355" i="1"/>
  <c r="J355" i="1"/>
  <c r="K355" i="1"/>
  <c r="L355" i="1"/>
  <c r="N355" i="1"/>
  <c r="O355" i="1"/>
  <c r="P355" i="1"/>
  <c r="Q355" i="1"/>
  <c r="S355" i="1"/>
  <c r="H356" i="1"/>
  <c r="I356" i="1"/>
  <c r="J356" i="1"/>
  <c r="K356" i="1"/>
  <c r="L356" i="1"/>
  <c r="N356" i="1"/>
  <c r="O356" i="1"/>
  <c r="P356" i="1"/>
  <c r="Q356" i="1"/>
  <c r="S356" i="1"/>
  <c r="H357" i="1"/>
  <c r="I357" i="1"/>
  <c r="J357" i="1"/>
  <c r="K357" i="1"/>
  <c r="L357" i="1"/>
  <c r="N357" i="1"/>
  <c r="O357" i="1"/>
  <c r="P357" i="1"/>
  <c r="Q357" i="1"/>
  <c r="S357" i="1"/>
  <c r="H358" i="1"/>
  <c r="I358" i="1"/>
  <c r="J358" i="1"/>
  <c r="K358" i="1"/>
  <c r="L358" i="1"/>
  <c r="N358" i="1"/>
  <c r="O358" i="1"/>
  <c r="P358" i="1"/>
  <c r="Q358" i="1"/>
  <c r="S358" i="1"/>
  <c r="H359" i="1"/>
  <c r="I359" i="1"/>
  <c r="J359" i="1"/>
  <c r="K359" i="1"/>
  <c r="L359" i="1"/>
  <c r="N359" i="1"/>
  <c r="O359" i="1"/>
  <c r="P359" i="1"/>
  <c r="Q359" i="1"/>
  <c r="S359" i="1"/>
  <c r="H360" i="1"/>
  <c r="I360" i="1"/>
  <c r="J360" i="1"/>
  <c r="K360" i="1"/>
  <c r="L360" i="1"/>
  <c r="N360" i="1"/>
  <c r="O360" i="1"/>
  <c r="P360" i="1"/>
  <c r="Q360" i="1"/>
  <c r="S360" i="1"/>
  <c r="H361" i="1"/>
  <c r="I361" i="1"/>
  <c r="J361" i="1"/>
  <c r="K361" i="1"/>
  <c r="L361" i="1"/>
  <c r="N361" i="1"/>
  <c r="O361" i="1"/>
  <c r="P361" i="1"/>
  <c r="Q361" i="1"/>
  <c r="S361" i="1"/>
  <c r="H362" i="1"/>
  <c r="I362" i="1"/>
  <c r="J362" i="1"/>
  <c r="K362" i="1"/>
  <c r="L362" i="1"/>
  <c r="N362" i="1"/>
  <c r="O362" i="1"/>
  <c r="P362" i="1"/>
  <c r="Q362" i="1"/>
  <c r="S362" i="1"/>
  <c r="H363" i="1"/>
  <c r="I363" i="1"/>
  <c r="J363" i="1"/>
  <c r="K363" i="1"/>
  <c r="L363" i="1"/>
  <c r="N363" i="1"/>
  <c r="O363" i="1"/>
  <c r="P363" i="1"/>
  <c r="Q363" i="1"/>
  <c r="S363" i="1"/>
  <c r="H364" i="1"/>
  <c r="I364" i="1"/>
  <c r="J364" i="1"/>
  <c r="K364" i="1"/>
  <c r="L364" i="1"/>
  <c r="N364" i="1"/>
  <c r="O364" i="1"/>
  <c r="P364" i="1"/>
  <c r="Q364" i="1"/>
  <c r="S364" i="1"/>
  <c r="H365" i="1"/>
  <c r="I365" i="1"/>
  <c r="J365" i="1"/>
  <c r="K365" i="1"/>
  <c r="L365" i="1"/>
  <c r="N365" i="1"/>
  <c r="O365" i="1"/>
  <c r="P365" i="1"/>
  <c r="Q365" i="1"/>
  <c r="S365" i="1"/>
  <c r="H366" i="1"/>
  <c r="I366" i="1"/>
  <c r="J366" i="1"/>
  <c r="K366" i="1"/>
  <c r="L366" i="1"/>
  <c r="N366" i="1"/>
  <c r="O366" i="1"/>
  <c r="P366" i="1"/>
  <c r="Q366" i="1"/>
  <c r="S366" i="1"/>
  <c r="H367" i="1"/>
  <c r="I367" i="1"/>
  <c r="J367" i="1"/>
  <c r="K367" i="1"/>
  <c r="L367" i="1"/>
  <c r="N367" i="1"/>
  <c r="O367" i="1"/>
  <c r="P367" i="1"/>
  <c r="Q367" i="1"/>
  <c r="S367" i="1"/>
  <c r="H368" i="1"/>
  <c r="I368" i="1"/>
  <c r="J368" i="1"/>
  <c r="K368" i="1"/>
  <c r="L368" i="1"/>
  <c r="N368" i="1"/>
  <c r="O368" i="1"/>
  <c r="P368" i="1"/>
  <c r="Q368" i="1"/>
  <c r="S368" i="1"/>
  <c r="H369" i="1"/>
  <c r="I369" i="1"/>
  <c r="J369" i="1"/>
  <c r="K369" i="1"/>
  <c r="L369" i="1"/>
  <c r="N369" i="1"/>
  <c r="O369" i="1"/>
  <c r="P369" i="1"/>
  <c r="Q369" i="1"/>
  <c r="S369" i="1"/>
  <c r="H370" i="1"/>
  <c r="I370" i="1"/>
  <c r="J370" i="1"/>
  <c r="K370" i="1"/>
  <c r="L370" i="1"/>
  <c r="N370" i="1"/>
  <c r="O370" i="1"/>
  <c r="P370" i="1"/>
  <c r="Q370" i="1"/>
  <c r="S370" i="1"/>
  <c r="H371" i="1"/>
  <c r="I371" i="1"/>
  <c r="J371" i="1"/>
  <c r="K371" i="1"/>
  <c r="L371" i="1"/>
  <c r="N371" i="1"/>
  <c r="O371" i="1"/>
  <c r="P371" i="1"/>
  <c r="Q371" i="1"/>
  <c r="S371" i="1"/>
  <c r="H372" i="1"/>
  <c r="I372" i="1"/>
  <c r="J372" i="1"/>
  <c r="K372" i="1"/>
  <c r="L372" i="1"/>
  <c r="N372" i="1"/>
  <c r="O372" i="1"/>
  <c r="P372" i="1"/>
  <c r="Q372" i="1"/>
  <c r="S372" i="1"/>
  <c r="H373" i="1"/>
  <c r="I373" i="1"/>
  <c r="J373" i="1"/>
  <c r="K373" i="1"/>
  <c r="L373" i="1"/>
  <c r="N373" i="1"/>
  <c r="O373" i="1"/>
  <c r="P373" i="1"/>
  <c r="Q373" i="1"/>
  <c r="S373" i="1"/>
  <c r="H374" i="1"/>
  <c r="I374" i="1"/>
  <c r="J374" i="1"/>
  <c r="K374" i="1"/>
  <c r="L374" i="1"/>
  <c r="N374" i="1"/>
  <c r="O374" i="1"/>
  <c r="P374" i="1"/>
  <c r="Q374" i="1"/>
  <c r="S374" i="1"/>
  <c r="H375" i="1"/>
  <c r="I375" i="1"/>
  <c r="J375" i="1"/>
  <c r="K375" i="1"/>
  <c r="L375" i="1"/>
  <c r="N375" i="1"/>
  <c r="O375" i="1"/>
  <c r="P375" i="1"/>
  <c r="Q375" i="1"/>
  <c r="S375" i="1"/>
  <c r="H376" i="1"/>
  <c r="I376" i="1"/>
  <c r="J376" i="1"/>
  <c r="K376" i="1"/>
  <c r="L376" i="1"/>
  <c r="N376" i="1"/>
  <c r="O376" i="1"/>
  <c r="P376" i="1"/>
  <c r="Q376" i="1"/>
  <c r="S376" i="1"/>
  <c r="H377" i="1"/>
  <c r="I377" i="1"/>
  <c r="J377" i="1"/>
  <c r="K377" i="1"/>
  <c r="L377" i="1"/>
  <c r="N377" i="1"/>
  <c r="O377" i="1"/>
  <c r="P377" i="1"/>
  <c r="Q377" i="1"/>
  <c r="S377" i="1"/>
  <c r="H378" i="1"/>
  <c r="I378" i="1"/>
  <c r="J378" i="1"/>
  <c r="K378" i="1"/>
  <c r="L378" i="1"/>
  <c r="N378" i="1"/>
  <c r="O378" i="1"/>
  <c r="P378" i="1"/>
  <c r="Q378" i="1"/>
  <c r="S378" i="1"/>
  <c r="H379" i="1"/>
  <c r="I379" i="1"/>
  <c r="J379" i="1"/>
  <c r="K379" i="1"/>
  <c r="L379" i="1"/>
  <c r="N379" i="1"/>
  <c r="O379" i="1"/>
  <c r="P379" i="1"/>
  <c r="Q379" i="1"/>
  <c r="S379" i="1"/>
  <c r="H380" i="1"/>
  <c r="I380" i="1"/>
  <c r="J380" i="1"/>
  <c r="K380" i="1"/>
  <c r="L380" i="1"/>
  <c r="N380" i="1"/>
  <c r="O380" i="1"/>
  <c r="P380" i="1"/>
  <c r="Q380" i="1"/>
  <c r="S380" i="1"/>
  <c r="H381" i="1"/>
  <c r="I381" i="1"/>
  <c r="J381" i="1"/>
  <c r="K381" i="1"/>
  <c r="L381" i="1"/>
  <c r="N381" i="1"/>
  <c r="O381" i="1"/>
  <c r="P381" i="1"/>
  <c r="Q381" i="1"/>
  <c r="S381" i="1"/>
  <c r="H382" i="1"/>
  <c r="I382" i="1"/>
  <c r="J382" i="1"/>
  <c r="K382" i="1"/>
  <c r="L382" i="1"/>
  <c r="N382" i="1"/>
  <c r="O382" i="1"/>
  <c r="P382" i="1"/>
  <c r="Q382" i="1"/>
  <c r="S382" i="1"/>
  <c r="H383" i="1"/>
  <c r="I383" i="1"/>
  <c r="J383" i="1"/>
  <c r="K383" i="1"/>
  <c r="L383" i="1"/>
  <c r="N383" i="1"/>
  <c r="O383" i="1"/>
  <c r="P383" i="1"/>
  <c r="Q383" i="1"/>
  <c r="S383" i="1"/>
  <c r="H384" i="1"/>
  <c r="I384" i="1"/>
  <c r="J384" i="1"/>
  <c r="K384" i="1"/>
  <c r="L384" i="1"/>
  <c r="N384" i="1"/>
  <c r="O384" i="1"/>
  <c r="P384" i="1"/>
  <c r="Q384" i="1"/>
  <c r="S384" i="1"/>
  <c r="H385" i="1"/>
  <c r="I385" i="1"/>
  <c r="J385" i="1"/>
  <c r="K385" i="1"/>
  <c r="L385" i="1"/>
  <c r="N385" i="1"/>
  <c r="O385" i="1"/>
  <c r="P385" i="1"/>
  <c r="Q385" i="1"/>
  <c r="S385" i="1"/>
  <c r="H386" i="1"/>
  <c r="I386" i="1"/>
  <c r="J386" i="1"/>
  <c r="K386" i="1"/>
  <c r="L386" i="1"/>
  <c r="N386" i="1"/>
  <c r="O386" i="1"/>
  <c r="P386" i="1"/>
  <c r="Q386" i="1"/>
  <c r="S386" i="1"/>
  <c r="H387" i="1"/>
  <c r="I387" i="1"/>
  <c r="J387" i="1"/>
  <c r="K387" i="1"/>
  <c r="L387" i="1"/>
  <c r="N387" i="1"/>
  <c r="O387" i="1"/>
  <c r="P387" i="1"/>
  <c r="Q387" i="1"/>
  <c r="S387" i="1"/>
  <c r="H388" i="1"/>
  <c r="I388" i="1"/>
  <c r="J388" i="1"/>
  <c r="K388" i="1"/>
  <c r="L388" i="1"/>
  <c r="N388" i="1"/>
  <c r="O388" i="1"/>
  <c r="P388" i="1"/>
  <c r="Q388" i="1"/>
  <c r="S388" i="1"/>
  <c r="H389" i="1"/>
  <c r="I389" i="1"/>
  <c r="J389" i="1"/>
  <c r="K389" i="1"/>
  <c r="L389" i="1"/>
  <c r="N389" i="1"/>
  <c r="O389" i="1"/>
  <c r="P389" i="1"/>
  <c r="Q389" i="1"/>
  <c r="S389" i="1"/>
  <c r="H390" i="1"/>
  <c r="I390" i="1"/>
  <c r="J390" i="1"/>
  <c r="K390" i="1"/>
  <c r="L390" i="1"/>
  <c r="N390" i="1"/>
  <c r="O390" i="1"/>
  <c r="P390" i="1"/>
  <c r="Q390" i="1"/>
  <c r="S390" i="1"/>
  <c r="H391" i="1"/>
  <c r="I391" i="1"/>
  <c r="J391" i="1"/>
  <c r="K391" i="1"/>
  <c r="L391" i="1"/>
  <c r="N391" i="1"/>
  <c r="O391" i="1"/>
  <c r="P391" i="1"/>
  <c r="Q391" i="1"/>
  <c r="S391" i="1"/>
  <c r="H392" i="1"/>
  <c r="I392" i="1"/>
  <c r="J392" i="1"/>
  <c r="K392" i="1"/>
  <c r="L392" i="1"/>
  <c r="N392" i="1"/>
  <c r="O392" i="1"/>
  <c r="P392" i="1"/>
  <c r="Q392" i="1"/>
  <c r="S392" i="1"/>
  <c r="H393" i="1"/>
  <c r="I393" i="1"/>
  <c r="J393" i="1"/>
  <c r="K393" i="1"/>
  <c r="L393" i="1"/>
  <c r="N393" i="1"/>
  <c r="O393" i="1"/>
  <c r="P393" i="1"/>
  <c r="Q393" i="1"/>
  <c r="S393" i="1"/>
  <c r="H394" i="1"/>
  <c r="I394" i="1"/>
  <c r="J394" i="1"/>
  <c r="K394" i="1"/>
  <c r="L394" i="1"/>
  <c r="N394" i="1"/>
  <c r="O394" i="1"/>
  <c r="P394" i="1"/>
  <c r="Q394" i="1"/>
  <c r="S394" i="1"/>
  <c r="H395" i="1"/>
  <c r="I395" i="1"/>
  <c r="J395" i="1"/>
  <c r="K395" i="1"/>
  <c r="L395" i="1"/>
  <c r="N395" i="1"/>
  <c r="O395" i="1"/>
  <c r="P395" i="1"/>
  <c r="Q395" i="1"/>
  <c r="S395" i="1"/>
  <c r="H396" i="1"/>
  <c r="I396" i="1"/>
  <c r="J396" i="1"/>
  <c r="K396" i="1"/>
  <c r="L396" i="1"/>
  <c r="N396" i="1"/>
  <c r="O396" i="1"/>
  <c r="P396" i="1"/>
  <c r="Q396" i="1"/>
  <c r="S396" i="1"/>
  <c r="H397" i="1"/>
  <c r="I397" i="1"/>
  <c r="J397" i="1"/>
  <c r="K397" i="1"/>
  <c r="L397" i="1"/>
  <c r="N397" i="1"/>
  <c r="O397" i="1"/>
  <c r="P397" i="1"/>
  <c r="Q397" i="1"/>
  <c r="S397" i="1"/>
  <c r="H398" i="1"/>
  <c r="I398" i="1"/>
  <c r="J398" i="1"/>
  <c r="K398" i="1"/>
  <c r="L398" i="1"/>
  <c r="N398" i="1"/>
  <c r="O398" i="1"/>
  <c r="P398" i="1"/>
  <c r="Q398" i="1"/>
  <c r="S398" i="1"/>
  <c r="H399" i="1"/>
  <c r="I399" i="1"/>
  <c r="J399" i="1"/>
  <c r="K399" i="1"/>
  <c r="L399" i="1"/>
  <c r="N399" i="1"/>
  <c r="O399" i="1"/>
  <c r="P399" i="1"/>
  <c r="Q399" i="1"/>
  <c r="S399" i="1"/>
  <c r="H400" i="1"/>
  <c r="I400" i="1"/>
  <c r="J400" i="1"/>
  <c r="K400" i="1"/>
  <c r="L400" i="1"/>
  <c r="N400" i="1"/>
  <c r="O400" i="1"/>
  <c r="P400" i="1"/>
  <c r="Q400" i="1"/>
  <c r="S400" i="1"/>
  <c r="H401" i="1"/>
  <c r="I401" i="1"/>
  <c r="J401" i="1"/>
  <c r="K401" i="1"/>
  <c r="L401" i="1"/>
  <c r="N401" i="1"/>
  <c r="O401" i="1"/>
  <c r="P401" i="1"/>
  <c r="Q401" i="1"/>
  <c r="S401" i="1"/>
  <c r="H402" i="1"/>
  <c r="I402" i="1"/>
  <c r="J402" i="1"/>
  <c r="K402" i="1"/>
  <c r="L402" i="1"/>
  <c r="N402" i="1"/>
  <c r="O402" i="1"/>
  <c r="P402" i="1"/>
  <c r="Q402" i="1"/>
  <c r="S402" i="1"/>
  <c r="H403" i="1"/>
  <c r="I403" i="1"/>
  <c r="J403" i="1"/>
  <c r="K403" i="1"/>
  <c r="L403" i="1"/>
  <c r="N403" i="1"/>
  <c r="O403" i="1"/>
  <c r="P403" i="1"/>
  <c r="Q403" i="1"/>
  <c r="S403" i="1"/>
  <c r="H404" i="1"/>
  <c r="I404" i="1"/>
  <c r="J404" i="1"/>
  <c r="K404" i="1"/>
  <c r="L404" i="1"/>
  <c r="N404" i="1"/>
  <c r="O404" i="1"/>
  <c r="P404" i="1"/>
  <c r="Q404" i="1"/>
  <c r="S404" i="1"/>
  <c r="H405" i="1"/>
  <c r="I405" i="1"/>
  <c r="J405" i="1"/>
  <c r="K405" i="1"/>
  <c r="L405" i="1"/>
  <c r="N405" i="1"/>
  <c r="O405" i="1"/>
  <c r="P405" i="1"/>
  <c r="Q405" i="1"/>
  <c r="S405" i="1"/>
  <c r="H406" i="1"/>
  <c r="I406" i="1"/>
  <c r="J406" i="1"/>
  <c r="K406" i="1"/>
  <c r="L406" i="1"/>
  <c r="N406" i="1"/>
  <c r="O406" i="1"/>
  <c r="P406" i="1"/>
  <c r="Q406" i="1"/>
  <c r="S406" i="1"/>
  <c r="H407" i="1"/>
  <c r="I407" i="1"/>
  <c r="J407" i="1"/>
  <c r="K407" i="1"/>
  <c r="L407" i="1"/>
  <c r="N407" i="1"/>
  <c r="O407" i="1"/>
  <c r="P407" i="1"/>
  <c r="Q407" i="1"/>
  <c r="S407" i="1"/>
  <c r="H408" i="1"/>
  <c r="I408" i="1"/>
  <c r="J408" i="1"/>
  <c r="K408" i="1"/>
  <c r="L408" i="1"/>
  <c r="N408" i="1"/>
  <c r="O408" i="1"/>
  <c r="P408" i="1"/>
  <c r="Q408" i="1"/>
  <c r="S408" i="1"/>
  <c r="H409" i="1"/>
  <c r="I409" i="1"/>
  <c r="J409" i="1"/>
  <c r="K409" i="1"/>
  <c r="L409" i="1"/>
  <c r="N409" i="1"/>
  <c r="O409" i="1"/>
  <c r="P409" i="1"/>
  <c r="Q409" i="1"/>
  <c r="S409" i="1"/>
  <c r="H410" i="1"/>
  <c r="I410" i="1"/>
  <c r="J410" i="1"/>
  <c r="K410" i="1"/>
  <c r="L410" i="1"/>
  <c r="N410" i="1"/>
  <c r="O410" i="1"/>
  <c r="P410" i="1"/>
  <c r="Q410" i="1"/>
  <c r="S410" i="1"/>
  <c r="H411" i="1"/>
  <c r="I411" i="1"/>
  <c r="J411" i="1"/>
  <c r="K411" i="1"/>
  <c r="L411" i="1"/>
  <c r="N411" i="1"/>
  <c r="O411" i="1"/>
  <c r="P411" i="1"/>
  <c r="Q411" i="1"/>
  <c r="S411" i="1"/>
  <c r="H412" i="1"/>
  <c r="I412" i="1"/>
  <c r="J412" i="1"/>
  <c r="K412" i="1"/>
  <c r="L412" i="1"/>
  <c r="N412" i="1"/>
  <c r="O412" i="1"/>
  <c r="P412" i="1"/>
  <c r="Q412" i="1"/>
  <c r="S412" i="1"/>
  <c r="H413" i="1"/>
  <c r="I413" i="1"/>
  <c r="J413" i="1"/>
  <c r="K413" i="1"/>
  <c r="L413" i="1"/>
  <c r="N413" i="1"/>
  <c r="O413" i="1"/>
  <c r="P413" i="1"/>
  <c r="Q413" i="1"/>
  <c r="S413" i="1"/>
  <c r="H414" i="1"/>
  <c r="I414" i="1"/>
  <c r="J414" i="1"/>
  <c r="K414" i="1"/>
  <c r="L414" i="1"/>
  <c r="N414" i="1"/>
  <c r="O414" i="1"/>
  <c r="P414" i="1"/>
  <c r="Q414" i="1"/>
  <c r="S414" i="1"/>
  <c r="H415" i="1"/>
  <c r="I415" i="1"/>
  <c r="J415" i="1"/>
  <c r="K415" i="1"/>
  <c r="L415" i="1"/>
  <c r="N415" i="1"/>
  <c r="O415" i="1"/>
  <c r="P415" i="1"/>
  <c r="Q415" i="1"/>
  <c r="S415" i="1"/>
  <c r="H416" i="1"/>
  <c r="I416" i="1"/>
  <c r="J416" i="1"/>
  <c r="K416" i="1"/>
  <c r="L416" i="1"/>
  <c r="N416" i="1"/>
  <c r="O416" i="1"/>
  <c r="P416" i="1"/>
  <c r="Q416" i="1"/>
  <c r="S416" i="1"/>
  <c r="H417" i="1"/>
  <c r="I417" i="1"/>
  <c r="J417" i="1"/>
  <c r="K417" i="1"/>
  <c r="L417" i="1"/>
  <c r="N417" i="1"/>
  <c r="O417" i="1"/>
  <c r="P417" i="1"/>
  <c r="Q417" i="1"/>
  <c r="S417" i="1"/>
  <c r="H418" i="1"/>
  <c r="I418" i="1"/>
  <c r="J418" i="1"/>
  <c r="K418" i="1"/>
  <c r="L418" i="1"/>
  <c r="N418" i="1"/>
  <c r="O418" i="1"/>
  <c r="P418" i="1"/>
  <c r="Q418" i="1"/>
  <c r="S418" i="1"/>
  <c r="H419" i="1"/>
  <c r="I419" i="1"/>
  <c r="J419" i="1"/>
  <c r="K419" i="1"/>
  <c r="L419" i="1"/>
  <c r="N419" i="1"/>
  <c r="O419" i="1"/>
  <c r="P419" i="1"/>
  <c r="Q419" i="1"/>
  <c r="S419" i="1"/>
  <c r="H420" i="1"/>
  <c r="I420" i="1"/>
  <c r="J420" i="1"/>
  <c r="K420" i="1"/>
  <c r="L420" i="1"/>
  <c r="N420" i="1"/>
  <c r="O420" i="1"/>
  <c r="P420" i="1"/>
  <c r="Q420" i="1"/>
  <c r="S420" i="1"/>
  <c r="H421" i="1"/>
  <c r="I421" i="1"/>
  <c r="J421" i="1"/>
  <c r="K421" i="1"/>
  <c r="L421" i="1"/>
  <c r="N421" i="1"/>
  <c r="O421" i="1"/>
  <c r="P421" i="1"/>
  <c r="Q421" i="1"/>
  <c r="S421" i="1"/>
  <c r="H422" i="1"/>
  <c r="I422" i="1"/>
  <c r="J422" i="1"/>
  <c r="K422" i="1"/>
  <c r="L422" i="1"/>
  <c r="N422" i="1"/>
  <c r="O422" i="1"/>
  <c r="P422" i="1"/>
  <c r="Q422" i="1"/>
  <c r="S422" i="1"/>
  <c r="H423" i="1"/>
  <c r="I423" i="1"/>
  <c r="J423" i="1"/>
  <c r="K423" i="1"/>
  <c r="L423" i="1"/>
  <c r="N423" i="1"/>
  <c r="O423" i="1"/>
  <c r="P423" i="1"/>
  <c r="Q423" i="1"/>
  <c r="S423" i="1"/>
  <c r="H424" i="1"/>
  <c r="I424" i="1"/>
  <c r="J424" i="1"/>
  <c r="K424" i="1"/>
  <c r="L424" i="1"/>
  <c r="N424" i="1"/>
  <c r="O424" i="1"/>
  <c r="P424" i="1"/>
  <c r="Q424" i="1"/>
  <c r="S424" i="1"/>
  <c r="H425" i="1"/>
  <c r="I425" i="1"/>
  <c r="J425" i="1"/>
  <c r="K425" i="1"/>
  <c r="L425" i="1"/>
  <c r="N425" i="1"/>
  <c r="O425" i="1"/>
  <c r="P425" i="1"/>
  <c r="Q425" i="1"/>
  <c r="S425" i="1"/>
  <c r="H426" i="1"/>
  <c r="I426" i="1"/>
  <c r="J426" i="1"/>
  <c r="K426" i="1"/>
  <c r="L426" i="1"/>
  <c r="N426" i="1"/>
  <c r="O426" i="1"/>
  <c r="P426" i="1"/>
  <c r="Q426" i="1"/>
  <c r="S426" i="1"/>
  <c r="H427" i="1"/>
  <c r="I427" i="1"/>
  <c r="J427" i="1"/>
  <c r="K427" i="1"/>
  <c r="L427" i="1"/>
  <c r="N427" i="1"/>
  <c r="O427" i="1"/>
  <c r="P427" i="1"/>
  <c r="Q427" i="1"/>
  <c r="S427" i="1"/>
  <c r="H428" i="1"/>
  <c r="I428" i="1"/>
  <c r="J428" i="1"/>
  <c r="K428" i="1"/>
  <c r="L428" i="1"/>
  <c r="N428" i="1"/>
  <c r="O428" i="1"/>
  <c r="P428" i="1"/>
  <c r="Q428" i="1"/>
  <c r="S428" i="1"/>
  <c r="H429" i="1"/>
  <c r="I429" i="1"/>
  <c r="J429" i="1"/>
  <c r="K429" i="1"/>
  <c r="L429" i="1"/>
  <c r="N429" i="1"/>
  <c r="O429" i="1"/>
  <c r="P429" i="1"/>
  <c r="Q429" i="1"/>
  <c r="S429" i="1"/>
  <c r="H430" i="1"/>
  <c r="I430" i="1"/>
  <c r="J430" i="1"/>
  <c r="K430" i="1"/>
  <c r="L430" i="1"/>
  <c r="N430" i="1"/>
  <c r="O430" i="1"/>
  <c r="P430" i="1"/>
  <c r="Q430" i="1"/>
  <c r="S430" i="1"/>
  <c r="H431" i="1"/>
  <c r="I431" i="1"/>
  <c r="J431" i="1"/>
  <c r="K431" i="1"/>
  <c r="L431" i="1"/>
  <c r="N431" i="1"/>
  <c r="O431" i="1"/>
  <c r="P431" i="1"/>
  <c r="Q431" i="1"/>
  <c r="S431" i="1"/>
  <c r="H432" i="1"/>
  <c r="I432" i="1"/>
  <c r="J432" i="1"/>
  <c r="K432" i="1"/>
  <c r="L432" i="1"/>
  <c r="N432" i="1"/>
  <c r="O432" i="1"/>
  <c r="P432" i="1"/>
  <c r="Q432" i="1"/>
  <c r="S432" i="1"/>
  <c r="H433" i="1"/>
  <c r="I433" i="1"/>
  <c r="J433" i="1"/>
  <c r="K433" i="1"/>
  <c r="L433" i="1"/>
  <c r="N433" i="1"/>
  <c r="O433" i="1"/>
  <c r="P433" i="1"/>
  <c r="Q433" i="1"/>
  <c r="S433" i="1"/>
  <c r="H434" i="1"/>
  <c r="I434" i="1"/>
  <c r="J434" i="1"/>
  <c r="K434" i="1"/>
  <c r="L434" i="1"/>
  <c r="N434" i="1"/>
  <c r="O434" i="1"/>
  <c r="P434" i="1"/>
  <c r="Q434" i="1"/>
  <c r="S434" i="1"/>
  <c r="H435" i="1"/>
  <c r="I435" i="1"/>
  <c r="J435" i="1"/>
  <c r="K435" i="1"/>
  <c r="L435" i="1"/>
  <c r="N435" i="1"/>
  <c r="O435" i="1"/>
  <c r="P435" i="1"/>
  <c r="Q435" i="1"/>
  <c r="S435" i="1"/>
  <c r="H436" i="1"/>
  <c r="I436" i="1"/>
  <c r="J436" i="1"/>
  <c r="K436" i="1"/>
  <c r="L436" i="1"/>
  <c r="N436" i="1"/>
  <c r="O436" i="1"/>
  <c r="P436" i="1"/>
  <c r="Q436" i="1"/>
  <c r="S436" i="1"/>
  <c r="H437" i="1"/>
  <c r="I437" i="1"/>
  <c r="J437" i="1"/>
  <c r="K437" i="1"/>
  <c r="L437" i="1"/>
  <c r="N437" i="1"/>
  <c r="O437" i="1"/>
  <c r="P437" i="1"/>
  <c r="Q437" i="1"/>
  <c r="S437" i="1"/>
  <c r="H438" i="1"/>
  <c r="I438" i="1"/>
  <c r="J438" i="1"/>
  <c r="K438" i="1"/>
  <c r="L438" i="1"/>
  <c r="N438" i="1"/>
  <c r="O438" i="1"/>
  <c r="P438" i="1"/>
  <c r="Q438" i="1"/>
  <c r="S438" i="1"/>
  <c r="H439" i="1"/>
  <c r="I439" i="1"/>
  <c r="J439" i="1"/>
  <c r="K439" i="1"/>
  <c r="L439" i="1"/>
  <c r="N439" i="1"/>
  <c r="O439" i="1"/>
  <c r="P439" i="1"/>
  <c r="Q439" i="1"/>
  <c r="S439" i="1"/>
  <c r="H440" i="1"/>
  <c r="I440" i="1"/>
  <c r="J440" i="1"/>
  <c r="K440" i="1"/>
  <c r="L440" i="1"/>
  <c r="N440" i="1"/>
  <c r="O440" i="1"/>
  <c r="P440" i="1"/>
  <c r="Q440" i="1"/>
  <c r="S440" i="1"/>
  <c r="H441" i="1"/>
  <c r="I441" i="1"/>
  <c r="J441" i="1"/>
  <c r="K441" i="1"/>
  <c r="L441" i="1"/>
  <c r="N441" i="1"/>
  <c r="O441" i="1"/>
  <c r="P441" i="1"/>
  <c r="Q441" i="1"/>
  <c r="S441" i="1"/>
  <c r="H442" i="1"/>
  <c r="I442" i="1"/>
  <c r="J442" i="1"/>
  <c r="K442" i="1"/>
  <c r="L442" i="1"/>
  <c r="N442" i="1"/>
  <c r="O442" i="1"/>
  <c r="P442" i="1"/>
  <c r="Q442" i="1"/>
  <c r="S442" i="1"/>
  <c r="H443" i="1"/>
  <c r="I443" i="1"/>
  <c r="J443" i="1"/>
  <c r="K443" i="1"/>
  <c r="L443" i="1"/>
  <c r="N443" i="1"/>
  <c r="O443" i="1"/>
  <c r="P443" i="1"/>
  <c r="Q443" i="1"/>
  <c r="S443" i="1"/>
  <c r="H444" i="1"/>
  <c r="I444" i="1"/>
  <c r="J444" i="1"/>
  <c r="K444" i="1"/>
  <c r="L444" i="1"/>
  <c r="N444" i="1"/>
  <c r="O444" i="1"/>
  <c r="P444" i="1"/>
  <c r="Q444" i="1"/>
  <c r="S444" i="1"/>
  <c r="H445" i="1"/>
  <c r="I445" i="1"/>
  <c r="J445" i="1"/>
  <c r="K445" i="1"/>
  <c r="L445" i="1"/>
  <c r="N445" i="1"/>
  <c r="O445" i="1"/>
  <c r="P445" i="1"/>
  <c r="Q445" i="1"/>
  <c r="S445" i="1"/>
  <c r="H446" i="1"/>
  <c r="I446" i="1"/>
  <c r="J446" i="1"/>
  <c r="K446" i="1"/>
  <c r="L446" i="1"/>
  <c r="N446" i="1"/>
  <c r="O446" i="1"/>
  <c r="P446" i="1"/>
  <c r="Q446" i="1"/>
  <c r="S446" i="1"/>
  <c r="H447" i="1"/>
  <c r="I447" i="1"/>
  <c r="J447" i="1"/>
  <c r="K447" i="1"/>
  <c r="L447" i="1"/>
  <c r="N447" i="1"/>
  <c r="O447" i="1"/>
  <c r="P447" i="1"/>
  <c r="Q447" i="1"/>
  <c r="S447" i="1"/>
  <c r="H448" i="1"/>
  <c r="I448" i="1"/>
  <c r="J448" i="1"/>
  <c r="K448" i="1"/>
  <c r="L448" i="1"/>
  <c r="N448" i="1"/>
  <c r="O448" i="1"/>
  <c r="P448" i="1"/>
  <c r="Q448" i="1"/>
  <c r="S448" i="1"/>
  <c r="H449" i="1"/>
  <c r="I449" i="1"/>
  <c r="J449" i="1"/>
  <c r="K449" i="1"/>
  <c r="L449" i="1"/>
  <c r="N449" i="1"/>
  <c r="O449" i="1"/>
  <c r="P449" i="1"/>
  <c r="Q449" i="1"/>
  <c r="S449" i="1"/>
  <c r="H450" i="1"/>
  <c r="I450" i="1"/>
  <c r="J450" i="1"/>
  <c r="K450" i="1"/>
  <c r="L450" i="1"/>
  <c r="N450" i="1"/>
  <c r="O450" i="1"/>
  <c r="P450" i="1"/>
  <c r="Q450" i="1"/>
  <c r="S450" i="1"/>
  <c r="H451" i="1"/>
  <c r="I451" i="1"/>
  <c r="J451" i="1"/>
  <c r="K451" i="1"/>
  <c r="L451" i="1"/>
  <c r="N451" i="1"/>
  <c r="O451" i="1"/>
  <c r="P451" i="1"/>
  <c r="Q451" i="1"/>
  <c r="S451" i="1"/>
  <c r="H452" i="1"/>
  <c r="I452" i="1"/>
  <c r="J452" i="1"/>
  <c r="K452" i="1"/>
  <c r="L452" i="1"/>
  <c r="N452" i="1"/>
  <c r="O452" i="1"/>
  <c r="P452" i="1"/>
  <c r="Q452" i="1"/>
  <c r="S452" i="1"/>
  <c r="H453" i="1"/>
  <c r="I453" i="1"/>
  <c r="J453" i="1"/>
  <c r="K453" i="1"/>
  <c r="L453" i="1"/>
  <c r="N453" i="1"/>
  <c r="O453" i="1"/>
  <c r="P453" i="1"/>
  <c r="Q453" i="1"/>
  <c r="S453" i="1"/>
  <c r="H454" i="1"/>
  <c r="I454" i="1"/>
  <c r="J454" i="1"/>
  <c r="K454" i="1"/>
  <c r="L454" i="1"/>
  <c r="N454" i="1"/>
  <c r="O454" i="1"/>
  <c r="P454" i="1"/>
  <c r="Q454" i="1"/>
  <c r="S454" i="1"/>
  <c r="H455" i="1"/>
  <c r="I455" i="1"/>
  <c r="J455" i="1"/>
  <c r="K455" i="1"/>
  <c r="L455" i="1"/>
  <c r="N455" i="1"/>
  <c r="O455" i="1"/>
  <c r="P455" i="1"/>
  <c r="Q455" i="1"/>
  <c r="S455" i="1"/>
  <c r="H456" i="1"/>
  <c r="I456" i="1"/>
  <c r="J456" i="1"/>
  <c r="K456" i="1"/>
  <c r="L456" i="1"/>
  <c r="N456" i="1"/>
  <c r="O456" i="1"/>
  <c r="P456" i="1"/>
  <c r="Q456" i="1"/>
  <c r="S456" i="1"/>
  <c r="H457" i="1"/>
  <c r="I457" i="1"/>
  <c r="J457" i="1"/>
  <c r="K457" i="1"/>
  <c r="L457" i="1"/>
  <c r="N457" i="1"/>
  <c r="O457" i="1"/>
  <c r="P457" i="1"/>
  <c r="Q457" i="1"/>
  <c r="S457" i="1"/>
  <c r="H458" i="1"/>
  <c r="I458" i="1"/>
  <c r="J458" i="1"/>
  <c r="K458" i="1"/>
  <c r="L458" i="1"/>
  <c r="N458" i="1"/>
  <c r="O458" i="1"/>
  <c r="P458" i="1"/>
  <c r="Q458" i="1"/>
  <c r="S458" i="1"/>
  <c r="H459" i="1"/>
  <c r="I459" i="1"/>
  <c r="J459" i="1"/>
  <c r="K459" i="1"/>
  <c r="L459" i="1"/>
  <c r="N459" i="1"/>
  <c r="O459" i="1"/>
  <c r="P459" i="1"/>
  <c r="Q459" i="1"/>
  <c r="S459" i="1"/>
  <c r="H460" i="1"/>
  <c r="I460" i="1"/>
  <c r="J460" i="1"/>
  <c r="K460" i="1"/>
  <c r="L460" i="1"/>
  <c r="N460" i="1"/>
  <c r="O460" i="1"/>
  <c r="P460" i="1"/>
  <c r="Q460" i="1"/>
  <c r="S460" i="1"/>
  <c r="H461" i="1"/>
  <c r="I461" i="1"/>
  <c r="J461" i="1"/>
  <c r="K461" i="1"/>
  <c r="L461" i="1"/>
  <c r="N461" i="1"/>
  <c r="O461" i="1"/>
  <c r="P461" i="1"/>
  <c r="Q461" i="1"/>
  <c r="S461" i="1"/>
  <c r="H462" i="1"/>
  <c r="I462" i="1"/>
  <c r="J462" i="1"/>
  <c r="K462" i="1"/>
  <c r="L462" i="1"/>
  <c r="N462" i="1"/>
  <c r="O462" i="1"/>
  <c r="P462" i="1"/>
  <c r="Q462" i="1"/>
  <c r="S462" i="1"/>
  <c r="H463" i="1"/>
  <c r="I463" i="1"/>
  <c r="J463" i="1"/>
  <c r="K463" i="1"/>
  <c r="L463" i="1"/>
  <c r="N463" i="1"/>
  <c r="O463" i="1"/>
  <c r="P463" i="1"/>
  <c r="Q463" i="1"/>
  <c r="S463" i="1"/>
  <c r="H464" i="1"/>
  <c r="I464" i="1"/>
  <c r="J464" i="1"/>
  <c r="K464" i="1"/>
  <c r="L464" i="1"/>
  <c r="N464" i="1"/>
  <c r="O464" i="1"/>
  <c r="P464" i="1"/>
  <c r="Q464" i="1"/>
  <c r="S464" i="1"/>
  <c r="H465" i="1"/>
  <c r="I465" i="1"/>
  <c r="J465" i="1"/>
  <c r="K465" i="1"/>
  <c r="L465" i="1"/>
  <c r="N465" i="1"/>
  <c r="O465" i="1"/>
  <c r="P465" i="1"/>
  <c r="Q465" i="1"/>
  <c r="S465" i="1"/>
  <c r="H466" i="1"/>
  <c r="I466" i="1"/>
  <c r="J466" i="1"/>
  <c r="K466" i="1"/>
  <c r="L466" i="1"/>
  <c r="N466" i="1"/>
  <c r="O466" i="1"/>
  <c r="P466" i="1"/>
  <c r="Q466" i="1"/>
  <c r="S466" i="1"/>
  <c r="H467" i="1"/>
  <c r="I467" i="1"/>
  <c r="J467" i="1"/>
  <c r="K467" i="1"/>
  <c r="L467" i="1"/>
  <c r="N467" i="1"/>
  <c r="O467" i="1"/>
  <c r="P467" i="1"/>
  <c r="Q467" i="1"/>
  <c r="S467" i="1"/>
  <c r="H468" i="1"/>
  <c r="I468" i="1"/>
  <c r="J468" i="1"/>
  <c r="K468" i="1"/>
  <c r="L468" i="1"/>
  <c r="N468" i="1"/>
  <c r="O468" i="1"/>
  <c r="P468" i="1"/>
  <c r="Q468" i="1"/>
  <c r="S468" i="1"/>
  <c r="H469" i="1"/>
  <c r="I469" i="1"/>
  <c r="J469" i="1"/>
  <c r="K469" i="1"/>
  <c r="L469" i="1"/>
  <c r="N469" i="1"/>
  <c r="O469" i="1"/>
  <c r="P469" i="1"/>
  <c r="Q469" i="1"/>
  <c r="S469" i="1"/>
  <c r="H470" i="1"/>
  <c r="I470" i="1"/>
  <c r="J470" i="1"/>
  <c r="K470" i="1"/>
  <c r="L470" i="1"/>
  <c r="N470" i="1"/>
  <c r="O470" i="1"/>
  <c r="P470" i="1"/>
  <c r="Q470" i="1"/>
  <c r="S470" i="1"/>
  <c r="H471" i="1"/>
  <c r="I471" i="1"/>
  <c r="J471" i="1"/>
  <c r="K471" i="1"/>
  <c r="L471" i="1"/>
  <c r="N471" i="1"/>
  <c r="O471" i="1"/>
  <c r="P471" i="1"/>
  <c r="Q471" i="1"/>
  <c r="S471" i="1"/>
  <c r="H472" i="1"/>
  <c r="I472" i="1"/>
  <c r="J472" i="1"/>
  <c r="K472" i="1"/>
  <c r="L472" i="1"/>
  <c r="N472" i="1"/>
  <c r="O472" i="1"/>
  <c r="P472" i="1"/>
  <c r="Q472" i="1"/>
  <c r="S472" i="1"/>
  <c r="H473" i="1"/>
  <c r="I473" i="1"/>
  <c r="J473" i="1"/>
  <c r="K473" i="1"/>
  <c r="L473" i="1"/>
  <c r="N473" i="1"/>
  <c r="O473" i="1"/>
  <c r="P473" i="1"/>
  <c r="Q473" i="1"/>
  <c r="S473" i="1"/>
  <c r="H474" i="1"/>
  <c r="I474" i="1"/>
  <c r="J474" i="1"/>
  <c r="K474" i="1"/>
  <c r="L474" i="1"/>
  <c r="N474" i="1"/>
  <c r="O474" i="1"/>
  <c r="P474" i="1"/>
  <c r="Q474" i="1"/>
  <c r="S474" i="1"/>
  <c r="H475" i="1"/>
  <c r="I475" i="1"/>
  <c r="J475" i="1"/>
  <c r="K475" i="1"/>
  <c r="L475" i="1"/>
  <c r="N475" i="1"/>
  <c r="O475" i="1"/>
  <c r="P475" i="1"/>
  <c r="Q475" i="1"/>
  <c r="S475" i="1"/>
  <c r="H476" i="1"/>
  <c r="I476" i="1"/>
  <c r="J476" i="1"/>
  <c r="K476" i="1"/>
  <c r="L476" i="1"/>
  <c r="N476" i="1"/>
  <c r="O476" i="1"/>
  <c r="P476" i="1"/>
  <c r="Q476" i="1"/>
  <c r="S476" i="1"/>
  <c r="H477" i="1"/>
  <c r="I477" i="1"/>
  <c r="J477" i="1"/>
  <c r="K477" i="1"/>
  <c r="L477" i="1"/>
  <c r="N477" i="1"/>
  <c r="O477" i="1"/>
  <c r="P477" i="1"/>
  <c r="Q477" i="1"/>
  <c r="S477" i="1"/>
  <c r="H478" i="1"/>
  <c r="I478" i="1"/>
  <c r="J478" i="1"/>
  <c r="K478" i="1"/>
  <c r="L478" i="1"/>
  <c r="N478" i="1"/>
  <c r="O478" i="1"/>
  <c r="P478" i="1"/>
  <c r="Q478" i="1"/>
  <c r="S478" i="1"/>
  <c r="H479" i="1"/>
  <c r="I479" i="1"/>
  <c r="J479" i="1"/>
  <c r="K479" i="1"/>
  <c r="L479" i="1"/>
  <c r="N479" i="1"/>
  <c r="O479" i="1"/>
  <c r="P479" i="1"/>
  <c r="Q479" i="1"/>
  <c r="S479" i="1"/>
  <c r="H480" i="1"/>
  <c r="I480" i="1"/>
  <c r="J480" i="1"/>
  <c r="K480" i="1"/>
  <c r="L480" i="1"/>
  <c r="N480" i="1"/>
  <c r="O480" i="1"/>
  <c r="P480" i="1"/>
  <c r="Q480" i="1"/>
  <c r="S480" i="1"/>
  <c r="H481" i="1"/>
  <c r="I481" i="1"/>
  <c r="J481" i="1"/>
  <c r="K481" i="1"/>
  <c r="L481" i="1"/>
  <c r="N481" i="1"/>
  <c r="O481" i="1"/>
  <c r="P481" i="1"/>
  <c r="Q481" i="1"/>
  <c r="S481" i="1"/>
  <c r="H482" i="1"/>
  <c r="I482" i="1"/>
  <c r="J482" i="1"/>
  <c r="K482" i="1"/>
  <c r="L482" i="1"/>
  <c r="N482" i="1"/>
  <c r="O482" i="1"/>
  <c r="P482" i="1"/>
  <c r="Q482" i="1"/>
  <c r="S482" i="1"/>
  <c r="H483" i="1"/>
  <c r="I483" i="1"/>
  <c r="J483" i="1"/>
  <c r="K483" i="1"/>
  <c r="L483" i="1"/>
  <c r="N483" i="1"/>
  <c r="O483" i="1"/>
  <c r="P483" i="1"/>
  <c r="Q483" i="1"/>
  <c r="S483" i="1"/>
  <c r="H484" i="1"/>
  <c r="I484" i="1"/>
  <c r="J484" i="1"/>
  <c r="K484" i="1"/>
  <c r="L484" i="1"/>
  <c r="N484" i="1"/>
  <c r="O484" i="1"/>
  <c r="P484" i="1"/>
  <c r="Q484" i="1"/>
  <c r="S484" i="1"/>
  <c r="H485" i="1"/>
  <c r="I485" i="1"/>
  <c r="J485" i="1"/>
  <c r="K485" i="1"/>
  <c r="L485" i="1"/>
  <c r="N485" i="1"/>
  <c r="O485" i="1"/>
  <c r="P485" i="1"/>
  <c r="Q485" i="1"/>
  <c r="S485" i="1"/>
  <c r="H486" i="1"/>
  <c r="I486" i="1"/>
  <c r="J486" i="1"/>
  <c r="K486" i="1"/>
  <c r="L486" i="1"/>
  <c r="N486" i="1"/>
  <c r="O486" i="1"/>
  <c r="P486" i="1"/>
  <c r="Q486" i="1"/>
  <c r="S486" i="1"/>
  <c r="H487" i="1"/>
  <c r="I487" i="1"/>
  <c r="J487" i="1"/>
  <c r="K487" i="1"/>
  <c r="L487" i="1"/>
  <c r="N487" i="1"/>
  <c r="O487" i="1"/>
  <c r="P487" i="1"/>
  <c r="Q487" i="1"/>
  <c r="S487" i="1"/>
  <c r="H488" i="1"/>
  <c r="I488" i="1"/>
  <c r="J488" i="1"/>
  <c r="K488" i="1"/>
  <c r="L488" i="1"/>
  <c r="N488" i="1"/>
  <c r="O488" i="1"/>
  <c r="P488" i="1"/>
  <c r="Q488" i="1"/>
  <c r="S488" i="1"/>
  <c r="H489" i="1"/>
  <c r="I489" i="1"/>
  <c r="J489" i="1"/>
  <c r="K489" i="1"/>
  <c r="L489" i="1"/>
  <c r="N489" i="1"/>
  <c r="O489" i="1"/>
  <c r="P489" i="1"/>
  <c r="Q489" i="1"/>
  <c r="S489" i="1"/>
  <c r="H490" i="1"/>
  <c r="I490" i="1"/>
  <c r="J490" i="1"/>
  <c r="K490" i="1"/>
  <c r="L490" i="1"/>
  <c r="N490" i="1"/>
  <c r="O490" i="1"/>
  <c r="P490" i="1"/>
  <c r="Q490" i="1"/>
  <c r="S490" i="1"/>
  <c r="H491" i="1"/>
  <c r="I491" i="1"/>
  <c r="J491" i="1"/>
  <c r="K491" i="1"/>
  <c r="L491" i="1"/>
  <c r="N491" i="1"/>
  <c r="O491" i="1"/>
  <c r="P491" i="1"/>
  <c r="Q491" i="1"/>
  <c r="S491" i="1"/>
  <c r="H492" i="1"/>
  <c r="I492" i="1"/>
  <c r="J492" i="1"/>
  <c r="K492" i="1"/>
  <c r="L492" i="1"/>
  <c r="N492" i="1"/>
  <c r="O492" i="1"/>
  <c r="P492" i="1"/>
  <c r="Q492" i="1"/>
  <c r="S492" i="1"/>
  <c r="H493" i="1"/>
  <c r="I493" i="1"/>
  <c r="J493" i="1"/>
  <c r="K493" i="1"/>
  <c r="L493" i="1"/>
  <c r="N493" i="1"/>
  <c r="O493" i="1"/>
  <c r="P493" i="1"/>
  <c r="Q493" i="1"/>
  <c r="S493" i="1"/>
  <c r="H494" i="1"/>
  <c r="I494" i="1"/>
  <c r="J494" i="1"/>
  <c r="K494" i="1"/>
  <c r="L494" i="1"/>
  <c r="N494" i="1"/>
  <c r="O494" i="1"/>
  <c r="P494" i="1"/>
  <c r="Q494" i="1"/>
  <c r="S494" i="1"/>
  <c r="H495" i="1"/>
  <c r="I495" i="1"/>
  <c r="J495" i="1"/>
  <c r="K495" i="1"/>
  <c r="L495" i="1"/>
  <c r="N495" i="1"/>
  <c r="O495" i="1"/>
  <c r="P495" i="1"/>
  <c r="Q495" i="1"/>
  <c r="S495" i="1"/>
  <c r="H496" i="1"/>
  <c r="I496" i="1"/>
  <c r="J496" i="1"/>
  <c r="K496" i="1"/>
  <c r="L496" i="1"/>
  <c r="N496" i="1"/>
  <c r="O496" i="1"/>
  <c r="P496" i="1"/>
  <c r="Q496" i="1"/>
  <c r="S496" i="1"/>
  <c r="H497" i="1"/>
  <c r="I497" i="1"/>
  <c r="J497" i="1"/>
  <c r="K497" i="1"/>
  <c r="L497" i="1"/>
  <c r="N497" i="1"/>
  <c r="O497" i="1"/>
  <c r="P497" i="1"/>
  <c r="Q497" i="1"/>
  <c r="S497" i="1"/>
  <c r="H498" i="1"/>
  <c r="I498" i="1"/>
  <c r="J498" i="1"/>
  <c r="K498" i="1"/>
  <c r="L498" i="1"/>
  <c r="N498" i="1"/>
  <c r="O498" i="1"/>
  <c r="P498" i="1"/>
  <c r="Q498" i="1"/>
  <c r="S498" i="1"/>
  <c r="H499" i="1"/>
  <c r="I499" i="1"/>
  <c r="J499" i="1"/>
  <c r="K499" i="1"/>
  <c r="L499" i="1"/>
  <c r="N499" i="1"/>
  <c r="O499" i="1"/>
  <c r="P499" i="1"/>
  <c r="Q499" i="1"/>
  <c r="S499" i="1"/>
  <c r="H500" i="1"/>
  <c r="I500" i="1"/>
  <c r="J500" i="1"/>
  <c r="K500" i="1"/>
  <c r="L500" i="1"/>
  <c r="N500" i="1"/>
  <c r="O500" i="1"/>
  <c r="P500" i="1"/>
  <c r="Q500" i="1"/>
  <c r="S500" i="1"/>
  <c r="H501" i="1"/>
  <c r="I501" i="1"/>
  <c r="J501" i="1"/>
  <c r="K501" i="1"/>
  <c r="L501" i="1"/>
  <c r="N501" i="1"/>
  <c r="O501" i="1"/>
  <c r="P501" i="1"/>
  <c r="Q501" i="1"/>
  <c r="S501" i="1"/>
  <c r="H502" i="1"/>
  <c r="I502" i="1"/>
  <c r="J502" i="1"/>
  <c r="K502" i="1"/>
  <c r="L502" i="1"/>
  <c r="N502" i="1"/>
  <c r="O502" i="1"/>
  <c r="P502" i="1"/>
  <c r="Q502" i="1"/>
  <c r="S502" i="1"/>
  <c r="H503" i="1"/>
  <c r="I503" i="1"/>
  <c r="J503" i="1"/>
  <c r="K503" i="1"/>
  <c r="L503" i="1"/>
  <c r="N503" i="1"/>
  <c r="O503" i="1"/>
  <c r="P503" i="1"/>
  <c r="Q503" i="1"/>
  <c r="S503" i="1"/>
  <c r="H504" i="1"/>
  <c r="I504" i="1"/>
  <c r="J504" i="1"/>
  <c r="K504" i="1"/>
  <c r="L504" i="1"/>
  <c r="N504" i="1"/>
  <c r="O504" i="1"/>
  <c r="P504" i="1"/>
  <c r="Q504" i="1"/>
  <c r="S504" i="1"/>
  <c r="H505" i="1"/>
  <c r="I505" i="1"/>
  <c r="J505" i="1"/>
  <c r="K505" i="1"/>
  <c r="L505" i="1"/>
  <c r="N505" i="1"/>
  <c r="O505" i="1"/>
  <c r="P505" i="1"/>
  <c r="Q505" i="1"/>
  <c r="S505" i="1"/>
  <c r="H506" i="1"/>
  <c r="I506" i="1"/>
  <c r="J506" i="1"/>
  <c r="K506" i="1"/>
  <c r="L506" i="1"/>
  <c r="N506" i="1"/>
  <c r="O506" i="1"/>
  <c r="P506" i="1"/>
  <c r="Q506" i="1"/>
  <c r="S506" i="1"/>
  <c r="H507" i="1"/>
  <c r="I507" i="1"/>
  <c r="J507" i="1"/>
  <c r="K507" i="1"/>
  <c r="L507" i="1"/>
  <c r="N507" i="1"/>
  <c r="O507" i="1"/>
  <c r="P507" i="1"/>
  <c r="Q507" i="1"/>
  <c r="S507" i="1"/>
  <c r="H508" i="1"/>
  <c r="I508" i="1"/>
  <c r="J508" i="1"/>
  <c r="K508" i="1"/>
  <c r="L508" i="1"/>
  <c r="N508" i="1"/>
  <c r="O508" i="1"/>
  <c r="P508" i="1"/>
  <c r="Q508" i="1"/>
  <c r="S508" i="1"/>
  <c r="H509" i="1"/>
  <c r="I509" i="1"/>
  <c r="J509" i="1"/>
  <c r="K509" i="1"/>
  <c r="L509" i="1"/>
  <c r="N509" i="1"/>
  <c r="O509" i="1"/>
  <c r="P509" i="1"/>
  <c r="Q509" i="1"/>
  <c r="S509" i="1"/>
  <c r="H510" i="1"/>
  <c r="I510" i="1"/>
  <c r="J510" i="1"/>
  <c r="K510" i="1"/>
  <c r="L510" i="1"/>
  <c r="N510" i="1"/>
  <c r="O510" i="1"/>
  <c r="P510" i="1"/>
  <c r="Q510" i="1"/>
  <c r="S510" i="1"/>
  <c r="H511" i="1"/>
  <c r="I511" i="1"/>
  <c r="J511" i="1"/>
  <c r="K511" i="1"/>
  <c r="L511" i="1"/>
  <c r="N511" i="1"/>
  <c r="O511" i="1"/>
  <c r="P511" i="1"/>
  <c r="Q511" i="1"/>
  <c r="S511" i="1"/>
  <c r="H512" i="1"/>
  <c r="I512" i="1"/>
  <c r="J512" i="1"/>
  <c r="K512" i="1"/>
  <c r="L512" i="1"/>
  <c r="N512" i="1"/>
  <c r="O512" i="1"/>
  <c r="P512" i="1"/>
  <c r="Q512" i="1"/>
  <c r="S512" i="1"/>
  <c r="H513" i="1"/>
  <c r="I513" i="1"/>
  <c r="J513" i="1"/>
  <c r="K513" i="1"/>
  <c r="L513" i="1"/>
  <c r="N513" i="1"/>
  <c r="O513" i="1"/>
  <c r="P513" i="1"/>
  <c r="Q513" i="1"/>
  <c r="S513" i="1"/>
  <c r="H514" i="1"/>
  <c r="I514" i="1"/>
  <c r="J514" i="1"/>
  <c r="K514" i="1"/>
  <c r="L514" i="1"/>
  <c r="N514" i="1"/>
  <c r="O514" i="1"/>
  <c r="P514" i="1"/>
  <c r="Q514" i="1"/>
  <c r="S514" i="1"/>
  <c r="H515" i="1"/>
  <c r="I515" i="1"/>
  <c r="J515" i="1"/>
  <c r="K515" i="1"/>
  <c r="L515" i="1"/>
  <c r="N515" i="1"/>
  <c r="O515" i="1"/>
  <c r="P515" i="1"/>
  <c r="Q515" i="1"/>
  <c r="S515" i="1"/>
  <c r="H516" i="1"/>
  <c r="I516" i="1"/>
  <c r="J516" i="1"/>
  <c r="K516" i="1"/>
  <c r="L516" i="1"/>
  <c r="N516" i="1"/>
  <c r="O516" i="1"/>
  <c r="P516" i="1"/>
  <c r="Q516" i="1"/>
  <c r="S516" i="1"/>
  <c r="H517" i="1"/>
  <c r="I517" i="1"/>
  <c r="J517" i="1"/>
  <c r="K517" i="1"/>
  <c r="L517" i="1"/>
  <c r="N517" i="1"/>
  <c r="O517" i="1"/>
  <c r="P517" i="1"/>
  <c r="Q517" i="1"/>
  <c r="S517" i="1"/>
  <c r="H518" i="1"/>
  <c r="I518" i="1"/>
  <c r="J518" i="1"/>
  <c r="K518" i="1"/>
  <c r="L518" i="1"/>
  <c r="N518" i="1"/>
  <c r="O518" i="1"/>
  <c r="P518" i="1"/>
  <c r="Q518" i="1"/>
  <c r="S518" i="1"/>
  <c r="H519" i="1"/>
  <c r="I519" i="1"/>
  <c r="J519" i="1"/>
  <c r="K519" i="1"/>
  <c r="L519" i="1"/>
  <c r="N519" i="1"/>
  <c r="O519" i="1"/>
  <c r="P519" i="1"/>
  <c r="Q519" i="1"/>
  <c r="S519" i="1"/>
  <c r="H520" i="1"/>
  <c r="I520" i="1"/>
  <c r="J520" i="1"/>
  <c r="K520" i="1"/>
  <c r="L520" i="1"/>
  <c r="N520" i="1"/>
  <c r="O520" i="1"/>
  <c r="P520" i="1"/>
  <c r="Q520" i="1"/>
  <c r="S520" i="1"/>
  <c r="H521" i="1"/>
  <c r="I521" i="1"/>
  <c r="J521" i="1"/>
  <c r="K521" i="1"/>
  <c r="L521" i="1"/>
  <c r="N521" i="1"/>
  <c r="O521" i="1"/>
  <c r="P521" i="1"/>
  <c r="Q521" i="1"/>
  <c r="S521" i="1"/>
  <c r="H522" i="1"/>
  <c r="I522" i="1"/>
  <c r="J522" i="1"/>
  <c r="K522" i="1"/>
  <c r="L522" i="1"/>
  <c r="N522" i="1"/>
  <c r="O522" i="1"/>
  <c r="P522" i="1"/>
  <c r="Q522" i="1"/>
  <c r="S522" i="1"/>
  <c r="H523" i="1"/>
  <c r="I523" i="1"/>
  <c r="J523" i="1"/>
  <c r="K523" i="1"/>
  <c r="L523" i="1"/>
  <c r="N523" i="1"/>
  <c r="O523" i="1"/>
  <c r="P523" i="1"/>
  <c r="Q523" i="1"/>
  <c r="S523" i="1"/>
  <c r="H524" i="1"/>
  <c r="I524" i="1"/>
  <c r="J524" i="1"/>
  <c r="K524" i="1"/>
  <c r="L524" i="1"/>
  <c r="N524" i="1"/>
  <c r="O524" i="1"/>
  <c r="P524" i="1"/>
  <c r="Q524" i="1"/>
  <c r="S524" i="1"/>
  <c r="H525" i="1"/>
  <c r="I525" i="1"/>
  <c r="J525" i="1"/>
  <c r="K525" i="1"/>
  <c r="L525" i="1"/>
  <c r="N525" i="1"/>
  <c r="O525" i="1"/>
  <c r="P525" i="1"/>
  <c r="Q525" i="1"/>
  <c r="S525" i="1"/>
  <c r="H526" i="1"/>
  <c r="I526" i="1"/>
  <c r="J526" i="1"/>
  <c r="K526" i="1"/>
  <c r="L526" i="1"/>
  <c r="N526" i="1"/>
  <c r="O526" i="1"/>
  <c r="P526" i="1"/>
  <c r="Q526" i="1"/>
  <c r="S526" i="1"/>
  <c r="H527" i="1"/>
  <c r="I527" i="1"/>
  <c r="J527" i="1"/>
  <c r="K527" i="1"/>
  <c r="L527" i="1"/>
  <c r="N527" i="1"/>
  <c r="O527" i="1"/>
  <c r="P527" i="1"/>
  <c r="Q527" i="1"/>
  <c r="S527" i="1"/>
  <c r="H528" i="1"/>
  <c r="I528" i="1"/>
  <c r="J528" i="1"/>
  <c r="K528" i="1"/>
  <c r="L528" i="1"/>
  <c r="N528" i="1"/>
  <c r="O528" i="1"/>
  <c r="P528" i="1"/>
  <c r="Q528" i="1"/>
  <c r="S528" i="1"/>
  <c r="H529" i="1"/>
  <c r="I529" i="1"/>
  <c r="J529" i="1"/>
  <c r="K529" i="1"/>
  <c r="L529" i="1"/>
  <c r="N529" i="1"/>
  <c r="O529" i="1"/>
  <c r="P529" i="1"/>
  <c r="Q529" i="1"/>
  <c r="S529" i="1"/>
  <c r="H530" i="1"/>
  <c r="I530" i="1"/>
  <c r="J530" i="1"/>
  <c r="K530" i="1"/>
  <c r="L530" i="1"/>
  <c r="N530" i="1"/>
  <c r="O530" i="1"/>
  <c r="P530" i="1"/>
  <c r="Q530" i="1"/>
  <c r="S530" i="1"/>
  <c r="H531" i="1"/>
  <c r="I531" i="1"/>
  <c r="J531" i="1"/>
  <c r="K531" i="1"/>
  <c r="L531" i="1"/>
  <c r="N531" i="1"/>
  <c r="O531" i="1"/>
  <c r="P531" i="1"/>
  <c r="Q531" i="1"/>
  <c r="S531" i="1"/>
  <c r="H532" i="1"/>
  <c r="I532" i="1"/>
  <c r="J532" i="1"/>
  <c r="K532" i="1"/>
  <c r="L532" i="1"/>
  <c r="N532" i="1"/>
  <c r="O532" i="1"/>
  <c r="P532" i="1"/>
  <c r="Q532" i="1"/>
  <c r="S532" i="1"/>
  <c r="H533" i="1"/>
  <c r="I533" i="1"/>
  <c r="J533" i="1"/>
  <c r="K533" i="1"/>
  <c r="L533" i="1"/>
  <c r="N533" i="1"/>
  <c r="O533" i="1"/>
  <c r="P533" i="1"/>
  <c r="Q533" i="1"/>
  <c r="S533" i="1"/>
  <c r="H534" i="1"/>
  <c r="I534" i="1"/>
  <c r="J534" i="1"/>
  <c r="K534" i="1"/>
  <c r="L534" i="1"/>
  <c r="N534" i="1"/>
  <c r="O534" i="1"/>
  <c r="P534" i="1"/>
  <c r="Q534" i="1"/>
  <c r="S534" i="1"/>
  <c r="H535" i="1"/>
  <c r="I535" i="1"/>
  <c r="J535" i="1"/>
  <c r="K535" i="1"/>
  <c r="L535" i="1"/>
  <c r="N535" i="1"/>
  <c r="O535" i="1"/>
  <c r="P535" i="1"/>
  <c r="Q535" i="1"/>
  <c r="S535" i="1"/>
  <c r="H536" i="1"/>
  <c r="I536" i="1"/>
  <c r="J536" i="1"/>
  <c r="K536" i="1"/>
  <c r="L536" i="1"/>
  <c r="N536" i="1"/>
  <c r="O536" i="1"/>
  <c r="P536" i="1"/>
  <c r="Q536" i="1"/>
  <c r="S536" i="1"/>
  <c r="H537" i="1"/>
  <c r="I537" i="1"/>
  <c r="J537" i="1"/>
  <c r="K537" i="1"/>
  <c r="L537" i="1"/>
  <c r="N537" i="1"/>
  <c r="O537" i="1"/>
  <c r="P537" i="1"/>
  <c r="Q537" i="1"/>
  <c r="S537" i="1"/>
  <c r="H538" i="1"/>
  <c r="I538" i="1"/>
  <c r="J538" i="1"/>
  <c r="K538" i="1"/>
  <c r="L538" i="1"/>
  <c r="N538" i="1"/>
  <c r="O538" i="1"/>
  <c r="P538" i="1"/>
  <c r="Q538" i="1"/>
  <c r="S538" i="1"/>
  <c r="H539" i="1"/>
  <c r="I539" i="1"/>
  <c r="J539" i="1"/>
  <c r="K539" i="1"/>
  <c r="L539" i="1"/>
  <c r="N539" i="1"/>
  <c r="O539" i="1"/>
  <c r="P539" i="1"/>
  <c r="Q539" i="1"/>
  <c r="S539" i="1"/>
  <c r="H540" i="1"/>
  <c r="I540" i="1"/>
  <c r="J540" i="1"/>
  <c r="K540" i="1"/>
  <c r="L540" i="1"/>
  <c r="N540" i="1"/>
  <c r="O540" i="1"/>
  <c r="P540" i="1"/>
  <c r="Q540" i="1"/>
  <c r="S540" i="1"/>
  <c r="H541" i="1"/>
  <c r="I541" i="1"/>
  <c r="J541" i="1"/>
  <c r="K541" i="1"/>
  <c r="L541" i="1"/>
  <c r="N541" i="1"/>
  <c r="O541" i="1"/>
  <c r="P541" i="1"/>
  <c r="Q541" i="1"/>
  <c r="S541" i="1"/>
  <c r="H542" i="1"/>
  <c r="I542" i="1"/>
  <c r="J542" i="1"/>
  <c r="K542" i="1"/>
  <c r="L542" i="1"/>
  <c r="N542" i="1"/>
  <c r="O542" i="1"/>
  <c r="P542" i="1"/>
  <c r="Q542" i="1"/>
  <c r="S542" i="1"/>
  <c r="H543" i="1"/>
  <c r="I543" i="1"/>
  <c r="J543" i="1"/>
  <c r="K543" i="1"/>
  <c r="L543" i="1"/>
  <c r="N543" i="1"/>
  <c r="O543" i="1"/>
  <c r="P543" i="1"/>
  <c r="Q543" i="1"/>
  <c r="S543" i="1"/>
  <c r="H544" i="1"/>
  <c r="I544" i="1"/>
  <c r="J544" i="1"/>
  <c r="K544" i="1"/>
  <c r="L544" i="1"/>
  <c r="N544" i="1"/>
  <c r="O544" i="1"/>
  <c r="P544" i="1"/>
  <c r="Q544" i="1"/>
  <c r="S544" i="1"/>
  <c r="H545" i="1"/>
  <c r="I545" i="1"/>
  <c r="J545" i="1"/>
  <c r="K545" i="1"/>
  <c r="L545" i="1"/>
  <c r="N545" i="1"/>
  <c r="O545" i="1"/>
  <c r="P545" i="1"/>
  <c r="Q545" i="1"/>
  <c r="S545" i="1"/>
  <c r="H546" i="1"/>
  <c r="I546" i="1"/>
  <c r="J546" i="1"/>
  <c r="K546" i="1"/>
  <c r="L546" i="1"/>
  <c r="N546" i="1"/>
  <c r="O546" i="1"/>
  <c r="P546" i="1"/>
  <c r="Q546" i="1"/>
  <c r="S546" i="1"/>
  <c r="H547" i="1"/>
  <c r="I547" i="1"/>
  <c r="J547" i="1"/>
  <c r="K547" i="1"/>
  <c r="L547" i="1"/>
  <c r="N547" i="1"/>
  <c r="O547" i="1"/>
  <c r="P547" i="1"/>
  <c r="Q547" i="1"/>
  <c r="S547" i="1"/>
  <c r="H548" i="1"/>
  <c r="I548" i="1"/>
  <c r="J548" i="1"/>
  <c r="K548" i="1"/>
  <c r="L548" i="1"/>
  <c r="N548" i="1"/>
  <c r="O548" i="1"/>
  <c r="P548" i="1"/>
  <c r="Q548" i="1"/>
  <c r="S548" i="1"/>
  <c r="H549" i="1"/>
  <c r="I549" i="1"/>
  <c r="J549" i="1"/>
  <c r="K549" i="1"/>
  <c r="L549" i="1"/>
  <c r="N549" i="1"/>
  <c r="O549" i="1"/>
  <c r="P549" i="1"/>
  <c r="Q549" i="1"/>
  <c r="S549" i="1"/>
  <c r="H550" i="1"/>
  <c r="I550" i="1"/>
  <c r="J550" i="1"/>
  <c r="K550" i="1"/>
  <c r="L550" i="1"/>
  <c r="N550" i="1"/>
  <c r="O550" i="1"/>
  <c r="P550" i="1"/>
  <c r="Q550" i="1"/>
  <c r="S550" i="1"/>
  <c r="H551" i="1"/>
  <c r="I551" i="1"/>
  <c r="J551" i="1"/>
  <c r="K551" i="1"/>
  <c r="L551" i="1"/>
  <c r="N551" i="1"/>
  <c r="O551" i="1"/>
  <c r="P551" i="1"/>
  <c r="Q551" i="1"/>
  <c r="S551" i="1"/>
  <c r="H552" i="1"/>
  <c r="I552" i="1"/>
  <c r="J552" i="1"/>
  <c r="K552" i="1"/>
  <c r="L552" i="1"/>
  <c r="N552" i="1"/>
  <c r="O552" i="1"/>
  <c r="P552" i="1"/>
  <c r="Q552" i="1"/>
  <c r="S552" i="1"/>
  <c r="H553" i="1"/>
  <c r="I553" i="1"/>
  <c r="J553" i="1"/>
  <c r="K553" i="1"/>
  <c r="L553" i="1"/>
  <c r="N553" i="1"/>
  <c r="O553" i="1"/>
  <c r="P553" i="1"/>
  <c r="Q553" i="1"/>
  <c r="S553" i="1"/>
  <c r="H554" i="1"/>
  <c r="I554" i="1"/>
  <c r="J554" i="1"/>
  <c r="K554" i="1"/>
  <c r="L554" i="1"/>
  <c r="N554" i="1"/>
  <c r="O554" i="1"/>
  <c r="P554" i="1"/>
  <c r="Q554" i="1"/>
  <c r="S554" i="1"/>
  <c r="H555" i="1"/>
  <c r="I555" i="1"/>
  <c r="J555" i="1"/>
  <c r="K555" i="1"/>
  <c r="L555" i="1"/>
  <c r="N555" i="1"/>
  <c r="O555" i="1"/>
  <c r="P555" i="1"/>
  <c r="Q555" i="1"/>
  <c r="S555" i="1"/>
  <c r="H556" i="1"/>
  <c r="I556" i="1"/>
  <c r="J556" i="1"/>
  <c r="K556" i="1"/>
  <c r="L556" i="1"/>
  <c r="N556" i="1"/>
  <c r="O556" i="1"/>
  <c r="P556" i="1"/>
  <c r="Q556" i="1"/>
  <c r="S556" i="1"/>
  <c r="H557" i="1"/>
  <c r="I557" i="1"/>
  <c r="J557" i="1"/>
  <c r="K557" i="1"/>
  <c r="L557" i="1"/>
  <c r="N557" i="1"/>
  <c r="O557" i="1"/>
  <c r="P557" i="1"/>
  <c r="Q557" i="1"/>
  <c r="S557" i="1"/>
  <c r="H558" i="1"/>
  <c r="I558" i="1"/>
  <c r="J558" i="1"/>
  <c r="K558" i="1"/>
  <c r="L558" i="1"/>
  <c r="N558" i="1"/>
  <c r="O558" i="1"/>
  <c r="P558" i="1"/>
  <c r="Q558" i="1"/>
  <c r="S558" i="1"/>
  <c r="H559" i="1"/>
  <c r="I559" i="1"/>
  <c r="J559" i="1"/>
  <c r="K559" i="1"/>
  <c r="L559" i="1"/>
  <c r="N559" i="1"/>
  <c r="O559" i="1"/>
  <c r="P559" i="1"/>
  <c r="Q559" i="1"/>
  <c r="S559" i="1"/>
  <c r="H560" i="1"/>
  <c r="I560" i="1"/>
  <c r="J560" i="1"/>
  <c r="K560" i="1"/>
  <c r="L560" i="1"/>
  <c r="N560" i="1"/>
  <c r="O560" i="1"/>
  <c r="P560" i="1"/>
  <c r="Q560" i="1"/>
  <c r="S560" i="1"/>
  <c r="H561" i="1"/>
  <c r="I561" i="1"/>
  <c r="J561" i="1"/>
  <c r="K561" i="1"/>
  <c r="L561" i="1"/>
  <c r="N561" i="1"/>
  <c r="O561" i="1"/>
  <c r="P561" i="1"/>
  <c r="Q561" i="1"/>
  <c r="S561" i="1"/>
  <c r="H562" i="1"/>
  <c r="I562" i="1"/>
  <c r="J562" i="1"/>
  <c r="K562" i="1"/>
  <c r="L562" i="1"/>
  <c r="N562" i="1"/>
  <c r="O562" i="1"/>
  <c r="P562" i="1"/>
  <c r="Q562" i="1"/>
  <c r="S562" i="1"/>
  <c r="H563" i="1"/>
  <c r="I563" i="1"/>
  <c r="J563" i="1"/>
  <c r="K563" i="1"/>
  <c r="L563" i="1"/>
  <c r="N563" i="1"/>
  <c r="O563" i="1"/>
  <c r="P563" i="1"/>
  <c r="Q563" i="1"/>
  <c r="S563" i="1"/>
  <c r="H564" i="1"/>
  <c r="I564" i="1"/>
  <c r="J564" i="1"/>
  <c r="K564" i="1"/>
  <c r="L564" i="1"/>
  <c r="N564" i="1"/>
  <c r="O564" i="1"/>
  <c r="P564" i="1"/>
  <c r="Q564" i="1"/>
  <c r="S564" i="1"/>
  <c r="H565" i="1"/>
  <c r="I565" i="1"/>
  <c r="J565" i="1"/>
  <c r="K565" i="1"/>
  <c r="L565" i="1"/>
  <c r="N565" i="1"/>
  <c r="O565" i="1"/>
  <c r="P565" i="1"/>
  <c r="Q565" i="1"/>
  <c r="S565" i="1"/>
  <c r="H566" i="1"/>
  <c r="I566" i="1"/>
  <c r="J566" i="1"/>
  <c r="K566" i="1"/>
  <c r="L566" i="1"/>
  <c r="N566" i="1"/>
  <c r="O566" i="1"/>
  <c r="P566" i="1"/>
  <c r="Q566" i="1"/>
  <c r="S566" i="1"/>
  <c r="H567" i="1"/>
  <c r="I567" i="1"/>
  <c r="J567" i="1"/>
  <c r="K567" i="1"/>
  <c r="L567" i="1"/>
  <c r="N567" i="1"/>
  <c r="O567" i="1"/>
  <c r="P567" i="1"/>
  <c r="Q567" i="1"/>
  <c r="S567" i="1"/>
  <c r="H568" i="1"/>
  <c r="I568" i="1"/>
  <c r="J568" i="1"/>
  <c r="K568" i="1"/>
  <c r="L568" i="1"/>
  <c r="N568" i="1"/>
  <c r="O568" i="1"/>
  <c r="P568" i="1"/>
  <c r="Q568" i="1"/>
  <c r="S568" i="1"/>
  <c r="H569" i="1"/>
  <c r="I569" i="1"/>
  <c r="J569" i="1"/>
  <c r="K569" i="1"/>
  <c r="L569" i="1"/>
  <c r="N569" i="1"/>
  <c r="O569" i="1"/>
  <c r="P569" i="1"/>
  <c r="Q569" i="1"/>
  <c r="S569" i="1"/>
  <c r="H570" i="1"/>
  <c r="I570" i="1"/>
  <c r="J570" i="1"/>
  <c r="K570" i="1"/>
  <c r="L570" i="1"/>
  <c r="N570" i="1"/>
  <c r="O570" i="1"/>
  <c r="P570" i="1"/>
  <c r="Q570" i="1"/>
  <c r="S570" i="1"/>
  <c r="H571" i="1"/>
  <c r="I571" i="1"/>
  <c r="J571" i="1"/>
  <c r="K571" i="1"/>
  <c r="L571" i="1"/>
  <c r="N571" i="1"/>
  <c r="O571" i="1"/>
  <c r="P571" i="1"/>
  <c r="Q571" i="1"/>
  <c r="S571" i="1"/>
  <c r="H572" i="1"/>
  <c r="I572" i="1"/>
  <c r="J572" i="1"/>
  <c r="K572" i="1"/>
  <c r="L572" i="1"/>
  <c r="N572" i="1"/>
  <c r="O572" i="1"/>
  <c r="P572" i="1"/>
  <c r="Q572" i="1"/>
  <c r="S572" i="1"/>
  <c r="H573" i="1"/>
  <c r="I573" i="1"/>
  <c r="J573" i="1"/>
  <c r="K573" i="1"/>
  <c r="L573" i="1"/>
  <c r="N573" i="1"/>
  <c r="O573" i="1"/>
  <c r="P573" i="1"/>
  <c r="Q573" i="1"/>
  <c r="S573" i="1"/>
  <c r="H574" i="1"/>
  <c r="I574" i="1"/>
  <c r="J574" i="1"/>
  <c r="K574" i="1"/>
  <c r="L574" i="1"/>
  <c r="N574" i="1"/>
  <c r="O574" i="1"/>
  <c r="P574" i="1"/>
  <c r="Q574" i="1"/>
  <c r="S574" i="1"/>
  <c r="H575" i="1"/>
  <c r="I575" i="1"/>
  <c r="J575" i="1"/>
  <c r="K575" i="1"/>
  <c r="L575" i="1"/>
  <c r="N575" i="1"/>
  <c r="O575" i="1"/>
  <c r="P575" i="1"/>
  <c r="Q575" i="1"/>
  <c r="S575" i="1"/>
  <c r="H576" i="1"/>
  <c r="I576" i="1"/>
  <c r="J576" i="1"/>
  <c r="K576" i="1"/>
  <c r="L576" i="1"/>
  <c r="N576" i="1"/>
  <c r="O576" i="1"/>
  <c r="P576" i="1"/>
  <c r="Q576" i="1"/>
  <c r="S576" i="1"/>
  <c r="H577" i="1"/>
  <c r="I577" i="1"/>
  <c r="J577" i="1"/>
  <c r="K577" i="1"/>
  <c r="L577" i="1"/>
  <c r="N577" i="1"/>
  <c r="O577" i="1"/>
  <c r="P577" i="1"/>
  <c r="Q577" i="1"/>
  <c r="S577" i="1"/>
  <c r="H578" i="1"/>
  <c r="I578" i="1"/>
  <c r="J578" i="1"/>
  <c r="K578" i="1"/>
  <c r="L578" i="1"/>
  <c r="N578" i="1"/>
  <c r="O578" i="1"/>
  <c r="P578" i="1"/>
  <c r="Q578" i="1"/>
  <c r="S578" i="1"/>
  <c r="H579" i="1"/>
  <c r="I579" i="1"/>
  <c r="J579" i="1"/>
  <c r="K579" i="1"/>
  <c r="L579" i="1"/>
  <c r="N579" i="1"/>
  <c r="O579" i="1"/>
  <c r="P579" i="1"/>
  <c r="Q579" i="1"/>
  <c r="S579" i="1"/>
  <c r="H580" i="1"/>
  <c r="I580" i="1"/>
  <c r="J580" i="1"/>
  <c r="K580" i="1"/>
  <c r="L580" i="1"/>
  <c r="N580" i="1"/>
  <c r="O580" i="1"/>
  <c r="P580" i="1"/>
  <c r="Q580" i="1"/>
  <c r="S580" i="1"/>
  <c r="H581" i="1"/>
  <c r="I581" i="1"/>
  <c r="J581" i="1"/>
  <c r="K581" i="1"/>
  <c r="L581" i="1"/>
  <c r="N581" i="1"/>
  <c r="O581" i="1"/>
  <c r="P581" i="1"/>
  <c r="Q581" i="1"/>
  <c r="S581" i="1"/>
  <c r="H582" i="1"/>
  <c r="I582" i="1"/>
  <c r="J582" i="1"/>
  <c r="K582" i="1"/>
  <c r="L582" i="1"/>
  <c r="N582" i="1"/>
  <c r="O582" i="1"/>
  <c r="P582" i="1"/>
  <c r="Q582" i="1"/>
  <c r="S582" i="1"/>
  <c r="H583" i="1"/>
  <c r="I583" i="1"/>
  <c r="J583" i="1"/>
  <c r="K583" i="1"/>
  <c r="L583" i="1"/>
  <c r="N583" i="1"/>
  <c r="O583" i="1"/>
  <c r="P583" i="1"/>
  <c r="Q583" i="1"/>
  <c r="S583" i="1"/>
  <c r="H584" i="1"/>
  <c r="I584" i="1"/>
  <c r="J584" i="1"/>
  <c r="K584" i="1"/>
  <c r="L584" i="1"/>
  <c r="N584" i="1"/>
  <c r="O584" i="1"/>
  <c r="P584" i="1"/>
  <c r="Q584" i="1"/>
  <c r="S584" i="1"/>
  <c r="H585" i="1"/>
  <c r="I585" i="1"/>
  <c r="J585" i="1"/>
  <c r="K585" i="1"/>
  <c r="L585" i="1"/>
  <c r="N585" i="1"/>
  <c r="O585" i="1"/>
  <c r="P585" i="1"/>
  <c r="Q585" i="1"/>
  <c r="S585" i="1"/>
  <c r="H586" i="1"/>
  <c r="I586" i="1"/>
  <c r="J586" i="1"/>
  <c r="K586" i="1"/>
  <c r="L586" i="1"/>
  <c r="N586" i="1"/>
  <c r="O586" i="1"/>
  <c r="P586" i="1"/>
  <c r="Q586" i="1"/>
  <c r="S586" i="1"/>
  <c r="H587" i="1"/>
  <c r="I587" i="1"/>
  <c r="J587" i="1"/>
  <c r="K587" i="1"/>
  <c r="L587" i="1"/>
  <c r="N587" i="1"/>
  <c r="O587" i="1"/>
  <c r="P587" i="1"/>
  <c r="Q587" i="1"/>
  <c r="S587" i="1"/>
  <c r="H588" i="1"/>
  <c r="I588" i="1"/>
  <c r="J588" i="1"/>
  <c r="K588" i="1"/>
  <c r="L588" i="1"/>
  <c r="N588" i="1"/>
  <c r="O588" i="1"/>
  <c r="P588" i="1"/>
  <c r="Q588" i="1"/>
  <c r="S588" i="1"/>
  <c r="H589" i="1"/>
  <c r="I589" i="1"/>
  <c r="J589" i="1"/>
  <c r="K589" i="1"/>
  <c r="L589" i="1"/>
  <c r="N589" i="1"/>
  <c r="O589" i="1"/>
  <c r="P589" i="1"/>
  <c r="Q589" i="1"/>
  <c r="S589" i="1"/>
  <c r="H590" i="1"/>
  <c r="I590" i="1"/>
  <c r="J590" i="1"/>
  <c r="K590" i="1"/>
  <c r="L590" i="1"/>
  <c r="N590" i="1"/>
  <c r="O590" i="1"/>
  <c r="P590" i="1"/>
  <c r="Q590" i="1"/>
  <c r="S590" i="1"/>
  <c r="H591" i="1"/>
  <c r="I591" i="1"/>
  <c r="J591" i="1"/>
  <c r="K591" i="1"/>
  <c r="L591" i="1"/>
  <c r="N591" i="1"/>
  <c r="O591" i="1"/>
  <c r="P591" i="1"/>
  <c r="Q591" i="1"/>
  <c r="S591" i="1"/>
  <c r="H592" i="1"/>
  <c r="I592" i="1"/>
  <c r="J592" i="1"/>
  <c r="K592" i="1"/>
  <c r="L592" i="1"/>
  <c r="N592" i="1"/>
  <c r="O592" i="1"/>
  <c r="P592" i="1"/>
  <c r="Q592" i="1"/>
  <c r="S592" i="1"/>
  <c r="H593" i="1"/>
  <c r="I593" i="1"/>
  <c r="J593" i="1"/>
  <c r="K593" i="1"/>
  <c r="L593" i="1"/>
  <c r="N593" i="1"/>
  <c r="O593" i="1"/>
  <c r="P593" i="1"/>
  <c r="Q593" i="1"/>
  <c r="S593" i="1"/>
  <c r="H594" i="1"/>
  <c r="I594" i="1"/>
  <c r="J594" i="1"/>
  <c r="K594" i="1"/>
  <c r="L594" i="1"/>
  <c r="N594" i="1"/>
  <c r="O594" i="1"/>
  <c r="P594" i="1"/>
  <c r="Q594" i="1"/>
  <c r="S594" i="1"/>
  <c r="H595" i="1"/>
  <c r="I595" i="1"/>
  <c r="J595" i="1"/>
  <c r="K595" i="1"/>
  <c r="L595" i="1"/>
  <c r="N595" i="1"/>
  <c r="O595" i="1"/>
  <c r="P595" i="1"/>
  <c r="Q595" i="1"/>
  <c r="S595" i="1"/>
  <c r="H596" i="1"/>
  <c r="I596" i="1"/>
  <c r="J596" i="1"/>
  <c r="K596" i="1"/>
  <c r="L596" i="1"/>
  <c r="N596" i="1"/>
  <c r="O596" i="1"/>
  <c r="P596" i="1"/>
  <c r="Q596" i="1"/>
  <c r="S596" i="1"/>
  <c r="H597" i="1"/>
  <c r="I597" i="1"/>
  <c r="J597" i="1"/>
  <c r="K597" i="1"/>
  <c r="L597" i="1"/>
  <c r="N597" i="1"/>
  <c r="O597" i="1"/>
  <c r="P597" i="1"/>
  <c r="Q597" i="1"/>
  <c r="S597" i="1"/>
  <c r="H598" i="1"/>
  <c r="I598" i="1"/>
  <c r="J598" i="1"/>
  <c r="K598" i="1"/>
  <c r="L598" i="1"/>
  <c r="N598" i="1"/>
  <c r="O598" i="1"/>
  <c r="P598" i="1"/>
  <c r="Q598" i="1"/>
  <c r="S598" i="1"/>
  <c r="H599" i="1"/>
  <c r="I599" i="1"/>
  <c r="J599" i="1"/>
  <c r="K599" i="1"/>
  <c r="L599" i="1"/>
  <c r="N599" i="1"/>
  <c r="O599" i="1"/>
  <c r="P599" i="1"/>
  <c r="Q599" i="1"/>
  <c r="S599" i="1"/>
  <c r="H600" i="1"/>
  <c r="I600" i="1"/>
  <c r="J600" i="1"/>
  <c r="K600" i="1"/>
  <c r="L600" i="1"/>
  <c r="N600" i="1"/>
  <c r="O600" i="1"/>
  <c r="P600" i="1"/>
  <c r="Q600" i="1"/>
  <c r="S600" i="1"/>
  <c r="H601" i="1"/>
  <c r="I601" i="1"/>
  <c r="J601" i="1"/>
  <c r="K601" i="1"/>
  <c r="L601" i="1"/>
  <c r="N601" i="1"/>
  <c r="O601" i="1"/>
  <c r="P601" i="1"/>
  <c r="Q601" i="1"/>
  <c r="S601" i="1"/>
  <c r="H602" i="1"/>
  <c r="I602" i="1"/>
  <c r="J602" i="1"/>
  <c r="K602" i="1"/>
  <c r="L602" i="1"/>
  <c r="N602" i="1"/>
  <c r="O602" i="1"/>
  <c r="P602" i="1"/>
  <c r="Q602" i="1"/>
  <c r="S602" i="1"/>
  <c r="H603" i="1"/>
  <c r="I603" i="1"/>
  <c r="J603" i="1"/>
  <c r="K603" i="1"/>
  <c r="L603" i="1"/>
  <c r="N603" i="1"/>
  <c r="O603" i="1"/>
  <c r="P603" i="1"/>
  <c r="Q603" i="1"/>
  <c r="S603" i="1"/>
  <c r="H604" i="1"/>
  <c r="I604" i="1"/>
  <c r="J604" i="1"/>
  <c r="K604" i="1"/>
  <c r="L604" i="1"/>
  <c r="N604" i="1"/>
  <c r="O604" i="1"/>
  <c r="P604" i="1"/>
  <c r="Q604" i="1"/>
  <c r="S604" i="1"/>
  <c r="H605" i="1"/>
  <c r="I605" i="1"/>
  <c r="J605" i="1"/>
  <c r="K605" i="1"/>
  <c r="L605" i="1"/>
  <c r="N605" i="1"/>
  <c r="O605" i="1"/>
  <c r="P605" i="1"/>
  <c r="Q605" i="1"/>
  <c r="S605" i="1"/>
  <c r="H606" i="1"/>
  <c r="I606" i="1"/>
  <c r="J606" i="1"/>
  <c r="K606" i="1"/>
  <c r="L606" i="1"/>
  <c r="N606" i="1"/>
  <c r="O606" i="1"/>
  <c r="P606" i="1"/>
  <c r="Q606" i="1"/>
  <c r="S606" i="1"/>
  <c r="H607" i="1"/>
  <c r="I607" i="1"/>
  <c r="J607" i="1"/>
  <c r="K607" i="1"/>
  <c r="L607" i="1"/>
  <c r="N607" i="1"/>
  <c r="O607" i="1"/>
  <c r="P607" i="1"/>
  <c r="Q607" i="1"/>
  <c r="S607" i="1"/>
  <c r="H608" i="1"/>
  <c r="I608" i="1"/>
  <c r="J608" i="1"/>
  <c r="K608" i="1"/>
  <c r="L608" i="1"/>
  <c r="N608" i="1"/>
  <c r="O608" i="1"/>
  <c r="P608" i="1"/>
  <c r="Q608" i="1"/>
  <c r="S608" i="1"/>
  <c r="H609" i="1"/>
  <c r="I609" i="1"/>
  <c r="J609" i="1"/>
  <c r="K609" i="1"/>
  <c r="L609" i="1"/>
  <c r="N609" i="1"/>
  <c r="O609" i="1"/>
  <c r="P609" i="1"/>
  <c r="Q609" i="1"/>
  <c r="S609" i="1"/>
  <c r="H610" i="1"/>
  <c r="I610" i="1"/>
  <c r="J610" i="1"/>
  <c r="K610" i="1"/>
  <c r="L610" i="1"/>
  <c r="N610" i="1"/>
  <c r="O610" i="1"/>
  <c r="P610" i="1"/>
  <c r="Q610" i="1"/>
  <c r="S610" i="1"/>
  <c r="H611" i="1"/>
  <c r="I611" i="1"/>
  <c r="J611" i="1"/>
  <c r="K611" i="1"/>
  <c r="L611" i="1"/>
  <c r="N611" i="1"/>
  <c r="O611" i="1"/>
  <c r="P611" i="1"/>
  <c r="Q611" i="1"/>
  <c r="S611" i="1"/>
  <c r="H612" i="1"/>
  <c r="I612" i="1"/>
  <c r="J612" i="1"/>
  <c r="K612" i="1"/>
  <c r="L612" i="1"/>
  <c r="N612" i="1"/>
  <c r="O612" i="1"/>
  <c r="P612" i="1"/>
  <c r="Q612" i="1"/>
  <c r="S612" i="1"/>
  <c r="H613" i="1"/>
  <c r="I613" i="1"/>
  <c r="J613" i="1"/>
  <c r="K613" i="1"/>
  <c r="L613" i="1"/>
  <c r="N613" i="1"/>
  <c r="O613" i="1"/>
  <c r="P613" i="1"/>
  <c r="Q613" i="1"/>
  <c r="S613" i="1"/>
  <c r="H614" i="1"/>
  <c r="I614" i="1"/>
  <c r="J614" i="1"/>
  <c r="K614" i="1"/>
  <c r="L614" i="1"/>
  <c r="N614" i="1"/>
  <c r="O614" i="1"/>
  <c r="P614" i="1"/>
  <c r="Q614" i="1"/>
  <c r="S614" i="1"/>
  <c r="H615" i="1"/>
  <c r="I615" i="1"/>
  <c r="J615" i="1"/>
  <c r="K615" i="1"/>
  <c r="L615" i="1"/>
  <c r="N615" i="1"/>
  <c r="O615" i="1"/>
  <c r="P615" i="1"/>
  <c r="Q615" i="1"/>
  <c r="S615" i="1"/>
  <c r="H616" i="1"/>
  <c r="I616" i="1"/>
  <c r="J616" i="1"/>
  <c r="K616" i="1"/>
  <c r="L616" i="1"/>
  <c r="N616" i="1"/>
  <c r="O616" i="1"/>
  <c r="P616" i="1"/>
  <c r="Q616" i="1"/>
  <c r="S616" i="1"/>
  <c r="H617" i="1"/>
  <c r="I617" i="1"/>
  <c r="J617" i="1"/>
  <c r="K617" i="1"/>
  <c r="L617" i="1"/>
  <c r="N617" i="1"/>
  <c r="O617" i="1"/>
  <c r="P617" i="1"/>
  <c r="Q617" i="1"/>
  <c r="S617" i="1"/>
  <c r="H618" i="1"/>
  <c r="I618" i="1"/>
  <c r="J618" i="1"/>
  <c r="K618" i="1"/>
  <c r="L618" i="1"/>
  <c r="N618" i="1"/>
  <c r="O618" i="1"/>
  <c r="P618" i="1"/>
  <c r="Q618" i="1"/>
  <c r="S618" i="1"/>
  <c r="H619" i="1"/>
  <c r="I619" i="1"/>
  <c r="J619" i="1"/>
  <c r="K619" i="1"/>
  <c r="L619" i="1"/>
  <c r="N619" i="1"/>
  <c r="O619" i="1"/>
  <c r="P619" i="1"/>
  <c r="Q619" i="1"/>
  <c r="S619" i="1"/>
  <c r="H620" i="1"/>
  <c r="I620" i="1"/>
  <c r="J620" i="1"/>
  <c r="K620" i="1"/>
  <c r="L620" i="1"/>
  <c r="N620" i="1"/>
  <c r="O620" i="1"/>
  <c r="P620" i="1"/>
  <c r="Q620" i="1"/>
  <c r="S620" i="1"/>
  <c r="H621" i="1"/>
  <c r="I621" i="1"/>
  <c r="J621" i="1"/>
  <c r="K621" i="1"/>
  <c r="L621" i="1"/>
  <c r="N621" i="1"/>
  <c r="O621" i="1"/>
  <c r="P621" i="1"/>
  <c r="Q621" i="1"/>
  <c r="S621" i="1"/>
  <c r="H622" i="1"/>
  <c r="I622" i="1"/>
  <c r="J622" i="1"/>
  <c r="K622" i="1"/>
  <c r="L622" i="1"/>
  <c r="N622" i="1"/>
  <c r="O622" i="1"/>
  <c r="P622" i="1"/>
  <c r="Q622" i="1"/>
  <c r="S622" i="1"/>
  <c r="H623" i="1"/>
  <c r="I623" i="1"/>
  <c r="J623" i="1"/>
  <c r="K623" i="1"/>
  <c r="L623" i="1"/>
  <c r="N623" i="1"/>
  <c r="O623" i="1"/>
  <c r="P623" i="1"/>
  <c r="Q623" i="1"/>
  <c r="S623" i="1"/>
  <c r="H624" i="1"/>
  <c r="I624" i="1"/>
  <c r="J624" i="1"/>
  <c r="K624" i="1"/>
  <c r="L624" i="1"/>
  <c r="N624" i="1"/>
  <c r="O624" i="1"/>
  <c r="P624" i="1"/>
  <c r="Q624" i="1"/>
  <c r="S624" i="1"/>
  <c r="H625" i="1"/>
  <c r="I625" i="1"/>
  <c r="J625" i="1"/>
  <c r="K625" i="1"/>
  <c r="L625" i="1"/>
  <c r="N625" i="1"/>
  <c r="O625" i="1"/>
  <c r="P625" i="1"/>
  <c r="Q625" i="1"/>
  <c r="S625" i="1"/>
  <c r="H626" i="1"/>
  <c r="I626" i="1"/>
  <c r="J626" i="1"/>
  <c r="K626" i="1"/>
  <c r="L626" i="1"/>
  <c r="N626" i="1"/>
  <c r="O626" i="1"/>
  <c r="P626" i="1"/>
  <c r="Q626" i="1"/>
  <c r="S626" i="1"/>
  <c r="H627" i="1"/>
  <c r="I627" i="1"/>
  <c r="J627" i="1"/>
  <c r="K627" i="1"/>
  <c r="L627" i="1"/>
  <c r="N627" i="1"/>
  <c r="O627" i="1"/>
  <c r="P627" i="1"/>
  <c r="Q627" i="1"/>
  <c r="S627" i="1"/>
  <c r="H628" i="1"/>
  <c r="I628" i="1"/>
  <c r="J628" i="1"/>
  <c r="K628" i="1"/>
  <c r="L628" i="1"/>
  <c r="N628" i="1"/>
  <c r="O628" i="1"/>
  <c r="P628" i="1"/>
  <c r="Q628" i="1"/>
  <c r="S628" i="1"/>
  <c r="H629" i="1"/>
  <c r="I629" i="1"/>
  <c r="J629" i="1"/>
  <c r="K629" i="1"/>
  <c r="L629" i="1"/>
  <c r="N629" i="1"/>
  <c r="O629" i="1"/>
  <c r="P629" i="1"/>
  <c r="Q629" i="1"/>
  <c r="S629" i="1"/>
  <c r="H630" i="1"/>
  <c r="I630" i="1"/>
  <c r="J630" i="1"/>
  <c r="K630" i="1"/>
  <c r="L630" i="1"/>
  <c r="N630" i="1"/>
  <c r="O630" i="1"/>
  <c r="P630" i="1"/>
  <c r="Q630" i="1"/>
  <c r="S630" i="1"/>
  <c r="H631" i="1"/>
  <c r="I631" i="1"/>
  <c r="J631" i="1"/>
  <c r="K631" i="1"/>
  <c r="L631" i="1"/>
  <c r="N631" i="1"/>
  <c r="O631" i="1"/>
  <c r="P631" i="1"/>
  <c r="Q631" i="1"/>
  <c r="S631" i="1"/>
  <c r="H632" i="1"/>
  <c r="I632" i="1"/>
  <c r="J632" i="1"/>
  <c r="K632" i="1"/>
  <c r="L632" i="1"/>
  <c r="N632" i="1"/>
  <c r="O632" i="1"/>
  <c r="P632" i="1"/>
  <c r="Q632" i="1"/>
  <c r="S632" i="1"/>
  <c r="H633" i="1"/>
  <c r="I633" i="1"/>
  <c r="J633" i="1"/>
  <c r="K633" i="1"/>
  <c r="L633" i="1"/>
  <c r="N633" i="1"/>
  <c r="O633" i="1"/>
  <c r="P633" i="1"/>
  <c r="Q633" i="1"/>
  <c r="S633" i="1"/>
  <c r="H634" i="1"/>
  <c r="I634" i="1"/>
  <c r="J634" i="1"/>
  <c r="K634" i="1"/>
  <c r="L634" i="1"/>
  <c r="N634" i="1"/>
  <c r="O634" i="1"/>
  <c r="P634" i="1"/>
  <c r="Q634" i="1"/>
  <c r="S634" i="1"/>
  <c r="H635" i="1"/>
  <c r="I635" i="1"/>
  <c r="J635" i="1"/>
  <c r="K635" i="1"/>
  <c r="L635" i="1"/>
  <c r="N635" i="1"/>
  <c r="O635" i="1"/>
  <c r="P635" i="1"/>
  <c r="Q635" i="1"/>
  <c r="S635" i="1"/>
  <c r="H636" i="1"/>
  <c r="I636" i="1"/>
  <c r="J636" i="1"/>
  <c r="K636" i="1"/>
  <c r="L636" i="1"/>
  <c r="N636" i="1"/>
  <c r="O636" i="1"/>
  <c r="P636" i="1"/>
  <c r="Q636" i="1"/>
  <c r="S636" i="1"/>
  <c r="H637" i="1"/>
  <c r="I637" i="1"/>
  <c r="J637" i="1"/>
  <c r="K637" i="1"/>
  <c r="L637" i="1"/>
  <c r="N637" i="1"/>
  <c r="O637" i="1"/>
  <c r="P637" i="1"/>
  <c r="Q637" i="1"/>
  <c r="S637" i="1"/>
  <c r="H638" i="1"/>
  <c r="I638" i="1"/>
  <c r="J638" i="1"/>
  <c r="K638" i="1"/>
  <c r="L638" i="1"/>
  <c r="N638" i="1"/>
  <c r="O638" i="1"/>
  <c r="P638" i="1"/>
  <c r="Q638" i="1"/>
  <c r="S638" i="1"/>
  <c r="H639" i="1"/>
  <c r="I639" i="1"/>
  <c r="J639" i="1"/>
  <c r="K639" i="1"/>
  <c r="L639" i="1"/>
  <c r="N639" i="1"/>
  <c r="O639" i="1"/>
  <c r="P639" i="1"/>
  <c r="Q639" i="1"/>
  <c r="S639" i="1"/>
  <c r="H640" i="1"/>
  <c r="I640" i="1"/>
  <c r="J640" i="1"/>
  <c r="K640" i="1"/>
  <c r="L640" i="1"/>
  <c r="N640" i="1"/>
  <c r="O640" i="1"/>
  <c r="P640" i="1"/>
  <c r="Q640" i="1"/>
  <c r="S640" i="1"/>
  <c r="H641" i="1"/>
  <c r="I641" i="1"/>
  <c r="J641" i="1"/>
  <c r="K641" i="1"/>
  <c r="L641" i="1"/>
  <c r="N641" i="1"/>
  <c r="O641" i="1"/>
  <c r="P641" i="1"/>
  <c r="Q641" i="1"/>
  <c r="S641" i="1"/>
  <c r="H642" i="1"/>
  <c r="I642" i="1"/>
  <c r="J642" i="1"/>
  <c r="K642" i="1"/>
  <c r="L642" i="1"/>
  <c r="N642" i="1"/>
  <c r="O642" i="1"/>
  <c r="P642" i="1"/>
  <c r="Q642" i="1"/>
  <c r="S642" i="1"/>
  <c r="H643" i="1"/>
  <c r="I643" i="1"/>
  <c r="J643" i="1"/>
  <c r="K643" i="1"/>
  <c r="L643" i="1"/>
  <c r="N643" i="1"/>
  <c r="O643" i="1"/>
  <c r="P643" i="1"/>
  <c r="Q643" i="1"/>
  <c r="S643" i="1"/>
  <c r="H644" i="1"/>
  <c r="I644" i="1"/>
  <c r="J644" i="1"/>
  <c r="K644" i="1"/>
  <c r="L644" i="1"/>
  <c r="N644" i="1"/>
  <c r="O644" i="1"/>
  <c r="P644" i="1"/>
  <c r="Q644" i="1"/>
  <c r="S644" i="1"/>
  <c r="H645" i="1"/>
  <c r="I645" i="1"/>
  <c r="J645" i="1"/>
  <c r="K645" i="1"/>
  <c r="L645" i="1"/>
  <c r="N645" i="1"/>
  <c r="O645" i="1"/>
  <c r="P645" i="1"/>
  <c r="Q645" i="1"/>
  <c r="S645" i="1"/>
  <c r="H646" i="1"/>
  <c r="I646" i="1"/>
  <c r="J646" i="1"/>
  <c r="K646" i="1"/>
  <c r="L646" i="1"/>
  <c r="N646" i="1"/>
  <c r="O646" i="1"/>
  <c r="P646" i="1"/>
  <c r="Q646" i="1"/>
  <c r="S646" i="1"/>
  <c r="H647" i="1"/>
  <c r="I647" i="1"/>
  <c r="J647" i="1"/>
  <c r="K647" i="1"/>
  <c r="L647" i="1"/>
  <c r="N647" i="1"/>
  <c r="O647" i="1"/>
  <c r="P647" i="1"/>
  <c r="Q647" i="1"/>
  <c r="S647" i="1"/>
  <c r="H648" i="1"/>
  <c r="I648" i="1"/>
  <c r="J648" i="1"/>
  <c r="K648" i="1"/>
  <c r="L648" i="1"/>
  <c r="N648" i="1"/>
  <c r="O648" i="1"/>
  <c r="P648" i="1"/>
  <c r="Q648" i="1"/>
  <c r="S648" i="1"/>
  <c r="H649" i="1"/>
  <c r="I649" i="1"/>
  <c r="J649" i="1"/>
  <c r="K649" i="1"/>
  <c r="L649" i="1"/>
  <c r="N649" i="1"/>
  <c r="O649" i="1"/>
  <c r="P649" i="1"/>
  <c r="Q649" i="1"/>
  <c r="S649" i="1"/>
  <c r="H650" i="1"/>
  <c r="I650" i="1"/>
  <c r="J650" i="1"/>
  <c r="K650" i="1"/>
  <c r="L650" i="1"/>
  <c r="N650" i="1"/>
  <c r="O650" i="1"/>
  <c r="P650" i="1"/>
  <c r="Q650" i="1"/>
  <c r="S650" i="1"/>
  <c r="H651" i="1"/>
  <c r="I651" i="1"/>
  <c r="J651" i="1"/>
  <c r="K651" i="1"/>
  <c r="L651" i="1"/>
  <c r="N651" i="1"/>
  <c r="O651" i="1"/>
  <c r="P651" i="1"/>
  <c r="Q651" i="1"/>
  <c r="S651" i="1"/>
  <c r="H652" i="1"/>
  <c r="I652" i="1"/>
  <c r="J652" i="1"/>
  <c r="K652" i="1"/>
  <c r="L652" i="1"/>
  <c r="N652" i="1"/>
  <c r="O652" i="1"/>
  <c r="P652" i="1"/>
  <c r="Q652" i="1"/>
  <c r="S652" i="1"/>
  <c r="H653" i="1"/>
  <c r="I653" i="1"/>
  <c r="J653" i="1"/>
  <c r="K653" i="1"/>
  <c r="L653" i="1"/>
  <c r="N653" i="1"/>
  <c r="O653" i="1"/>
  <c r="P653" i="1"/>
  <c r="Q653" i="1"/>
  <c r="S653" i="1"/>
  <c r="H654" i="1"/>
  <c r="I654" i="1"/>
  <c r="J654" i="1"/>
  <c r="K654" i="1"/>
  <c r="L654" i="1"/>
  <c r="N654" i="1"/>
  <c r="O654" i="1"/>
  <c r="P654" i="1"/>
  <c r="Q654" i="1"/>
  <c r="S654" i="1"/>
  <c r="H655" i="1"/>
  <c r="I655" i="1"/>
  <c r="J655" i="1"/>
  <c r="K655" i="1"/>
  <c r="L655" i="1"/>
  <c r="N655" i="1"/>
  <c r="O655" i="1"/>
  <c r="P655" i="1"/>
  <c r="Q655" i="1"/>
  <c r="S655" i="1"/>
  <c r="H656" i="1"/>
  <c r="I656" i="1"/>
  <c r="J656" i="1"/>
  <c r="K656" i="1"/>
  <c r="L656" i="1"/>
  <c r="N656" i="1"/>
  <c r="O656" i="1"/>
  <c r="P656" i="1"/>
  <c r="Q656" i="1"/>
  <c r="S656" i="1"/>
  <c r="H657" i="1"/>
  <c r="I657" i="1"/>
  <c r="J657" i="1"/>
  <c r="K657" i="1"/>
  <c r="L657" i="1"/>
  <c r="N657" i="1"/>
  <c r="O657" i="1"/>
  <c r="P657" i="1"/>
  <c r="Q657" i="1"/>
  <c r="S657" i="1"/>
  <c r="H658" i="1"/>
  <c r="I658" i="1"/>
  <c r="J658" i="1"/>
  <c r="K658" i="1"/>
  <c r="L658" i="1"/>
  <c r="N658" i="1"/>
  <c r="O658" i="1"/>
  <c r="P658" i="1"/>
  <c r="Q658" i="1"/>
  <c r="S658" i="1"/>
  <c r="H659" i="1"/>
  <c r="I659" i="1"/>
  <c r="J659" i="1"/>
  <c r="K659" i="1"/>
  <c r="L659" i="1"/>
  <c r="N659" i="1"/>
  <c r="O659" i="1"/>
  <c r="P659" i="1"/>
  <c r="Q659" i="1"/>
  <c r="S659" i="1"/>
  <c r="H660" i="1"/>
  <c r="I660" i="1"/>
  <c r="J660" i="1"/>
  <c r="K660" i="1"/>
  <c r="L660" i="1"/>
  <c r="N660" i="1"/>
  <c r="O660" i="1"/>
  <c r="P660" i="1"/>
  <c r="Q660" i="1"/>
  <c r="S660" i="1"/>
  <c r="H661" i="1"/>
  <c r="I661" i="1"/>
  <c r="J661" i="1"/>
  <c r="K661" i="1"/>
  <c r="L661" i="1"/>
  <c r="N661" i="1"/>
  <c r="O661" i="1"/>
  <c r="P661" i="1"/>
  <c r="Q661" i="1"/>
  <c r="S661" i="1"/>
  <c r="H662" i="1"/>
  <c r="I662" i="1"/>
  <c r="J662" i="1"/>
  <c r="K662" i="1"/>
  <c r="L662" i="1"/>
  <c r="N662" i="1"/>
  <c r="O662" i="1"/>
  <c r="P662" i="1"/>
  <c r="Q662" i="1"/>
  <c r="S662" i="1"/>
  <c r="H663" i="1"/>
  <c r="I663" i="1"/>
  <c r="J663" i="1"/>
  <c r="K663" i="1"/>
  <c r="L663" i="1"/>
  <c r="N663" i="1"/>
  <c r="O663" i="1"/>
  <c r="P663" i="1"/>
  <c r="Q663" i="1"/>
  <c r="S663" i="1"/>
  <c r="H664" i="1"/>
  <c r="I664" i="1"/>
  <c r="J664" i="1"/>
  <c r="K664" i="1"/>
  <c r="L664" i="1"/>
  <c r="N664" i="1"/>
  <c r="O664" i="1"/>
  <c r="P664" i="1"/>
  <c r="Q664" i="1"/>
  <c r="S664" i="1"/>
  <c r="H665" i="1"/>
  <c r="I665" i="1"/>
  <c r="J665" i="1"/>
  <c r="K665" i="1"/>
  <c r="L665" i="1"/>
  <c r="N665" i="1"/>
  <c r="O665" i="1"/>
  <c r="P665" i="1"/>
  <c r="Q665" i="1"/>
  <c r="S665" i="1"/>
  <c r="H666" i="1"/>
  <c r="I666" i="1"/>
  <c r="J666" i="1"/>
  <c r="K666" i="1"/>
  <c r="L666" i="1"/>
  <c r="N666" i="1"/>
  <c r="O666" i="1"/>
  <c r="P666" i="1"/>
  <c r="Q666" i="1"/>
  <c r="S666" i="1"/>
  <c r="H667" i="1"/>
  <c r="I667" i="1"/>
  <c r="J667" i="1"/>
  <c r="K667" i="1"/>
  <c r="L667" i="1"/>
  <c r="N667" i="1"/>
  <c r="O667" i="1"/>
  <c r="P667" i="1"/>
  <c r="Q667" i="1"/>
  <c r="S667" i="1"/>
  <c r="H668" i="1"/>
  <c r="I668" i="1"/>
  <c r="J668" i="1"/>
  <c r="K668" i="1"/>
  <c r="L668" i="1"/>
  <c r="N668" i="1"/>
  <c r="O668" i="1"/>
  <c r="P668" i="1"/>
  <c r="Q668" i="1"/>
  <c r="S668" i="1"/>
  <c r="H669" i="1"/>
  <c r="I669" i="1"/>
  <c r="J669" i="1"/>
  <c r="K669" i="1"/>
  <c r="L669" i="1"/>
  <c r="N669" i="1"/>
  <c r="O669" i="1"/>
  <c r="P669" i="1"/>
  <c r="Q669" i="1"/>
  <c r="S669" i="1"/>
  <c r="H670" i="1"/>
  <c r="I670" i="1"/>
  <c r="J670" i="1"/>
  <c r="K670" i="1"/>
  <c r="L670" i="1"/>
  <c r="N670" i="1"/>
  <c r="O670" i="1"/>
  <c r="P670" i="1"/>
  <c r="Q670" i="1"/>
  <c r="S670" i="1"/>
  <c r="H671" i="1"/>
  <c r="I671" i="1"/>
  <c r="J671" i="1"/>
  <c r="K671" i="1"/>
  <c r="L671" i="1"/>
  <c r="N671" i="1"/>
  <c r="O671" i="1"/>
  <c r="P671" i="1"/>
  <c r="Q671" i="1"/>
  <c r="S671" i="1"/>
  <c r="H672" i="1"/>
  <c r="I672" i="1"/>
  <c r="J672" i="1"/>
  <c r="K672" i="1"/>
  <c r="L672" i="1"/>
  <c r="N672" i="1"/>
  <c r="O672" i="1"/>
  <c r="P672" i="1"/>
  <c r="Q672" i="1"/>
  <c r="S672" i="1"/>
  <c r="H673" i="1"/>
  <c r="I673" i="1"/>
  <c r="J673" i="1"/>
  <c r="K673" i="1"/>
  <c r="L673" i="1"/>
  <c r="N673" i="1"/>
  <c r="O673" i="1"/>
  <c r="P673" i="1"/>
  <c r="Q673" i="1"/>
  <c r="S673" i="1"/>
  <c r="H674" i="1"/>
  <c r="I674" i="1"/>
  <c r="J674" i="1"/>
  <c r="K674" i="1"/>
  <c r="L674" i="1"/>
  <c r="N674" i="1"/>
  <c r="O674" i="1"/>
  <c r="P674" i="1"/>
  <c r="Q674" i="1"/>
  <c r="S674" i="1"/>
  <c r="H675" i="1"/>
  <c r="I675" i="1"/>
  <c r="J675" i="1"/>
  <c r="K675" i="1"/>
  <c r="L675" i="1"/>
  <c r="N675" i="1"/>
  <c r="O675" i="1"/>
  <c r="P675" i="1"/>
  <c r="Q675" i="1"/>
  <c r="S675" i="1"/>
  <c r="H677" i="1"/>
  <c r="I677" i="1"/>
  <c r="J677" i="1"/>
  <c r="K677" i="1"/>
  <c r="L677" i="1"/>
  <c r="N677" i="1"/>
  <c r="O677" i="1"/>
  <c r="P677" i="1"/>
  <c r="Q677" i="1"/>
  <c r="S677" i="1"/>
</calcChain>
</file>

<file path=xl/sharedStrings.xml><?xml version="1.0" encoding="utf-8"?>
<sst xmlns="http://schemas.openxmlformats.org/spreadsheetml/2006/main" count="1360" uniqueCount="1234">
  <si>
    <t/>
  </si>
  <si>
    <t>AJUNTAMENT DE VILADECANS</t>
  </si>
  <si>
    <t>Modificacions de Crèdit</t>
  </si>
  <si>
    <t>Període: 2024</t>
  </si>
  <si>
    <t>APLICACIÓ PRESSUPOSTÀRIA</t>
  </si>
  <si>
    <t>DESCRIPCIÓ</t>
  </si>
  <si>
    <t>CRÈDITS EXTRAORDINARIS</t>
  </si>
  <si>
    <t>SUPLEMENTS DE CRÈDIT</t>
  </si>
  <si>
    <t>AMPLIACIONS DE CRÈDIT</t>
  </si>
  <si>
    <t>TRANSFERÈNCIES DE CRÈDIT</t>
  </si>
  <si>
    <t>INCORPORACIÓ DE ROMANENTS DE CRÈDIT</t>
  </si>
  <si>
    <t>CRÈDITS GENERATS PER INGRESSOS</t>
  </si>
  <si>
    <t>BAIXES PER ANUL·LACIÓ</t>
  </si>
  <si>
    <t>AJUSTOS PER PRÒRROGA</t>
  </si>
  <si>
    <t>TOTAL MODIFICACIONS</t>
  </si>
  <si>
    <t>POSITIVES</t>
  </si>
  <si>
    <t>NEGATIVES</t>
  </si>
  <si>
    <t>10000 / 92000 / 12000</t>
  </si>
  <si>
    <t>SOU A1 DIRECCIÓ ÀMBIT PRESIDÈNCIA</t>
  </si>
  <si>
    <t>10000 / 92000 / 12100</t>
  </si>
  <si>
    <t>C.DESTÍ DIRECCIÓ ÀMBIT PRESIDÈNCIA</t>
  </si>
  <si>
    <t>10000 / 92000 / 12101</t>
  </si>
  <si>
    <t>C.ESP. DIRECCIÓ ÀMBIT PRESIDÈNCIA</t>
  </si>
  <si>
    <t>10000 / 92000 / 16000</t>
  </si>
  <si>
    <t>SS DIRECCIÓ ÀMBIT PRESIDÈNCIA</t>
  </si>
  <si>
    <t>10000 / 92006 / 12001</t>
  </si>
  <si>
    <t>SOU A2 AGENT LOCAL D’INNOVACIÓ 2024</t>
  </si>
  <si>
    <t>10000 / 92006 / 12100</t>
  </si>
  <si>
    <t>C. DESTÍ AGENT LOCAL D’INNOVACIÓ 2024</t>
  </si>
  <si>
    <t>10000 / 92006 / 12101</t>
  </si>
  <si>
    <t>C. ESP. AGENT LOCAL D’INNOVACIÓ 2024</t>
  </si>
  <si>
    <t>10000 / 92006 / 15000</t>
  </si>
  <si>
    <t>PROD. AGENT LOCAL D’INNOVACIÓ 2024</t>
  </si>
  <si>
    <t>10000 / 92006 / 16000</t>
  </si>
  <si>
    <t>SS AGENT LOCAL D’INNOVACIÓ 2024</t>
  </si>
  <si>
    <t>10200 / 49202 / 48901</t>
  </si>
  <si>
    <t>FCV: OFICINA ESTRATÈGIA 2030</t>
  </si>
  <si>
    <t>10200 / 92005 / 22699</t>
  </si>
  <si>
    <t>DESPESES DIVERSES ACCIONS PER L'IMPULS DE L'AGENDA 2030</t>
  </si>
  <si>
    <t>10200 / 92005 / 22799</t>
  </si>
  <si>
    <t>SERVEIS EXTERNS ACCIONS PER L'IMPULS DE L'AGENDA 2030</t>
  </si>
  <si>
    <t>10310 / 92000 / 22200</t>
  </si>
  <si>
    <t>CONSUMS TELÈFONS MUNICIPALS</t>
  </si>
  <si>
    <t>10310 / 92040 / 62600</t>
  </si>
  <si>
    <t>EQUIP PROCÉS INFORMACIÓ</t>
  </si>
  <si>
    <t>10311 / 92040 / 21600</t>
  </si>
  <si>
    <t>MANTENIMENT EQUIPS INFORMÀTICS</t>
  </si>
  <si>
    <t>10311 / 92040 / 22002</t>
  </si>
  <si>
    <t>CONSUMIBLES INFORMÀTICS</t>
  </si>
  <si>
    <t>10311 / 92040 / 22199</t>
  </si>
  <si>
    <t>EQUIPAMENT SISTEMES D'INFORMACIÓ</t>
  </si>
  <si>
    <t>11000 / 92000 / 22699</t>
  </si>
  <si>
    <t>DESP. DIVERSES ALCALDIA</t>
  </si>
  <si>
    <t>11000 / 93100 / 22706</t>
  </si>
  <si>
    <t>ACCIONS MILLORA CIUTAT I COMITES DE DIRECCIO</t>
  </si>
  <si>
    <t>11000 / 94300 / 46600</t>
  </si>
  <si>
    <t>QUOTA FEDERACIÓ MUNICIPIS CATALUNYA</t>
  </si>
  <si>
    <t>11400 / 13400 / 22699</t>
  </si>
  <si>
    <t>DESPESES PROJECTE GREENMOB</t>
  </si>
  <si>
    <t>11400 / 17200 / 22707</t>
  </si>
  <si>
    <t>PLANS URBAN MOBILITY ACTIONS (PUMA) - URBACT</t>
  </si>
  <si>
    <t>11400 / 17200 / 61900</t>
  </si>
  <si>
    <t>11400 / 49100 / 22799</t>
  </si>
  <si>
    <t>MITJANS DE COMUNICACIÓ MUNICIPALS</t>
  </si>
  <si>
    <t>11400 / 92000 / 22707</t>
  </si>
  <si>
    <t>PROGRAMES EUROPEUS COFINANÇATS</t>
  </si>
  <si>
    <t>11400 / 92210 / 22601</t>
  </si>
  <si>
    <t>ACTES INSTITUCIONALS</t>
  </si>
  <si>
    <t>11400 / 92500 / 22707</t>
  </si>
  <si>
    <t>NEXTGEN YOUTH NETWORK-URBACT</t>
  </si>
  <si>
    <t>11400 / 92500 / 62600</t>
  </si>
  <si>
    <t>11401 / 49100 / 22601</t>
  </si>
  <si>
    <t>COMUNIC. SERVEIS PÚBLICS I SENSIBILITZACIÓ CIUTADANA</t>
  </si>
  <si>
    <t>11401 / 49104 / 13100</t>
  </si>
  <si>
    <t>MRR RETRIB. PERS. LAB. TEMP. COMUNIC. PLA 3-30-300</t>
  </si>
  <si>
    <t>11401 / 49104 / 15000</t>
  </si>
  <si>
    <t>MRR PROD. PERS. LAB. TEMP. COMUNIC. PLA 3-30-300</t>
  </si>
  <si>
    <t>11401 / 49104 / 16000</t>
  </si>
  <si>
    <t>MRR SS PERS. LAB. TEMP. COMUNIC. PLA 3-30-300</t>
  </si>
  <si>
    <t>11401 / 49104 / 22799</t>
  </si>
  <si>
    <t>MRR SERVEIS COMUNICACIO PLA 3-30-300</t>
  </si>
  <si>
    <t>11500 / 15101 / 22799</t>
  </si>
  <si>
    <t>MRR SERVEIS PARTICIPACIO PLA 3-30-300</t>
  </si>
  <si>
    <t>11500 / 92400 / 22699</t>
  </si>
  <si>
    <t>INNOVACIÓ SOCIAL, GESTIÓ DISTRICTES I PART. CIUTADANA</t>
  </si>
  <si>
    <t>11500 / 93101 / 22706</t>
  </si>
  <si>
    <t>P.A.L. AGENDA URBANA - MILLORA CIUTAT I COMITÈS DIRECCIÓ</t>
  </si>
  <si>
    <t>15000 / 92000 / 22699</t>
  </si>
  <si>
    <t>GESTIÓ CONTROL QUALITAT SERVEIS</t>
  </si>
  <si>
    <t>15000 / 93100 / 15100</t>
  </si>
  <si>
    <t>GRATIFICACIONS ÀREA GOVERN INTERN I GESTIÓ RECURSOS MUNICIPALS</t>
  </si>
  <si>
    <t>15010 / 94200 / 46401</t>
  </si>
  <si>
    <t>A.M.B.: QUOTA P.I.E.</t>
  </si>
  <si>
    <t>15020 / 92000 / 12009</t>
  </si>
  <si>
    <t>DESPESES GRALS. ADM. GRAL. PERSONAL</t>
  </si>
  <si>
    <t>15020 / 92030 / 12000</t>
  </si>
  <si>
    <t>SOU A1 DEPARTAMENT RRHH</t>
  </si>
  <si>
    <t>15020 / 92030 / 12101</t>
  </si>
  <si>
    <t>C.ESP. DEPARTAMENT RRHH</t>
  </si>
  <si>
    <t>15020 / 92030 / 22799</t>
  </si>
  <si>
    <t>TREBALLS EXTERNS DE RRHH</t>
  </si>
  <si>
    <t>15020 / 92030 / 83000</t>
  </si>
  <si>
    <t>BESTRETES REINTEGRABLES PERSONAL (C.A.)</t>
  </si>
  <si>
    <t>15021 / 31100 / 22799</t>
  </si>
  <si>
    <t>SERVEIS VIGILÀNCIA PER LA SALUT</t>
  </si>
  <si>
    <t>15021 / 45910 / 22104</t>
  </si>
  <si>
    <t>COMPRA VESTUARI BRIGADA MUNICIPAL</t>
  </si>
  <si>
    <t>15021 / 92030 / 12000</t>
  </si>
  <si>
    <t>SOU A1 GESTIÓ ADMINISTRATIVA I REL. LABORALS</t>
  </si>
  <si>
    <t>15021 / 92030 / 12003</t>
  </si>
  <si>
    <t>SOU C1 GESTIÓ ADMINISTRATIVA I REL. LABORALS</t>
  </si>
  <si>
    <t>15021 / 92030 / 12100</t>
  </si>
  <si>
    <t>C.DESTÍ GESTIÓ ADMINISTRATIVA I REL. LABORALS</t>
  </si>
  <si>
    <t>15021 / 92030 / 12101</t>
  </si>
  <si>
    <t>C.ESP. GESTIÓ ADMINISTRATIVA I REL. LABORALS</t>
  </si>
  <si>
    <t>15021 / 92030 / 15000</t>
  </si>
  <si>
    <t>PRODUCT. GESTIÓ ADMINISTRATIVA I REL. LABORALS</t>
  </si>
  <si>
    <t>15021 / 92030 / 16000</t>
  </si>
  <si>
    <t>SS GESTIÓ ADMINISTRATIVA I REL. LABORALS</t>
  </si>
  <si>
    <t>15021 / 92030 / 22104</t>
  </si>
  <si>
    <t>COMPRA VESTUARI PERSONAL MUNICIPAL</t>
  </si>
  <si>
    <t>15022 / 32600 / 22699</t>
  </si>
  <si>
    <t>PROGRAMA COL·LABORACIÓ UNIVERSITAT</t>
  </si>
  <si>
    <t>15022 / 92000 / 22799</t>
  </si>
  <si>
    <t>CURSOS DE FORMACIÓ</t>
  </si>
  <si>
    <t>15022 / 92030 / 23300</t>
  </si>
  <si>
    <t>HAVERS ASSISTÈNCIA TRIBUNALS RR.HH.</t>
  </si>
  <si>
    <t>15030 / 17200 / 62604</t>
  </si>
  <si>
    <t>MRR ZBETDT: DIGITALITZACIÓ TRANSPORT</t>
  </si>
  <si>
    <t>15031 / 92040 / 62600</t>
  </si>
  <si>
    <t>MRR COMERÇ - S.I. EQUIPS PROCÈS INFORMACIÓ</t>
  </si>
  <si>
    <t>15040 / 23100 / 20200</t>
  </si>
  <si>
    <t>ARRENDAMENT LOCALS SERVEIS SOCIALS</t>
  </si>
  <si>
    <t>15040 / 92000 / 22400</t>
  </si>
  <si>
    <t>ACTUACIONS DANYS PATRIMONIALS (C.A.)</t>
  </si>
  <si>
    <t>15040 / 92000 / 22404</t>
  </si>
  <si>
    <t>ASSEGURANÇA VIDA DEL PERSONAL</t>
  </si>
  <si>
    <t>15040 / 92080 / 22707</t>
  </si>
  <si>
    <t>ASSESSORAMENT I DEFENSA JURÍDICA</t>
  </si>
  <si>
    <t>15060 / 13200 / 62400</t>
  </si>
  <si>
    <t>ADQUISICIÓ VEHICLES</t>
  </si>
  <si>
    <t>15060 / 32300 / 22199</t>
  </si>
  <si>
    <t>SUBMINISTRAMENTS DIVERSOS ESCOLES</t>
  </si>
  <si>
    <t>15060 / 92000 / 21300</t>
  </si>
  <si>
    <t>MANTENIMENT MAQUINÀRIA OFICINES</t>
  </si>
  <si>
    <t>15060 / 92000 / 21400</t>
  </si>
  <si>
    <t>CONSERVACIÓ VEHICLES</t>
  </si>
  <si>
    <t>15060 / 92000 / 22000</t>
  </si>
  <si>
    <t>MATERIAL OFICINA</t>
  </si>
  <si>
    <t>15060 / 92000 / 22103</t>
  </si>
  <si>
    <t>CONSUM CARBURANT VEHICLES</t>
  </si>
  <si>
    <t>15060 / 92000 / 22201</t>
  </si>
  <si>
    <t>SERVEI CORRESPONDÈNCIA-MISSATGERIA</t>
  </si>
  <si>
    <t>15060 / 92000 / 62500</t>
  </si>
  <si>
    <t>ADQUISICIÓ MOBILIARI</t>
  </si>
  <si>
    <t>15080 / 01110 / 31000</t>
  </si>
  <si>
    <t>INTERESSOS PRÉSTECS ENTITATS SECTOR PRIVAT</t>
  </si>
  <si>
    <t>15080 / 01110 / 46100</t>
  </si>
  <si>
    <t>RT DIBA: REINTEGRAMENT SUBV PCL</t>
  </si>
  <si>
    <t>15080 / 01110 / 91300</t>
  </si>
  <si>
    <t>AMORTITZACIÓ PRÉSTECS ENTITATS SECTOR PRIVAT</t>
  </si>
  <si>
    <t>15080 / 43100 / 22707</t>
  </si>
  <si>
    <t>GESTIÓ MONEDA LOCAL VILAWATT</t>
  </si>
  <si>
    <t>15080 / 93200 / 22708</t>
  </si>
  <si>
    <t>SERVEIS RECAPTACIÓ (C.A.)</t>
  </si>
  <si>
    <t>15081 / 93200 / 22707</t>
  </si>
  <si>
    <t>SERVEIS GESTIÓ TRIBUTÀRIA</t>
  </si>
  <si>
    <t>15090 / 92000 / 22707</t>
  </si>
  <si>
    <t>TREBALLS CONTROL FINANCER</t>
  </si>
  <si>
    <t>15130 / 13401 / 22707</t>
  </si>
  <si>
    <t>MRR ZBE2 DIGITALITZACIÓ TRANSPORT</t>
  </si>
  <si>
    <t>15130 / 13401 / 62600</t>
  </si>
  <si>
    <t>MRR ZBE2 EQUIPS DIGITALITZACIÓ TRANSPORT</t>
  </si>
  <si>
    <t>15130 / 17200 / 22707</t>
  </si>
  <si>
    <t>MRR ZBETDT: MANTENIMENT DIGITALIT. TRANSPORT</t>
  </si>
  <si>
    <t>15131 / 92041 / 22199</t>
  </si>
  <si>
    <t>MRR COMERÇ - EQUIPAMENT SISTEMES</t>
  </si>
  <si>
    <t>20000 / 17210 / 22699</t>
  </si>
  <si>
    <t>DESPESES CORRENTS VILAWATT</t>
  </si>
  <si>
    <t>20101 / 24100 / 22699</t>
  </si>
  <si>
    <t>DESPESES OCUPACIÓ COFINANÇATS</t>
  </si>
  <si>
    <t>20101 / 24100 / 22707</t>
  </si>
  <si>
    <t>SERVEIS D'OCUPACIÓ COFINANÇATS</t>
  </si>
  <si>
    <t>20101 / 24109 / 22699</t>
  </si>
  <si>
    <t>DESPESES PROGRAMA TREBALL ALS BARRIS 2023-24</t>
  </si>
  <si>
    <t>20101 / 24131 / 22699</t>
  </si>
  <si>
    <t>DESPESES PROGRAMA TREBALL ALS BARRIS 2022-23</t>
  </si>
  <si>
    <t>20101 / 24138 / 22707</t>
  </si>
  <si>
    <t>SERVEIS PROGRAMA TREBALL I FORMACIÓ CONV. ANT. 2023</t>
  </si>
  <si>
    <t>20101 / 24158 / 22707</t>
  </si>
  <si>
    <t>SERVEIS PROJECTE ASSESSORA'T 2022-23</t>
  </si>
  <si>
    <t>20101 / 24161 / 22707</t>
  </si>
  <si>
    <t>SERVEIS FÒRUM D'OCUPACIÓ VILADECANS 2022-23</t>
  </si>
  <si>
    <t>20101 / 24165 / 22707</t>
  </si>
  <si>
    <t>SERVEIS PUNT LABORAL JOVE 2022-23</t>
  </si>
  <si>
    <t>20101 / 24172 / 22707</t>
  </si>
  <si>
    <t>SERVEIS PROGRAMA 30 PLUS 2023</t>
  </si>
  <si>
    <t>20102 / 24103 / 22707</t>
  </si>
  <si>
    <t>SERVEIS PROJECTE DIGITAL TALENT 2022-23</t>
  </si>
  <si>
    <t>20102 / 24117 / 22707</t>
  </si>
  <si>
    <t>SERVEIS PROJECTE DIANA 2023-24</t>
  </si>
  <si>
    <t>20102 / 24118 / 22707</t>
  </si>
  <si>
    <t>SERVEIS PROGRAMA DIGITAL TALENT 2023-24</t>
  </si>
  <si>
    <t>20102 / 24154 / 22707</t>
  </si>
  <si>
    <t>PROGRAMA DE FORMACIÓ I INSERCIÓ (PFI-PTT)</t>
  </si>
  <si>
    <t>20102 / 24156 / 22699</t>
  </si>
  <si>
    <t>DESPESES FORMACIÓ OCUPACIONAL FOAP 2023</t>
  </si>
  <si>
    <t>20102 / 24156 / 22707</t>
  </si>
  <si>
    <t>SERVEIS FORMACIÓ OCUPACIONAL FOAP 2023</t>
  </si>
  <si>
    <t>20102 / 24164 / 22707</t>
  </si>
  <si>
    <t>SERVEIS ESCOLA NOVES OPORTUNITATS 2022-23</t>
  </si>
  <si>
    <t>20102 / 24173 / 22707</t>
  </si>
  <si>
    <t>MRR CENTRE DE CAPACITACIÓ DIGITAL</t>
  </si>
  <si>
    <t>20200 / 43300 / 62600</t>
  </si>
  <si>
    <t>INVERSIO ELECTRONICA SERVEI EMPRESA</t>
  </si>
  <si>
    <t>20201 / 43300 / 46200</t>
  </si>
  <si>
    <t>PROJECTES SUPRAMPALS. ACTIVITAT ECONOMICA</t>
  </si>
  <si>
    <t>20201 / 43300 / 48601</t>
  </si>
  <si>
    <t>CONVENI COOPERATIVA AGRÍCOLA DE VILADECANS</t>
  </si>
  <si>
    <t>20201 / 43300 / 48900</t>
  </si>
  <si>
    <t>APORTACIONS MUNICIPALS - CONVENIS I XARXES</t>
  </si>
  <si>
    <t>20201 / 43309 / 22707</t>
  </si>
  <si>
    <t>SERVEIS VILADECANS INNOVACIÓ EMPRESARIAL 2023-24</t>
  </si>
  <si>
    <t>20201 / 43311 / 22799</t>
  </si>
  <si>
    <t>SERVEIS BUILDING INNOVATION PROGRAM</t>
  </si>
  <si>
    <t>20201 / 43312 / 22707</t>
  </si>
  <si>
    <t>SERVEIS VILADECANS INNOVACIÓ EMPRESARIAL 2022-23</t>
  </si>
  <si>
    <t>20201 / 43314 / 22707</t>
  </si>
  <si>
    <t>SERVEIS ECOSISTEMA AEROPORTUARI 2022-23</t>
  </si>
  <si>
    <t>20201 / 43319 / 22707</t>
  </si>
  <si>
    <t>SERVEIS PROGRAMA CLSE 2022-23</t>
  </si>
  <si>
    <t>20201 / 43320 / 48903</t>
  </si>
  <si>
    <t>TRANSFERÈNCIES PROJECTE FEM FEINA AMB 2022-23</t>
  </si>
  <si>
    <t>20201 / 43321 / 22707</t>
  </si>
  <si>
    <t>SERVEIS ECOINDÚSTRIA 2023-24</t>
  </si>
  <si>
    <t>20201 / 43322 / 22707</t>
  </si>
  <si>
    <t>SEERVEIS PROJECTE COMUNITAT DELTA LABS 2023-24</t>
  </si>
  <si>
    <t>20202 / 43100 / 22707</t>
  </si>
  <si>
    <t>MRR COMERÇ - DESENVOLUPAMENT COMERÇ LOCAL</t>
  </si>
  <si>
    <t>20202 / 43100 / 22799</t>
  </si>
  <si>
    <t>MERCATS MUNICIPALS I SETMANAL</t>
  </si>
  <si>
    <t>20202 / 43100 / 48603</t>
  </si>
  <si>
    <t>CONVENI XARXA COMERCIAL DE VILADECANS</t>
  </si>
  <si>
    <t>20202 / 43200 / 22707</t>
  </si>
  <si>
    <t>DINAMITZACIÓ COMERÇ I TURISME</t>
  </si>
  <si>
    <t>20202 / 92000 / 62500</t>
  </si>
  <si>
    <t>MRR COMERÇ - MOBILIARI</t>
  </si>
  <si>
    <t>20202 / 92040 / 62600</t>
  </si>
  <si>
    <t>MRR COMERÇ - EQUIPS PROCÈS INFORMACIÓ</t>
  </si>
  <si>
    <t>20202 / 93300 / 63201</t>
  </si>
  <si>
    <t>MRR COMERÇ - REHABILITACIÓ EDIFICIS</t>
  </si>
  <si>
    <t>21000 / 13400 / 76400</t>
  </si>
  <si>
    <t>RT AMB: CTRA. C-245 CARRIL BUS-BICI</t>
  </si>
  <si>
    <t>21000 / 15100 / 11000</t>
  </si>
  <si>
    <t>RETRIB. BÀSIQUES PERS. EVENTUAL ÀREA PLANIFICACIÓ TERRITOR.</t>
  </si>
  <si>
    <t>21000 / 15100 / 11001</t>
  </si>
  <si>
    <t>RETRIB. COMPL. PERS. EVENTUAL ÀREA PLANIFICACIÓ TERRITORIAL</t>
  </si>
  <si>
    <t>21000 / 15100 / 44902</t>
  </si>
  <si>
    <t>VIMED: C.P. ASSISTÈNCIA TÈCNICA</t>
  </si>
  <si>
    <t>21000 / 15100 / 46400</t>
  </si>
  <si>
    <t>A.M.B.: PROTECCIÓ URBANÍSTICA PARC AGRARI</t>
  </si>
  <si>
    <t>21000 / 15100 / 74002</t>
  </si>
  <si>
    <t>VIMED SERVEIS CONSORCI DELTA BCN</t>
  </si>
  <si>
    <t>21000 / 15102 / 74002</t>
  </si>
  <si>
    <t>VIMED: C.P. ASSISTENCIA TECNICA</t>
  </si>
  <si>
    <t>21000 / 15200 / 44902</t>
  </si>
  <si>
    <t>VIMED: OLH</t>
  </si>
  <si>
    <t>21000 / 15301 / 74000</t>
  </si>
  <si>
    <t>CARRER S.ALLENDE (MONTSERRATINA)</t>
  </si>
  <si>
    <t>21000 / 16000 / 22699</t>
  </si>
  <si>
    <t>EXECUCIÓ ESCOMESES CLAVEGUERAM (C.A.)</t>
  </si>
  <si>
    <t>21000 / 16100 / 76400</t>
  </si>
  <si>
    <t>MILLORA XARXA ABASTAMENT D'AIGUA POTABLE - DIBA</t>
  </si>
  <si>
    <t>21000 / 17100 / 61900</t>
  </si>
  <si>
    <t>INVERSIONS MILLORA XARXA AIGUA NO POTABLE - DIBA</t>
  </si>
  <si>
    <t>21000 / 34200 / 76400</t>
  </si>
  <si>
    <t>AMB PISTES ESPORTIVES CAN SELLARES</t>
  </si>
  <si>
    <t>21000 / 92000 / 63200</t>
  </si>
  <si>
    <t>PATRIMONI MUNICIPAL DEL SÒL</t>
  </si>
  <si>
    <t>21010 / 15100 / 22707</t>
  </si>
  <si>
    <t>SERVEIS TÈCNICS EXTERNS</t>
  </si>
  <si>
    <t>21010 / 15100 / 61900</t>
  </si>
  <si>
    <t>ESTUDIS I PROJECTES</t>
  </si>
  <si>
    <t>21010 / 15101 / 13100</t>
  </si>
  <si>
    <t>MRR RETRIB. PERS. LAB. TEMP. PT PLA 3-30-300</t>
  </si>
  <si>
    <t>21010 / 15101 / 15000</t>
  </si>
  <si>
    <t>MRR PROD. PERS. LAB. TEMP. PT PLA 3-30-300</t>
  </si>
  <si>
    <t>21010 / 15101 / 16000</t>
  </si>
  <si>
    <t>MRR SEG.SOC. PERS. LAB. TEMP. PT PLA 3-30-300</t>
  </si>
  <si>
    <t>21010 / 15101 / 22799</t>
  </si>
  <si>
    <t>MRR SERVEIS I ASSISTENCIA TECNICA PT PLA 3-30-300</t>
  </si>
  <si>
    <t>21010 / 15101 / 23120</t>
  </si>
  <si>
    <t>MRR DIETES I LOCOMOCIO PT PLA 3-30-30</t>
  </si>
  <si>
    <t>21010 / 15101 / 60900</t>
  </si>
  <si>
    <t>MRR OBRES REURBAN. EIX VERD PLA 3-30-300</t>
  </si>
  <si>
    <t>21010 / 15300 / 60900</t>
  </si>
  <si>
    <t>INVERSIONS NOVES EN INFRAESTRUCTURES</t>
  </si>
  <si>
    <t>21010 / 17110 / 76400</t>
  </si>
  <si>
    <t>AMB: MILLORA ACCESOS PLATJES F.2 (PSG)</t>
  </si>
  <si>
    <t>21020 / 15100 / 60900</t>
  </si>
  <si>
    <t>(P.MPAL.SoL) EIXAMPLE CENTRE S.BARONÉ</t>
  </si>
  <si>
    <t>21020 / 15100 / 61900</t>
  </si>
  <si>
    <t>URB. RAMBLA MODOLELL. F.1</t>
  </si>
  <si>
    <t>21020 / 15100 / 74002</t>
  </si>
  <si>
    <t>VIMED: GESTIÓ RAMBLA MODOLELL</t>
  </si>
  <si>
    <t>21020 / 15104 / 61900</t>
  </si>
  <si>
    <t>RAMBLA MODOLELL FASE 2</t>
  </si>
  <si>
    <t>21020 / 15300 / 61900</t>
  </si>
  <si>
    <t>BARRI EIXAMPLE CENTRE S.BARONÉ</t>
  </si>
  <si>
    <t>21020 / 15300 / 61903</t>
  </si>
  <si>
    <t>URB. CARRER ANSELM CLAVÉ</t>
  </si>
  <si>
    <t>21020 / 34200 / 62100</t>
  </si>
  <si>
    <t>ADQUISICIO DE TERRENYS (Can Ginestar)</t>
  </si>
  <si>
    <t>21030 / 15100 / 60900</t>
  </si>
  <si>
    <t>MILLORA BARRI ALBARROSA</t>
  </si>
  <si>
    <t>21030 / 15100 / 61900</t>
  </si>
  <si>
    <t>DESP. URBANIST. C.ALEMANY, SERRALL I SABADELL</t>
  </si>
  <si>
    <t>21030 / 15100 / 61901</t>
  </si>
  <si>
    <t>EXEC. SUBSIDIARIA SIVIS- PL 13 ROSES</t>
  </si>
  <si>
    <t>21030 / 15105 / 22799</t>
  </si>
  <si>
    <t>EDIFICI CINEMES: DINAMITZACIÓ NUCLI URBÀ</t>
  </si>
  <si>
    <t>21030 / 15320 / 61900</t>
  </si>
  <si>
    <t>URB. ENTORN ESCOLES (A.Targa)</t>
  </si>
  <si>
    <t>21030 / 15320 / 74002</t>
  </si>
  <si>
    <t>VIMED: GESTIÓ URB. ENTORN ESCOLES</t>
  </si>
  <si>
    <t>21030 / 32600 / 63200</t>
  </si>
  <si>
    <t>MRR INVERSIO ESCOLA A.ROCA (E.O.I)</t>
  </si>
  <si>
    <t>21030 / 34200 / 62202</t>
  </si>
  <si>
    <t>CAMP DE FUTBOL ATRIUM FASE 2</t>
  </si>
  <si>
    <t>21030 / 34200 / 63200</t>
  </si>
  <si>
    <t>RT REFORMA I AMPLIACIO CAMP FUTBOL ATRIUM</t>
  </si>
  <si>
    <t>21030 / 34200 / 63206</t>
  </si>
  <si>
    <t>PISCINA EXTERIOR LLEVANT (red proj)</t>
  </si>
  <si>
    <t>21030 / 34200 / 63300</t>
  </si>
  <si>
    <t>ATRIUM ESPORTS INSTAL·LACIONS</t>
  </si>
  <si>
    <t>21030 / 42500 / 62301</t>
  </si>
  <si>
    <t>FOTOVOLTAIQUES- FEDER IDAE</t>
  </si>
  <si>
    <t>21030 / 42500 / 62302</t>
  </si>
  <si>
    <t>INVERSIONS EFICIÈNCIA ENERGÈTICA</t>
  </si>
  <si>
    <t>21030 / 92000 / 63200</t>
  </si>
  <si>
    <t>MRR REHABILITACIO TORRE MODOLELL</t>
  </si>
  <si>
    <t>21030 / 93300 / 63201</t>
  </si>
  <si>
    <t>REHABILITACIÓ EDIFICIS MUNICIPALS</t>
  </si>
  <si>
    <t>21030 / 93300 / 63202</t>
  </si>
  <si>
    <t>ADEQUACIO LOCAL PL. CONSTITUCIO</t>
  </si>
  <si>
    <t>21030 / 93301 / 74002</t>
  </si>
  <si>
    <t>VIMED: GESTIÓ OBRA LOCAL PL.CONSTITUCIO</t>
  </si>
  <si>
    <t>21031 / 43120 / 63201</t>
  </si>
  <si>
    <t>MRR COMERÇ - REHABILITACIÓ MERCAT MUNICIPAL</t>
  </si>
  <si>
    <t>21031 / 93300 / 63201</t>
  </si>
  <si>
    <t>REHABIL. I MILLORA EDIFICIS MUNICIPALS</t>
  </si>
  <si>
    <t>21031 / 93300 / 63300</t>
  </si>
  <si>
    <t>MAQUIN.I INSTAL.LAC. EDIFICIS MPALS</t>
  </si>
  <si>
    <t>21031 / 93301 / 21200</t>
  </si>
  <si>
    <t>MANTENIMENT I REPARACIÓ EDIFICIS</t>
  </si>
  <si>
    <t>21031 / 93320 / 21200</t>
  </si>
  <si>
    <t>MANTENIMENT I REPARACIÓ ESCOLES</t>
  </si>
  <si>
    <t>21031 / 93320 / 63200</t>
  </si>
  <si>
    <t>INVERSIONS ESCOLES</t>
  </si>
  <si>
    <t>22000 / 17000 / 46100</t>
  </si>
  <si>
    <t>DIBA: ALTRES TRANSFERÈNCIES MEDI AMBIENT</t>
  </si>
  <si>
    <t>22000 / 17000 / 46400</t>
  </si>
  <si>
    <t>AMB TRANSFERÈNCIES MEDI AMBIENT</t>
  </si>
  <si>
    <t>22000 / 91200 / 10000</t>
  </si>
  <si>
    <t>HAVERS REGIDORS DIR. ÀREA M. AMBIENT I SOST.</t>
  </si>
  <si>
    <t>22010 / 17110 / 22707</t>
  </si>
  <si>
    <t>MEDI NATURAL</t>
  </si>
  <si>
    <t>22010 / 17110 / 48000</t>
  </si>
  <si>
    <t>RT CONVENI UB ACTIVITATS PINEDA</t>
  </si>
  <si>
    <t>22010 / 17200 / 46400</t>
  </si>
  <si>
    <t>A.M.B.: CONVENI REDACCIÓ PLA CONCA EDAR GAVÀ-VILADECANS</t>
  </si>
  <si>
    <t>22010 / 17200 / 62300</t>
  </si>
  <si>
    <t>MAQUIN. I INSTAL. MEDI AMBIENT</t>
  </si>
  <si>
    <t>22020 / 16220 / 22799</t>
  </si>
  <si>
    <t>CAMPANYES MEDI AMBIENT</t>
  </si>
  <si>
    <t>22020 / 17210 / 22707</t>
  </si>
  <si>
    <t>EDUCACIÓ AMBIENTAL</t>
  </si>
  <si>
    <t>22020 / 17210 / 22799</t>
  </si>
  <si>
    <t>CIUTAT SOSTENIBLE</t>
  </si>
  <si>
    <t>22020 / 17210 / 48000</t>
  </si>
  <si>
    <t>RT PREMIS ESTALVI I EFICIENCIA ENERGETICA</t>
  </si>
  <si>
    <t>23000 / 43300 / 45000</t>
  </si>
  <si>
    <t>ALTRES TRANSF. GENERALITAT EMPRESA</t>
  </si>
  <si>
    <t>23000 / 43300 / 62600</t>
  </si>
  <si>
    <t>23000 / 43301 / 13105</t>
  </si>
  <si>
    <t>PERS. PROGRAMES EMPRESES COFINANÇAT</t>
  </si>
  <si>
    <t>23000 / 43301 / 16000</t>
  </si>
  <si>
    <t>SS PROGRAMES EMPRESES COFINANÇAT</t>
  </si>
  <si>
    <t>23001 / 24174 / 12001</t>
  </si>
  <si>
    <t>SOU BASE PROGRAMA AODL COMERÇ 2023-24</t>
  </si>
  <si>
    <t>23001 / 24174 / 12100</t>
  </si>
  <si>
    <t>C. DESTÍ PROGRAMA AODL COMERÇ 2023-24</t>
  </si>
  <si>
    <t>23001 / 24174 / 12101</t>
  </si>
  <si>
    <t>C. ESPECIFIC PROGRAMA AODL COMERÇ 2023-24</t>
  </si>
  <si>
    <t>23001 / 24174 / 15000</t>
  </si>
  <si>
    <t>PRODUCTIVITAT PROGRAMA AODL COMERÇ 2023-24</t>
  </si>
  <si>
    <t>23001 / 24174 / 16000</t>
  </si>
  <si>
    <t>SEG.SOC. PROGRAMA AODL COMERÇ 2023-24</t>
  </si>
  <si>
    <t>23001 / 43100 / 12001</t>
  </si>
  <si>
    <t>SOU BASE PROGRAMA AODL COMERÇ 2024-25</t>
  </si>
  <si>
    <t>23001 / 43100 / 12006</t>
  </si>
  <si>
    <t>TRIENNIS PROGRAMA AODL COMERÇ 2024-25</t>
  </si>
  <si>
    <t>23001 / 43100 / 12100</t>
  </si>
  <si>
    <t>C. DESTI PROGRAMA AODL COMERÇ 2024-25</t>
  </si>
  <si>
    <t>23001 / 43100 / 12101</t>
  </si>
  <si>
    <t>C. ESPECÍFIC PROGRAMA AODL COMERÇ 2024-25</t>
  </si>
  <si>
    <t>23001 / 43100 / 15000</t>
  </si>
  <si>
    <t>PRODUCTIVITAT PROGRAMA AODL COMERÇ 2024-25</t>
  </si>
  <si>
    <t>23001 / 43100 / 16000</t>
  </si>
  <si>
    <t>SEG. SOC. PROGRAMA AODL COMERÇ 2024-25</t>
  </si>
  <si>
    <t>23001 / 43100 / 22799</t>
  </si>
  <si>
    <t>23001 / 43100 / 48601</t>
  </si>
  <si>
    <t>CONVENI BONS XARXA CIAL VILADECANS</t>
  </si>
  <si>
    <t>23001 / 43110 / 22707</t>
  </si>
  <si>
    <t>FIRA DE SANT ISIDRE</t>
  </si>
  <si>
    <t>23001 / 43200 / 22707</t>
  </si>
  <si>
    <t>23001 / 43201 / 22706</t>
  </si>
  <si>
    <t>SERVEIS PSTD COSTA BARCELONA DELTA LLOBREGAT</t>
  </si>
  <si>
    <t>23001 / 43201 / 62521</t>
  </si>
  <si>
    <t>MRR INVERSIÓ PSTD COSTA BARCELONA DELTA LLOBREGAT</t>
  </si>
  <si>
    <t>23001 / 43300 / 48602</t>
  </si>
  <si>
    <t>CONVENI GREMI D'HOSTALERIA</t>
  </si>
  <si>
    <t>23002 / 42200 / 22699</t>
  </si>
  <si>
    <t>INNOVACIÓ INDÚSTRIA I DESENV. ECO. I EMPRESARIAL IND+I</t>
  </si>
  <si>
    <t>23002 / 43000 / 22799</t>
  </si>
  <si>
    <t>DINAMITZACIÓ EMPRESA i EMPRENEDORIA</t>
  </si>
  <si>
    <t>23002 / 43300 / 12001</t>
  </si>
  <si>
    <t>SOU A2 UNITAT EMPRESES I EMPRENEDORIA</t>
  </si>
  <si>
    <t>23002 / 43300 / 12006</t>
  </si>
  <si>
    <t>TRIENNIS UNITAT EMPRESES I EMPRENEDORIA</t>
  </si>
  <si>
    <t>23002 / 43300 / 12100</t>
  </si>
  <si>
    <t>C.DESTÍ UNITAT EMPRESES I EMPRENEDORIA</t>
  </si>
  <si>
    <t>23002 / 43300 / 12101</t>
  </si>
  <si>
    <t>C.ESP. UNITAT EMPRESES I EMPRENEDORIA</t>
  </si>
  <si>
    <t>23002 / 43300 / 15000</t>
  </si>
  <si>
    <t>PRODUCT. UNITAT EMPRESES I EMPRENEDORIA</t>
  </si>
  <si>
    <t>23002 / 43300 / 16000</t>
  </si>
  <si>
    <t>SS UNITAT EMPRESES I EMPRENEDORIA</t>
  </si>
  <si>
    <t>23002 / 43300 / 48001</t>
  </si>
  <si>
    <t>SUBVENCIONS EMPRESA i EMPRENEDORIA</t>
  </si>
  <si>
    <t>23002 / 43305 / 22707</t>
  </si>
  <si>
    <t>SERVEIS PROJECTE VILADECANS INNOVACIÓ EMPRESARIAL 2024-2025</t>
  </si>
  <si>
    <t>23002 / 43306 / 15000</t>
  </si>
  <si>
    <t>PRODUCTIVITAT BUILDING INNOVATION PROGRAM 2024 FSE</t>
  </si>
  <si>
    <t>23002 / 43306 / 22799</t>
  </si>
  <si>
    <t>SERVEIS BUILDING INNOVATION PROGRAM 2024 FSE</t>
  </si>
  <si>
    <t>23002 / 43307 / 12001</t>
  </si>
  <si>
    <t>SOU BASE PROGRAMA AODL EMPRESA 2023-24</t>
  </si>
  <si>
    <t>23002 / 43307 / 12006</t>
  </si>
  <si>
    <t>TRIENNIS PROGRAMA AODL 2023-24</t>
  </si>
  <si>
    <t>23002 / 43307 / 12100</t>
  </si>
  <si>
    <t>C. DESTÍ PROGRAMA AODL EMPRESA 2023-24</t>
  </si>
  <si>
    <t>23002 / 43307 / 12101</t>
  </si>
  <si>
    <t>C. ESPECÍFIC PROGRAMA AODL EMPRESA 2023-24</t>
  </si>
  <si>
    <t>23002 / 43307 / 15000</t>
  </si>
  <si>
    <t>PRODUCTIVITAT PROGRAMA AODL EMPRESA 2023-24</t>
  </si>
  <si>
    <t>23002 / 43307 / 16000</t>
  </si>
  <si>
    <t>SEG. SOC. PROGRAMA AODL EMPRESA 2023-24</t>
  </si>
  <si>
    <t>23002 / 43318 / 22799</t>
  </si>
  <si>
    <t>INNOVACIÓ I DIGITALITZACIÓ COMERÇ I TURISME</t>
  </si>
  <si>
    <t>23002 / 43322 / 12000</t>
  </si>
  <si>
    <t>SOU A1 PROJECTE COMUNITAT DELTA LABS 2023-24</t>
  </si>
  <si>
    <t>23002 / 43322 / 12006</t>
  </si>
  <si>
    <t>TRIENNIS PROJECTE COMUNITAT DELTA LABS</t>
  </si>
  <si>
    <t>23002 / 43322 / 12100</t>
  </si>
  <si>
    <t>C. DESTÍ PROJECTE COMUNITAT DELTA LABS 2023-24</t>
  </si>
  <si>
    <t>23002 / 43322 / 12101</t>
  </si>
  <si>
    <t>C. ESPECÍFIC PROJECTE COMUNITAT DELTA LABS 2023-24</t>
  </si>
  <si>
    <t>23002 / 43322 / 15000</t>
  </si>
  <si>
    <t>PRODUCTIVITAT PROJECTE COMUNITAT DELTA LABS 2023-24</t>
  </si>
  <si>
    <t>23002 / 43322 / 16000</t>
  </si>
  <si>
    <t>SEG. SOC. PROJECTE COMUNITAT DELTA LABS 2023-24</t>
  </si>
  <si>
    <t>23002 / 43323 / 12001</t>
  </si>
  <si>
    <t>SOU BASE PROGRAMA NOU AODL EMPRESA 2023-24</t>
  </si>
  <si>
    <t>23002 / 43323 / 12100</t>
  </si>
  <si>
    <t>C. DESTÍ PROGRAMA NOU AODL EMPRESA 2023-24</t>
  </si>
  <si>
    <t>23002 / 43323 / 12101</t>
  </si>
  <si>
    <t>C. ESPECÍFIC PROGRAMA NOU AODL EMPRESA 2023-24</t>
  </si>
  <si>
    <t>23002 / 43323 / 15000</t>
  </si>
  <si>
    <t>PRODUCTIVITAT PROGRAMA NOU AODL EMPRESA 2023-24</t>
  </si>
  <si>
    <t>23002 / 43323 / 16000</t>
  </si>
  <si>
    <t>SEG. SOC. PROGRAMA NOU AODL EMPRESA 2023-24</t>
  </si>
  <si>
    <t>23002 / 43324 / 12001</t>
  </si>
  <si>
    <t>SOU A2 PROGRAMA CLSE 2024-2027</t>
  </si>
  <si>
    <t>23002 / 43324 / 12006</t>
  </si>
  <si>
    <t>TRIENNIS PROGRAMA CLSE 2024-2027</t>
  </si>
  <si>
    <t>23002 / 43324 / 12100</t>
  </si>
  <si>
    <t>C. DESTI PROGRAMA CLSE 2024-2027</t>
  </si>
  <si>
    <t>23002 / 43324 / 12101</t>
  </si>
  <si>
    <t>C. ESPECÍFIC PROGRAMA CLSE 2024-2027</t>
  </si>
  <si>
    <t>23002 / 43324 / 15000</t>
  </si>
  <si>
    <t>PRODUCTIVITAT PROGRAMA CLSE 2024-2027</t>
  </si>
  <si>
    <t>23002 / 43324 / 16000</t>
  </si>
  <si>
    <t>SEG. SOC. PROGRAMA CLSE 2024-2027</t>
  </si>
  <si>
    <t>23002 / 43324 / 22707</t>
  </si>
  <si>
    <t>SERVEIS PROGRAMA CLSE 2024-2027</t>
  </si>
  <si>
    <t>23002 / 43324 / 46200</t>
  </si>
  <si>
    <t>TRANSFERÈNCIES PROGRAMA CLSE 2024-2027</t>
  </si>
  <si>
    <t>23002 / 43325 / 22707</t>
  </si>
  <si>
    <t>SERVEIS PROJECTE ECOINDÚSTRIA 2024-2025</t>
  </si>
  <si>
    <t>23002 / 43325 / 46200</t>
  </si>
  <si>
    <t>TRANSFERÈNCIES PROJECTE ECOINDÚSTRIA 2024-2025</t>
  </si>
  <si>
    <t>23002 / 43326 / 12001</t>
  </si>
  <si>
    <t>SOU A2 PROJECTE AGRODELTALAB 2024-25</t>
  </si>
  <si>
    <t>23002 / 43326 / 12100</t>
  </si>
  <si>
    <t>C. DESTÍ  PROJECTE AGRODELTALAB 2024-25</t>
  </si>
  <si>
    <t>23002 / 43326 / 12101</t>
  </si>
  <si>
    <t>C. ESPECIFIC PROJECTE AGRODELTALAB 2024-25</t>
  </si>
  <si>
    <t>23002 / 43326 / 15000</t>
  </si>
  <si>
    <t>PRODUCTIVITAT PROJECTE AGRODELTALAB 2024-25</t>
  </si>
  <si>
    <t>23002 / 43326 / 16000</t>
  </si>
  <si>
    <t>SEG. SOC. PROJECTE AGRODELTALAB 2024-25</t>
  </si>
  <si>
    <t>23002 / 43326 / 22707</t>
  </si>
  <si>
    <t>SERVEIS PROJECTE AGRODELTALAB 2024-25</t>
  </si>
  <si>
    <t>23002 / 43327 / 12001</t>
  </si>
  <si>
    <t>SOU A2 PROJECTE AODL EMPRESA 2024-25</t>
  </si>
  <si>
    <t>23002 / 43327 / 12006</t>
  </si>
  <si>
    <t>TRIENNIS PROJECTE AODL EMPRESA 2024-25</t>
  </si>
  <si>
    <t>23002 / 43327 / 12100</t>
  </si>
  <si>
    <t>C. DESTÍ PROJECTE AODL EMPRESA 2024-25</t>
  </si>
  <si>
    <t>23002 / 43327 / 12101</t>
  </si>
  <si>
    <t>C. ESPECÍFIC PROJECTE AODL EMPRESA 2024-25</t>
  </si>
  <si>
    <t>23002 / 43327 / 15000</t>
  </si>
  <si>
    <t>PRODUCTIVITAT PROJECTE AODL EMPRESA 2024-25</t>
  </si>
  <si>
    <t>23002 / 43327 / 16000</t>
  </si>
  <si>
    <t>SEG. SOC. PROJECTE AODL EMPRESA 2024-25</t>
  </si>
  <si>
    <t>23002 / 43328 / 12001</t>
  </si>
  <si>
    <t>SOU A2 PROGRAMA EMPRÉN CAT 2024-25</t>
  </si>
  <si>
    <t>23002 / 43328 / 12100</t>
  </si>
  <si>
    <t>C. DESTÍ PROGRAMA EMPRÉN CAT 2024-25</t>
  </si>
  <si>
    <t>23002 / 43328 / 12101</t>
  </si>
  <si>
    <t>C. ESPECÍFIC PROGRAMA EMPRÉN CAT 2024-25</t>
  </si>
  <si>
    <t>23002 / 43328 / 15000</t>
  </si>
  <si>
    <t>PRODUCTIVITAT PROGRAMA EMPRÉN CAT 2024-25</t>
  </si>
  <si>
    <t>23002 / 43328 / 16000</t>
  </si>
  <si>
    <t>SEG. SOC. PROGRAMA EMPRÉN CAT 2024-25</t>
  </si>
  <si>
    <t>23002 / 43328 / 22799</t>
  </si>
  <si>
    <t>SERVEIS PROGRAMA EMPRÉN CAT 2024-25</t>
  </si>
  <si>
    <t>23010 / 24100 / 45000</t>
  </si>
  <si>
    <t>ALTRES TRANSF. GENERALITAT FORMACIÓ I OCUPACIÓ</t>
  </si>
  <si>
    <t>23011 / 24110 / 22606</t>
  </si>
  <si>
    <t>DESPESES FORMACIÓ COFINANÇATS</t>
  </si>
  <si>
    <t>23011 / 24111 / 12001</t>
  </si>
  <si>
    <t>SOU A2 PROJECTE INCLUSIÓ DIGITAL: CONNECTA'TIC 2024-2025</t>
  </si>
  <si>
    <t>23011 / 24111 / 12100</t>
  </si>
  <si>
    <t>C. DESTÍ PROJECTE INCLUSIÓ DIGITAL: CONNECTA'TIC 2024-2025</t>
  </si>
  <si>
    <t>23011 / 24111 / 12101</t>
  </si>
  <si>
    <t>C. ESPECÍFIC PROJECTE INCLUSIÓ DIGITAL: CONNECTA'TIC 2024-2025</t>
  </si>
  <si>
    <t>23011 / 24111 / 15000</t>
  </si>
  <si>
    <t>PRODUCTIVITAT PROJECTE INCLUSIÓ DIGITAL: CONNECTA'TIC 2024-2025</t>
  </si>
  <si>
    <t>23011 / 24111 / 16000</t>
  </si>
  <si>
    <t>SEG.SOC. PROJECTE INCLUSIÓ DIGITAL: CONNECTA'TIC 2024-2025</t>
  </si>
  <si>
    <t>23011 / 24111 / 22707</t>
  </si>
  <si>
    <t>SERVEIS PROJECTE INCLUSIÓ DIGITAL: CONNECTA'TIC 2024-2025</t>
  </si>
  <si>
    <t>23011 / 24112 / 12001</t>
  </si>
  <si>
    <t>SOU A2 FORMACIÓ OCUPACIONAL FOAP 2024</t>
  </si>
  <si>
    <t>23011 / 24112 / 12006</t>
  </si>
  <si>
    <t>TRIENNIS FORMACIÓ OCUPACIONAL FOAP 2024</t>
  </si>
  <si>
    <t>23011 / 24112 / 12100</t>
  </si>
  <si>
    <t>C. DESTI FORMACIÓ OCUPACIONAL FOAP 2024</t>
  </si>
  <si>
    <t>23011 / 24112 / 12101</t>
  </si>
  <si>
    <t>C. ESPECIFIC FORMACIÓ OCUPACIONAL FOAP 2024</t>
  </si>
  <si>
    <t>23011 / 24112 / 15000</t>
  </si>
  <si>
    <t>PRODUCTIVITAT FORMACIÓ OCUPACIONAL FOAP 2024</t>
  </si>
  <si>
    <t>23011 / 24112 / 16000</t>
  </si>
  <si>
    <t>SEG. SOC. FORMACIÓ OCUPACIONAL FOAP 2024</t>
  </si>
  <si>
    <t>23011 / 24112 / 22699</t>
  </si>
  <si>
    <t>DESPESES FORMACIÓ OCUPACIONAL FOAP 2024</t>
  </si>
  <si>
    <t>23011 / 24112 / 22707</t>
  </si>
  <si>
    <t>SERVEIS FORMACIÓ OCUPACIONAL FOAP 2024</t>
  </si>
  <si>
    <t>23011 / 24114 / 12001</t>
  </si>
  <si>
    <t>SOU A2 PROGRAMA 30 PLUS 2024</t>
  </si>
  <si>
    <t>23011 / 24114 / 12006</t>
  </si>
  <si>
    <t>TRIENNIS PROGRAMA 30 PLUS 2024</t>
  </si>
  <si>
    <t>23011 / 24114 / 12100</t>
  </si>
  <si>
    <t>C. DESTÍ PROGRAMA 30 PLUS 2024</t>
  </si>
  <si>
    <t>23011 / 24114 / 12101</t>
  </si>
  <si>
    <t>C. ESPECIFIC PROGRAMA 30 PLUS 2024</t>
  </si>
  <si>
    <t>23011 / 24114 / 15000</t>
  </si>
  <si>
    <t>C. PRODUCTIVITAT PROGRAMA 30 PLUS 2024</t>
  </si>
  <si>
    <t>23011 / 24114 / 16000</t>
  </si>
  <si>
    <t>SEG. SOCIAL PROGRAMA 30 PLUS 2024</t>
  </si>
  <si>
    <t>23011 / 24114 / 22707</t>
  </si>
  <si>
    <t>SERVEIS PROGRAMA 30 PLUS 2024</t>
  </si>
  <si>
    <t>23011 / 24117 / 12001</t>
  </si>
  <si>
    <t>SOU A2 PROJECTE DIANA 2023-24</t>
  </si>
  <si>
    <t>23011 / 24117 / 12100</t>
  </si>
  <si>
    <t>C. DESTÍ PROJECTE DIANA 2023-24</t>
  </si>
  <si>
    <t>23011 / 24117 / 12101</t>
  </si>
  <si>
    <t>C. ESPECÍFIC PROJECTE DIANA 2023-24</t>
  </si>
  <si>
    <t>23011 / 24117 / 15000</t>
  </si>
  <si>
    <t>PRODUCTIVITAT PROJECTE DIANA 2023-24</t>
  </si>
  <si>
    <t>23011 / 24117 / 16000</t>
  </si>
  <si>
    <t>SEG. SOC. PROJECTE DIANA 2023-24</t>
  </si>
  <si>
    <t>23011 / 24120 / 12001</t>
  </si>
  <si>
    <t>SOU A2 PROJECTE DIANA: CAPACITACIÓ DEL TALENT 2024-25</t>
  </si>
  <si>
    <t>23011 / 24120 / 12100</t>
  </si>
  <si>
    <t>C. DESTÍ PROJECTE DIANA: CAPACITACIÓ DEL TALENT 2024-25</t>
  </si>
  <si>
    <t>23011 / 24120 / 12101</t>
  </si>
  <si>
    <t>C. ESPECÍFIC PROJECTE DIANA: CAPACITACIÓ DEL TALENT 2024-25</t>
  </si>
  <si>
    <t>23011 / 24120 / 15000</t>
  </si>
  <si>
    <t>PRODUCTIVITAT PROJECTE DIANA: CAPACITACIÓ DEL TALENT 2024-25</t>
  </si>
  <si>
    <t>23011 / 24120 / 16000</t>
  </si>
  <si>
    <t>SEG. SOC. PROJECTE DIANA: CAPACITACIÓ DEL TALENT 2024-25</t>
  </si>
  <si>
    <t>23011 / 24120 / 22707</t>
  </si>
  <si>
    <t>SERVEIS PROJECTE DIANA: CAPACITACIÓ DEL TALENT 2024-25</t>
  </si>
  <si>
    <t>23011 / 24121 / 22707</t>
  </si>
  <si>
    <t>MRR PROGRAMA ADA 2024</t>
  </si>
  <si>
    <t>23011 / 24151 / 12001</t>
  </si>
  <si>
    <t>SOU A2 PROJECTE ENO</t>
  </si>
  <si>
    <t>23011 / 24151 / 12100</t>
  </si>
  <si>
    <t>C. DESTÍ PROJECTE ENO</t>
  </si>
  <si>
    <t>23011 / 24151 / 12101</t>
  </si>
  <si>
    <t>C. ESP. PROJECTE ENO</t>
  </si>
  <si>
    <t>23011 / 24151 / 15000</t>
  </si>
  <si>
    <t>PROD. PROJECTE ENO</t>
  </si>
  <si>
    <t>23011 / 24151 / 16000</t>
  </si>
  <si>
    <t>SS PROJECTE ENO</t>
  </si>
  <si>
    <t>23011 / 24151 / 22707</t>
  </si>
  <si>
    <t>ESCOLA NOVES OPORTUNITATS</t>
  </si>
  <si>
    <t>23012 / 24100 / 22699</t>
  </si>
  <si>
    <t>23012 / 24100 / 22707</t>
  </si>
  <si>
    <t>23012 / 24105 / 13105</t>
  </si>
  <si>
    <t>PERS. PROGRAMES OCUPACIÓ COFINANÇATS</t>
  </si>
  <si>
    <t>23012 / 24105 / 16000</t>
  </si>
  <si>
    <t>SS PROGRAMES OCUPACIÓ COFINANÇATS</t>
  </si>
  <si>
    <t>23012 / 24109 / 12001</t>
  </si>
  <si>
    <t>SOU A2 PROGRAMA TREBALL ALS BARRIS 2023-24</t>
  </si>
  <si>
    <t>23012 / 24109 / 12004</t>
  </si>
  <si>
    <t>SOU C2 PROGRAMA TREBALL ALS BARRIS 2023-24</t>
  </si>
  <si>
    <t>23012 / 24109 / 12006</t>
  </si>
  <si>
    <t>TRIENNIS PROGRAMA TREBALL ALS BARRIS 2023-24</t>
  </si>
  <si>
    <t>23012 / 24109 / 12100</t>
  </si>
  <si>
    <t>C. Destí PROGRAMA TREBALL ALS BARRIS 2023-24</t>
  </si>
  <si>
    <t>23012 / 24109 / 12101</t>
  </si>
  <si>
    <t>C. ESPECIFIC PROGRAMA TREBALL ALS BARRIS 2023-24</t>
  </si>
  <si>
    <t>23012 / 24109 / 13105</t>
  </si>
  <si>
    <t>PERSONAL TREBALLS ALS BARRIS 2023-24</t>
  </si>
  <si>
    <t>23012 / 24109 / 15000</t>
  </si>
  <si>
    <t>PRODUCTIVITAT PROGRAMA TREBALL ALS BARRIS 2023-24</t>
  </si>
  <si>
    <t>23012 / 24109 / 16000</t>
  </si>
  <si>
    <t>SEG. SOC. PROGRAMA TREBALL ALS BARRIS 2023-24</t>
  </si>
  <si>
    <t>23012 / 24113 / 12001</t>
  </si>
  <si>
    <t>SOU A2 PROGRAMA TREBALL I FORMACIÓ ACOL 2023</t>
  </si>
  <si>
    <t>23012 / 24113 / 12100</t>
  </si>
  <si>
    <t>C. DESTÍ PROGRAMA TREBALL I FORMACIÓ ACOL 2023</t>
  </si>
  <si>
    <t>23012 / 24113 / 12101</t>
  </si>
  <si>
    <t>C. ESPECÍFIC PROGRAMA TREBALL I FORMACIÓ ACOL 2023</t>
  </si>
  <si>
    <t>23012 / 24113 / 13105</t>
  </si>
  <si>
    <t>PERSONAL PROGRAMA TREBALL I FORMACIÓ ACOL 2023</t>
  </si>
  <si>
    <t>23012 / 24113 / 15000</t>
  </si>
  <si>
    <t>PRODUCTIVITAT PROGRAMA TREBALL I FORMACIÓ ACOL 2023</t>
  </si>
  <si>
    <t>23012 / 24113 / 16000</t>
  </si>
  <si>
    <t>SEG. SOC. PROGRAMA TREBALL I FORMACIÓ ACOL 2023</t>
  </si>
  <si>
    <t>23012 / 24116 / 12001</t>
  </si>
  <si>
    <t>SOU A2 PROGRAMA TREBALL ALS BARRIS 2024-25</t>
  </si>
  <si>
    <t>23012 / 24116 / 12004</t>
  </si>
  <si>
    <t>SOU C2 PROGRAMA TREBALL ALS BARRIS 2024-25</t>
  </si>
  <si>
    <t>23012 / 24116 / 12006</t>
  </si>
  <si>
    <t>TRIENNIS PROGRAMA TREBALL ALS BARRIS 2024-25</t>
  </si>
  <si>
    <t>23012 / 24116 / 12100</t>
  </si>
  <si>
    <t>C. DESTI PROGRAMA TREBALL ALS BARRIS 2024-25</t>
  </si>
  <si>
    <t>23012 / 24116 / 12101</t>
  </si>
  <si>
    <t>C. ESPECÍFIC PROGRAMA TREBALL ALS BARRIS 2024-25</t>
  </si>
  <si>
    <t>23012 / 24116 / 13105</t>
  </si>
  <si>
    <t>PERSONAL PROGRAMA TREBALL ALS BARRIS 2024-25</t>
  </si>
  <si>
    <t>23012 / 24116 / 15000</t>
  </si>
  <si>
    <t>PRODUCTIVITAT PROGRAMA TREBALL ALS BARRIS 2024-25</t>
  </si>
  <si>
    <t>23012 / 24116 / 16000</t>
  </si>
  <si>
    <t>SEG. SOC. PROGRAMA TREBALL ALS BARRIS 2024-25</t>
  </si>
  <si>
    <t>23012 / 24119 / 12001</t>
  </si>
  <si>
    <t>SOU A2 SERVEI D'ORIENTACIÓ LABORAL 2024-25</t>
  </si>
  <si>
    <t>23012 / 24119 / 12100</t>
  </si>
  <si>
    <t>C. DESTÍ SERVEI D'ORIENTACIÓ LABORAL 2024-25</t>
  </si>
  <si>
    <t>23012 / 24119 / 12101</t>
  </si>
  <si>
    <t>C. ESPECÍFIC SERVEI D'ORIENTACIÓ LABORAL 2024-25</t>
  </si>
  <si>
    <t>23012 / 24119 / 15000</t>
  </si>
  <si>
    <t>PRODUCTIVITAT SERVEI D'ORIENTACIÓ LABORAL 2024-25</t>
  </si>
  <si>
    <t>23012 / 24119 / 16000</t>
  </si>
  <si>
    <t>SEG. SOC. SERVEI D'ORIENTACIÓ LABORAL 2024-25</t>
  </si>
  <si>
    <t>23012 / 24122 / 13105</t>
  </si>
  <si>
    <t>PERSONAL PLANS LOCALS D'OCUPACIÓ DIBA 2024</t>
  </si>
  <si>
    <t>23012 / 24122 / 16000</t>
  </si>
  <si>
    <t>SEG. SOC. PLANS LOCALS D'OCUPACIÓ DIBA 2024</t>
  </si>
  <si>
    <t>23012 / 24126 / 12001</t>
  </si>
  <si>
    <t>SOU A2 PROGRAMA ORIENTA 2024-25</t>
  </si>
  <si>
    <t>23012 / 24126 / 12003</t>
  </si>
  <si>
    <t>SOU C1 PROGRAMA ORIENTA 2024-25</t>
  </si>
  <si>
    <t>23012 / 24126 / 12006</t>
  </si>
  <si>
    <t>TRIENNIS PROGRAMA ORIENTA 2024-25</t>
  </si>
  <si>
    <t>23012 / 24126 / 12100</t>
  </si>
  <si>
    <t>C. DESTÍ PROGRAMA ORIENTA 2024-25</t>
  </si>
  <si>
    <t>23012 / 24126 / 12101</t>
  </si>
  <si>
    <t>C. ESPECIFIC PROGRAMA ORIENTA 2024-25</t>
  </si>
  <si>
    <t>23012 / 24126 / 15000</t>
  </si>
  <si>
    <t>PRODUCTIVITAT PROGRAMA ORIENTA 2024-25</t>
  </si>
  <si>
    <t>23012 / 24126 / 16000</t>
  </si>
  <si>
    <t>SEG. SOC. PROGRAMA ORIENTA 2024-25</t>
  </si>
  <si>
    <t>23012 / 24127 / 12001</t>
  </si>
  <si>
    <t>SOU A2 PROGRAMA TREBALL I FORMACIÓ JOVES TUTELATS 2024-25</t>
  </si>
  <si>
    <t>23012 / 24127 / 12100</t>
  </si>
  <si>
    <t>C. DESTI PROGRAMA TREBALL I FORMACIÓ JOVES TUTELATS 2024-25</t>
  </si>
  <si>
    <t>23012 / 24127 / 12101</t>
  </si>
  <si>
    <t>C. ESPECIFIC PROGRAMA TREBALL I FORMACIÓ JOVES TUTELATS 2024-25</t>
  </si>
  <si>
    <t>23012 / 24127 / 13105</t>
  </si>
  <si>
    <t>PERSONAL PROGRAMA TREBALL I FORMACIÓ JOVES TUTELATS 2024-25</t>
  </si>
  <si>
    <t>23012 / 24127 / 15000</t>
  </si>
  <si>
    <t>PRODUCTIVITAT PROGRAMA TREBALL I FORMACIÓ JOVES TUTELATS 2024-25</t>
  </si>
  <si>
    <t>23012 / 24127 / 16000</t>
  </si>
  <si>
    <t>SEG.SOC. PROGRAMA TREBALL I FORMACIÓ JOVES TUTELATS 2024-25</t>
  </si>
  <si>
    <t>23012 / 24127 / 22707</t>
  </si>
  <si>
    <t>SERVEIS PROGRAMA TREBALL I FORMACIÓ JOVES TUTELATS 2024-25</t>
  </si>
  <si>
    <t>23012 / 24128 / 13105</t>
  </si>
  <si>
    <t>PERSONAL PROGRAMA JOVES EN PRÀCTIQUES</t>
  </si>
  <si>
    <t>23012 / 24128 / 16000</t>
  </si>
  <si>
    <t>SEG. SOC. PROGRAMA JOVES EN PRÀCTIQUES</t>
  </si>
  <si>
    <t>23012 / 24135 / 12001</t>
  </si>
  <si>
    <t>SOU A2 PROGRAMA TREBALL I FORMACIÓ 2024</t>
  </si>
  <si>
    <t>23012 / 24135 / 12006</t>
  </si>
  <si>
    <t>TRIENNIS PROGRAMA TREBALL I FORMACIÓ 2024</t>
  </si>
  <si>
    <t>23012 / 24135 / 12100</t>
  </si>
  <si>
    <t>C. DESTÍ PROGRAMA TREBALL I FORMACIÓ 2024</t>
  </si>
  <si>
    <t>23012 / 24135 / 13105</t>
  </si>
  <si>
    <t>PERSONAL PROGRAMA TREBALL I FORMACIÓ 2024</t>
  </si>
  <si>
    <t>23012 / 24135 / 15000</t>
  </si>
  <si>
    <t>PRODUCTIVITAT PROGRAMA TREBALL I FORMACIÓ 2024</t>
  </si>
  <si>
    <t>23012 / 24135 / 16000</t>
  </si>
  <si>
    <t>SEG. SOC. PROGRAMA TREBALL I FORMACIÓ 2024</t>
  </si>
  <si>
    <t>23012 / 24135 / 22707</t>
  </si>
  <si>
    <t>SERVEIS PROGRAMA TREBALL I FORMACIÓ 2024</t>
  </si>
  <si>
    <t>23012 / 24138 / 12001</t>
  </si>
  <si>
    <t>SOU A2 PROGRAMA TREBALL I FORMACIÓ CONV. ANT. 2023</t>
  </si>
  <si>
    <t>23012 / 24138 / 12100</t>
  </si>
  <si>
    <t>C. DESTÍ PROGRAMA TREBALL I FORMACIÓ CONV. ANT. 2023</t>
  </si>
  <si>
    <t>23012 / 24138 / 12101</t>
  </si>
  <si>
    <t>C. ESPECÍFIC PROGRAMA TREBALL I FORMACIÓ CONV. ANT. 2023</t>
  </si>
  <si>
    <t>23012 / 24138 / 13105</t>
  </si>
  <si>
    <t>PERSONAL PROGRAMA TREBALL I FORMACIÓ CONV. ANT. 2023</t>
  </si>
  <si>
    <t>23012 / 24138 / 15000</t>
  </si>
  <si>
    <t>PRODUCTIVITAT PROGRAMA TREBALL I FORMACIÓ CONV. ANT. 2023</t>
  </si>
  <si>
    <t>23012 / 24138 / 16000</t>
  </si>
  <si>
    <t>SEGURETAT SOCIAL PROGRAMA TREBALL I FORMACIÓ CONV. ANT. 2023</t>
  </si>
  <si>
    <t>23012 / 24165 / 12001</t>
  </si>
  <si>
    <t>SOU A2 PUNT LABORAL JOVE 2022-23</t>
  </si>
  <si>
    <t>23012 / 24165 / 12100</t>
  </si>
  <si>
    <t>C. DESTI  PUNT LABORAL JOVE 2022-23</t>
  </si>
  <si>
    <t>23012 / 24165 / 12101</t>
  </si>
  <si>
    <t>C. ESPECÍFIC  PUNT LABORAL JOVE 2022-23</t>
  </si>
  <si>
    <t>23012 / 24165 / 15000</t>
  </si>
  <si>
    <t>PRODUCTIVITAT  PUNT LABORAL JOVE 2022-23</t>
  </si>
  <si>
    <t>23012 / 24165 / 16000</t>
  </si>
  <si>
    <t>SEG. SOC.  PUNT LABORAL JOVE 2022-23</t>
  </si>
  <si>
    <t>23012 / 24168 / 12001</t>
  </si>
  <si>
    <t>SOU A2 PROGRAMA TREBALL I FORMACIÓ 2022-23 (3CONV)</t>
  </si>
  <si>
    <t>23012 / 24168 / 12100</t>
  </si>
  <si>
    <t>C. DESTÍ PROGRAMA TREBALL I FORMACIÓ 2022-23 (3CONV)</t>
  </si>
  <si>
    <t>23012 / 24168 / 12101</t>
  </si>
  <si>
    <t>C. ESPECIFIC PROGRAMA TREBALL I FORMACIÓ 2022-23 (3CONV)</t>
  </si>
  <si>
    <t>23012 / 24168 / 15000</t>
  </si>
  <si>
    <t>PRODUCTIVITAT PROGRAMA TREBALL I FORMACIÓ 2022-23 (3CONV)</t>
  </si>
  <si>
    <t>23012 / 24169 / 13105</t>
  </si>
  <si>
    <t>PERSONAL PROGRAMA TREBALL I FORMACIÓ 2022-23 (3C) - LINIA DO</t>
  </si>
  <si>
    <t>23012 / 24169 / 16000</t>
  </si>
  <si>
    <t>SEG.SOC.PROGRAMA TREBALL I FORMACIÓ 2022-23 (3C) - LINIA DON</t>
  </si>
  <si>
    <t>23012 / 24170 / 13105</t>
  </si>
  <si>
    <t>PERSONAL PROGRAMA TREBALL I FORMACIÓ 2022-23 (3C) - LINIA UC</t>
  </si>
  <si>
    <t>23012 / 24170 / 16000</t>
  </si>
  <si>
    <t>SEG.SOC.PROGRAMA TREBALL I FORMACIÓ 2022-23 (3C) - LINIA UCR</t>
  </si>
  <si>
    <t>23012 / 24171 / 13105</t>
  </si>
  <si>
    <t>PERSONAL PROGRAMA TREBALL I FORMACIÓ 2022-23 (3C) - LINIA TR</t>
  </si>
  <si>
    <t>23012 / 24171 / 16000</t>
  </si>
  <si>
    <t>SEG.SOC. PROGRAMA TREBALL I FORMACIÓ 2022-23 (3C) - LINIA TR</t>
  </si>
  <si>
    <t>23012 / 24172 / 12001</t>
  </si>
  <si>
    <t>SOU A2 PROGRAMA 30 PLUS 2023</t>
  </si>
  <si>
    <t>23012 / 24172 / 12006</t>
  </si>
  <si>
    <t>TRIENNIS PROGRAMA 30 PLUS 2023</t>
  </si>
  <si>
    <t>23012 / 24172 / 12100</t>
  </si>
  <si>
    <t>C. DESTÍ PROGRAMA 30 PLUS 2023</t>
  </si>
  <si>
    <t>23012 / 24172 / 12101</t>
  </si>
  <si>
    <t>C. ESPECÍFIC PROGRAMA 30 PLUS 2023</t>
  </si>
  <si>
    <t>23012 / 24172 / 15000</t>
  </si>
  <si>
    <t>PRODUCTIVITAT PROGRAMA 30 PLUS 2023</t>
  </si>
  <si>
    <t>23012 / 24172 / 16000</t>
  </si>
  <si>
    <t>SEG. SOCIAL PROGRAMA 30 PLUS 2023</t>
  </si>
  <si>
    <t>23012 / 24175 / 12001</t>
  </si>
  <si>
    <t>SOU A2 PROGRAMA SUPORT A L'OCUPACIÓ JUVENIL</t>
  </si>
  <si>
    <t>23012 / 24175 / 12100</t>
  </si>
  <si>
    <t>C. DESTÍ PROGRAMA SUPORT A L'OCUPACIÓ JUVENIL</t>
  </si>
  <si>
    <t>23012 / 24175 / 12101</t>
  </si>
  <si>
    <t>C. ESPECÍFIC PROGRAMA SUPORT A L'OCUPACIÓ JUVENIL</t>
  </si>
  <si>
    <t>23012 / 24175 / 15000</t>
  </si>
  <si>
    <t>PRODUCTIVITAT PROGRAMA SUPORT A L'OCUPACIÓ JUVENIL</t>
  </si>
  <si>
    <t>23012 / 24175 / 16000</t>
  </si>
  <si>
    <t>SEG. SOC. PROGRAMA SUPORT A L'OCUPACIÓ JUVENIL</t>
  </si>
  <si>
    <t>23012 / 24176 / 12001</t>
  </si>
  <si>
    <t>SOU A2 PROGRAMA ORIENTA 2023-24</t>
  </si>
  <si>
    <t>23012 / 24176 / 12003</t>
  </si>
  <si>
    <t>SOU C1 PROGRAMA ORIENTA 2023-24</t>
  </si>
  <si>
    <t>23012 / 24176 / 12100</t>
  </si>
  <si>
    <t>C. DESTÍ PROGRAMA ORIENTA 2023-24</t>
  </si>
  <si>
    <t>23012 / 24176 / 12101</t>
  </si>
  <si>
    <t>C. ESPECÍFIC PROGRAMA ORIENTA 2023-24</t>
  </si>
  <si>
    <t>23012 / 24176 / 15000</t>
  </si>
  <si>
    <t>PRODUCTIVITAT PROGRAMA ORIENTA 2023-24</t>
  </si>
  <si>
    <t>23012 / 24176 / 16000</t>
  </si>
  <si>
    <t>SEG. SOC. PROGRAMA ORIENTA 2023-24</t>
  </si>
  <si>
    <t>30000 / 13306 / 44900</t>
  </si>
  <si>
    <t>MRR ZBETDT: ESTACIONAMENT REGULAT VIQUAL</t>
  </si>
  <si>
    <t>30000 / 13306 / 60903</t>
  </si>
  <si>
    <t>30000 / 13401 / 60900</t>
  </si>
  <si>
    <t>MRR ZBE2 VIQUAL ESTACIONAMENT REGULAT</t>
  </si>
  <si>
    <t>30000 / 17200 / 60904</t>
  </si>
  <si>
    <t>MRR ZBETDT: ZONES BAIXES EMISSIONS VIQUAL</t>
  </si>
  <si>
    <t>30000 / 23000 / 46400</t>
  </si>
  <si>
    <t>A.M.B. ALTRES TRANSFERÈNCIES SOCIALS</t>
  </si>
  <si>
    <t>30000 / 23100 / 22699</t>
  </si>
  <si>
    <t>PLA LOCAL D'ACCIÓ COMUNITÀRIA INCLUSIVA</t>
  </si>
  <si>
    <t>30000 / 23104 / 22699</t>
  </si>
  <si>
    <t>PLA TRANSVERSAL DE SOLITUD</t>
  </si>
  <si>
    <t>30000 / 23124 / 12001</t>
  </si>
  <si>
    <t>SOU A2 PROGRAMA BARRIS I COM.: MOTORS TR. SOCIAL</t>
  </si>
  <si>
    <t>30000 / 23124 / 12006</t>
  </si>
  <si>
    <t>TRIENNIS PROGRAMA BARRIS I COM.: MOTORS TR. SOCIAL</t>
  </si>
  <si>
    <t>30000 / 23124 / 12100</t>
  </si>
  <si>
    <t>C. DESTÍ PROGRAMA BARRIS I COMUNITATS: MOTORS TRANSF. SOCIAL</t>
  </si>
  <si>
    <t>30000 / 23124 / 12101</t>
  </si>
  <si>
    <t>C. ESP. PROGRAMA BARRIS I COMUNITATS: MOTORS TRANSF. SOCIAL</t>
  </si>
  <si>
    <t>30000 / 23124 / 15000</t>
  </si>
  <si>
    <t>PROD. PROGRAMA BARRIS I COMUNITATS: MOTORS TRANSF. SOCIAL</t>
  </si>
  <si>
    <t>30000 / 23124 / 16000</t>
  </si>
  <si>
    <t>SS PROGRAMA BARRIS I COMUNITATS: MOTORS TRANSF. SOCIAL</t>
  </si>
  <si>
    <t>30000 / 23124 / 22707</t>
  </si>
  <si>
    <t>BARRIS I COMUNITATS: MOTORS TRANSF. SOCIAL 2023-24</t>
  </si>
  <si>
    <t>30000 / 33411 / 44900</t>
  </si>
  <si>
    <t>VIQUAL PROGRAMES I ACTIVITATS CULTURALS</t>
  </si>
  <si>
    <t>30000 / 34200 / 74000</t>
  </si>
  <si>
    <t>VIQUAL: MILLORA INSTAL·LACIONS ESPORTIVES</t>
  </si>
  <si>
    <t>30000 / 92010 / 22699</t>
  </si>
  <si>
    <t>DESP. DIVERSES SERV. CIUTADANIA</t>
  </si>
  <si>
    <t>30001 / 92010 / 12003</t>
  </si>
  <si>
    <t>SOU C1 UNITAT ADMINISTRACIÓ (SERVEIS CIUTADANIA)</t>
  </si>
  <si>
    <t>30001 / 92010 / 12100</t>
  </si>
  <si>
    <t>C.DESTÍ UNITAT ADMINISTRACIÓ (SERVEIS CIUTADANIA)</t>
  </si>
  <si>
    <t>30001 / 92010 / 12101</t>
  </si>
  <si>
    <t>C.ESP. UNITAT ADMINISTRACIÓ (SERVEIS CIUTADANIA)</t>
  </si>
  <si>
    <t>30001 / 92010 / 15000</t>
  </si>
  <si>
    <t>PRODUCT. UNITAT ADMINISTRACIÓ (SERVEIS CIUTADANIA)</t>
  </si>
  <si>
    <t>30001 / 92010 / 16000</t>
  </si>
  <si>
    <t>SS UNITAT ADMINISTRACIÓ (SERVEIS CIUTADANIA)</t>
  </si>
  <si>
    <t>30100 / 23140 / 48401</t>
  </si>
  <si>
    <t>CONVENI ASSEMBLEA LOCAL CREU ROJA VILADECANS</t>
  </si>
  <si>
    <t>30100 / 23143 / 22699</t>
  </si>
  <si>
    <t>DESP.DIVERSES JUSUR -IGUALTAT OPORTUN. MARRAQUEIX</t>
  </si>
  <si>
    <t>30100 / 23143 / 49001</t>
  </si>
  <si>
    <t>TRANSF.PROJ.COOPERACIÓ AL DESEN. I DDHH JUSUR 2021-24</t>
  </si>
  <si>
    <t>TRANSF. PROJ. COOPERACIÓ DESENV. I DDHH JUSUR 2021-24</t>
  </si>
  <si>
    <t>TRANSF.PROJ.COOPERACIÓ DESEN. I DDHH JUSUR 2021-24</t>
  </si>
  <si>
    <t>30101 / 33700 / 22707</t>
  </si>
  <si>
    <t>PROGRAMA DINAMITZACIÓ GENT GRAN</t>
  </si>
  <si>
    <t>30101 / 33710 / 22707</t>
  </si>
  <si>
    <t>GESTIÓ XARXA CASALS DE BARRI</t>
  </si>
  <si>
    <t>30101 / 34100 / 22609</t>
  </si>
  <si>
    <t>COMPETICIONS I JOCS ESPORTIUS ESCOLARS</t>
  </si>
  <si>
    <t>30101 / 34100 / 22707</t>
  </si>
  <si>
    <t>SERVEIS ACTIVITATS FÍSIQUES</t>
  </si>
  <si>
    <t>30101 / 34100 / 48200</t>
  </si>
  <si>
    <t>SUBVENCIÓ ESPORTISTES D'ELIT</t>
  </si>
  <si>
    <t>30101 / 34100 / 48201</t>
  </si>
  <si>
    <t>CONVENI CLUB BEISBOL VILADECANS</t>
  </si>
  <si>
    <t>30101 / 34100 / 48204</t>
  </si>
  <si>
    <t>CONVENI CLUB BÀSQUET FEMENÍ VCANS. ESPORTS</t>
  </si>
  <si>
    <t>30101 / 34100 / 48211</t>
  </si>
  <si>
    <t>CONVENI ESPORTIU DEL BAIX LLOBREGAT</t>
  </si>
  <si>
    <t>30101 / 34100 / 48900</t>
  </si>
  <si>
    <t>SUBVENCIONS ENTITATS ESPORTIVES</t>
  </si>
  <si>
    <t>30101 / 34100 / 62500</t>
  </si>
  <si>
    <t>INVERSIÓ MATERIAL ESPORTIU</t>
  </si>
  <si>
    <t>30101 / 34101 / 22609</t>
  </si>
  <si>
    <t>PROMOCIÓ DE L'ESPORT</t>
  </si>
  <si>
    <t>30101 / 92400 / 12001</t>
  </si>
  <si>
    <t>SOU A2 U.DINAMIT. COM. ESPORT. I XARXA EQUIPAMENTS</t>
  </si>
  <si>
    <t>30101 / 92400 / 12100</t>
  </si>
  <si>
    <t>C.DESTÍ U.DINAMIT. COM. ESPORT. I XARXA EQUIPAMENTS</t>
  </si>
  <si>
    <t>30101 / 92400 / 12101</t>
  </si>
  <si>
    <t>C.ESP. U.DINAMIT. COM. ESPORT. I XARXA EQUIPAMENTS</t>
  </si>
  <si>
    <t>30101 / 92400 / 15000</t>
  </si>
  <si>
    <t>PRODUCT. U.DINAMIT. COM. ESPORT. I XARXA EQUIPAMENTS</t>
  </si>
  <si>
    <t>30101 / 92400 / 16000</t>
  </si>
  <si>
    <t>SS U.DINAMIT. COM. ESPORT. I XARXA EQUIPAMENTS</t>
  </si>
  <si>
    <t>30101 / 92410 / 48000</t>
  </si>
  <si>
    <t>ASSOCIACIONS DE VEÏNS</t>
  </si>
  <si>
    <t>30102 / 01110 / 22609</t>
  </si>
  <si>
    <t>FESTEJOS</t>
  </si>
  <si>
    <t>30102 / 33400 / 22799</t>
  </si>
  <si>
    <t>PROMOCIÓ CULTURAL</t>
  </si>
  <si>
    <t>30102 / 33400 / 48301</t>
  </si>
  <si>
    <t>CONVENI DIABLES DE VILADECANS</t>
  </si>
  <si>
    <t>30102 / 33400 / 48302</t>
  </si>
  <si>
    <t>CONVENI ASSOC. COOR. ENT. EL MAMUT VILADECANS</t>
  </si>
  <si>
    <t>30102 / 33400 / 48303</t>
  </si>
  <si>
    <t>CONVENI ASSOC. CASTELLERS DE VILADECANS</t>
  </si>
  <si>
    <t>30102 / 33400 / 48900</t>
  </si>
  <si>
    <t>SUBVENCIONS ENTITATS CIUTAT-CULTURA</t>
  </si>
  <si>
    <t>30102 / 33720 / 22699</t>
  </si>
  <si>
    <t>CREACIÓ CULTURAL I PARTICIPACIÓ JUVENIL</t>
  </si>
  <si>
    <t>30102 / 33720 / 22707</t>
  </si>
  <si>
    <t>GESTIÓ OFICINA PLA JOVE</t>
  </si>
  <si>
    <t>30102 / 33720 / 22799</t>
  </si>
  <si>
    <t>PROGRAMA AMALGAMA</t>
  </si>
  <si>
    <t>30102 / 33720 / 48305</t>
  </si>
  <si>
    <t>CONVENI ASSOCIACIÓ JUVENIL RUDEMON</t>
  </si>
  <si>
    <t>30102 / 33720 / 48900</t>
  </si>
  <si>
    <t>SUBVENCIONS ENTITATS JUVENILS</t>
  </si>
  <si>
    <t>30102 / 33800 / 22609</t>
  </si>
  <si>
    <t>30110 / 33210 / 22001</t>
  </si>
  <si>
    <t>BIBLIOTEQUES</t>
  </si>
  <si>
    <t>30110 / 33300 / 21501</t>
  </si>
  <si>
    <t>MANTENIMENT I RESTAURACIÓ MOBILIARI HISTÒRIC</t>
  </si>
  <si>
    <t>30110 / 33300 / 22609</t>
  </si>
  <si>
    <t>MUSEU DE VILADECANS</t>
  </si>
  <si>
    <t>30110 / 33300 / 62501</t>
  </si>
  <si>
    <t>PROJECTE MUSEOGRAFIC C.AMAT</t>
  </si>
  <si>
    <t>30110 / 33600 / 48306</t>
  </si>
  <si>
    <t>CONVENI CENTRE ESTUDIS COM. BAIX LLOBREGAT</t>
  </si>
  <si>
    <t>30110 / 92070 / 22001</t>
  </si>
  <si>
    <t>ARXIU MUNICIPAL</t>
  </si>
  <si>
    <t>30200 / 23100 / 22699</t>
  </si>
  <si>
    <t>VILADECANS SOLIDARIA</t>
  </si>
  <si>
    <t>30200 / 23104 / 22699</t>
  </si>
  <si>
    <t>SISTEMA D'ATENCIÓ I RESPOSTA INT. VIOLÈNCIA MASCLISTA</t>
  </si>
  <si>
    <t>30200 / 23110 / 12000</t>
  </si>
  <si>
    <t>SOU A1 DEP. SERVEI POLÍTIQUES IGUALTAT OPORTUNITATS</t>
  </si>
  <si>
    <t>30200 / 23110 / 12006</t>
  </si>
  <si>
    <t>TRIENNIS DEP. SERVEI POLÍTIQUES IGUALTAT OPORTUNITATS</t>
  </si>
  <si>
    <t>30200 / 23110 / 12100</t>
  </si>
  <si>
    <t>C.DESTÍ DEP. SERVEI POLÍTIQUES IGUALTAT OPORTUNITATS</t>
  </si>
  <si>
    <t>30200 / 23110 / 12101</t>
  </si>
  <si>
    <t>C.ESP. DEP. SERVEI POLÍTIQUES IGUALTAT OPORTUNITATS</t>
  </si>
  <si>
    <t>30200 / 23110 / 15000</t>
  </si>
  <si>
    <t>PRODUCT. DEP. SERVEI POLÍTIQUES IGUALTAT OPORTUNITATS</t>
  </si>
  <si>
    <t>30200 / 23110 / 15200</t>
  </si>
  <si>
    <t>PLUSOS DEP. SERVEI POLÍTIQUES IGUALTAT OPORTUNITATS</t>
  </si>
  <si>
    <t>30200 / 23110 / 16000</t>
  </si>
  <si>
    <t>SS DEP. SERVEI POLÍTIQUES IGUALTAT OPORTUNITATS</t>
  </si>
  <si>
    <t>30200 / 23110 / 22699</t>
  </si>
  <si>
    <t>PREMI LITERARI DELTA DONES</t>
  </si>
  <si>
    <t>30200 / 23110 / 46200</t>
  </si>
  <si>
    <t>30200 / 23111 / 22707</t>
  </si>
  <si>
    <t>PROGRAMA IGUALTAT DE GÈNERE</t>
  </si>
  <si>
    <t>30200 / 23127 / 22707</t>
  </si>
  <si>
    <t>PROGRAMA PREVENCIÓ DESIGUALTAT  GÈNERE JOVES</t>
  </si>
  <si>
    <t>30200 / 23128 / 22707</t>
  </si>
  <si>
    <t>TEMPS DE CURA 2023-24</t>
  </si>
  <si>
    <t>30200 / 33402 / 48007</t>
  </si>
  <si>
    <t>SUBVENCIÓ CENTENARI ESCOLA ST.GABRIEL</t>
  </si>
  <si>
    <t>30201 / 31100 / 12000</t>
  </si>
  <si>
    <t>SOU A1 SALUT PÚBLICA I CONSUM</t>
  </si>
  <si>
    <t>30201 / 31100 / 12100</t>
  </si>
  <si>
    <t>C.DESTÍ SALUT PÚBLICA I CONSUM</t>
  </si>
  <si>
    <t>30201 / 31100 / 12101</t>
  </si>
  <si>
    <t>C.ESP. SALUT PÚBLICA I CONSUM</t>
  </si>
  <si>
    <t>30201 / 31100 / 15000</t>
  </si>
  <si>
    <t>PRODUCT. SALUT PÚBLICA I CONSUM</t>
  </si>
  <si>
    <t>30201 / 31100 / 16000</t>
  </si>
  <si>
    <t>SS SALUT PÚBLICA I CONSUM</t>
  </si>
  <si>
    <t>30201 / 31100 / 22699</t>
  </si>
  <si>
    <t>PROMOCIÓ DE LA SALUT</t>
  </si>
  <si>
    <t>30201 / 31100 / 48900</t>
  </si>
  <si>
    <t>SUBVENCIÓ ENTITATS SALUT PUBLICA</t>
  </si>
  <si>
    <t>30201 / 31120 / 22701</t>
  </si>
  <si>
    <t>RECOLLIDA ANIMALS I SERVEIS VETERINARIS</t>
  </si>
  <si>
    <t>30201 / 49300 / 22799</t>
  </si>
  <si>
    <t>SERVEI ASSESSORAMENT JURÍDIC OMIC</t>
  </si>
  <si>
    <t>30210 / 23100 / 22799</t>
  </si>
  <si>
    <t>SERVEIS AMB COL·LABORACIÓ</t>
  </si>
  <si>
    <t>30210 / 23100 / 48001</t>
  </si>
  <si>
    <t>CREU ROJA CONVENI COL·LABORACIÓ</t>
  </si>
  <si>
    <t>30210 / 23100 / 48002</t>
  </si>
  <si>
    <t>CREU ROJA AJUT DANA</t>
  </si>
  <si>
    <t>30210 / 23100 / 62300</t>
  </si>
  <si>
    <t>INVERSIÓ MATERIAL SERVEIS SOCIALS</t>
  </si>
  <si>
    <t>30210 / 23140 / 48403</t>
  </si>
  <si>
    <t>CONVENI CÀRITAS INTERPARROQUIAL VILADECANS</t>
  </si>
  <si>
    <t>30211 / 23100 / 12001</t>
  </si>
  <si>
    <t>SOU A2 INFÀNCIA I FAMÍLIA</t>
  </si>
  <si>
    <t>30211 / 23100 / 12003</t>
  </si>
  <si>
    <t>SOU C1 INFÀNCIA I FAMÍLIA</t>
  </si>
  <si>
    <t>30211 / 23100 / 22707</t>
  </si>
  <si>
    <t>GESTIÓ CENTRES OBERTS</t>
  </si>
  <si>
    <t>30211 / 23100 / 48000</t>
  </si>
  <si>
    <t>AJUTS SOCIALS ESCOLARS</t>
  </si>
  <si>
    <t>30211 / 23100 / 48001</t>
  </si>
  <si>
    <t>AJUTS SOCIALS A FAMÍLIES</t>
  </si>
  <si>
    <t>30211 / 23101 / 48001</t>
  </si>
  <si>
    <t>SUBVENCIONS ENTITATS SOCIALS</t>
  </si>
  <si>
    <t>30211 / 23130 / 22707</t>
  </si>
  <si>
    <t>ATENCIÓ A PERSONES AMB DIVERSITAT FUNCIONAL</t>
  </si>
  <si>
    <t>30211 / 23301 / 45000</t>
  </si>
  <si>
    <t>RT TRANSFERÈNCIA GENERALITAT TEMPS CURA INFANTIL</t>
  </si>
  <si>
    <t>30211 / 23302 / 12000</t>
  </si>
  <si>
    <t>SOU A1 PROGRAMA SUP. PSICOSOCIAL I EMOCIONAL INFANTOJUVENIL</t>
  </si>
  <si>
    <t>30211 / 23302 / 12001</t>
  </si>
  <si>
    <t>SOU A2 PROGRAMA SUPORT PSICOSOCIAL I EMOCIONAL INFANTOJUVENIL</t>
  </si>
  <si>
    <t>30211 / 23302 / 12100</t>
  </si>
  <si>
    <t>C. DESTI PROGRAMA SUPORT PSICOSOCIAL I EMOCIONAL INFANTOJUVENIL</t>
  </si>
  <si>
    <t>30211 / 23302 / 12101</t>
  </si>
  <si>
    <t>C. ESPECIFIC PROGRAMA SUPORT PSICOSOCIAL I EMOCIONAL INFANTOJUVENIL</t>
  </si>
  <si>
    <t>30211 / 23302 / 15000</t>
  </si>
  <si>
    <t>PRODUCTIVITAT PROGRAMA SUPORT PSICOSOCIAL I EMOCIONAL INFANTOJUVENIL</t>
  </si>
  <si>
    <t>30211 / 23302 / 15200</t>
  </si>
  <si>
    <t>PLUSOS PROGRAMA SUP. PSICOSOCIAL I EMOCIONAL INFANTOJUVENIL</t>
  </si>
  <si>
    <t>30211 / 23302 / 16000</t>
  </si>
  <si>
    <t>SEG.SOC. PROGRAMA SUPORT PSICOSOCIAL I EMOCIONAL INFANTOJUVENIL</t>
  </si>
  <si>
    <t>30211 / 32600 / 48110</t>
  </si>
  <si>
    <t>RT SUBV. ENTITATS ACTIVITATS D'ESTIU</t>
  </si>
  <si>
    <t>30212 / 23130 / 12003</t>
  </si>
  <si>
    <t>SOU C1 PROM. SOCIAL, DEPENDÈNCIA I GENT GRAN</t>
  </si>
  <si>
    <t>30212 / 23130 / 12100</t>
  </si>
  <si>
    <t>C.DESTÍ PROM. SOCIAL, DEPENDÈNCIA I GENT GRAN</t>
  </si>
  <si>
    <t>30212 / 23130 / 12101</t>
  </si>
  <si>
    <t>C.ESP. PROM. SOCIAL, DEPENDÈNCIA I GENT GRAN</t>
  </si>
  <si>
    <t>30212 / 23130 / 15000</t>
  </si>
  <si>
    <t>PRODUCT. PROM. SOCIAL,DEP.I GENT GRAN</t>
  </si>
  <si>
    <t>30212 / 23130 / 16000</t>
  </si>
  <si>
    <t>SS PROM. SOCIAL,DEP.I GENT GRAN</t>
  </si>
  <si>
    <t>30212 / 23130 / 22199</t>
  </si>
  <si>
    <t>TELEASSISTÈNCIA</t>
  </si>
  <si>
    <t>30212 / 23130 / 22707</t>
  </si>
  <si>
    <t>SERVEI ATENCIÓ DOMICILIÀRIA</t>
  </si>
  <si>
    <t>30212 / 23130 / 48002</t>
  </si>
  <si>
    <t>ASDIVI (COORD. ASSOC. DISMINUITS BAIX LLOB)</t>
  </si>
  <si>
    <t>30212 / 23131 / 22707</t>
  </si>
  <si>
    <t>SERVEI ÀPATS DOMICILI I GENT GRAN</t>
  </si>
  <si>
    <t>30212 / 23132 / 12001</t>
  </si>
  <si>
    <t>SOU A2 PROJECTE TELEASSISTÈNCIA</t>
  </si>
  <si>
    <t>30212 / 23132 / 12003</t>
  </si>
  <si>
    <t>SOU C1 PROJECTE TELEASSISTÈNCIA</t>
  </si>
  <si>
    <t>30212 / 23132 / 12100</t>
  </si>
  <si>
    <t>C. DESTI PROJECTE TELEASSISTÈNCIA</t>
  </si>
  <si>
    <t>30212 / 23132 / 12101</t>
  </si>
  <si>
    <t>C. ESP. PROJECTE TELEASSISTÈNCIA</t>
  </si>
  <si>
    <t>30212 / 23132 / 15000</t>
  </si>
  <si>
    <t>PROD. PROJECTE TELEASSISTÈNCIA</t>
  </si>
  <si>
    <t>30212 / 23132 / 16000</t>
  </si>
  <si>
    <t>SS PROJECTE TELEASSISTÈNCIA</t>
  </si>
  <si>
    <t>30220 / 32000 / 15000</t>
  </si>
  <si>
    <t>PRODUCT. DEP. SERVEIS EDUCATIUS</t>
  </si>
  <si>
    <t>30220 / 32000 / 15100</t>
  </si>
  <si>
    <t>GRATIFICACIONS DEP. SERVEIS EDUCATIUS</t>
  </si>
  <si>
    <t>30220 / 32000 / 15200</t>
  </si>
  <si>
    <t>PLUSOS DEP. SERVEIS EDUCATIUS</t>
  </si>
  <si>
    <t>30220 / 32000 / 22609</t>
  </si>
  <si>
    <t>PLA DE MILLORA ÈXIT EDUCATIU</t>
  </si>
  <si>
    <t>30220 / 32012 / 48006</t>
  </si>
  <si>
    <t>SUBVENCIÓ GRAUS UNIVERSITARIS</t>
  </si>
  <si>
    <t>30220 / 32016 / 22799</t>
  </si>
  <si>
    <t>PLA EDUCATIU ENTORN ADDENDA 2023-24</t>
  </si>
  <si>
    <t>PLA EDUCATIU ENTORN ADDENDA 2022-23</t>
  </si>
  <si>
    <t>30220 / 32017 / 22799</t>
  </si>
  <si>
    <t>VILADECANS 360: EQUITAT JUVENIL</t>
  </si>
  <si>
    <t>30220 / 32330 / 22707</t>
  </si>
  <si>
    <t>GESTIÓ ESCOLES BRESSOL</t>
  </si>
  <si>
    <t>30220 / 32601 / 48009</t>
  </si>
  <si>
    <t>PROGR. SUPORT MOBILITAT EQUITATIVA</t>
  </si>
  <si>
    <t>30220 / 32630 / 48000</t>
  </si>
  <si>
    <t>SUBVENCIÓ CENTRES ESCOLARS i AMPAS</t>
  </si>
  <si>
    <t>30220 / 32630 / 78001</t>
  </si>
  <si>
    <t>30300 / 13000 / 12101</t>
  </si>
  <si>
    <t>C.ESP. SERVEI SEG. I CONVIVÈNCIA</t>
  </si>
  <si>
    <t>30300 / 13200 / 22104</t>
  </si>
  <si>
    <t>COMPRA VESTUARI POLICIA LOCAL</t>
  </si>
  <si>
    <t>30300 / 13200 / 62300</t>
  </si>
  <si>
    <t>INVERSIONS SEGURETAT I CONVIVÈNCIA</t>
  </si>
  <si>
    <t>30300 / 23133 / 12001</t>
  </si>
  <si>
    <t>SOU A2 PROJ. EDUCADORS/ES AL MEDI OBERT 2023-24</t>
  </si>
  <si>
    <t>30300 / 23133 / 12100</t>
  </si>
  <si>
    <t>C. DESTÍ PROJ. EDUCADORS/ES AL MEDI OBERT 2023-24</t>
  </si>
  <si>
    <t>30300 / 23133 / 12101</t>
  </si>
  <si>
    <t>C. ESPECÍFIC PROJ. EDUCADORS/ES AL MEDI OBERT 2023-24</t>
  </si>
  <si>
    <t>30300 / 23133 / 15000</t>
  </si>
  <si>
    <t>PRODUCTIVITAT PROJ. EDUCADORS/ES AL MEDI OBERT 2023-24</t>
  </si>
  <si>
    <t>30300 / 23133 / 16000</t>
  </si>
  <si>
    <t>SEG. SOC. PROJ. EDUCADORS/ES AL MEDI OBERT 2023-24</t>
  </si>
  <si>
    <t>30300 / 23200 / 22699</t>
  </si>
  <si>
    <t>FOMENT DE LA CONVIVÈNCIA</t>
  </si>
  <si>
    <t>30300 / 23201 / 22699</t>
  </si>
  <si>
    <t>TREBALL RESTAURATIU PONENT</t>
  </si>
  <si>
    <t>30310 / 13200 / 12001</t>
  </si>
  <si>
    <t>SOU A2 POLICIA LOCAL</t>
  </si>
  <si>
    <t>30310 / 13200 / 12004</t>
  </si>
  <si>
    <t>SOU C2 POLICIA LOCAL</t>
  </si>
  <si>
    <t>30310 / 13200 / 12101</t>
  </si>
  <si>
    <t>C.ESP. POLICIA LOCAL</t>
  </si>
  <si>
    <t>30310 / 13200 / 16000</t>
  </si>
  <si>
    <t>SS POLICIA LOCAL</t>
  </si>
  <si>
    <t>30310 / 13200 / 22103</t>
  </si>
  <si>
    <t>CONSUM CARBURANT POLICIA LOCAL</t>
  </si>
  <si>
    <t>30310 / 13300 / 22199</t>
  </si>
  <si>
    <t>SUBMINISTRAMENTS DIVERSOS POLICIA LOCAL</t>
  </si>
  <si>
    <t>30310 / 13500 / 22799</t>
  </si>
  <si>
    <t>VOLUNTARIS DE PROTECCIÓ CIVIL DE VILADECANS</t>
  </si>
  <si>
    <t>30310 / 32600 / 22199</t>
  </si>
  <si>
    <t>PARC INFANTIL DE TRÀNSIT</t>
  </si>
  <si>
    <t>30400 / 23110 / 12001</t>
  </si>
  <si>
    <t>SOU A2 SERVEI DRETS CIVILS I INCLUSIÓ</t>
  </si>
  <si>
    <t>30400 / 23110 / 12100</t>
  </si>
  <si>
    <t>C. DESTÍ SERVEI DRETS CIVILS I INCLUSIÓ</t>
  </si>
  <si>
    <t>30400 / 23110 / 12101</t>
  </si>
  <si>
    <t>C. ESP. SERVEI DRETS CIVILS I INCLUSIÓ</t>
  </si>
  <si>
    <t>30400 / 23110 / 15000</t>
  </si>
  <si>
    <t>PROD. SERVEI DRETS CIVILS I INCLUSIÓ</t>
  </si>
  <si>
    <t>30400 / 23110 / 16000</t>
  </si>
  <si>
    <t>SS SERVEI DRETS CIVILS I INCLUSIÓ</t>
  </si>
  <si>
    <t>30400 / 23110 / 22707</t>
  </si>
  <si>
    <t>PROGRAMA LGTBI</t>
  </si>
  <si>
    <t>30400 / 23130 / 46500</t>
  </si>
  <si>
    <t>CCBLL - TRANSPORT ADAPTAT</t>
  </si>
  <si>
    <t>31000 / 13306 / 60902</t>
  </si>
  <si>
    <t>MRR ZBETDT: ACCESSIBILITAT I CALMAT TRANSIT</t>
  </si>
  <si>
    <t>31000 / 13400 / 60900</t>
  </si>
  <si>
    <t>INVERSIÓ INFRAESTRUCTURA MOBILITAT</t>
  </si>
  <si>
    <t>31000 / 13401 / 60900</t>
  </si>
  <si>
    <t>MRR ZBE2 INVERSIÓ INFRAESTR. MOBILITAT</t>
  </si>
  <si>
    <t>31000 / 13401 / 76400</t>
  </si>
  <si>
    <t>MRR ZBE2 AMB CONVENI BICIBOX I ACCESIBILITAT</t>
  </si>
  <si>
    <t>31000 / 15300 / 62521</t>
  </si>
  <si>
    <t>MOBILIARI URBÀ ESPAI PÚBLIC</t>
  </si>
  <si>
    <t>31000 / 33800 / 22609</t>
  </si>
  <si>
    <t>ACTES A LA VIA PÚBLICA</t>
  </si>
  <si>
    <t>31000 / 44110 / 22799</t>
  </si>
  <si>
    <t>MOBILITAT I TRANSPORT</t>
  </si>
  <si>
    <t>31000 / 44110 / 46400</t>
  </si>
  <si>
    <t>A.M.B.: APORTACIÓ DÈFICIT VILABÚS</t>
  </si>
  <si>
    <t>31000 / 44110 / 46401</t>
  </si>
  <si>
    <t>A.M.B.: CONVENIS DE MOBILITAT</t>
  </si>
  <si>
    <t>31000 / 92000 / 22707</t>
  </si>
  <si>
    <t>SERVEIS EXTERNS ESPAI PÚBLIC</t>
  </si>
  <si>
    <t>31001 / 15000 / 22199</t>
  </si>
  <si>
    <t>MATERIAL DIVERS BRIGADA ELÈCTRICA</t>
  </si>
  <si>
    <t>31001 / 45910 / 13100</t>
  </si>
  <si>
    <t>LAB. TEMP. BRIGADA D'OBRES</t>
  </si>
  <si>
    <t>31001 / 45910 / 22199</t>
  </si>
  <si>
    <t>MATERIAL BRIGADA MUNICIPAL</t>
  </si>
  <si>
    <t>31010 / 15300 / 60900</t>
  </si>
  <si>
    <t>ASFALTAT DE CARRERS</t>
  </si>
  <si>
    <t>31010 / 16000 / 22699</t>
  </si>
  <si>
    <t>31010 / 16000 / 22799</t>
  </si>
  <si>
    <t>MANTEN. XARXA MPAL. CLAVEGUERAM</t>
  </si>
  <si>
    <t>31010 / 17100 / 22799</t>
  </si>
  <si>
    <t>MANTEN. XARXA MPAL. AIGUA NO POTABLE</t>
  </si>
  <si>
    <t>31010 / 17100 / 60900</t>
  </si>
  <si>
    <t>MILLORA D'ESPAIS PUBLICS</t>
  </si>
  <si>
    <t>31010 / 33210 / 63200</t>
  </si>
  <si>
    <t>ACCESSOS BIBLIOTECA CAN XIC</t>
  </si>
  <si>
    <t>31011 / 15310 / 21000</t>
  </si>
  <si>
    <t>CONSERV. INFRAESTRUCTURA CAMÍ DEL MAR</t>
  </si>
  <si>
    <t>31011 / 15320 / 21000</t>
  </si>
  <si>
    <t>CONSERV. I RENOV. INFRAESTRUCTURA URBANA</t>
  </si>
  <si>
    <t>31011 / 41900 / 22707</t>
  </si>
  <si>
    <t>INFRAESTRUCTURES AGRÀRIES</t>
  </si>
  <si>
    <t>31012 / 17100 / 21001</t>
  </si>
  <si>
    <t>MANTENIMENT I MILLORA JOCS INFANTILS</t>
  </si>
  <si>
    <t>31012 / 17100 / 22101</t>
  </si>
  <si>
    <t>SUBMINISTRAMENT AIGUA PARCS I JARDINS</t>
  </si>
  <si>
    <t>31012 / 17100 / 22799</t>
  </si>
  <si>
    <t>CONTRACTES DE JARDINERIA</t>
  </si>
  <si>
    <t>31012 / 17100 / 48008</t>
  </si>
  <si>
    <t>PARCS I JARDINS: AAVV SANT JORDI - GABRIELISTES 2023</t>
  </si>
  <si>
    <t>31012 / 17100 / 61900</t>
  </si>
  <si>
    <t>SUBMINIST. I PLANTACIÓ ARBRAT</t>
  </si>
  <si>
    <t>31012 / 17100 / 62521</t>
  </si>
  <si>
    <t>INVERSIO JOCS INFANTILS</t>
  </si>
  <si>
    <t>31012 / 17101 / 22799</t>
  </si>
  <si>
    <t>MRR SERVEIS I ASSISTENCIA TECNICA EP PLA 3-30-300</t>
  </si>
  <si>
    <t>31012 / 17101 / 23120</t>
  </si>
  <si>
    <t>MRR DIETES I LOCOMOCIO EP PLA 3-30-300</t>
  </si>
  <si>
    <t>31012 / 17101 / 60900</t>
  </si>
  <si>
    <t>MRR INVERSIO RENATURALIT. E.PUBLIC PLA 3-30-300</t>
  </si>
  <si>
    <t>31020 / 15300 / 61900</t>
  </si>
  <si>
    <t>ARRANJAMENT TERRENYS  CA N'ALEMANY</t>
  </si>
  <si>
    <t>31020 / 16210 / 22799</t>
  </si>
  <si>
    <t>CONTRACTE RECOLLIDA DE RESIDUS</t>
  </si>
  <si>
    <t>31020 / 16210 / 62500</t>
  </si>
  <si>
    <t>ADQUIS. CONTENIDORS RECOLLIDA RESIDUS</t>
  </si>
  <si>
    <t>31020 / 16230 / 22799</t>
  </si>
  <si>
    <t>DEIXALLERIES</t>
  </si>
  <si>
    <t>31020 / 16300 / 22700</t>
  </si>
  <si>
    <t>CONTRACTE NETEJA VIÀRIA</t>
  </si>
  <si>
    <t>31020 / 31100 / 22701</t>
  </si>
  <si>
    <t>SERVEI CONTROL PLAGUES URBANES</t>
  </si>
  <si>
    <t>31020 / 32300 / 22101</t>
  </si>
  <si>
    <t>SUBMINISTRAMENT AIGUA CENTRES EDUCATIUS</t>
  </si>
  <si>
    <t>31020 / 32300 / 22102</t>
  </si>
  <si>
    <t>SUBMINISTRAMENT GAS CENTRES EDUCATIUS</t>
  </si>
  <si>
    <t>31020 / 32300 / 22700</t>
  </si>
  <si>
    <t>CONTRACTE NETEJA CENTRES EDUCATIUS</t>
  </si>
  <si>
    <t>31020 / 33000 / 22700</t>
  </si>
  <si>
    <t>CONTRACTE NETEJA LOCALS SERVEIS CULTURA</t>
  </si>
  <si>
    <t>31020 / 93300 / 22101</t>
  </si>
  <si>
    <t>SUBMINISTRAMENT AIGUA EDIFICIS</t>
  </si>
  <si>
    <t>31020 / 93300 / 22102</t>
  </si>
  <si>
    <t>SUBMINISTRAMENT GAS MANT. EDIFICIS</t>
  </si>
  <si>
    <t>31023 / 16500 / 22100</t>
  </si>
  <si>
    <t>SUBMINISTRAMENT ELÈCTRIC ENLLUMENAT PÚBLIC</t>
  </si>
  <si>
    <t>31023 / 16500 / 22799</t>
  </si>
  <si>
    <t>MANTENIMENT ENLLUMENAT PÚBLIC</t>
  </si>
  <si>
    <t>31023 / 16500 / 61900</t>
  </si>
  <si>
    <t>INVERSIO ENLLUMENAT PUBLIC</t>
  </si>
  <si>
    <t>INVERSIÓ ENLLUMENAT PÚBLIC</t>
  </si>
  <si>
    <t>31023 / 32300 / 22100</t>
  </si>
  <si>
    <t>SUBMINISTRAMENT ELÈCTRIC CENTRES EDUCATIUS</t>
  </si>
  <si>
    <t>31023 / 93300 / 63300</t>
  </si>
  <si>
    <t>INSTAL.LACIONS CLIMA D'EDIFICIS</t>
  </si>
  <si>
    <t>31023 / 93301 / 21300</t>
  </si>
  <si>
    <t>MANTENIMENT INSTAL·LACIONS</t>
  </si>
  <si>
    <t>31023 / 93320 / 21300</t>
  </si>
  <si>
    <t>MANTENIMENT INSTAL·LACIONS ESCOLES</t>
  </si>
  <si>
    <t>70000 / 17200 / 12001</t>
  </si>
  <si>
    <t>AOU A2 PROJECTE GREENLEAF</t>
  </si>
  <si>
    <t>70000 / 17200 / 12100</t>
  </si>
  <si>
    <t>C. DESTI PROJECTE GREENLEAF</t>
  </si>
  <si>
    <t>70000 / 17200 / 12101</t>
  </si>
  <si>
    <t>C. ESPECIFIC PROJECTE GREENLEAF</t>
  </si>
  <si>
    <t>70000 / 17200 / 15000</t>
  </si>
  <si>
    <t>PRODUCTIVITAT PROJECTE GREENLEAF</t>
  </si>
  <si>
    <t>70000 / 17200 / 16000</t>
  </si>
  <si>
    <t>SEG. SOCIAL PROJECTE GREENLEAF</t>
  </si>
  <si>
    <t>70000 / 92000 / 22699</t>
  </si>
  <si>
    <t>GREEN LEAF 2025</t>
  </si>
  <si>
    <t>TOTAL</t>
  </si>
  <si>
    <t>Página 1</t>
  </si>
  <si>
    <t>de</t>
  </si>
  <si>
    <t>1</t>
  </si>
  <si>
    <t>31 de desembre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</si>
</sst>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indexed="64"/>
      <name val="Arial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8"/>
      <color indexed="8"/>
      <name val="Arial"/>
      <family val="2"/>
    </font>
    <font>
      <b/>
      <sz val="6"/>
      <color indexed="8"/>
      <name val="Arial"/>
      <family val="2"/>
    </font>
    <font>
      <b/>
      <sz val="5"/>
      <color indexed="8"/>
      <name val="Arial"/>
      <family val="2"/>
    </font>
    <font>
      <sz val="7"/>
      <color indexed="8"/>
      <name val="Arial"/>
      <family val="2"/>
    </font>
    <font>
      <sz val="10"/>
      <color indexed="8"/>
      <name val="serif"/>
      <family val="1"/>
    </font>
    <font>
      <b/>
      <sz val="7"/>
      <color indexed="8"/>
      <name val="Arial"/>
      <family val="2"/>
    </font>
    <font>
      <i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8" xfId="0" applyFont="1" applyBorder="1" applyAlignment="1">
      <alignment horizontal="center" vertical="top" wrapText="1"/>
    </xf>
    <xf numFmtId="4" fontId="6" fillId="0" borderId="10" xfId="0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left" vertical="top"/>
    </xf>
    <xf numFmtId="4" fontId="8" fillId="0" borderId="4" xfId="0" applyNumberFormat="1" applyFont="1" applyBorder="1" applyAlignment="1">
      <alignment horizontal="right" vertical="top"/>
    </xf>
    <xf numFmtId="0" fontId="9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4" fontId="6" fillId="0" borderId="10" xfId="0" applyNumberFormat="1" applyFont="1" applyBorder="1" applyAlignment="1">
      <alignment horizontal="right" vertical="top"/>
    </xf>
    <xf numFmtId="4" fontId="6" fillId="0" borderId="0" xfId="0" applyNumberFormat="1" applyFont="1" applyAlignment="1">
      <alignment horizontal="right" vertical="top"/>
    </xf>
    <xf numFmtId="4" fontId="6" fillId="0" borderId="11" xfId="0" applyNumberFormat="1" applyFont="1" applyBorder="1" applyAlignment="1">
      <alignment horizontal="right" vertical="top"/>
    </xf>
    <xf numFmtId="0" fontId="9" fillId="0" borderId="0" xfId="0" applyFont="1" applyAlignment="1">
      <alignment horizontal="left" vertical="top"/>
    </xf>
    <xf numFmtId="0" fontId="8" fillId="0" borderId="7" xfId="0" applyFont="1" applyBorder="1" applyAlignment="1">
      <alignment horizontal="right" vertical="top"/>
    </xf>
    <xf numFmtId="0" fontId="7" fillId="0" borderId="4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4" fontId="8" fillId="0" borderId="4" xfId="0" applyNumberFormat="1" applyFont="1" applyBorder="1" applyAlignment="1">
      <alignment horizontal="right" vertical="top"/>
    </xf>
    <xf numFmtId="4" fontId="8" fillId="0" borderId="7" xfId="0" applyNumberFormat="1" applyFont="1" applyBorder="1" applyAlignment="1">
      <alignment horizontal="right" vertical="top"/>
    </xf>
    <xf numFmtId="4" fontId="8" fillId="0" borderId="5" xfId="0" applyNumberFormat="1" applyFont="1" applyBorder="1" applyAlignment="1">
      <alignment horizontal="right" vertical="top"/>
    </xf>
    <xf numFmtId="0" fontId="9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7" fillId="0" borderId="3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000000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38100</xdr:rowOff>
    </xdr:from>
    <xdr:to>
      <xdr:col>3</xdr:col>
      <xdr:colOff>287856</xdr:colOff>
      <xdr:row>3</xdr:row>
      <xdr:rowOff>69396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21B3C0DE-E050-4349-9C51-A1ABCE331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38100"/>
          <a:ext cx="1449906" cy="612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4E9BC-4ABA-4494-A55A-6D21C40D3702}">
  <sheetPr codeName="Sheet1"/>
  <dimension ref="A1:U678"/>
  <sheetViews>
    <sheetView tabSelected="1" workbookViewId="0">
      <selection sqref="A1:D4"/>
    </sheetView>
  </sheetViews>
  <sheetFormatPr baseColWidth="10" defaultColWidth="9.140625" defaultRowHeight="12.75"/>
  <cols>
    <col min="1" max="1" width="17.140625" customWidth="1"/>
    <col min="2" max="2" width="0.28515625" customWidth="1"/>
    <col min="3" max="3" width="2.28515625" customWidth="1"/>
    <col min="4" max="4" width="4.5703125" customWidth="1"/>
    <col min="5" max="5" width="4.42578125" customWidth="1"/>
    <col min="6" max="6" width="16" customWidth="1"/>
    <col min="7" max="7" width="12.5703125" customWidth="1"/>
    <col min="8" max="11" width="9.5703125" customWidth="1"/>
    <col min="12" max="12" width="6.5703125" customWidth="1"/>
    <col min="13" max="13" width="3.140625" customWidth="1"/>
    <col min="14" max="16" width="9.5703125" customWidth="1"/>
    <col min="17" max="17" width="4.140625" customWidth="1"/>
    <col min="18" max="18" width="5.42578125" customWidth="1"/>
    <col min="19" max="19" width="4.5703125" customWidth="1"/>
    <col min="20" max="20" width="3.28515625" customWidth="1"/>
    <col min="21" max="21" width="1.7109375" customWidth="1"/>
  </cols>
  <sheetData>
    <row r="1" spans="1:21" ht="16.5">
      <c r="A1" s="7"/>
      <c r="B1" s="7"/>
      <c r="C1" s="7"/>
      <c r="D1" s="7"/>
      <c r="E1" s="7"/>
      <c r="F1" s="6" t="s">
        <v>0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7"/>
    </row>
    <row r="2" spans="1:21" ht="16.5">
      <c r="A2" s="7"/>
      <c r="B2" s="7"/>
      <c r="C2" s="7"/>
      <c r="D2" s="7"/>
      <c r="E2" s="7"/>
      <c r="F2" s="17" t="s">
        <v>1</v>
      </c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7"/>
      <c r="S2" s="7"/>
    </row>
    <row r="3" spans="1:21">
      <c r="A3" s="7"/>
      <c r="B3" s="7"/>
      <c r="C3" s="7"/>
      <c r="D3" s="7"/>
      <c r="E3" s="7"/>
      <c r="F3" s="7" t="s">
        <v>2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21">
      <c r="A4" s="7"/>
      <c r="B4" s="7"/>
      <c r="C4" s="7"/>
      <c r="D4" s="7"/>
      <c r="E4" s="7"/>
      <c r="F4" s="16" t="s">
        <v>3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7"/>
      <c r="S4" s="7"/>
    </row>
    <row r="5" spans="1:21">
      <c r="A5" s="10" t="s">
        <v>4</v>
      </c>
      <c r="B5" s="12"/>
      <c r="C5" s="10" t="s">
        <v>5</v>
      </c>
      <c r="D5" s="12"/>
      <c r="E5" s="12"/>
      <c r="F5" s="12"/>
      <c r="G5" s="12"/>
      <c r="H5" s="10" t="s">
        <v>6</v>
      </c>
      <c r="I5" s="10" t="s">
        <v>7</v>
      </c>
      <c r="J5" s="10" t="s">
        <v>8</v>
      </c>
      <c r="K5" s="20" t="s">
        <v>9</v>
      </c>
      <c r="L5" s="21"/>
      <c r="M5" s="21"/>
      <c r="N5" s="8" t="s">
        <v>10</v>
      </c>
      <c r="O5" s="10" t="s">
        <v>11</v>
      </c>
      <c r="P5" s="10" t="s">
        <v>12</v>
      </c>
      <c r="Q5" s="10" t="s">
        <v>13</v>
      </c>
      <c r="R5" s="12"/>
      <c r="S5" s="10" t="s">
        <v>14</v>
      </c>
      <c r="T5" s="12"/>
      <c r="U5" s="14"/>
    </row>
    <row r="6" spans="1:21">
      <c r="A6" s="11"/>
      <c r="B6" s="13"/>
      <c r="C6" s="11"/>
      <c r="D6" s="13"/>
      <c r="E6" s="13"/>
      <c r="F6" s="13"/>
      <c r="G6" s="13"/>
      <c r="H6" s="11"/>
      <c r="I6" s="11"/>
      <c r="J6" s="11"/>
      <c r="K6" s="1" t="s">
        <v>15</v>
      </c>
      <c r="L6" s="18" t="s">
        <v>16</v>
      </c>
      <c r="M6" s="19"/>
      <c r="N6" s="9"/>
      <c r="O6" s="11"/>
      <c r="P6" s="11"/>
      <c r="Q6" s="11"/>
      <c r="R6" s="13"/>
      <c r="S6" s="11"/>
      <c r="T6" s="13"/>
      <c r="U6" s="15"/>
    </row>
    <row r="7" spans="1:21">
      <c r="A7" s="22" t="s">
        <v>17</v>
      </c>
      <c r="B7" s="23"/>
      <c r="C7" s="22" t="s">
        <v>18</v>
      </c>
      <c r="D7" s="23"/>
      <c r="E7" s="23"/>
      <c r="F7" s="23"/>
      <c r="G7" s="23"/>
      <c r="H7" s="2">
        <f t="shared" ref="H7:K12" si="0">ROUND(0,2)</f>
        <v>0</v>
      </c>
      <c r="I7" s="2">
        <f t="shared" si="0"/>
        <v>0</v>
      </c>
      <c r="J7" s="2">
        <f t="shared" si="0"/>
        <v>0</v>
      </c>
      <c r="K7" s="2">
        <f t="shared" si="0"/>
        <v>0</v>
      </c>
      <c r="L7" s="24">
        <f>ROUND(13000,2)</f>
        <v>13000</v>
      </c>
      <c r="M7" s="25"/>
      <c r="N7" s="2">
        <f t="shared" ref="N7:Q10" si="1">ROUND(0,2)</f>
        <v>0</v>
      </c>
      <c r="O7" s="2">
        <f t="shared" si="1"/>
        <v>0</v>
      </c>
      <c r="P7" s="2">
        <f t="shared" si="1"/>
        <v>0</v>
      </c>
      <c r="Q7" s="24">
        <f t="shared" si="1"/>
        <v>0</v>
      </c>
      <c r="R7" s="25"/>
      <c r="S7" s="24">
        <f>ROUND(-13000,2)</f>
        <v>-13000</v>
      </c>
      <c r="T7" s="25"/>
      <c r="U7" s="26"/>
    </row>
    <row r="8" spans="1:21">
      <c r="A8" s="22" t="s">
        <v>19</v>
      </c>
      <c r="B8" s="23"/>
      <c r="C8" s="22" t="s">
        <v>20</v>
      </c>
      <c r="D8" s="23"/>
      <c r="E8" s="23"/>
      <c r="F8" s="23"/>
      <c r="G8" s="23"/>
      <c r="H8" s="2">
        <f t="shared" si="0"/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4">
        <f>ROUND(12060,2)</f>
        <v>12060</v>
      </c>
      <c r="M8" s="25"/>
      <c r="N8" s="2">
        <f t="shared" si="1"/>
        <v>0</v>
      </c>
      <c r="O8" s="2">
        <f t="shared" si="1"/>
        <v>0</v>
      </c>
      <c r="P8" s="2">
        <f t="shared" si="1"/>
        <v>0</v>
      </c>
      <c r="Q8" s="24">
        <f t="shared" si="1"/>
        <v>0</v>
      </c>
      <c r="R8" s="25"/>
      <c r="S8" s="24">
        <f>ROUND(-12060,2)</f>
        <v>-12060</v>
      </c>
      <c r="T8" s="25"/>
      <c r="U8" s="26"/>
    </row>
    <row r="9" spans="1:21">
      <c r="A9" s="22" t="s">
        <v>21</v>
      </c>
      <c r="B9" s="23"/>
      <c r="C9" s="22" t="s">
        <v>22</v>
      </c>
      <c r="D9" s="23"/>
      <c r="E9" s="23"/>
      <c r="F9" s="23"/>
      <c r="G9" s="23"/>
      <c r="H9" s="2">
        <f t="shared" si="0"/>
        <v>0</v>
      </c>
      <c r="I9" s="2">
        <f t="shared" si="0"/>
        <v>0</v>
      </c>
      <c r="J9" s="2">
        <f t="shared" si="0"/>
        <v>0</v>
      </c>
      <c r="K9" s="2">
        <f t="shared" si="0"/>
        <v>0</v>
      </c>
      <c r="L9" s="24">
        <f>ROUND(37848.17,2)</f>
        <v>37848.17</v>
      </c>
      <c r="M9" s="25"/>
      <c r="N9" s="2">
        <f t="shared" si="1"/>
        <v>0</v>
      </c>
      <c r="O9" s="2">
        <f t="shared" si="1"/>
        <v>0</v>
      </c>
      <c r="P9" s="2">
        <f t="shared" si="1"/>
        <v>0</v>
      </c>
      <c r="Q9" s="24">
        <f t="shared" si="1"/>
        <v>0</v>
      </c>
      <c r="R9" s="25"/>
      <c r="S9" s="24">
        <f>ROUND(-37848.17,2)</f>
        <v>-37848.17</v>
      </c>
      <c r="T9" s="25"/>
      <c r="U9" s="26"/>
    </row>
    <row r="10" spans="1:21">
      <c r="A10" s="22" t="s">
        <v>23</v>
      </c>
      <c r="B10" s="23"/>
      <c r="C10" s="22" t="s">
        <v>24</v>
      </c>
      <c r="D10" s="23"/>
      <c r="E10" s="23"/>
      <c r="F10" s="23"/>
      <c r="G10" s="23"/>
      <c r="H10" s="2">
        <f t="shared" si="0"/>
        <v>0</v>
      </c>
      <c r="I10" s="2">
        <f t="shared" si="0"/>
        <v>0</v>
      </c>
      <c r="J10" s="2">
        <f t="shared" si="0"/>
        <v>0</v>
      </c>
      <c r="K10" s="2">
        <f t="shared" si="0"/>
        <v>0</v>
      </c>
      <c r="L10" s="24">
        <f>ROUND(10000,2)</f>
        <v>10000</v>
      </c>
      <c r="M10" s="25"/>
      <c r="N10" s="2">
        <f t="shared" si="1"/>
        <v>0</v>
      </c>
      <c r="O10" s="2">
        <f t="shared" si="1"/>
        <v>0</v>
      </c>
      <c r="P10" s="2">
        <f t="shared" si="1"/>
        <v>0</v>
      </c>
      <c r="Q10" s="24">
        <f t="shared" si="1"/>
        <v>0</v>
      </c>
      <c r="R10" s="25"/>
      <c r="S10" s="24">
        <f>ROUND(-10000,2)</f>
        <v>-10000</v>
      </c>
      <c r="T10" s="25"/>
      <c r="U10" s="26"/>
    </row>
    <row r="11" spans="1:21">
      <c r="A11" s="22" t="s">
        <v>25</v>
      </c>
      <c r="B11" s="23"/>
      <c r="C11" s="22" t="s">
        <v>26</v>
      </c>
      <c r="D11" s="23"/>
      <c r="E11" s="23"/>
      <c r="F11" s="23"/>
      <c r="G11" s="23"/>
      <c r="H11" s="2">
        <f t="shared" si="0"/>
        <v>0</v>
      </c>
      <c r="I11" s="2">
        <f t="shared" si="0"/>
        <v>0</v>
      </c>
      <c r="J11" s="2">
        <f t="shared" si="0"/>
        <v>0</v>
      </c>
      <c r="K11" s="2">
        <f t="shared" si="0"/>
        <v>0</v>
      </c>
      <c r="L11" s="24">
        <f t="shared" ref="L11:L26" si="2">ROUND(0,2)</f>
        <v>0</v>
      </c>
      <c r="M11" s="25"/>
      <c r="N11" s="2">
        <f>ROUND(15367.48,2)</f>
        <v>15367.48</v>
      </c>
      <c r="O11" s="2">
        <f t="shared" ref="O11:Q15" si="3">ROUND(0,2)</f>
        <v>0</v>
      </c>
      <c r="P11" s="2">
        <f t="shared" si="3"/>
        <v>0</v>
      </c>
      <c r="Q11" s="24">
        <f t="shared" si="3"/>
        <v>0</v>
      </c>
      <c r="R11" s="25"/>
      <c r="S11" s="24">
        <f>ROUND(15367.48,2)</f>
        <v>15367.48</v>
      </c>
      <c r="T11" s="25"/>
      <c r="U11" s="26"/>
    </row>
    <row r="12" spans="1:21">
      <c r="A12" s="22" t="s">
        <v>27</v>
      </c>
      <c r="B12" s="23"/>
      <c r="C12" s="22" t="s">
        <v>28</v>
      </c>
      <c r="D12" s="23"/>
      <c r="E12" s="23"/>
      <c r="F12" s="23"/>
      <c r="G12" s="23"/>
      <c r="H12" s="2">
        <f t="shared" si="0"/>
        <v>0</v>
      </c>
      <c r="I12" s="2">
        <f t="shared" si="0"/>
        <v>0</v>
      </c>
      <c r="J12" s="2">
        <f t="shared" si="0"/>
        <v>0</v>
      </c>
      <c r="K12" s="2">
        <f t="shared" si="0"/>
        <v>0</v>
      </c>
      <c r="L12" s="24">
        <f t="shared" si="2"/>
        <v>0</v>
      </c>
      <c r="M12" s="25"/>
      <c r="N12" s="2">
        <f>ROUND(6581.48,2)</f>
        <v>6581.48</v>
      </c>
      <c r="O12" s="2">
        <f t="shared" si="3"/>
        <v>0</v>
      </c>
      <c r="P12" s="2">
        <f t="shared" si="3"/>
        <v>0</v>
      </c>
      <c r="Q12" s="24">
        <f t="shared" si="3"/>
        <v>0</v>
      </c>
      <c r="R12" s="25"/>
      <c r="S12" s="24">
        <f>ROUND(6581.48,2)</f>
        <v>6581.48</v>
      </c>
      <c r="T12" s="25"/>
      <c r="U12" s="26"/>
    </row>
    <row r="13" spans="1:21">
      <c r="A13" s="22" t="s">
        <v>29</v>
      </c>
      <c r="B13" s="23"/>
      <c r="C13" s="22" t="s">
        <v>30</v>
      </c>
      <c r="D13" s="23"/>
      <c r="E13" s="23"/>
      <c r="F13" s="23"/>
      <c r="G13" s="23"/>
      <c r="H13" s="2">
        <f t="shared" ref="H13:J24" si="4">ROUND(0,2)</f>
        <v>0</v>
      </c>
      <c r="I13" s="2">
        <f t="shared" si="4"/>
        <v>0</v>
      </c>
      <c r="J13" s="2">
        <f t="shared" si="4"/>
        <v>0</v>
      </c>
      <c r="K13" s="2">
        <f>ROUND(12848.17,2)</f>
        <v>12848.17</v>
      </c>
      <c r="L13" s="24">
        <f t="shared" si="2"/>
        <v>0</v>
      </c>
      <c r="M13" s="25"/>
      <c r="N13" s="2">
        <f>ROUND(1686.51,2)</f>
        <v>1686.51</v>
      </c>
      <c r="O13" s="2">
        <f t="shared" si="3"/>
        <v>0</v>
      </c>
      <c r="P13" s="2">
        <f t="shared" si="3"/>
        <v>0</v>
      </c>
      <c r="Q13" s="24">
        <f t="shared" si="3"/>
        <v>0</v>
      </c>
      <c r="R13" s="25"/>
      <c r="S13" s="24">
        <f>ROUND(14534.68,2)</f>
        <v>14534.68</v>
      </c>
      <c r="T13" s="25"/>
      <c r="U13" s="26"/>
    </row>
    <row r="14" spans="1:21">
      <c r="A14" s="22" t="s">
        <v>31</v>
      </c>
      <c r="B14" s="23"/>
      <c r="C14" s="22" t="s">
        <v>32</v>
      </c>
      <c r="D14" s="23"/>
      <c r="E14" s="23"/>
      <c r="F14" s="23"/>
      <c r="G14" s="23"/>
      <c r="H14" s="2">
        <f t="shared" si="4"/>
        <v>0</v>
      </c>
      <c r="I14" s="2">
        <f t="shared" si="4"/>
        <v>0</v>
      </c>
      <c r="J14" s="2">
        <f t="shared" si="4"/>
        <v>0</v>
      </c>
      <c r="K14" s="2">
        <f>ROUND(1500,2)</f>
        <v>1500</v>
      </c>
      <c r="L14" s="24">
        <f t="shared" si="2"/>
        <v>0</v>
      </c>
      <c r="M14" s="25"/>
      <c r="N14" s="2">
        <f>ROUND(1935.41,2)</f>
        <v>1935.41</v>
      </c>
      <c r="O14" s="2">
        <f t="shared" si="3"/>
        <v>0</v>
      </c>
      <c r="P14" s="2">
        <f t="shared" si="3"/>
        <v>0</v>
      </c>
      <c r="Q14" s="24">
        <f t="shared" si="3"/>
        <v>0</v>
      </c>
      <c r="R14" s="25"/>
      <c r="S14" s="24">
        <f>ROUND(3435.41,2)</f>
        <v>3435.41</v>
      </c>
      <c r="T14" s="25"/>
      <c r="U14" s="26"/>
    </row>
    <row r="15" spans="1:21">
      <c r="A15" s="22" t="s">
        <v>33</v>
      </c>
      <c r="B15" s="23"/>
      <c r="C15" s="22" t="s">
        <v>34</v>
      </c>
      <c r="D15" s="23"/>
      <c r="E15" s="23"/>
      <c r="F15" s="23"/>
      <c r="G15" s="23"/>
      <c r="H15" s="2">
        <f t="shared" si="4"/>
        <v>0</v>
      </c>
      <c r="I15" s="2">
        <f t="shared" si="4"/>
        <v>0</v>
      </c>
      <c r="J15" s="2">
        <f t="shared" si="4"/>
        <v>0</v>
      </c>
      <c r="K15" s="2">
        <f>ROUND(560,2)</f>
        <v>560</v>
      </c>
      <c r="L15" s="24">
        <f t="shared" si="2"/>
        <v>0</v>
      </c>
      <c r="M15" s="25"/>
      <c r="N15" s="2">
        <f>ROUND(11929.12,2)</f>
        <v>11929.12</v>
      </c>
      <c r="O15" s="2">
        <f t="shared" si="3"/>
        <v>0</v>
      </c>
      <c r="P15" s="2">
        <f t="shared" si="3"/>
        <v>0</v>
      </c>
      <c r="Q15" s="24">
        <f t="shared" si="3"/>
        <v>0</v>
      </c>
      <c r="R15" s="25"/>
      <c r="S15" s="24">
        <f>ROUND(12489.12,2)</f>
        <v>12489.12</v>
      </c>
      <c r="T15" s="25"/>
      <c r="U15" s="26"/>
    </row>
    <row r="16" spans="1:21">
      <c r="A16" s="22" t="s">
        <v>35</v>
      </c>
      <c r="B16" s="23"/>
      <c r="C16" s="22" t="s">
        <v>36</v>
      </c>
      <c r="D16" s="23"/>
      <c r="E16" s="23"/>
      <c r="F16" s="23"/>
      <c r="G16" s="23"/>
      <c r="H16" s="2">
        <f t="shared" si="4"/>
        <v>0</v>
      </c>
      <c r="I16" s="2">
        <f t="shared" si="4"/>
        <v>0</v>
      </c>
      <c r="J16" s="2">
        <f t="shared" si="4"/>
        <v>0</v>
      </c>
      <c r="K16" s="2">
        <f t="shared" ref="K16:K31" si="5">ROUND(0,2)</f>
        <v>0</v>
      </c>
      <c r="L16" s="24">
        <f t="shared" si="2"/>
        <v>0</v>
      </c>
      <c r="M16" s="25"/>
      <c r="N16" s="2">
        <f>ROUND(0,2)</f>
        <v>0</v>
      </c>
      <c r="O16" s="2">
        <f>ROUND(45000,2)</f>
        <v>45000</v>
      </c>
      <c r="P16" s="2">
        <f t="shared" ref="P16:Q31" si="6">ROUND(0,2)</f>
        <v>0</v>
      </c>
      <c r="Q16" s="24">
        <f t="shared" si="6"/>
        <v>0</v>
      </c>
      <c r="R16" s="25"/>
      <c r="S16" s="24">
        <f>ROUND(45000,2)</f>
        <v>45000</v>
      </c>
      <c r="T16" s="25"/>
      <c r="U16" s="26"/>
    </row>
    <row r="17" spans="1:21">
      <c r="A17" s="22" t="s">
        <v>37</v>
      </c>
      <c r="B17" s="23"/>
      <c r="C17" s="22" t="s">
        <v>38</v>
      </c>
      <c r="D17" s="23"/>
      <c r="E17" s="23"/>
      <c r="F17" s="23"/>
      <c r="G17" s="23"/>
      <c r="H17" s="2">
        <f t="shared" si="4"/>
        <v>0</v>
      </c>
      <c r="I17" s="2">
        <f t="shared" si="4"/>
        <v>0</v>
      </c>
      <c r="J17" s="2">
        <f t="shared" si="4"/>
        <v>0</v>
      </c>
      <c r="K17" s="2">
        <f t="shared" si="5"/>
        <v>0</v>
      </c>
      <c r="L17" s="24">
        <f t="shared" si="2"/>
        <v>0</v>
      </c>
      <c r="M17" s="25"/>
      <c r="N17" s="2">
        <f>ROUND(28000,2)</f>
        <v>28000</v>
      </c>
      <c r="O17" s="2">
        <f>ROUND(0,2)</f>
        <v>0</v>
      </c>
      <c r="P17" s="2">
        <f t="shared" si="6"/>
        <v>0</v>
      </c>
      <c r="Q17" s="24">
        <f t="shared" si="6"/>
        <v>0</v>
      </c>
      <c r="R17" s="25"/>
      <c r="S17" s="24">
        <f>ROUND(28000,2)</f>
        <v>28000</v>
      </c>
      <c r="T17" s="25"/>
      <c r="U17" s="26"/>
    </row>
    <row r="18" spans="1:21">
      <c r="A18" s="22" t="s">
        <v>39</v>
      </c>
      <c r="B18" s="23"/>
      <c r="C18" s="22" t="s">
        <v>40</v>
      </c>
      <c r="D18" s="23"/>
      <c r="E18" s="23"/>
      <c r="F18" s="23"/>
      <c r="G18" s="23"/>
      <c r="H18" s="2">
        <f t="shared" si="4"/>
        <v>0</v>
      </c>
      <c r="I18" s="2">
        <f t="shared" si="4"/>
        <v>0</v>
      </c>
      <c r="J18" s="2">
        <f t="shared" si="4"/>
        <v>0</v>
      </c>
      <c r="K18" s="2">
        <f t="shared" si="5"/>
        <v>0</v>
      </c>
      <c r="L18" s="24">
        <f t="shared" si="2"/>
        <v>0</v>
      </c>
      <c r="M18" s="25"/>
      <c r="N18" s="2">
        <f>ROUND(222000,2)</f>
        <v>222000</v>
      </c>
      <c r="O18" s="2">
        <f>ROUND(0,2)</f>
        <v>0</v>
      </c>
      <c r="P18" s="2">
        <f t="shared" si="6"/>
        <v>0</v>
      </c>
      <c r="Q18" s="24">
        <f t="shared" si="6"/>
        <v>0</v>
      </c>
      <c r="R18" s="25"/>
      <c r="S18" s="24">
        <f>ROUND(222000,2)</f>
        <v>222000</v>
      </c>
      <c r="T18" s="25"/>
      <c r="U18" s="26"/>
    </row>
    <row r="19" spans="1:21">
      <c r="A19" s="22" t="s">
        <v>41</v>
      </c>
      <c r="B19" s="23"/>
      <c r="C19" s="22" t="s">
        <v>42</v>
      </c>
      <c r="D19" s="23"/>
      <c r="E19" s="23"/>
      <c r="F19" s="23"/>
      <c r="G19" s="23"/>
      <c r="H19" s="2">
        <f t="shared" si="4"/>
        <v>0</v>
      </c>
      <c r="I19" s="2">
        <f t="shared" si="4"/>
        <v>0</v>
      </c>
      <c r="J19" s="2">
        <f t="shared" si="4"/>
        <v>0</v>
      </c>
      <c r="K19" s="2">
        <f t="shared" si="5"/>
        <v>0</v>
      </c>
      <c r="L19" s="24">
        <f t="shared" si="2"/>
        <v>0</v>
      </c>
      <c r="M19" s="25"/>
      <c r="N19" s="2">
        <f>ROUND(47192.11,2)</f>
        <v>47192.11</v>
      </c>
      <c r="O19" s="2">
        <f>ROUND(0,2)</f>
        <v>0</v>
      </c>
      <c r="P19" s="2">
        <f t="shared" si="6"/>
        <v>0</v>
      </c>
      <c r="Q19" s="24">
        <f t="shared" si="6"/>
        <v>0</v>
      </c>
      <c r="R19" s="25"/>
      <c r="S19" s="24">
        <f>ROUND(47192.11,2)</f>
        <v>47192.11</v>
      </c>
      <c r="T19" s="25"/>
      <c r="U19" s="26"/>
    </row>
    <row r="20" spans="1:21">
      <c r="A20" s="22" t="s">
        <v>43</v>
      </c>
      <c r="B20" s="23"/>
      <c r="C20" s="22" t="s">
        <v>44</v>
      </c>
      <c r="D20" s="23"/>
      <c r="E20" s="23"/>
      <c r="F20" s="23"/>
      <c r="G20" s="23"/>
      <c r="H20" s="2">
        <f t="shared" si="4"/>
        <v>0</v>
      </c>
      <c r="I20" s="2">
        <f t="shared" si="4"/>
        <v>0</v>
      </c>
      <c r="J20" s="2">
        <f t="shared" si="4"/>
        <v>0</v>
      </c>
      <c r="K20" s="2">
        <f t="shared" si="5"/>
        <v>0</v>
      </c>
      <c r="L20" s="24">
        <f t="shared" si="2"/>
        <v>0</v>
      </c>
      <c r="M20" s="25"/>
      <c r="N20" s="2">
        <f>ROUND(0,2)</f>
        <v>0</v>
      </c>
      <c r="O20" s="2">
        <f>ROUND(10000,2)</f>
        <v>10000</v>
      </c>
      <c r="P20" s="2">
        <f t="shared" si="6"/>
        <v>0</v>
      </c>
      <c r="Q20" s="24">
        <f t="shared" si="6"/>
        <v>0</v>
      </c>
      <c r="R20" s="25"/>
      <c r="S20" s="24">
        <f>ROUND(10000,2)</f>
        <v>10000</v>
      </c>
      <c r="T20" s="25"/>
      <c r="U20" s="26"/>
    </row>
    <row r="21" spans="1:21">
      <c r="A21" s="22" t="s">
        <v>43</v>
      </c>
      <c r="B21" s="23"/>
      <c r="C21" s="22" t="s">
        <v>44</v>
      </c>
      <c r="D21" s="23"/>
      <c r="E21" s="23"/>
      <c r="F21" s="23"/>
      <c r="G21" s="23"/>
      <c r="H21" s="2">
        <f t="shared" si="4"/>
        <v>0</v>
      </c>
      <c r="I21" s="2">
        <f t="shared" si="4"/>
        <v>0</v>
      </c>
      <c r="J21" s="2">
        <f t="shared" si="4"/>
        <v>0</v>
      </c>
      <c r="K21" s="2">
        <f t="shared" si="5"/>
        <v>0</v>
      </c>
      <c r="L21" s="24">
        <f t="shared" si="2"/>
        <v>0</v>
      </c>
      <c r="M21" s="25"/>
      <c r="N21" s="2">
        <f>ROUND(421242.48,2)</f>
        <v>421242.48</v>
      </c>
      <c r="O21" s="2">
        <f t="shared" ref="O21:O27" si="7">ROUND(0,2)</f>
        <v>0</v>
      </c>
      <c r="P21" s="2">
        <f t="shared" si="6"/>
        <v>0</v>
      </c>
      <c r="Q21" s="24">
        <f t="shared" si="6"/>
        <v>0</v>
      </c>
      <c r="R21" s="25"/>
      <c r="S21" s="24">
        <f>ROUND(421242.48,2)</f>
        <v>421242.48</v>
      </c>
      <c r="T21" s="25"/>
      <c r="U21" s="26"/>
    </row>
    <row r="22" spans="1:21">
      <c r="A22" s="22" t="s">
        <v>45</v>
      </c>
      <c r="B22" s="23"/>
      <c r="C22" s="22" t="s">
        <v>46</v>
      </c>
      <c r="D22" s="23"/>
      <c r="E22" s="23"/>
      <c r="F22" s="23"/>
      <c r="G22" s="23"/>
      <c r="H22" s="2">
        <f t="shared" si="4"/>
        <v>0</v>
      </c>
      <c r="I22" s="2">
        <f t="shared" si="4"/>
        <v>0</v>
      </c>
      <c r="J22" s="2">
        <f t="shared" si="4"/>
        <v>0</v>
      </c>
      <c r="K22" s="2">
        <f t="shared" si="5"/>
        <v>0</v>
      </c>
      <c r="L22" s="24">
        <f t="shared" si="2"/>
        <v>0</v>
      </c>
      <c r="M22" s="25"/>
      <c r="N22" s="2">
        <f>ROUND(10116.61,2)</f>
        <v>10116.61</v>
      </c>
      <c r="O22" s="2">
        <f t="shared" si="7"/>
        <v>0</v>
      </c>
      <c r="P22" s="2">
        <f t="shared" si="6"/>
        <v>0</v>
      </c>
      <c r="Q22" s="24">
        <f t="shared" si="6"/>
        <v>0</v>
      </c>
      <c r="R22" s="25"/>
      <c r="S22" s="24">
        <f>ROUND(10116.61,2)</f>
        <v>10116.61</v>
      </c>
      <c r="T22" s="25"/>
      <c r="U22" s="26"/>
    </row>
    <row r="23" spans="1:21">
      <c r="A23" s="22" t="s">
        <v>47</v>
      </c>
      <c r="B23" s="23"/>
      <c r="C23" s="22" t="s">
        <v>48</v>
      </c>
      <c r="D23" s="23"/>
      <c r="E23" s="23"/>
      <c r="F23" s="23"/>
      <c r="G23" s="23"/>
      <c r="H23" s="2">
        <f t="shared" si="4"/>
        <v>0</v>
      </c>
      <c r="I23" s="2">
        <f t="shared" si="4"/>
        <v>0</v>
      </c>
      <c r="J23" s="2">
        <f t="shared" si="4"/>
        <v>0</v>
      </c>
      <c r="K23" s="2">
        <f t="shared" si="5"/>
        <v>0</v>
      </c>
      <c r="L23" s="24">
        <f t="shared" si="2"/>
        <v>0</v>
      </c>
      <c r="M23" s="25"/>
      <c r="N23" s="2">
        <f>ROUND(69.06,2)</f>
        <v>69.06</v>
      </c>
      <c r="O23" s="2">
        <f t="shared" si="7"/>
        <v>0</v>
      </c>
      <c r="P23" s="2">
        <f t="shared" si="6"/>
        <v>0</v>
      </c>
      <c r="Q23" s="24">
        <f t="shared" si="6"/>
        <v>0</v>
      </c>
      <c r="R23" s="25"/>
      <c r="S23" s="24">
        <f>ROUND(69.06,2)</f>
        <v>69.06</v>
      </c>
      <c r="T23" s="25"/>
      <c r="U23" s="26"/>
    </row>
    <row r="24" spans="1:21">
      <c r="A24" s="22" t="s">
        <v>49</v>
      </c>
      <c r="B24" s="23"/>
      <c r="C24" s="22" t="s">
        <v>50</v>
      </c>
      <c r="D24" s="23"/>
      <c r="E24" s="23"/>
      <c r="F24" s="23"/>
      <c r="G24" s="23"/>
      <c r="H24" s="2">
        <f t="shared" si="4"/>
        <v>0</v>
      </c>
      <c r="I24" s="2">
        <f t="shared" si="4"/>
        <v>0</v>
      </c>
      <c r="J24" s="2">
        <f t="shared" si="4"/>
        <v>0</v>
      </c>
      <c r="K24" s="2">
        <f t="shared" si="5"/>
        <v>0</v>
      </c>
      <c r="L24" s="24">
        <f t="shared" si="2"/>
        <v>0</v>
      </c>
      <c r="M24" s="25"/>
      <c r="N24" s="2">
        <f>ROUND(87127.36,2)</f>
        <v>87127.360000000001</v>
      </c>
      <c r="O24" s="2">
        <f t="shared" si="7"/>
        <v>0</v>
      </c>
      <c r="P24" s="2">
        <f t="shared" si="6"/>
        <v>0</v>
      </c>
      <c r="Q24" s="24">
        <f t="shared" si="6"/>
        <v>0</v>
      </c>
      <c r="R24" s="25"/>
      <c r="S24" s="24">
        <f>ROUND(87127.36,2)</f>
        <v>87127.360000000001</v>
      </c>
      <c r="T24" s="25"/>
      <c r="U24" s="26"/>
    </row>
    <row r="25" spans="1:21">
      <c r="A25" s="22" t="s">
        <v>51</v>
      </c>
      <c r="B25" s="23"/>
      <c r="C25" s="22" t="s">
        <v>52</v>
      </c>
      <c r="D25" s="23"/>
      <c r="E25" s="23"/>
      <c r="F25" s="23"/>
      <c r="G25" s="23"/>
      <c r="H25" s="2">
        <f t="shared" ref="H25:H40" si="8">ROUND(0,2)</f>
        <v>0</v>
      </c>
      <c r="I25" s="2">
        <f>ROUND(10000,2)</f>
        <v>10000</v>
      </c>
      <c r="J25" s="2">
        <f t="shared" ref="J25:J40" si="9">ROUND(0,2)</f>
        <v>0</v>
      </c>
      <c r="K25" s="2">
        <f t="shared" si="5"/>
        <v>0</v>
      </c>
      <c r="L25" s="24">
        <f t="shared" si="2"/>
        <v>0</v>
      </c>
      <c r="M25" s="25"/>
      <c r="N25" s="2">
        <f>ROUND(0,2)</f>
        <v>0</v>
      </c>
      <c r="O25" s="2">
        <f t="shared" si="7"/>
        <v>0</v>
      </c>
      <c r="P25" s="2">
        <f t="shared" si="6"/>
        <v>0</v>
      </c>
      <c r="Q25" s="24">
        <f t="shared" si="6"/>
        <v>0</v>
      </c>
      <c r="R25" s="25"/>
      <c r="S25" s="24">
        <f>ROUND(10000,2)</f>
        <v>10000</v>
      </c>
      <c r="T25" s="25"/>
      <c r="U25" s="26"/>
    </row>
    <row r="26" spans="1:21">
      <c r="A26" s="22" t="s">
        <v>53</v>
      </c>
      <c r="B26" s="23"/>
      <c r="C26" s="22" t="s">
        <v>54</v>
      </c>
      <c r="D26" s="23"/>
      <c r="E26" s="23"/>
      <c r="F26" s="23"/>
      <c r="G26" s="23"/>
      <c r="H26" s="2">
        <f t="shared" si="8"/>
        <v>0</v>
      </c>
      <c r="I26" s="2">
        <f>ROUND(0,2)</f>
        <v>0</v>
      </c>
      <c r="J26" s="2">
        <f t="shared" si="9"/>
        <v>0</v>
      </c>
      <c r="K26" s="2">
        <f t="shared" si="5"/>
        <v>0</v>
      </c>
      <c r="L26" s="24">
        <f t="shared" si="2"/>
        <v>0</v>
      </c>
      <c r="M26" s="25"/>
      <c r="N26" s="2">
        <f>ROUND(3448.5,2)</f>
        <v>3448.5</v>
      </c>
      <c r="O26" s="2">
        <f t="shared" si="7"/>
        <v>0</v>
      </c>
      <c r="P26" s="2">
        <f t="shared" si="6"/>
        <v>0</v>
      </c>
      <c r="Q26" s="24">
        <f t="shared" si="6"/>
        <v>0</v>
      </c>
      <c r="R26" s="25"/>
      <c r="S26" s="24">
        <f>ROUND(3448.5,2)</f>
        <v>3448.5</v>
      </c>
      <c r="T26" s="25"/>
      <c r="U26" s="26"/>
    </row>
    <row r="27" spans="1:21">
      <c r="A27" s="22" t="s">
        <v>55</v>
      </c>
      <c r="B27" s="23"/>
      <c r="C27" s="22" t="s">
        <v>56</v>
      </c>
      <c r="D27" s="23"/>
      <c r="E27" s="23"/>
      <c r="F27" s="23"/>
      <c r="G27" s="23"/>
      <c r="H27" s="2">
        <f t="shared" si="8"/>
        <v>0</v>
      </c>
      <c r="I27" s="2">
        <f>ROUND(576,2)</f>
        <v>576</v>
      </c>
      <c r="J27" s="2">
        <f t="shared" si="9"/>
        <v>0</v>
      </c>
      <c r="K27" s="2">
        <f t="shared" si="5"/>
        <v>0</v>
      </c>
      <c r="L27" s="24">
        <f t="shared" ref="L27:L42" si="10">ROUND(0,2)</f>
        <v>0</v>
      </c>
      <c r="M27" s="25"/>
      <c r="N27" s="2">
        <f>ROUND(0,2)</f>
        <v>0</v>
      </c>
      <c r="O27" s="2">
        <f t="shared" si="7"/>
        <v>0</v>
      </c>
      <c r="P27" s="2">
        <f t="shared" si="6"/>
        <v>0</v>
      </c>
      <c r="Q27" s="24">
        <f t="shared" si="6"/>
        <v>0</v>
      </c>
      <c r="R27" s="25"/>
      <c r="S27" s="24">
        <f>ROUND(576,2)</f>
        <v>576</v>
      </c>
      <c r="T27" s="25"/>
      <c r="U27" s="26"/>
    </row>
    <row r="28" spans="1:21">
      <c r="A28" s="22" t="s">
        <v>57</v>
      </c>
      <c r="B28" s="23"/>
      <c r="C28" s="22" t="s">
        <v>58</v>
      </c>
      <c r="D28" s="23"/>
      <c r="E28" s="23"/>
      <c r="F28" s="23"/>
      <c r="G28" s="23"/>
      <c r="H28" s="2">
        <f t="shared" si="8"/>
        <v>0</v>
      </c>
      <c r="I28" s="2">
        <f>ROUND(0,2)</f>
        <v>0</v>
      </c>
      <c r="J28" s="2">
        <f t="shared" si="9"/>
        <v>0</v>
      </c>
      <c r="K28" s="2">
        <f t="shared" si="5"/>
        <v>0</v>
      </c>
      <c r="L28" s="24">
        <f t="shared" si="10"/>
        <v>0</v>
      </c>
      <c r="M28" s="25"/>
      <c r="N28" s="2">
        <f>ROUND(0,2)</f>
        <v>0</v>
      </c>
      <c r="O28" s="2">
        <f>ROUND(7249,2)</f>
        <v>7249</v>
      </c>
      <c r="P28" s="2">
        <f t="shared" si="6"/>
        <v>0</v>
      </c>
      <c r="Q28" s="24">
        <f t="shared" si="6"/>
        <v>0</v>
      </c>
      <c r="R28" s="25"/>
      <c r="S28" s="24">
        <f>ROUND(7249,2)</f>
        <v>7249</v>
      </c>
      <c r="T28" s="25"/>
      <c r="U28" s="26"/>
    </row>
    <row r="29" spans="1:21">
      <c r="A29" s="22" t="s">
        <v>59</v>
      </c>
      <c r="B29" s="23"/>
      <c r="C29" s="22" t="s">
        <v>60</v>
      </c>
      <c r="D29" s="23"/>
      <c r="E29" s="23"/>
      <c r="F29" s="23"/>
      <c r="G29" s="23"/>
      <c r="H29" s="2">
        <f t="shared" si="8"/>
        <v>0</v>
      </c>
      <c r="I29" s="2">
        <f>ROUND(0,2)</f>
        <v>0</v>
      </c>
      <c r="J29" s="2">
        <f t="shared" si="9"/>
        <v>0</v>
      </c>
      <c r="K29" s="2">
        <f t="shared" si="5"/>
        <v>0</v>
      </c>
      <c r="L29" s="24">
        <f t="shared" si="10"/>
        <v>0</v>
      </c>
      <c r="M29" s="25"/>
      <c r="N29" s="2">
        <f>ROUND(53303.44,2)</f>
        <v>53303.44</v>
      </c>
      <c r="O29" s="2">
        <f>ROUND(0,2)</f>
        <v>0</v>
      </c>
      <c r="P29" s="2">
        <f t="shared" si="6"/>
        <v>0</v>
      </c>
      <c r="Q29" s="24">
        <f t="shared" si="6"/>
        <v>0</v>
      </c>
      <c r="R29" s="25"/>
      <c r="S29" s="24">
        <f>ROUND(53303.44,2)</f>
        <v>53303.44</v>
      </c>
      <c r="T29" s="25"/>
      <c r="U29" s="26"/>
    </row>
    <row r="30" spans="1:21">
      <c r="A30" s="22" t="s">
        <v>61</v>
      </c>
      <c r="B30" s="23"/>
      <c r="C30" s="22" t="s">
        <v>60</v>
      </c>
      <c r="D30" s="23"/>
      <c r="E30" s="23"/>
      <c r="F30" s="23"/>
      <c r="G30" s="23"/>
      <c r="H30" s="2">
        <f t="shared" si="8"/>
        <v>0</v>
      </c>
      <c r="I30" s="2">
        <f>ROUND(0,2)</f>
        <v>0</v>
      </c>
      <c r="J30" s="2">
        <f t="shared" si="9"/>
        <v>0</v>
      </c>
      <c r="K30" s="2">
        <f t="shared" si="5"/>
        <v>0</v>
      </c>
      <c r="L30" s="24">
        <f t="shared" si="10"/>
        <v>0</v>
      </c>
      <c r="M30" s="25"/>
      <c r="N30" s="2">
        <f>ROUND(1000,2)</f>
        <v>1000</v>
      </c>
      <c r="O30" s="2">
        <f>ROUND(0,2)</f>
        <v>0</v>
      </c>
      <c r="P30" s="2">
        <f t="shared" si="6"/>
        <v>0</v>
      </c>
      <c r="Q30" s="24">
        <f t="shared" si="6"/>
        <v>0</v>
      </c>
      <c r="R30" s="25"/>
      <c r="S30" s="24">
        <f>ROUND(1000,2)</f>
        <v>1000</v>
      </c>
      <c r="T30" s="25"/>
      <c r="U30" s="26"/>
    </row>
    <row r="31" spans="1:21">
      <c r="A31" s="22" t="s">
        <v>62</v>
      </c>
      <c r="B31" s="23"/>
      <c r="C31" s="22" t="s">
        <v>63</v>
      </c>
      <c r="D31" s="23"/>
      <c r="E31" s="23"/>
      <c r="F31" s="23"/>
      <c r="G31" s="23"/>
      <c r="H31" s="2">
        <f t="shared" si="8"/>
        <v>0</v>
      </c>
      <c r="I31" s="2">
        <f>ROUND(0,2)</f>
        <v>0</v>
      </c>
      <c r="J31" s="2">
        <f t="shared" si="9"/>
        <v>0</v>
      </c>
      <c r="K31" s="2">
        <f t="shared" si="5"/>
        <v>0</v>
      </c>
      <c r="L31" s="24">
        <f t="shared" si="10"/>
        <v>0</v>
      </c>
      <c r="M31" s="25"/>
      <c r="N31" s="2">
        <f>ROUND(10017.2,2)</f>
        <v>10017.200000000001</v>
      </c>
      <c r="O31" s="2">
        <f>ROUND(0,2)</f>
        <v>0</v>
      </c>
      <c r="P31" s="2">
        <f t="shared" si="6"/>
        <v>0</v>
      </c>
      <c r="Q31" s="24">
        <f t="shared" si="6"/>
        <v>0</v>
      </c>
      <c r="R31" s="25"/>
      <c r="S31" s="24">
        <f>ROUND(10017.2,2)</f>
        <v>10017.200000000001</v>
      </c>
      <c r="T31" s="25"/>
      <c r="U31" s="26"/>
    </row>
    <row r="32" spans="1:21">
      <c r="A32" s="22" t="s">
        <v>64</v>
      </c>
      <c r="B32" s="23"/>
      <c r="C32" s="22" t="s">
        <v>65</v>
      </c>
      <c r="D32" s="23"/>
      <c r="E32" s="23"/>
      <c r="F32" s="23"/>
      <c r="G32" s="23"/>
      <c r="H32" s="2">
        <f t="shared" si="8"/>
        <v>0</v>
      </c>
      <c r="I32" s="2">
        <f>ROUND(20000,2)</f>
        <v>20000</v>
      </c>
      <c r="J32" s="2">
        <f t="shared" si="9"/>
        <v>0</v>
      </c>
      <c r="K32" s="2">
        <f t="shared" ref="K32:K47" si="11">ROUND(0,2)</f>
        <v>0</v>
      </c>
      <c r="L32" s="24">
        <f t="shared" si="10"/>
        <v>0</v>
      </c>
      <c r="M32" s="25"/>
      <c r="N32" s="2">
        <f>ROUND(0,2)</f>
        <v>0</v>
      </c>
      <c r="O32" s="2">
        <f>ROUND(10000,2)</f>
        <v>10000</v>
      </c>
      <c r="P32" s="2">
        <f t="shared" ref="P32:Q46" si="12">ROUND(0,2)</f>
        <v>0</v>
      </c>
      <c r="Q32" s="24">
        <f t="shared" si="12"/>
        <v>0</v>
      </c>
      <c r="R32" s="25"/>
      <c r="S32" s="24">
        <f>ROUND(30000,2)</f>
        <v>30000</v>
      </c>
      <c r="T32" s="25"/>
      <c r="U32" s="26"/>
    </row>
    <row r="33" spans="1:21">
      <c r="A33" s="22" t="s">
        <v>64</v>
      </c>
      <c r="B33" s="23"/>
      <c r="C33" s="22" t="s">
        <v>65</v>
      </c>
      <c r="D33" s="23"/>
      <c r="E33" s="23"/>
      <c r="F33" s="23"/>
      <c r="G33" s="23"/>
      <c r="H33" s="2">
        <f t="shared" si="8"/>
        <v>0</v>
      </c>
      <c r="I33" s="2">
        <f>ROUND(0,2)</f>
        <v>0</v>
      </c>
      <c r="J33" s="2">
        <f t="shared" si="9"/>
        <v>0</v>
      </c>
      <c r="K33" s="2">
        <f t="shared" si="11"/>
        <v>0</v>
      </c>
      <c r="L33" s="24">
        <f t="shared" si="10"/>
        <v>0</v>
      </c>
      <c r="M33" s="25"/>
      <c r="N33" s="2">
        <f>ROUND(4621.64,2)</f>
        <v>4621.6400000000003</v>
      </c>
      <c r="O33" s="2">
        <f t="shared" ref="O33:O43" si="13">ROUND(0,2)</f>
        <v>0</v>
      </c>
      <c r="P33" s="2">
        <f t="shared" si="12"/>
        <v>0</v>
      </c>
      <c r="Q33" s="24">
        <f t="shared" si="12"/>
        <v>0</v>
      </c>
      <c r="R33" s="25"/>
      <c r="S33" s="24">
        <f>ROUND(4621.64,2)</f>
        <v>4621.6400000000003</v>
      </c>
      <c r="T33" s="25"/>
      <c r="U33" s="26"/>
    </row>
    <row r="34" spans="1:21">
      <c r="A34" s="22" t="s">
        <v>66</v>
      </c>
      <c r="B34" s="23"/>
      <c r="C34" s="22" t="s">
        <v>67</v>
      </c>
      <c r="D34" s="23"/>
      <c r="E34" s="23"/>
      <c r="F34" s="23"/>
      <c r="G34" s="23"/>
      <c r="H34" s="2">
        <f t="shared" si="8"/>
        <v>0</v>
      </c>
      <c r="I34" s="2">
        <f>ROUND(0,2)</f>
        <v>0</v>
      </c>
      <c r="J34" s="2">
        <f t="shared" si="9"/>
        <v>0</v>
      </c>
      <c r="K34" s="2">
        <f t="shared" si="11"/>
        <v>0</v>
      </c>
      <c r="L34" s="24">
        <f t="shared" si="10"/>
        <v>0</v>
      </c>
      <c r="M34" s="25"/>
      <c r="N34" s="2">
        <f>ROUND(221.01,2)</f>
        <v>221.01</v>
      </c>
      <c r="O34" s="2">
        <f t="shared" si="13"/>
        <v>0</v>
      </c>
      <c r="P34" s="2">
        <f t="shared" si="12"/>
        <v>0</v>
      </c>
      <c r="Q34" s="24">
        <f t="shared" si="12"/>
        <v>0</v>
      </c>
      <c r="R34" s="25"/>
      <c r="S34" s="24">
        <f>ROUND(221.01,2)</f>
        <v>221.01</v>
      </c>
      <c r="T34" s="25"/>
      <c r="U34" s="26"/>
    </row>
    <row r="35" spans="1:21">
      <c r="A35" s="22" t="s">
        <v>68</v>
      </c>
      <c r="B35" s="23"/>
      <c r="C35" s="22" t="s">
        <v>69</v>
      </c>
      <c r="D35" s="23"/>
      <c r="E35" s="23"/>
      <c r="F35" s="23"/>
      <c r="G35" s="23"/>
      <c r="H35" s="2">
        <f t="shared" si="8"/>
        <v>0</v>
      </c>
      <c r="I35" s="2">
        <f>ROUND(0,2)</f>
        <v>0</v>
      </c>
      <c r="J35" s="2">
        <f t="shared" si="9"/>
        <v>0</v>
      </c>
      <c r="K35" s="2">
        <f t="shared" si="11"/>
        <v>0</v>
      </c>
      <c r="L35" s="24">
        <f t="shared" si="10"/>
        <v>0</v>
      </c>
      <c r="M35" s="25"/>
      <c r="N35" s="2">
        <f>ROUND(46933.95,2)</f>
        <v>46933.95</v>
      </c>
      <c r="O35" s="2">
        <f t="shared" si="13"/>
        <v>0</v>
      </c>
      <c r="P35" s="2">
        <f t="shared" si="12"/>
        <v>0</v>
      </c>
      <c r="Q35" s="24">
        <f t="shared" si="12"/>
        <v>0</v>
      </c>
      <c r="R35" s="25"/>
      <c r="S35" s="24">
        <f>ROUND(46933.95,2)</f>
        <v>46933.95</v>
      </c>
      <c r="T35" s="25"/>
      <c r="U35" s="26"/>
    </row>
    <row r="36" spans="1:21">
      <c r="A36" s="22" t="s">
        <v>70</v>
      </c>
      <c r="B36" s="23"/>
      <c r="C36" s="22" t="s">
        <v>69</v>
      </c>
      <c r="D36" s="23"/>
      <c r="E36" s="23"/>
      <c r="F36" s="23"/>
      <c r="G36" s="23"/>
      <c r="H36" s="2">
        <f t="shared" si="8"/>
        <v>0</v>
      </c>
      <c r="I36" s="2">
        <f>ROUND(0,2)</f>
        <v>0</v>
      </c>
      <c r="J36" s="2">
        <f t="shared" si="9"/>
        <v>0</v>
      </c>
      <c r="K36" s="2">
        <f t="shared" si="11"/>
        <v>0</v>
      </c>
      <c r="L36" s="24">
        <f t="shared" si="10"/>
        <v>0</v>
      </c>
      <c r="M36" s="25"/>
      <c r="N36" s="2">
        <f>ROUND(2000,2)</f>
        <v>2000</v>
      </c>
      <c r="O36" s="2">
        <f t="shared" si="13"/>
        <v>0</v>
      </c>
      <c r="P36" s="2">
        <f t="shared" si="12"/>
        <v>0</v>
      </c>
      <c r="Q36" s="24">
        <f t="shared" si="12"/>
        <v>0</v>
      </c>
      <c r="R36" s="25"/>
      <c r="S36" s="24">
        <f>ROUND(2000,2)</f>
        <v>2000</v>
      </c>
      <c r="T36" s="25"/>
      <c r="U36" s="26"/>
    </row>
    <row r="37" spans="1:21">
      <c r="A37" s="22" t="s">
        <v>71</v>
      </c>
      <c r="B37" s="23"/>
      <c r="C37" s="22" t="s">
        <v>72</v>
      </c>
      <c r="D37" s="23"/>
      <c r="E37" s="23"/>
      <c r="F37" s="23"/>
      <c r="G37" s="23"/>
      <c r="H37" s="2">
        <f t="shared" si="8"/>
        <v>0</v>
      </c>
      <c r="I37" s="2">
        <f>ROUND(17000,2)</f>
        <v>17000</v>
      </c>
      <c r="J37" s="2">
        <f t="shared" si="9"/>
        <v>0</v>
      </c>
      <c r="K37" s="2">
        <f t="shared" si="11"/>
        <v>0</v>
      </c>
      <c r="L37" s="24">
        <f t="shared" si="10"/>
        <v>0</v>
      </c>
      <c r="M37" s="25"/>
      <c r="N37" s="2">
        <f>ROUND(0,2)</f>
        <v>0</v>
      </c>
      <c r="O37" s="2">
        <f t="shared" si="13"/>
        <v>0</v>
      </c>
      <c r="P37" s="2">
        <f t="shared" si="12"/>
        <v>0</v>
      </c>
      <c r="Q37" s="24">
        <f t="shared" si="12"/>
        <v>0</v>
      </c>
      <c r="R37" s="25"/>
      <c r="S37" s="24">
        <f>ROUND(17000,2)</f>
        <v>17000</v>
      </c>
      <c r="T37" s="25"/>
      <c r="U37" s="26"/>
    </row>
    <row r="38" spans="1:21">
      <c r="A38" s="22" t="s">
        <v>71</v>
      </c>
      <c r="B38" s="23"/>
      <c r="C38" s="22" t="s">
        <v>72</v>
      </c>
      <c r="D38" s="23"/>
      <c r="E38" s="23"/>
      <c r="F38" s="23"/>
      <c r="G38" s="23"/>
      <c r="H38" s="2">
        <f t="shared" si="8"/>
        <v>0</v>
      </c>
      <c r="I38" s="2">
        <f t="shared" ref="I38:I53" si="14">ROUND(0,2)</f>
        <v>0</v>
      </c>
      <c r="J38" s="2">
        <f t="shared" si="9"/>
        <v>0</v>
      </c>
      <c r="K38" s="2">
        <f t="shared" si="11"/>
        <v>0</v>
      </c>
      <c r="L38" s="24">
        <f t="shared" si="10"/>
        <v>0</v>
      </c>
      <c r="M38" s="25"/>
      <c r="N38" s="2">
        <f>ROUND(5844.3,2)</f>
        <v>5844.3</v>
      </c>
      <c r="O38" s="2">
        <f t="shared" si="13"/>
        <v>0</v>
      </c>
      <c r="P38" s="2">
        <f t="shared" si="12"/>
        <v>0</v>
      </c>
      <c r="Q38" s="24">
        <f t="shared" si="12"/>
        <v>0</v>
      </c>
      <c r="R38" s="25"/>
      <c r="S38" s="24">
        <f>ROUND(5844.3,2)</f>
        <v>5844.3</v>
      </c>
      <c r="T38" s="25"/>
      <c r="U38" s="26"/>
    </row>
    <row r="39" spans="1:21">
      <c r="A39" s="22" t="s">
        <v>73</v>
      </c>
      <c r="B39" s="23"/>
      <c r="C39" s="22" t="s">
        <v>74</v>
      </c>
      <c r="D39" s="23"/>
      <c r="E39" s="23"/>
      <c r="F39" s="23"/>
      <c r="G39" s="23"/>
      <c r="H39" s="2">
        <f t="shared" si="8"/>
        <v>0</v>
      </c>
      <c r="I39" s="2">
        <f t="shared" si="14"/>
        <v>0</v>
      </c>
      <c r="J39" s="2">
        <f t="shared" si="9"/>
        <v>0</v>
      </c>
      <c r="K39" s="2">
        <f t="shared" si="11"/>
        <v>0</v>
      </c>
      <c r="L39" s="24">
        <f t="shared" si="10"/>
        <v>0</v>
      </c>
      <c r="M39" s="25"/>
      <c r="N39" s="2">
        <f>ROUND(25311.94,2)</f>
        <v>25311.94</v>
      </c>
      <c r="O39" s="2">
        <f t="shared" si="13"/>
        <v>0</v>
      </c>
      <c r="P39" s="2">
        <f t="shared" si="12"/>
        <v>0</v>
      </c>
      <c r="Q39" s="24">
        <f t="shared" si="12"/>
        <v>0</v>
      </c>
      <c r="R39" s="25"/>
      <c r="S39" s="24">
        <f>ROUND(25311.94,2)</f>
        <v>25311.94</v>
      </c>
      <c r="T39" s="25"/>
      <c r="U39" s="26"/>
    </row>
    <row r="40" spans="1:21">
      <c r="A40" s="22" t="s">
        <v>75</v>
      </c>
      <c r="B40" s="23"/>
      <c r="C40" s="22" t="s">
        <v>76</v>
      </c>
      <c r="D40" s="23"/>
      <c r="E40" s="23"/>
      <c r="F40" s="23"/>
      <c r="G40" s="23"/>
      <c r="H40" s="2">
        <f t="shared" si="8"/>
        <v>0</v>
      </c>
      <c r="I40" s="2">
        <f t="shared" si="14"/>
        <v>0</v>
      </c>
      <c r="J40" s="2">
        <f t="shared" si="9"/>
        <v>0</v>
      </c>
      <c r="K40" s="2">
        <f t="shared" si="11"/>
        <v>0</v>
      </c>
      <c r="L40" s="24">
        <f t="shared" si="10"/>
        <v>0</v>
      </c>
      <c r="M40" s="25"/>
      <c r="N40" s="2">
        <f>ROUND(1400.77,2)</f>
        <v>1400.77</v>
      </c>
      <c r="O40" s="2">
        <f t="shared" si="13"/>
        <v>0</v>
      </c>
      <c r="P40" s="2">
        <f t="shared" si="12"/>
        <v>0</v>
      </c>
      <c r="Q40" s="24">
        <f t="shared" si="12"/>
        <v>0</v>
      </c>
      <c r="R40" s="25"/>
      <c r="S40" s="24">
        <f>ROUND(1400.77,2)</f>
        <v>1400.77</v>
      </c>
      <c r="T40" s="25"/>
      <c r="U40" s="26"/>
    </row>
    <row r="41" spans="1:21">
      <c r="A41" s="22" t="s">
        <v>77</v>
      </c>
      <c r="B41" s="23"/>
      <c r="C41" s="22" t="s">
        <v>78</v>
      </c>
      <c r="D41" s="23"/>
      <c r="E41" s="23"/>
      <c r="F41" s="23"/>
      <c r="G41" s="23"/>
      <c r="H41" s="2">
        <f t="shared" ref="H41:H56" si="15">ROUND(0,2)</f>
        <v>0</v>
      </c>
      <c r="I41" s="2">
        <f t="shared" si="14"/>
        <v>0</v>
      </c>
      <c r="J41" s="2">
        <f t="shared" ref="J41:J53" si="16">ROUND(0,2)</f>
        <v>0</v>
      </c>
      <c r="K41" s="2">
        <f t="shared" si="11"/>
        <v>0</v>
      </c>
      <c r="L41" s="24">
        <f t="shared" si="10"/>
        <v>0</v>
      </c>
      <c r="M41" s="25"/>
      <c r="N41" s="2">
        <f>ROUND(8730.66,2)</f>
        <v>8730.66</v>
      </c>
      <c r="O41" s="2">
        <f t="shared" si="13"/>
        <v>0</v>
      </c>
      <c r="P41" s="2">
        <f t="shared" si="12"/>
        <v>0</v>
      </c>
      <c r="Q41" s="24">
        <f t="shared" si="12"/>
        <v>0</v>
      </c>
      <c r="R41" s="25"/>
      <c r="S41" s="24">
        <f>ROUND(8730.66,2)</f>
        <v>8730.66</v>
      </c>
      <c r="T41" s="25"/>
      <c r="U41" s="26"/>
    </row>
    <row r="42" spans="1:21">
      <c r="A42" s="22" t="s">
        <v>79</v>
      </c>
      <c r="B42" s="23"/>
      <c r="C42" s="22" t="s">
        <v>80</v>
      </c>
      <c r="D42" s="23"/>
      <c r="E42" s="23"/>
      <c r="F42" s="23"/>
      <c r="G42" s="23"/>
      <c r="H42" s="2">
        <f t="shared" si="15"/>
        <v>0</v>
      </c>
      <c r="I42" s="2">
        <f t="shared" si="14"/>
        <v>0</v>
      </c>
      <c r="J42" s="2">
        <f t="shared" si="16"/>
        <v>0</v>
      </c>
      <c r="K42" s="2">
        <f t="shared" si="11"/>
        <v>0</v>
      </c>
      <c r="L42" s="24">
        <f t="shared" si="10"/>
        <v>0</v>
      </c>
      <c r="M42" s="25"/>
      <c r="N42" s="2">
        <f>ROUND(72468.79,2)</f>
        <v>72468.789999999994</v>
      </c>
      <c r="O42" s="2">
        <f t="shared" si="13"/>
        <v>0</v>
      </c>
      <c r="P42" s="2">
        <f t="shared" si="12"/>
        <v>0</v>
      </c>
      <c r="Q42" s="24">
        <f t="shared" si="12"/>
        <v>0</v>
      </c>
      <c r="R42" s="25"/>
      <c r="S42" s="24">
        <f>ROUND(72468.79,2)</f>
        <v>72468.789999999994</v>
      </c>
      <c r="T42" s="25"/>
      <c r="U42" s="26"/>
    </row>
    <row r="43" spans="1:21">
      <c r="A43" s="22" t="s">
        <v>81</v>
      </c>
      <c r="B43" s="23"/>
      <c r="C43" s="22" t="s">
        <v>82</v>
      </c>
      <c r="D43" s="23"/>
      <c r="E43" s="23"/>
      <c r="F43" s="23"/>
      <c r="G43" s="23"/>
      <c r="H43" s="2">
        <f t="shared" si="15"/>
        <v>0</v>
      </c>
      <c r="I43" s="2">
        <f t="shared" si="14"/>
        <v>0</v>
      </c>
      <c r="J43" s="2">
        <f t="shared" si="16"/>
        <v>0</v>
      </c>
      <c r="K43" s="2">
        <f t="shared" si="11"/>
        <v>0</v>
      </c>
      <c r="L43" s="24">
        <f t="shared" ref="L43:L49" si="17">ROUND(0,2)</f>
        <v>0</v>
      </c>
      <c r="M43" s="25"/>
      <c r="N43" s="2">
        <f>ROUND(37345.04,2)</f>
        <v>37345.040000000001</v>
      </c>
      <c r="O43" s="2">
        <f t="shared" si="13"/>
        <v>0</v>
      </c>
      <c r="P43" s="2">
        <f t="shared" si="12"/>
        <v>0</v>
      </c>
      <c r="Q43" s="24">
        <f t="shared" si="12"/>
        <v>0</v>
      </c>
      <c r="R43" s="25"/>
      <c r="S43" s="24">
        <f>ROUND(37345.04,2)</f>
        <v>37345.040000000001</v>
      </c>
      <c r="T43" s="25"/>
      <c r="U43" s="26"/>
    </row>
    <row r="44" spans="1:21">
      <c r="A44" s="22" t="s">
        <v>83</v>
      </c>
      <c r="B44" s="23"/>
      <c r="C44" s="22" t="s">
        <v>84</v>
      </c>
      <c r="D44" s="23"/>
      <c r="E44" s="23"/>
      <c r="F44" s="23"/>
      <c r="G44" s="23"/>
      <c r="H44" s="2">
        <f t="shared" si="15"/>
        <v>0</v>
      </c>
      <c r="I44" s="2">
        <f t="shared" si="14"/>
        <v>0</v>
      </c>
      <c r="J44" s="2">
        <f t="shared" si="16"/>
        <v>0</v>
      </c>
      <c r="K44" s="2">
        <f t="shared" si="11"/>
        <v>0</v>
      </c>
      <c r="L44" s="24">
        <f t="shared" si="17"/>
        <v>0</v>
      </c>
      <c r="M44" s="25"/>
      <c r="N44" s="2">
        <f>ROUND(0,2)</f>
        <v>0</v>
      </c>
      <c r="O44" s="2">
        <f>ROUND(7590.87,2)</f>
        <v>7590.87</v>
      </c>
      <c r="P44" s="2">
        <f t="shared" si="12"/>
        <v>0</v>
      </c>
      <c r="Q44" s="24">
        <f t="shared" si="12"/>
        <v>0</v>
      </c>
      <c r="R44" s="25"/>
      <c r="S44" s="24">
        <f>ROUND(7590.87,2)</f>
        <v>7590.87</v>
      </c>
      <c r="T44" s="25"/>
      <c r="U44" s="26"/>
    </row>
    <row r="45" spans="1:21">
      <c r="A45" s="22" t="s">
        <v>83</v>
      </c>
      <c r="B45" s="23"/>
      <c r="C45" s="22" t="s">
        <v>84</v>
      </c>
      <c r="D45" s="23"/>
      <c r="E45" s="23"/>
      <c r="F45" s="23"/>
      <c r="G45" s="23"/>
      <c r="H45" s="2">
        <f t="shared" si="15"/>
        <v>0</v>
      </c>
      <c r="I45" s="2">
        <f t="shared" si="14"/>
        <v>0</v>
      </c>
      <c r="J45" s="2">
        <f t="shared" si="16"/>
        <v>0</v>
      </c>
      <c r="K45" s="2">
        <f t="shared" si="11"/>
        <v>0</v>
      </c>
      <c r="L45" s="24">
        <f t="shared" si="17"/>
        <v>0</v>
      </c>
      <c r="M45" s="25"/>
      <c r="N45" s="2">
        <f>ROUND(20000.75,2)</f>
        <v>20000.75</v>
      </c>
      <c r="O45" s="2">
        <f>ROUND(0,2)</f>
        <v>0</v>
      </c>
      <c r="P45" s="2">
        <f t="shared" si="12"/>
        <v>0</v>
      </c>
      <c r="Q45" s="24">
        <f t="shared" si="12"/>
        <v>0</v>
      </c>
      <c r="R45" s="25"/>
      <c r="S45" s="24">
        <f>ROUND(20000.75,2)</f>
        <v>20000.75</v>
      </c>
      <c r="T45" s="25"/>
      <c r="U45" s="26"/>
    </row>
    <row r="46" spans="1:21">
      <c r="A46" s="22" t="s">
        <v>85</v>
      </c>
      <c r="B46" s="23"/>
      <c r="C46" s="22" t="s">
        <v>86</v>
      </c>
      <c r="D46" s="23"/>
      <c r="E46" s="23"/>
      <c r="F46" s="23"/>
      <c r="G46" s="23"/>
      <c r="H46" s="2">
        <f t="shared" si="15"/>
        <v>0</v>
      </c>
      <c r="I46" s="2">
        <f t="shared" si="14"/>
        <v>0</v>
      </c>
      <c r="J46" s="2">
        <f t="shared" si="16"/>
        <v>0</v>
      </c>
      <c r="K46" s="2">
        <f t="shared" si="11"/>
        <v>0</v>
      </c>
      <c r="L46" s="24">
        <f t="shared" si="17"/>
        <v>0</v>
      </c>
      <c r="M46" s="25"/>
      <c r="N46" s="2">
        <f>ROUND(3076.27,2)</f>
        <v>3076.27</v>
      </c>
      <c r="O46" s="2">
        <f>ROUND(0,2)</f>
        <v>0</v>
      </c>
      <c r="P46" s="2">
        <f t="shared" si="12"/>
        <v>0</v>
      </c>
      <c r="Q46" s="24">
        <f t="shared" si="12"/>
        <v>0</v>
      </c>
      <c r="R46" s="25"/>
      <c r="S46" s="24">
        <f>ROUND(3076.27,2)</f>
        <v>3076.27</v>
      </c>
      <c r="T46" s="25"/>
      <c r="U46" s="26"/>
    </row>
    <row r="47" spans="1:21">
      <c r="A47" s="22" t="s">
        <v>87</v>
      </c>
      <c r="B47" s="23"/>
      <c r="C47" s="22" t="s">
        <v>88</v>
      </c>
      <c r="D47" s="23"/>
      <c r="E47" s="23"/>
      <c r="F47" s="23"/>
      <c r="G47" s="23"/>
      <c r="H47" s="2">
        <f t="shared" si="15"/>
        <v>0</v>
      </c>
      <c r="I47" s="2">
        <f t="shared" si="14"/>
        <v>0</v>
      </c>
      <c r="J47" s="2">
        <f t="shared" si="16"/>
        <v>0</v>
      </c>
      <c r="K47" s="2">
        <f t="shared" si="11"/>
        <v>0</v>
      </c>
      <c r="L47" s="24">
        <f t="shared" si="17"/>
        <v>0</v>
      </c>
      <c r="M47" s="25"/>
      <c r="N47" s="2">
        <f t="shared" ref="N47:N52" si="18">ROUND(0,2)</f>
        <v>0</v>
      </c>
      <c r="O47" s="2">
        <f>ROUND(0,2)</f>
        <v>0</v>
      </c>
      <c r="P47" s="2">
        <f>ROUND(25000,2)</f>
        <v>25000</v>
      </c>
      <c r="Q47" s="24">
        <f t="shared" ref="Q47:Q62" si="19">ROUND(0,2)</f>
        <v>0</v>
      </c>
      <c r="R47" s="25"/>
      <c r="S47" s="24">
        <f>ROUND(-25000,2)</f>
        <v>-25000</v>
      </c>
      <c r="T47" s="25"/>
      <c r="U47" s="26"/>
    </row>
    <row r="48" spans="1:21">
      <c r="A48" s="22" t="s">
        <v>89</v>
      </c>
      <c r="B48" s="23"/>
      <c r="C48" s="22" t="s">
        <v>90</v>
      </c>
      <c r="D48" s="23"/>
      <c r="E48" s="23"/>
      <c r="F48" s="23"/>
      <c r="G48" s="23"/>
      <c r="H48" s="2">
        <f t="shared" si="15"/>
        <v>0</v>
      </c>
      <c r="I48" s="2">
        <f t="shared" si="14"/>
        <v>0</v>
      </c>
      <c r="J48" s="2">
        <f t="shared" si="16"/>
        <v>0</v>
      </c>
      <c r="K48" s="2">
        <f>ROUND(0,2)</f>
        <v>0</v>
      </c>
      <c r="L48" s="24">
        <f t="shared" si="17"/>
        <v>0</v>
      </c>
      <c r="M48" s="25"/>
      <c r="N48" s="2">
        <f t="shared" si="18"/>
        <v>0</v>
      </c>
      <c r="O48" s="2">
        <f>ROUND(25296.47,2)</f>
        <v>25296.47</v>
      </c>
      <c r="P48" s="2">
        <f t="shared" ref="P48:P62" si="20">ROUND(0,2)</f>
        <v>0</v>
      </c>
      <c r="Q48" s="24">
        <f t="shared" si="19"/>
        <v>0</v>
      </c>
      <c r="R48" s="25"/>
      <c r="S48" s="24">
        <f>ROUND(25296.47,2)</f>
        <v>25296.47</v>
      </c>
      <c r="T48" s="25"/>
      <c r="U48" s="26"/>
    </row>
    <row r="49" spans="1:21">
      <c r="A49" s="22" t="s">
        <v>91</v>
      </c>
      <c r="B49" s="23"/>
      <c r="C49" s="22" t="s">
        <v>92</v>
      </c>
      <c r="D49" s="23"/>
      <c r="E49" s="23"/>
      <c r="F49" s="23"/>
      <c r="G49" s="23"/>
      <c r="H49" s="2">
        <f t="shared" si="15"/>
        <v>0</v>
      </c>
      <c r="I49" s="2">
        <f t="shared" si="14"/>
        <v>0</v>
      </c>
      <c r="J49" s="2">
        <f t="shared" si="16"/>
        <v>0</v>
      </c>
      <c r="K49" s="2">
        <f>ROUND(0,2)</f>
        <v>0</v>
      </c>
      <c r="L49" s="24">
        <f t="shared" si="17"/>
        <v>0</v>
      </c>
      <c r="M49" s="25"/>
      <c r="N49" s="2">
        <f t="shared" si="18"/>
        <v>0</v>
      </c>
      <c r="O49" s="2">
        <f>ROUND(223886.6,2)</f>
        <v>223886.6</v>
      </c>
      <c r="P49" s="2">
        <f t="shared" si="20"/>
        <v>0</v>
      </c>
      <c r="Q49" s="24">
        <f t="shared" si="19"/>
        <v>0</v>
      </c>
      <c r="R49" s="25"/>
      <c r="S49" s="24">
        <f>ROUND(223886.6,2)</f>
        <v>223886.6</v>
      </c>
      <c r="T49" s="25"/>
      <c r="U49" s="26"/>
    </row>
    <row r="50" spans="1:21">
      <c r="A50" s="22" t="s">
        <v>93</v>
      </c>
      <c r="B50" s="23"/>
      <c r="C50" s="22" t="s">
        <v>94</v>
      </c>
      <c r="D50" s="23"/>
      <c r="E50" s="23"/>
      <c r="F50" s="23"/>
      <c r="G50" s="23"/>
      <c r="H50" s="2">
        <f t="shared" si="15"/>
        <v>0</v>
      </c>
      <c r="I50" s="2">
        <f t="shared" si="14"/>
        <v>0</v>
      </c>
      <c r="J50" s="2">
        <f t="shared" si="16"/>
        <v>0</v>
      </c>
      <c r="K50" s="2">
        <f>ROUND(0,2)</f>
        <v>0</v>
      </c>
      <c r="L50" s="24">
        <f>ROUND(15000,2)</f>
        <v>15000</v>
      </c>
      <c r="M50" s="25"/>
      <c r="N50" s="2">
        <f t="shared" si="18"/>
        <v>0</v>
      </c>
      <c r="O50" s="2">
        <f t="shared" ref="O50:O65" si="21">ROUND(0,2)</f>
        <v>0</v>
      </c>
      <c r="P50" s="2">
        <f t="shared" si="20"/>
        <v>0</v>
      </c>
      <c r="Q50" s="24">
        <f t="shared" si="19"/>
        <v>0</v>
      </c>
      <c r="R50" s="25"/>
      <c r="S50" s="24">
        <f>ROUND(-15000,2)</f>
        <v>-15000</v>
      </c>
      <c r="T50" s="25"/>
      <c r="U50" s="26"/>
    </row>
    <row r="51" spans="1:21">
      <c r="A51" s="22" t="s">
        <v>95</v>
      </c>
      <c r="B51" s="23"/>
      <c r="C51" s="22" t="s">
        <v>96</v>
      </c>
      <c r="D51" s="23"/>
      <c r="E51" s="23"/>
      <c r="F51" s="23"/>
      <c r="G51" s="23"/>
      <c r="H51" s="2">
        <f t="shared" si="15"/>
        <v>0</v>
      </c>
      <c r="I51" s="2">
        <f t="shared" si="14"/>
        <v>0</v>
      </c>
      <c r="J51" s="2">
        <f t="shared" si="16"/>
        <v>0</v>
      </c>
      <c r="K51" s="2">
        <f>ROUND(0,2)</f>
        <v>0</v>
      </c>
      <c r="L51" s="24">
        <f>ROUND(10000,2)</f>
        <v>10000</v>
      </c>
      <c r="M51" s="25"/>
      <c r="N51" s="2">
        <f t="shared" si="18"/>
        <v>0</v>
      </c>
      <c r="O51" s="2">
        <f t="shared" si="21"/>
        <v>0</v>
      </c>
      <c r="P51" s="2">
        <f t="shared" si="20"/>
        <v>0</v>
      </c>
      <c r="Q51" s="24">
        <f t="shared" si="19"/>
        <v>0</v>
      </c>
      <c r="R51" s="25"/>
      <c r="S51" s="24">
        <f>ROUND(-10000,2)</f>
        <v>-10000</v>
      </c>
      <c r="T51" s="25"/>
      <c r="U51" s="26"/>
    </row>
    <row r="52" spans="1:21">
      <c r="A52" s="22" t="s">
        <v>97</v>
      </c>
      <c r="B52" s="23"/>
      <c r="C52" s="22" t="s">
        <v>98</v>
      </c>
      <c r="D52" s="23"/>
      <c r="E52" s="23"/>
      <c r="F52" s="23"/>
      <c r="G52" s="23"/>
      <c r="H52" s="2">
        <f t="shared" si="15"/>
        <v>0</v>
      </c>
      <c r="I52" s="2">
        <f t="shared" si="14"/>
        <v>0</v>
      </c>
      <c r="J52" s="2">
        <f t="shared" si="16"/>
        <v>0</v>
      </c>
      <c r="K52" s="2">
        <f>ROUND(0,2)</f>
        <v>0</v>
      </c>
      <c r="L52" s="24">
        <f>ROUND(10000,2)</f>
        <v>10000</v>
      </c>
      <c r="M52" s="25"/>
      <c r="N52" s="2">
        <f t="shared" si="18"/>
        <v>0</v>
      </c>
      <c r="O52" s="2">
        <f t="shared" si="21"/>
        <v>0</v>
      </c>
      <c r="P52" s="2">
        <f t="shared" si="20"/>
        <v>0</v>
      </c>
      <c r="Q52" s="24">
        <f t="shared" si="19"/>
        <v>0</v>
      </c>
      <c r="R52" s="25"/>
      <c r="S52" s="24">
        <f>ROUND(-10000,2)</f>
        <v>-10000</v>
      </c>
      <c r="T52" s="25"/>
      <c r="U52" s="26"/>
    </row>
    <row r="53" spans="1:21">
      <c r="A53" s="22" t="s">
        <v>99</v>
      </c>
      <c r="B53" s="23"/>
      <c r="C53" s="22" t="s">
        <v>100</v>
      </c>
      <c r="D53" s="23"/>
      <c r="E53" s="23"/>
      <c r="F53" s="23"/>
      <c r="G53" s="23"/>
      <c r="H53" s="2">
        <f t="shared" si="15"/>
        <v>0</v>
      </c>
      <c r="I53" s="2">
        <f t="shared" si="14"/>
        <v>0</v>
      </c>
      <c r="J53" s="2">
        <f t="shared" si="16"/>
        <v>0</v>
      </c>
      <c r="K53" s="2">
        <f t="shared" ref="K53:L56" si="22">ROUND(0,2)</f>
        <v>0</v>
      </c>
      <c r="L53" s="24">
        <f t="shared" si="22"/>
        <v>0</v>
      </c>
      <c r="M53" s="25"/>
      <c r="N53" s="2">
        <f>ROUND(8235.26,2)</f>
        <v>8235.26</v>
      </c>
      <c r="O53" s="2">
        <f t="shared" si="21"/>
        <v>0</v>
      </c>
      <c r="P53" s="2">
        <f t="shared" si="20"/>
        <v>0</v>
      </c>
      <c r="Q53" s="24">
        <f t="shared" si="19"/>
        <v>0</v>
      </c>
      <c r="R53" s="25"/>
      <c r="S53" s="24">
        <f>ROUND(8235.26,2)</f>
        <v>8235.26</v>
      </c>
      <c r="T53" s="25"/>
      <c r="U53" s="26"/>
    </row>
    <row r="54" spans="1:21">
      <c r="A54" s="22" t="s">
        <v>101</v>
      </c>
      <c r="B54" s="23"/>
      <c r="C54" s="22" t="s">
        <v>102</v>
      </c>
      <c r="D54" s="23"/>
      <c r="E54" s="23"/>
      <c r="F54" s="23"/>
      <c r="G54" s="23"/>
      <c r="H54" s="2">
        <f t="shared" si="15"/>
        <v>0</v>
      </c>
      <c r="I54" s="2">
        <f t="shared" ref="I54:I69" si="23">ROUND(0,2)</f>
        <v>0</v>
      </c>
      <c r="J54" s="2">
        <f>ROUND(38000,2)</f>
        <v>38000</v>
      </c>
      <c r="K54" s="2">
        <f t="shared" si="22"/>
        <v>0</v>
      </c>
      <c r="L54" s="24">
        <f t="shared" si="22"/>
        <v>0</v>
      </c>
      <c r="M54" s="25"/>
      <c r="N54" s="2">
        <f>ROUND(0,2)</f>
        <v>0</v>
      </c>
      <c r="O54" s="2">
        <f t="shared" si="21"/>
        <v>0</v>
      </c>
      <c r="P54" s="2">
        <f t="shared" si="20"/>
        <v>0</v>
      </c>
      <c r="Q54" s="24">
        <f t="shared" si="19"/>
        <v>0</v>
      </c>
      <c r="R54" s="25"/>
      <c r="S54" s="24">
        <f>ROUND(38000,2)</f>
        <v>38000</v>
      </c>
      <c r="T54" s="25"/>
      <c r="U54" s="26"/>
    </row>
    <row r="55" spans="1:21">
      <c r="A55" s="22" t="s">
        <v>103</v>
      </c>
      <c r="B55" s="23"/>
      <c r="C55" s="22" t="s">
        <v>104</v>
      </c>
      <c r="D55" s="23"/>
      <c r="E55" s="23"/>
      <c r="F55" s="23"/>
      <c r="G55" s="23"/>
      <c r="H55" s="2">
        <f t="shared" si="15"/>
        <v>0</v>
      </c>
      <c r="I55" s="2">
        <f t="shared" si="23"/>
        <v>0</v>
      </c>
      <c r="J55" s="2">
        <f t="shared" ref="J55:J70" si="24">ROUND(0,2)</f>
        <v>0</v>
      </c>
      <c r="K55" s="2">
        <f t="shared" si="22"/>
        <v>0</v>
      </c>
      <c r="L55" s="24">
        <f t="shared" si="22"/>
        <v>0</v>
      </c>
      <c r="M55" s="25"/>
      <c r="N55" s="2">
        <f>ROUND(12020.2,2)</f>
        <v>12020.2</v>
      </c>
      <c r="O55" s="2">
        <f t="shared" si="21"/>
        <v>0</v>
      </c>
      <c r="P55" s="2">
        <f t="shared" si="20"/>
        <v>0</v>
      </c>
      <c r="Q55" s="24">
        <f t="shared" si="19"/>
        <v>0</v>
      </c>
      <c r="R55" s="25"/>
      <c r="S55" s="24">
        <f>ROUND(12020.2,2)</f>
        <v>12020.2</v>
      </c>
      <c r="T55" s="25"/>
      <c r="U55" s="26"/>
    </row>
    <row r="56" spans="1:21">
      <c r="A56" s="22" t="s">
        <v>105</v>
      </c>
      <c r="B56" s="23"/>
      <c r="C56" s="22" t="s">
        <v>106</v>
      </c>
      <c r="D56" s="23"/>
      <c r="E56" s="23"/>
      <c r="F56" s="23"/>
      <c r="G56" s="23"/>
      <c r="H56" s="2">
        <f t="shared" si="15"/>
        <v>0</v>
      </c>
      <c r="I56" s="2">
        <f t="shared" si="23"/>
        <v>0</v>
      </c>
      <c r="J56" s="2">
        <f t="shared" si="24"/>
        <v>0</v>
      </c>
      <c r="K56" s="2">
        <f t="shared" si="22"/>
        <v>0</v>
      </c>
      <c r="L56" s="24">
        <f t="shared" si="22"/>
        <v>0</v>
      </c>
      <c r="M56" s="25"/>
      <c r="N56" s="2">
        <f>ROUND(5019.81,2)</f>
        <v>5019.8100000000004</v>
      </c>
      <c r="O56" s="2">
        <f t="shared" si="21"/>
        <v>0</v>
      </c>
      <c r="P56" s="2">
        <f t="shared" si="20"/>
        <v>0</v>
      </c>
      <c r="Q56" s="24">
        <f t="shared" si="19"/>
        <v>0</v>
      </c>
      <c r="R56" s="25"/>
      <c r="S56" s="24">
        <f>ROUND(5019.81,2)</f>
        <v>5019.8100000000004</v>
      </c>
      <c r="T56" s="25"/>
      <c r="U56" s="26"/>
    </row>
    <row r="57" spans="1:21">
      <c r="A57" s="22" t="s">
        <v>107</v>
      </c>
      <c r="B57" s="23"/>
      <c r="C57" s="22" t="s">
        <v>108</v>
      </c>
      <c r="D57" s="23"/>
      <c r="E57" s="23"/>
      <c r="F57" s="23"/>
      <c r="G57" s="23"/>
      <c r="H57" s="2">
        <f t="shared" ref="H57:H72" si="25">ROUND(0,2)</f>
        <v>0</v>
      </c>
      <c r="I57" s="2">
        <f t="shared" si="23"/>
        <v>0</v>
      </c>
      <c r="J57" s="2">
        <f t="shared" si="24"/>
        <v>0</v>
      </c>
      <c r="K57" s="2">
        <f>ROUND(13000,2)</f>
        <v>13000</v>
      </c>
      <c r="L57" s="24">
        <f t="shared" ref="L57:L72" si="26">ROUND(0,2)</f>
        <v>0</v>
      </c>
      <c r="M57" s="25"/>
      <c r="N57" s="2">
        <f t="shared" ref="N57:N63" si="27">ROUND(0,2)</f>
        <v>0</v>
      </c>
      <c r="O57" s="2">
        <f t="shared" si="21"/>
        <v>0</v>
      </c>
      <c r="P57" s="2">
        <f t="shared" si="20"/>
        <v>0</v>
      </c>
      <c r="Q57" s="24">
        <f t="shared" si="19"/>
        <v>0</v>
      </c>
      <c r="R57" s="25"/>
      <c r="S57" s="24">
        <f>ROUND(13000,2)</f>
        <v>13000</v>
      </c>
      <c r="T57" s="25"/>
      <c r="U57" s="26"/>
    </row>
    <row r="58" spans="1:21">
      <c r="A58" s="22" t="s">
        <v>109</v>
      </c>
      <c r="B58" s="23"/>
      <c r="C58" s="22" t="s">
        <v>110</v>
      </c>
      <c r="D58" s="23"/>
      <c r="E58" s="23"/>
      <c r="F58" s="23"/>
      <c r="G58" s="23"/>
      <c r="H58" s="2">
        <f t="shared" si="25"/>
        <v>0</v>
      </c>
      <c r="I58" s="2">
        <f t="shared" si="23"/>
        <v>0</v>
      </c>
      <c r="J58" s="2">
        <f t="shared" si="24"/>
        <v>0</v>
      </c>
      <c r="K58" s="2">
        <f>ROUND(8000,2)</f>
        <v>8000</v>
      </c>
      <c r="L58" s="24">
        <f t="shared" si="26"/>
        <v>0</v>
      </c>
      <c r="M58" s="25"/>
      <c r="N58" s="2">
        <f t="shared" si="27"/>
        <v>0</v>
      </c>
      <c r="O58" s="2">
        <f t="shared" si="21"/>
        <v>0</v>
      </c>
      <c r="P58" s="2">
        <f t="shared" si="20"/>
        <v>0</v>
      </c>
      <c r="Q58" s="24">
        <f t="shared" si="19"/>
        <v>0</v>
      </c>
      <c r="R58" s="25"/>
      <c r="S58" s="24">
        <f>ROUND(8000,2)</f>
        <v>8000</v>
      </c>
      <c r="T58" s="25"/>
      <c r="U58" s="26"/>
    </row>
    <row r="59" spans="1:21">
      <c r="A59" s="22" t="s">
        <v>111</v>
      </c>
      <c r="B59" s="23"/>
      <c r="C59" s="22" t="s">
        <v>112</v>
      </c>
      <c r="D59" s="23"/>
      <c r="E59" s="23"/>
      <c r="F59" s="23"/>
      <c r="G59" s="23"/>
      <c r="H59" s="2">
        <f t="shared" si="25"/>
        <v>0</v>
      </c>
      <c r="I59" s="2">
        <f t="shared" si="23"/>
        <v>0</v>
      </c>
      <c r="J59" s="2">
        <f t="shared" si="24"/>
        <v>0</v>
      </c>
      <c r="K59" s="2">
        <f>ROUND(9000,2)</f>
        <v>9000</v>
      </c>
      <c r="L59" s="24">
        <f t="shared" si="26"/>
        <v>0</v>
      </c>
      <c r="M59" s="25"/>
      <c r="N59" s="2">
        <f t="shared" si="27"/>
        <v>0</v>
      </c>
      <c r="O59" s="2">
        <f t="shared" si="21"/>
        <v>0</v>
      </c>
      <c r="P59" s="2">
        <f t="shared" si="20"/>
        <v>0</v>
      </c>
      <c r="Q59" s="24">
        <f t="shared" si="19"/>
        <v>0</v>
      </c>
      <c r="R59" s="25"/>
      <c r="S59" s="24">
        <f>ROUND(9000,2)</f>
        <v>9000</v>
      </c>
      <c r="T59" s="25"/>
      <c r="U59" s="26"/>
    </row>
    <row r="60" spans="1:21">
      <c r="A60" s="22" t="s">
        <v>113</v>
      </c>
      <c r="B60" s="23"/>
      <c r="C60" s="22" t="s">
        <v>114</v>
      </c>
      <c r="D60" s="23"/>
      <c r="E60" s="23"/>
      <c r="F60" s="23"/>
      <c r="G60" s="23"/>
      <c r="H60" s="2">
        <f t="shared" si="25"/>
        <v>0</v>
      </c>
      <c r="I60" s="2">
        <f t="shared" si="23"/>
        <v>0</v>
      </c>
      <c r="J60" s="2">
        <f t="shared" si="24"/>
        <v>0</v>
      </c>
      <c r="K60" s="2">
        <f>ROUND(11000,2)</f>
        <v>11000</v>
      </c>
      <c r="L60" s="24">
        <f t="shared" si="26"/>
        <v>0</v>
      </c>
      <c r="M60" s="25"/>
      <c r="N60" s="2">
        <f t="shared" si="27"/>
        <v>0</v>
      </c>
      <c r="O60" s="2">
        <f t="shared" si="21"/>
        <v>0</v>
      </c>
      <c r="P60" s="2">
        <f t="shared" si="20"/>
        <v>0</v>
      </c>
      <c r="Q60" s="24">
        <f t="shared" si="19"/>
        <v>0</v>
      </c>
      <c r="R60" s="25"/>
      <c r="S60" s="24">
        <f>ROUND(11000,2)</f>
        <v>11000</v>
      </c>
      <c r="T60" s="25"/>
      <c r="U60" s="26"/>
    </row>
    <row r="61" spans="1:21">
      <c r="A61" s="22" t="s">
        <v>115</v>
      </c>
      <c r="B61" s="23"/>
      <c r="C61" s="22" t="s">
        <v>116</v>
      </c>
      <c r="D61" s="23"/>
      <c r="E61" s="23"/>
      <c r="F61" s="23"/>
      <c r="G61" s="23"/>
      <c r="H61" s="2">
        <f t="shared" si="25"/>
        <v>0</v>
      </c>
      <c r="I61" s="2">
        <f t="shared" si="23"/>
        <v>0</v>
      </c>
      <c r="J61" s="2">
        <f t="shared" si="24"/>
        <v>0</v>
      </c>
      <c r="K61" s="2">
        <f>ROUND(3000,2)</f>
        <v>3000</v>
      </c>
      <c r="L61" s="24">
        <f t="shared" si="26"/>
        <v>0</v>
      </c>
      <c r="M61" s="25"/>
      <c r="N61" s="2">
        <f t="shared" si="27"/>
        <v>0</v>
      </c>
      <c r="O61" s="2">
        <f t="shared" si="21"/>
        <v>0</v>
      </c>
      <c r="P61" s="2">
        <f t="shared" si="20"/>
        <v>0</v>
      </c>
      <c r="Q61" s="24">
        <f t="shared" si="19"/>
        <v>0</v>
      </c>
      <c r="R61" s="25"/>
      <c r="S61" s="24">
        <f>ROUND(3000,2)</f>
        <v>3000</v>
      </c>
      <c r="T61" s="25"/>
      <c r="U61" s="26"/>
    </row>
    <row r="62" spans="1:21">
      <c r="A62" s="22" t="s">
        <v>117</v>
      </c>
      <c r="B62" s="23"/>
      <c r="C62" s="22" t="s">
        <v>118</v>
      </c>
      <c r="D62" s="23"/>
      <c r="E62" s="23"/>
      <c r="F62" s="23"/>
      <c r="G62" s="23"/>
      <c r="H62" s="2">
        <f t="shared" si="25"/>
        <v>0</v>
      </c>
      <c r="I62" s="2">
        <f t="shared" si="23"/>
        <v>0</v>
      </c>
      <c r="J62" s="2">
        <f t="shared" si="24"/>
        <v>0</v>
      </c>
      <c r="K62" s="2">
        <f>ROUND(14000,2)</f>
        <v>14000</v>
      </c>
      <c r="L62" s="24">
        <f t="shared" si="26"/>
        <v>0</v>
      </c>
      <c r="M62" s="25"/>
      <c r="N62" s="2">
        <f t="shared" si="27"/>
        <v>0</v>
      </c>
      <c r="O62" s="2">
        <f t="shared" si="21"/>
        <v>0</v>
      </c>
      <c r="P62" s="2">
        <f t="shared" si="20"/>
        <v>0</v>
      </c>
      <c r="Q62" s="24">
        <f t="shared" si="19"/>
        <v>0</v>
      </c>
      <c r="R62" s="25"/>
      <c r="S62" s="24">
        <f>ROUND(14000,2)</f>
        <v>14000</v>
      </c>
      <c r="T62" s="25"/>
      <c r="U62" s="26"/>
    </row>
    <row r="63" spans="1:21">
      <c r="A63" s="22" t="s">
        <v>119</v>
      </c>
      <c r="B63" s="23"/>
      <c r="C63" s="22" t="s">
        <v>120</v>
      </c>
      <c r="D63" s="23"/>
      <c r="E63" s="23"/>
      <c r="F63" s="23"/>
      <c r="G63" s="23"/>
      <c r="H63" s="2">
        <f t="shared" si="25"/>
        <v>0</v>
      </c>
      <c r="I63" s="2">
        <f t="shared" si="23"/>
        <v>0</v>
      </c>
      <c r="J63" s="2">
        <f t="shared" si="24"/>
        <v>0</v>
      </c>
      <c r="K63" s="2">
        <f>ROUND(0,2)</f>
        <v>0</v>
      </c>
      <c r="L63" s="24">
        <f t="shared" si="26"/>
        <v>0</v>
      </c>
      <c r="M63" s="25"/>
      <c r="N63" s="2">
        <f t="shared" si="27"/>
        <v>0</v>
      </c>
      <c r="O63" s="2">
        <f t="shared" si="21"/>
        <v>0</v>
      </c>
      <c r="P63" s="2">
        <f>ROUND(9000,2)</f>
        <v>9000</v>
      </c>
      <c r="Q63" s="24">
        <f t="shared" ref="Q63:Q78" si="28">ROUND(0,2)</f>
        <v>0</v>
      </c>
      <c r="R63" s="25"/>
      <c r="S63" s="24">
        <f>ROUND(-9000,2)</f>
        <v>-9000</v>
      </c>
      <c r="T63" s="25"/>
      <c r="U63" s="26"/>
    </row>
    <row r="64" spans="1:21">
      <c r="A64" s="22" t="s">
        <v>119</v>
      </c>
      <c r="B64" s="23"/>
      <c r="C64" s="22" t="s">
        <v>120</v>
      </c>
      <c r="D64" s="23"/>
      <c r="E64" s="23"/>
      <c r="F64" s="23"/>
      <c r="G64" s="23"/>
      <c r="H64" s="2">
        <f t="shared" si="25"/>
        <v>0</v>
      </c>
      <c r="I64" s="2">
        <f t="shared" si="23"/>
        <v>0</v>
      </c>
      <c r="J64" s="2">
        <f t="shared" si="24"/>
        <v>0</v>
      </c>
      <c r="K64" s="2">
        <f>ROUND(0,2)</f>
        <v>0</v>
      </c>
      <c r="L64" s="24">
        <f t="shared" si="26"/>
        <v>0</v>
      </c>
      <c r="M64" s="25"/>
      <c r="N64" s="2">
        <f>ROUND(13618.84,2)</f>
        <v>13618.84</v>
      </c>
      <c r="O64" s="2">
        <f t="shared" si="21"/>
        <v>0</v>
      </c>
      <c r="P64" s="2">
        <f t="shared" ref="P64:P79" si="29">ROUND(0,2)</f>
        <v>0</v>
      </c>
      <c r="Q64" s="24">
        <f t="shared" si="28"/>
        <v>0</v>
      </c>
      <c r="R64" s="25"/>
      <c r="S64" s="24">
        <f>ROUND(13618.84,2)</f>
        <v>13618.84</v>
      </c>
      <c r="T64" s="25"/>
      <c r="U64" s="26"/>
    </row>
    <row r="65" spans="1:21">
      <c r="A65" s="22" t="s">
        <v>121</v>
      </c>
      <c r="B65" s="23"/>
      <c r="C65" s="22" t="s">
        <v>122</v>
      </c>
      <c r="D65" s="23"/>
      <c r="E65" s="23"/>
      <c r="F65" s="23"/>
      <c r="G65" s="23"/>
      <c r="H65" s="2">
        <f t="shared" si="25"/>
        <v>0</v>
      </c>
      <c r="I65" s="2">
        <f t="shared" si="23"/>
        <v>0</v>
      </c>
      <c r="J65" s="2">
        <f t="shared" si="24"/>
        <v>0</v>
      </c>
      <c r="K65" s="2">
        <f>ROUND(0,2)</f>
        <v>0</v>
      </c>
      <c r="L65" s="24">
        <f t="shared" si="26"/>
        <v>0</v>
      </c>
      <c r="M65" s="25"/>
      <c r="N65" s="2">
        <f>ROUND(940.17,2)</f>
        <v>940.17</v>
      </c>
      <c r="O65" s="2">
        <f t="shared" si="21"/>
        <v>0</v>
      </c>
      <c r="P65" s="2">
        <f t="shared" si="29"/>
        <v>0</v>
      </c>
      <c r="Q65" s="24">
        <f t="shared" si="28"/>
        <v>0</v>
      </c>
      <c r="R65" s="25"/>
      <c r="S65" s="24">
        <f>ROUND(940.17,2)</f>
        <v>940.17</v>
      </c>
      <c r="T65" s="25"/>
      <c r="U65" s="26"/>
    </row>
    <row r="66" spans="1:21">
      <c r="A66" s="22" t="s">
        <v>123</v>
      </c>
      <c r="B66" s="23"/>
      <c r="C66" s="22" t="s">
        <v>124</v>
      </c>
      <c r="D66" s="23"/>
      <c r="E66" s="23"/>
      <c r="F66" s="23"/>
      <c r="G66" s="23"/>
      <c r="H66" s="2">
        <f t="shared" si="25"/>
        <v>0</v>
      </c>
      <c r="I66" s="2">
        <f t="shared" si="23"/>
        <v>0</v>
      </c>
      <c r="J66" s="2">
        <f t="shared" si="24"/>
        <v>0</v>
      </c>
      <c r="K66" s="2">
        <f>ROUND(10000,2)</f>
        <v>10000</v>
      </c>
      <c r="L66" s="24">
        <f t="shared" si="26"/>
        <v>0</v>
      </c>
      <c r="M66" s="25"/>
      <c r="N66" s="2">
        <f>ROUND(0,2)</f>
        <v>0</v>
      </c>
      <c r="O66" s="2">
        <f t="shared" ref="O66:O73" si="30">ROUND(0,2)</f>
        <v>0</v>
      </c>
      <c r="P66" s="2">
        <f t="shared" si="29"/>
        <v>0</v>
      </c>
      <c r="Q66" s="24">
        <f t="shared" si="28"/>
        <v>0</v>
      </c>
      <c r="R66" s="25"/>
      <c r="S66" s="24">
        <f>ROUND(10000,2)</f>
        <v>10000</v>
      </c>
      <c r="T66" s="25"/>
      <c r="U66" s="26"/>
    </row>
    <row r="67" spans="1:21">
      <c r="A67" s="22" t="s">
        <v>125</v>
      </c>
      <c r="B67" s="23"/>
      <c r="C67" s="22" t="s">
        <v>126</v>
      </c>
      <c r="D67" s="23"/>
      <c r="E67" s="23"/>
      <c r="F67" s="23"/>
      <c r="G67" s="23"/>
      <c r="H67" s="2">
        <f t="shared" si="25"/>
        <v>0</v>
      </c>
      <c r="I67" s="2">
        <f t="shared" si="23"/>
        <v>0</v>
      </c>
      <c r="J67" s="2">
        <f t="shared" si="24"/>
        <v>0</v>
      </c>
      <c r="K67" s="2">
        <f>ROUND(3000,2)</f>
        <v>3000</v>
      </c>
      <c r="L67" s="24">
        <f t="shared" si="26"/>
        <v>0</v>
      </c>
      <c r="M67" s="25"/>
      <c r="N67" s="2">
        <f>ROUND(0,2)</f>
        <v>0</v>
      </c>
      <c r="O67" s="2">
        <f t="shared" si="30"/>
        <v>0</v>
      </c>
      <c r="P67" s="2">
        <f t="shared" si="29"/>
        <v>0</v>
      </c>
      <c r="Q67" s="24">
        <f t="shared" si="28"/>
        <v>0</v>
      </c>
      <c r="R67" s="25"/>
      <c r="S67" s="24">
        <f>ROUND(3000,2)</f>
        <v>3000</v>
      </c>
      <c r="T67" s="25"/>
      <c r="U67" s="26"/>
    </row>
    <row r="68" spans="1:21">
      <c r="A68" s="22" t="s">
        <v>127</v>
      </c>
      <c r="B68" s="23"/>
      <c r="C68" s="22" t="s">
        <v>128</v>
      </c>
      <c r="D68" s="23"/>
      <c r="E68" s="23"/>
      <c r="F68" s="23"/>
      <c r="G68" s="23"/>
      <c r="H68" s="2">
        <f t="shared" si="25"/>
        <v>0</v>
      </c>
      <c r="I68" s="2">
        <f t="shared" si="23"/>
        <v>0</v>
      </c>
      <c r="J68" s="2">
        <f t="shared" si="24"/>
        <v>0</v>
      </c>
      <c r="K68" s="2">
        <f t="shared" ref="K68:K83" si="31">ROUND(0,2)</f>
        <v>0</v>
      </c>
      <c r="L68" s="24">
        <f t="shared" si="26"/>
        <v>0</v>
      </c>
      <c r="M68" s="25"/>
      <c r="N68" s="2">
        <f>ROUND(537829.3,2)</f>
        <v>537829.30000000005</v>
      </c>
      <c r="O68" s="2">
        <f t="shared" si="30"/>
        <v>0</v>
      </c>
      <c r="P68" s="2">
        <f t="shared" si="29"/>
        <v>0</v>
      </c>
      <c r="Q68" s="24">
        <f t="shared" si="28"/>
        <v>0</v>
      </c>
      <c r="R68" s="25"/>
      <c r="S68" s="24">
        <f>ROUND(537829.3,2)</f>
        <v>537829.30000000005</v>
      </c>
      <c r="T68" s="25"/>
      <c r="U68" s="26"/>
    </row>
    <row r="69" spans="1:21">
      <c r="A69" s="22" t="s">
        <v>129</v>
      </c>
      <c r="B69" s="23"/>
      <c r="C69" s="22" t="s">
        <v>130</v>
      </c>
      <c r="D69" s="23"/>
      <c r="E69" s="23"/>
      <c r="F69" s="23"/>
      <c r="G69" s="23"/>
      <c r="H69" s="2">
        <f t="shared" si="25"/>
        <v>0</v>
      </c>
      <c r="I69" s="2">
        <f t="shared" si="23"/>
        <v>0</v>
      </c>
      <c r="J69" s="2">
        <f t="shared" si="24"/>
        <v>0</v>
      </c>
      <c r="K69" s="2">
        <f t="shared" si="31"/>
        <v>0</v>
      </c>
      <c r="L69" s="24">
        <f t="shared" si="26"/>
        <v>0</v>
      </c>
      <c r="M69" s="25"/>
      <c r="N69" s="2">
        <f>ROUND(82165.92,2)</f>
        <v>82165.919999999998</v>
      </c>
      <c r="O69" s="2">
        <f t="shared" si="30"/>
        <v>0</v>
      </c>
      <c r="P69" s="2">
        <f t="shared" si="29"/>
        <v>0</v>
      </c>
      <c r="Q69" s="24">
        <f t="shared" si="28"/>
        <v>0</v>
      </c>
      <c r="R69" s="25"/>
      <c r="S69" s="24">
        <f>ROUND(82165.92,2)</f>
        <v>82165.919999999998</v>
      </c>
      <c r="T69" s="25"/>
      <c r="U69" s="26"/>
    </row>
    <row r="70" spans="1:21">
      <c r="A70" s="22" t="s">
        <v>131</v>
      </c>
      <c r="B70" s="23"/>
      <c r="C70" s="22" t="s">
        <v>132</v>
      </c>
      <c r="D70" s="23"/>
      <c r="E70" s="23"/>
      <c r="F70" s="23"/>
      <c r="G70" s="23"/>
      <c r="H70" s="2">
        <f t="shared" si="25"/>
        <v>0</v>
      </c>
      <c r="I70" s="2">
        <f>ROUND(0,2)</f>
        <v>0</v>
      </c>
      <c r="J70" s="2">
        <f t="shared" si="24"/>
        <v>0</v>
      </c>
      <c r="K70" s="2">
        <f t="shared" si="31"/>
        <v>0</v>
      </c>
      <c r="L70" s="24">
        <f t="shared" si="26"/>
        <v>0</v>
      </c>
      <c r="M70" s="25"/>
      <c r="N70" s="2">
        <f>ROUND(612.44,2)</f>
        <v>612.44000000000005</v>
      </c>
      <c r="O70" s="2">
        <f t="shared" si="30"/>
        <v>0</v>
      </c>
      <c r="P70" s="2">
        <f t="shared" si="29"/>
        <v>0</v>
      </c>
      <c r="Q70" s="24">
        <f t="shared" si="28"/>
        <v>0</v>
      </c>
      <c r="R70" s="25"/>
      <c r="S70" s="24">
        <f>ROUND(612.44,2)</f>
        <v>612.44000000000005</v>
      </c>
      <c r="T70" s="25"/>
      <c r="U70" s="26"/>
    </row>
    <row r="71" spans="1:21">
      <c r="A71" s="22" t="s">
        <v>133</v>
      </c>
      <c r="B71" s="23"/>
      <c r="C71" s="22" t="s">
        <v>134</v>
      </c>
      <c r="D71" s="23"/>
      <c r="E71" s="23"/>
      <c r="F71" s="23"/>
      <c r="G71" s="23"/>
      <c r="H71" s="2">
        <f t="shared" si="25"/>
        <v>0</v>
      </c>
      <c r="I71" s="2">
        <f>ROUND(0,2)</f>
        <v>0</v>
      </c>
      <c r="J71" s="2">
        <f>ROUND(2077.57,2)</f>
        <v>2077.5700000000002</v>
      </c>
      <c r="K71" s="2">
        <f t="shared" si="31"/>
        <v>0</v>
      </c>
      <c r="L71" s="24">
        <f t="shared" si="26"/>
        <v>0</v>
      </c>
      <c r="M71" s="25"/>
      <c r="N71" s="2">
        <f>ROUND(0,2)</f>
        <v>0</v>
      </c>
      <c r="O71" s="2">
        <f t="shared" si="30"/>
        <v>0</v>
      </c>
      <c r="P71" s="2">
        <f t="shared" si="29"/>
        <v>0</v>
      </c>
      <c r="Q71" s="24">
        <f t="shared" si="28"/>
        <v>0</v>
      </c>
      <c r="R71" s="25"/>
      <c r="S71" s="24">
        <f>ROUND(2077.57,2)</f>
        <v>2077.5700000000002</v>
      </c>
      <c r="T71" s="25"/>
      <c r="U71" s="26"/>
    </row>
    <row r="72" spans="1:21">
      <c r="A72" s="22" t="s">
        <v>135</v>
      </c>
      <c r="B72" s="23"/>
      <c r="C72" s="22" t="s">
        <v>136</v>
      </c>
      <c r="D72" s="23"/>
      <c r="E72" s="23"/>
      <c r="F72" s="23"/>
      <c r="G72" s="23"/>
      <c r="H72" s="2">
        <f t="shared" si="25"/>
        <v>0</v>
      </c>
      <c r="I72" s="2">
        <f>ROUND(0,2)</f>
        <v>0</v>
      </c>
      <c r="J72" s="2">
        <f t="shared" ref="J72:J87" si="32">ROUND(0,2)</f>
        <v>0</v>
      </c>
      <c r="K72" s="2">
        <f t="shared" si="31"/>
        <v>0</v>
      </c>
      <c r="L72" s="24">
        <f t="shared" si="26"/>
        <v>0</v>
      </c>
      <c r="M72" s="25"/>
      <c r="N72" s="2">
        <f>ROUND(12.21,2)</f>
        <v>12.21</v>
      </c>
      <c r="O72" s="2">
        <f t="shared" si="30"/>
        <v>0</v>
      </c>
      <c r="P72" s="2">
        <f t="shared" si="29"/>
        <v>0</v>
      </c>
      <c r="Q72" s="24">
        <f t="shared" si="28"/>
        <v>0</v>
      </c>
      <c r="R72" s="25"/>
      <c r="S72" s="24">
        <f>ROUND(12.21,2)</f>
        <v>12.21</v>
      </c>
      <c r="T72" s="25"/>
      <c r="U72" s="26"/>
    </row>
    <row r="73" spans="1:21">
      <c r="A73" s="22" t="s">
        <v>137</v>
      </c>
      <c r="B73" s="23"/>
      <c r="C73" s="22" t="s">
        <v>138</v>
      </c>
      <c r="D73" s="23"/>
      <c r="E73" s="23"/>
      <c r="F73" s="23"/>
      <c r="G73" s="23"/>
      <c r="H73" s="2">
        <f t="shared" ref="H73:H85" si="33">ROUND(0,2)</f>
        <v>0</v>
      </c>
      <c r="I73" s="2">
        <f>ROUND(100000,2)</f>
        <v>100000</v>
      </c>
      <c r="J73" s="2">
        <f t="shared" si="32"/>
        <v>0</v>
      </c>
      <c r="K73" s="2">
        <f t="shared" si="31"/>
        <v>0</v>
      </c>
      <c r="L73" s="24">
        <f t="shared" ref="L73:L88" si="34">ROUND(0,2)</f>
        <v>0</v>
      </c>
      <c r="M73" s="25"/>
      <c r="N73" s="2">
        <f>ROUND(0,2)</f>
        <v>0</v>
      </c>
      <c r="O73" s="2">
        <f t="shared" si="30"/>
        <v>0</v>
      </c>
      <c r="P73" s="2">
        <f t="shared" si="29"/>
        <v>0</v>
      </c>
      <c r="Q73" s="24">
        <f t="shared" si="28"/>
        <v>0</v>
      </c>
      <c r="R73" s="25"/>
      <c r="S73" s="24">
        <f>ROUND(100000,2)</f>
        <v>100000</v>
      </c>
      <c r="T73" s="25"/>
      <c r="U73" s="26"/>
    </row>
    <row r="74" spans="1:21">
      <c r="A74" s="22" t="s">
        <v>139</v>
      </c>
      <c r="B74" s="23"/>
      <c r="C74" s="22" t="s">
        <v>140</v>
      </c>
      <c r="D74" s="23"/>
      <c r="E74" s="23"/>
      <c r="F74" s="23"/>
      <c r="G74" s="23"/>
      <c r="H74" s="2">
        <f t="shared" si="33"/>
        <v>0</v>
      </c>
      <c r="I74" s="2">
        <f>ROUND(230000,2)</f>
        <v>230000</v>
      </c>
      <c r="J74" s="2">
        <f t="shared" si="32"/>
        <v>0</v>
      </c>
      <c r="K74" s="2">
        <f t="shared" si="31"/>
        <v>0</v>
      </c>
      <c r="L74" s="24">
        <f t="shared" si="34"/>
        <v>0</v>
      </c>
      <c r="M74" s="25"/>
      <c r="N74" s="2">
        <f>ROUND(0,2)</f>
        <v>0</v>
      </c>
      <c r="O74" s="2">
        <f>ROUND(83519.14,2)</f>
        <v>83519.14</v>
      </c>
      <c r="P74" s="2">
        <f t="shared" si="29"/>
        <v>0</v>
      </c>
      <c r="Q74" s="24">
        <f t="shared" si="28"/>
        <v>0</v>
      </c>
      <c r="R74" s="25"/>
      <c r="S74" s="24">
        <f>ROUND(313519.14,2)</f>
        <v>313519.14</v>
      </c>
      <c r="T74" s="25"/>
      <c r="U74" s="26"/>
    </row>
    <row r="75" spans="1:21">
      <c r="A75" s="22" t="s">
        <v>139</v>
      </c>
      <c r="B75" s="23"/>
      <c r="C75" s="22" t="s">
        <v>140</v>
      </c>
      <c r="D75" s="23"/>
      <c r="E75" s="23"/>
      <c r="F75" s="23"/>
      <c r="G75" s="23"/>
      <c r="H75" s="2">
        <f t="shared" si="33"/>
        <v>0</v>
      </c>
      <c r="I75" s="2">
        <f t="shared" ref="I75:I83" si="35">ROUND(0,2)</f>
        <v>0</v>
      </c>
      <c r="J75" s="2">
        <f t="shared" si="32"/>
        <v>0</v>
      </c>
      <c r="K75" s="2">
        <f t="shared" si="31"/>
        <v>0</v>
      </c>
      <c r="L75" s="24">
        <f t="shared" si="34"/>
        <v>0</v>
      </c>
      <c r="M75" s="25"/>
      <c r="N75" s="2">
        <f>ROUND(415999.97,2)</f>
        <v>415999.97</v>
      </c>
      <c r="O75" s="2">
        <f t="shared" ref="O75:O86" si="36">ROUND(0,2)</f>
        <v>0</v>
      </c>
      <c r="P75" s="2">
        <f t="shared" si="29"/>
        <v>0</v>
      </c>
      <c r="Q75" s="24">
        <f t="shared" si="28"/>
        <v>0</v>
      </c>
      <c r="R75" s="25"/>
      <c r="S75" s="24">
        <f>ROUND(415999.97,2)</f>
        <v>415999.97</v>
      </c>
      <c r="T75" s="25"/>
      <c r="U75" s="26"/>
    </row>
    <row r="76" spans="1:21">
      <c r="A76" s="22" t="s">
        <v>139</v>
      </c>
      <c r="B76" s="23"/>
      <c r="C76" s="22" t="s">
        <v>140</v>
      </c>
      <c r="D76" s="23"/>
      <c r="E76" s="23"/>
      <c r="F76" s="23"/>
      <c r="G76" s="23"/>
      <c r="H76" s="2">
        <f t="shared" si="33"/>
        <v>0</v>
      </c>
      <c r="I76" s="2">
        <f t="shared" si="35"/>
        <v>0</v>
      </c>
      <c r="J76" s="2">
        <f t="shared" si="32"/>
        <v>0</v>
      </c>
      <c r="K76" s="2">
        <f t="shared" si="31"/>
        <v>0</v>
      </c>
      <c r="L76" s="24">
        <f t="shared" si="34"/>
        <v>0</v>
      </c>
      <c r="M76" s="25"/>
      <c r="N76" s="2">
        <f>ROUND(141703.99,2)</f>
        <v>141703.99</v>
      </c>
      <c r="O76" s="2">
        <f t="shared" si="36"/>
        <v>0</v>
      </c>
      <c r="P76" s="2">
        <f t="shared" si="29"/>
        <v>0</v>
      </c>
      <c r="Q76" s="24">
        <f t="shared" si="28"/>
        <v>0</v>
      </c>
      <c r="R76" s="25"/>
      <c r="S76" s="24">
        <f>ROUND(141703.99,2)</f>
        <v>141703.99</v>
      </c>
      <c r="T76" s="25"/>
      <c r="U76" s="26"/>
    </row>
    <row r="77" spans="1:21">
      <c r="A77" s="22" t="s">
        <v>141</v>
      </c>
      <c r="B77" s="23"/>
      <c r="C77" s="22" t="s">
        <v>142</v>
      </c>
      <c r="D77" s="23"/>
      <c r="E77" s="23"/>
      <c r="F77" s="23"/>
      <c r="G77" s="23"/>
      <c r="H77" s="2">
        <f t="shared" si="33"/>
        <v>0</v>
      </c>
      <c r="I77" s="2">
        <f t="shared" si="35"/>
        <v>0</v>
      </c>
      <c r="J77" s="2">
        <f t="shared" si="32"/>
        <v>0</v>
      </c>
      <c r="K77" s="2">
        <f t="shared" si="31"/>
        <v>0</v>
      </c>
      <c r="L77" s="24">
        <f t="shared" si="34"/>
        <v>0</v>
      </c>
      <c r="M77" s="25"/>
      <c r="N77" s="2">
        <f>ROUND(2258.92,2)</f>
        <v>2258.92</v>
      </c>
      <c r="O77" s="2">
        <f t="shared" si="36"/>
        <v>0</v>
      </c>
      <c r="P77" s="2">
        <f t="shared" si="29"/>
        <v>0</v>
      </c>
      <c r="Q77" s="24">
        <f t="shared" si="28"/>
        <v>0</v>
      </c>
      <c r="R77" s="25"/>
      <c r="S77" s="24">
        <f>ROUND(2258.92,2)</f>
        <v>2258.92</v>
      </c>
      <c r="T77" s="25"/>
      <c r="U77" s="26"/>
    </row>
    <row r="78" spans="1:21">
      <c r="A78" s="22" t="s">
        <v>143</v>
      </c>
      <c r="B78" s="23"/>
      <c r="C78" s="22" t="s">
        <v>144</v>
      </c>
      <c r="D78" s="23"/>
      <c r="E78" s="23"/>
      <c r="F78" s="23"/>
      <c r="G78" s="23"/>
      <c r="H78" s="2">
        <f t="shared" si="33"/>
        <v>0</v>
      </c>
      <c r="I78" s="2">
        <f t="shared" si="35"/>
        <v>0</v>
      </c>
      <c r="J78" s="2">
        <f t="shared" si="32"/>
        <v>0</v>
      </c>
      <c r="K78" s="2">
        <f t="shared" si="31"/>
        <v>0</v>
      </c>
      <c r="L78" s="24">
        <f t="shared" si="34"/>
        <v>0</v>
      </c>
      <c r="M78" s="25"/>
      <c r="N78" s="2">
        <f>ROUND(9332.26,2)</f>
        <v>9332.26</v>
      </c>
      <c r="O78" s="2">
        <f t="shared" si="36"/>
        <v>0</v>
      </c>
      <c r="P78" s="2">
        <f t="shared" si="29"/>
        <v>0</v>
      </c>
      <c r="Q78" s="24">
        <f t="shared" si="28"/>
        <v>0</v>
      </c>
      <c r="R78" s="25"/>
      <c r="S78" s="24">
        <f>ROUND(9332.26,2)</f>
        <v>9332.26</v>
      </c>
      <c r="T78" s="25"/>
      <c r="U78" s="26"/>
    </row>
    <row r="79" spans="1:21">
      <c r="A79" s="22" t="s">
        <v>145</v>
      </c>
      <c r="B79" s="23"/>
      <c r="C79" s="22" t="s">
        <v>146</v>
      </c>
      <c r="D79" s="23"/>
      <c r="E79" s="23"/>
      <c r="F79" s="23"/>
      <c r="G79" s="23"/>
      <c r="H79" s="2">
        <f t="shared" si="33"/>
        <v>0</v>
      </c>
      <c r="I79" s="2">
        <f t="shared" si="35"/>
        <v>0</v>
      </c>
      <c r="J79" s="2">
        <f t="shared" si="32"/>
        <v>0</v>
      </c>
      <c r="K79" s="2">
        <f t="shared" si="31"/>
        <v>0</v>
      </c>
      <c r="L79" s="24">
        <f t="shared" si="34"/>
        <v>0</v>
      </c>
      <c r="M79" s="25"/>
      <c r="N79" s="2">
        <f>ROUND(32908.79,2)</f>
        <v>32908.79</v>
      </c>
      <c r="O79" s="2">
        <f t="shared" si="36"/>
        <v>0</v>
      </c>
      <c r="P79" s="2">
        <f t="shared" si="29"/>
        <v>0</v>
      </c>
      <c r="Q79" s="24">
        <f t="shared" ref="Q79:Q94" si="37">ROUND(0,2)</f>
        <v>0</v>
      </c>
      <c r="R79" s="25"/>
      <c r="S79" s="24">
        <f>ROUND(32908.79,2)</f>
        <v>32908.79</v>
      </c>
      <c r="T79" s="25"/>
      <c r="U79" s="26"/>
    </row>
    <row r="80" spans="1:21">
      <c r="A80" s="22" t="s">
        <v>147</v>
      </c>
      <c r="B80" s="23"/>
      <c r="C80" s="22" t="s">
        <v>148</v>
      </c>
      <c r="D80" s="23"/>
      <c r="E80" s="23"/>
      <c r="F80" s="23"/>
      <c r="G80" s="23"/>
      <c r="H80" s="2">
        <f t="shared" si="33"/>
        <v>0</v>
      </c>
      <c r="I80" s="2">
        <f t="shared" si="35"/>
        <v>0</v>
      </c>
      <c r="J80" s="2">
        <f t="shared" si="32"/>
        <v>0</v>
      </c>
      <c r="K80" s="2">
        <f t="shared" si="31"/>
        <v>0</v>
      </c>
      <c r="L80" s="24">
        <f t="shared" si="34"/>
        <v>0</v>
      </c>
      <c r="M80" s="25"/>
      <c r="N80" s="2">
        <f>ROUND(6049.35,2)</f>
        <v>6049.35</v>
      </c>
      <c r="O80" s="2">
        <f t="shared" si="36"/>
        <v>0</v>
      </c>
      <c r="P80" s="2">
        <f>ROUND(0,2)</f>
        <v>0</v>
      </c>
      <c r="Q80" s="24">
        <f t="shared" si="37"/>
        <v>0</v>
      </c>
      <c r="R80" s="25"/>
      <c r="S80" s="24">
        <f>ROUND(6049.35,2)</f>
        <v>6049.35</v>
      </c>
      <c r="T80" s="25"/>
      <c r="U80" s="26"/>
    </row>
    <row r="81" spans="1:21">
      <c r="A81" s="22" t="s">
        <v>149</v>
      </c>
      <c r="B81" s="23"/>
      <c r="C81" s="22" t="s">
        <v>150</v>
      </c>
      <c r="D81" s="23"/>
      <c r="E81" s="23"/>
      <c r="F81" s="23"/>
      <c r="G81" s="23"/>
      <c r="H81" s="2">
        <f t="shared" si="33"/>
        <v>0</v>
      </c>
      <c r="I81" s="2">
        <f t="shared" si="35"/>
        <v>0</v>
      </c>
      <c r="J81" s="2">
        <f t="shared" si="32"/>
        <v>0</v>
      </c>
      <c r="K81" s="2">
        <f t="shared" si="31"/>
        <v>0</v>
      </c>
      <c r="L81" s="24">
        <f t="shared" si="34"/>
        <v>0</v>
      </c>
      <c r="M81" s="25"/>
      <c r="N81" s="2">
        <f>ROUND(5703.88,2)</f>
        <v>5703.88</v>
      </c>
      <c r="O81" s="2">
        <f t="shared" si="36"/>
        <v>0</v>
      </c>
      <c r="P81" s="2">
        <f>ROUND(0,2)</f>
        <v>0</v>
      </c>
      <c r="Q81" s="24">
        <f t="shared" si="37"/>
        <v>0</v>
      </c>
      <c r="R81" s="25"/>
      <c r="S81" s="24">
        <f>ROUND(5703.88,2)</f>
        <v>5703.88</v>
      </c>
      <c r="T81" s="25"/>
      <c r="U81" s="26"/>
    </row>
    <row r="82" spans="1:21">
      <c r="A82" s="22" t="s">
        <v>151</v>
      </c>
      <c r="B82" s="23"/>
      <c r="C82" s="22" t="s">
        <v>152</v>
      </c>
      <c r="D82" s="23"/>
      <c r="E82" s="23"/>
      <c r="F82" s="23"/>
      <c r="G82" s="23"/>
      <c r="H82" s="2">
        <f t="shared" si="33"/>
        <v>0</v>
      </c>
      <c r="I82" s="2">
        <f t="shared" si="35"/>
        <v>0</v>
      </c>
      <c r="J82" s="2">
        <f t="shared" si="32"/>
        <v>0</v>
      </c>
      <c r="K82" s="2">
        <f t="shared" si="31"/>
        <v>0</v>
      </c>
      <c r="L82" s="24">
        <f t="shared" si="34"/>
        <v>0</v>
      </c>
      <c r="M82" s="25"/>
      <c r="N82" s="2">
        <f>ROUND(17147.3,2)</f>
        <v>17147.3</v>
      </c>
      <c r="O82" s="2">
        <f t="shared" si="36"/>
        <v>0</v>
      </c>
      <c r="P82" s="2">
        <f>ROUND(0,2)</f>
        <v>0</v>
      </c>
      <c r="Q82" s="24">
        <f t="shared" si="37"/>
        <v>0</v>
      </c>
      <c r="R82" s="25"/>
      <c r="S82" s="24">
        <f>ROUND(17147.3,2)</f>
        <v>17147.3</v>
      </c>
      <c r="T82" s="25"/>
      <c r="U82" s="26"/>
    </row>
    <row r="83" spans="1:21">
      <c r="A83" s="22" t="s">
        <v>153</v>
      </c>
      <c r="B83" s="23"/>
      <c r="C83" s="22" t="s">
        <v>154</v>
      </c>
      <c r="D83" s="23"/>
      <c r="E83" s="23"/>
      <c r="F83" s="23"/>
      <c r="G83" s="23"/>
      <c r="H83" s="2">
        <f t="shared" si="33"/>
        <v>0</v>
      </c>
      <c r="I83" s="2">
        <f t="shared" si="35"/>
        <v>0</v>
      </c>
      <c r="J83" s="2">
        <f t="shared" si="32"/>
        <v>0</v>
      </c>
      <c r="K83" s="2">
        <f t="shared" si="31"/>
        <v>0</v>
      </c>
      <c r="L83" s="24">
        <f t="shared" si="34"/>
        <v>0</v>
      </c>
      <c r="M83" s="25"/>
      <c r="N83" s="2">
        <f>ROUND(76767.79,2)</f>
        <v>76767.789999999994</v>
      </c>
      <c r="O83" s="2">
        <f t="shared" si="36"/>
        <v>0</v>
      </c>
      <c r="P83" s="2">
        <f>ROUND(0,2)</f>
        <v>0</v>
      </c>
      <c r="Q83" s="24">
        <f t="shared" si="37"/>
        <v>0</v>
      </c>
      <c r="R83" s="25"/>
      <c r="S83" s="24">
        <f>ROUND(76767.79,2)</f>
        <v>76767.789999999994</v>
      </c>
      <c r="T83" s="25"/>
      <c r="U83" s="26"/>
    </row>
    <row r="84" spans="1:21">
      <c r="A84" s="22" t="s">
        <v>153</v>
      </c>
      <c r="B84" s="23"/>
      <c r="C84" s="22" t="s">
        <v>154</v>
      </c>
      <c r="D84" s="23"/>
      <c r="E84" s="23"/>
      <c r="F84" s="23"/>
      <c r="G84" s="23"/>
      <c r="H84" s="2">
        <f t="shared" si="33"/>
        <v>0</v>
      </c>
      <c r="I84" s="2">
        <f>ROUND(39401.15,2)</f>
        <v>39401.15</v>
      </c>
      <c r="J84" s="2">
        <f t="shared" si="32"/>
        <v>0</v>
      </c>
      <c r="K84" s="2">
        <f t="shared" ref="K84:K99" si="38">ROUND(0,2)</f>
        <v>0</v>
      </c>
      <c r="L84" s="24">
        <f t="shared" si="34"/>
        <v>0</v>
      </c>
      <c r="M84" s="25"/>
      <c r="N84" s="2">
        <f>ROUND(20598.85,2)</f>
        <v>20598.849999999999</v>
      </c>
      <c r="O84" s="2">
        <f t="shared" si="36"/>
        <v>0</v>
      </c>
      <c r="P84" s="2">
        <f>ROUND(0,2)</f>
        <v>0</v>
      </c>
      <c r="Q84" s="24">
        <f t="shared" si="37"/>
        <v>0</v>
      </c>
      <c r="R84" s="25"/>
      <c r="S84" s="24">
        <f>ROUND(60000,2)</f>
        <v>60000</v>
      </c>
      <c r="T84" s="25"/>
      <c r="U84" s="26"/>
    </row>
    <row r="85" spans="1:21">
      <c r="A85" s="22" t="s">
        <v>155</v>
      </c>
      <c r="B85" s="23"/>
      <c r="C85" s="22" t="s">
        <v>156</v>
      </c>
      <c r="D85" s="23"/>
      <c r="E85" s="23"/>
      <c r="F85" s="23"/>
      <c r="G85" s="23"/>
      <c r="H85" s="2">
        <f t="shared" si="33"/>
        <v>0</v>
      </c>
      <c r="I85" s="2">
        <f>ROUND(0,2)</f>
        <v>0</v>
      </c>
      <c r="J85" s="2">
        <f t="shared" si="32"/>
        <v>0</v>
      </c>
      <c r="K85" s="2">
        <f t="shared" si="38"/>
        <v>0</v>
      </c>
      <c r="L85" s="24">
        <f t="shared" si="34"/>
        <v>0</v>
      </c>
      <c r="M85" s="25"/>
      <c r="N85" s="2">
        <f>ROUND(0,2)</f>
        <v>0</v>
      </c>
      <c r="O85" s="2">
        <f t="shared" si="36"/>
        <v>0</v>
      </c>
      <c r="P85" s="2">
        <f>ROUND(21000,2)</f>
        <v>21000</v>
      </c>
      <c r="Q85" s="24">
        <f t="shared" si="37"/>
        <v>0</v>
      </c>
      <c r="R85" s="25"/>
      <c r="S85" s="24">
        <f>ROUND(-21000,2)</f>
        <v>-21000</v>
      </c>
      <c r="T85" s="25"/>
      <c r="U85" s="26"/>
    </row>
    <row r="86" spans="1:21">
      <c r="A86" s="22" t="s">
        <v>157</v>
      </c>
      <c r="B86" s="23"/>
      <c r="C86" s="22" t="s">
        <v>158</v>
      </c>
      <c r="D86" s="23"/>
      <c r="E86" s="23"/>
      <c r="F86" s="23"/>
      <c r="G86" s="23"/>
      <c r="H86" s="2">
        <f>ROUND(40100,2)</f>
        <v>40100</v>
      </c>
      <c r="I86" s="2">
        <f>ROUND(0,2)</f>
        <v>0</v>
      </c>
      <c r="J86" s="2">
        <f t="shared" si="32"/>
        <v>0</v>
      </c>
      <c r="K86" s="2">
        <f t="shared" si="38"/>
        <v>0</v>
      </c>
      <c r="L86" s="24">
        <f t="shared" si="34"/>
        <v>0</v>
      </c>
      <c r="M86" s="25"/>
      <c r="N86" s="2">
        <f>ROUND(0,2)</f>
        <v>0</v>
      </c>
      <c r="O86" s="2">
        <f t="shared" si="36"/>
        <v>0</v>
      </c>
      <c r="P86" s="2">
        <f t="shared" ref="P86:P101" si="39">ROUND(0,2)</f>
        <v>0</v>
      </c>
      <c r="Q86" s="24">
        <f t="shared" si="37"/>
        <v>0</v>
      </c>
      <c r="R86" s="25"/>
      <c r="S86" s="24">
        <f>ROUND(40100,2)</f>
        <v>40100</v>
      </c>
      <c r="T86" s="25"/>
      <c r="U86" s="26"/>
    </row>
    <row r="87" spans="1:21">
      <c r="A87" s="22" t="s">
        <v>159</v>
      </c>
      <c r="B87" s="23"/>
      <c r="C87" s="22" t="s">
        <v>160</v>
      </c>
      <c r="D87" s="23"/>
      <c r="E87" s="23"/>
      <c r="F87" s="23"/>
      <c r="G87" s="23"/>
      <c r="H87" s="2">
        <f t="shared" ref="H87:H102" si="40">ROUND(0,2)</f>
        <v>0</v>
      </c>
      <c r="I87" s="2">
        <f>ROUND(2710000,2)</f>
        <v>2710000</v>
      </c>
      <c r="J87" s="2">
        <f t="shared" si="32"/>
        <v>0</v>
      </c>
      <c r="K87" s="2">
        <f t="shared" si="38"/>
        <v>0</v>
      </c>
      <c r="L87" s="24">
        <f t="shared" si="34"/>
        <v>0</v>
      </c>
      <c r="M87" s="25"/>
      <c r="N87" s="2">
        <f>ROUND(0,2)</f>
        <v>0</v>
      </c>
      <c r="O87" s="2">
        <f>ROUND(70923.69,2)</f>
        <v>70923.69</v>
      </c>
      <c r="P87" s="2">
        <f t="shared" si="39"/>
        <v>0</v>
      </c>
      <c r="Q87" s="24">
        <f t="shared" si="37"/>
        <v>0</v>
      </c>
      <c r="R87" s="25"/>
      <c r="S87" s="24">
        <f>ROUND(2780923.69,2)</f>
        <v>2780923.69</v>
      </c>
      <c r="T87" s="25"/>
      <c r="U87" s="26"/>
    </row>
    <row r="88" spans="1:21">
      <c r="A88" s="22" t="s">
        <v>161</v>
      </c>
      <c r="B88" s="23"/>
      <c r="C88" s="22" t="s">
        <v>162</v>
      </c>
      <c r="D88" s="23"/>
      <c r="E88" s="23"/>
      <c r="F88" s="23"/>
      <c r="G88" s="23"/>
      <c r="H88" s="2">
        <f t="shared" si="40"/>
        <v>0</v>
      </c>
      <c r="I88" s="2">
        <f t="shared" ref="I88:J103" si="41">ROUND(0,2)</f>
        <v>0</v>
      </c>
      <c r="J88" s="2">
        <f t="shared" si="41"/>
        <v>0</v>
      </c>
      <c r="K88" s="2">
        <f t="shared" si="38"/>
        <v>0</v>
      </c>
      <c r="L88" s="24">
        <f t="shared" si="34"/>
        <v>0</v>
      </c>
      <c r="M88" s="25"/>
      <c r="N88" s="2">
        <f>ROUND(6660.81,2)</f>
        <v>6660.81</v>
      </c>
      <c r="O88" s="2">
        <f t="shared" ref="O88:O103" si="42">ROUND(0,2)</f>
        <v>0</v>
      </c>
      <c r="P88" s="2">
        <f t="shared" si="39"/>
        <v>0</v>
      </c>
      <c r="Q88" s="24">
        <f t="shared" si="37"/>
        <v>0</v>
      </c>
      <c r="R88" s="25"/>
      <c r="S88" s="24">
        <f>ROUND(6660.81,2)</f>
        <v>6660.81</v>
      </c>
      <c r="T88" s="25"/>
      <c r="U88" s="26"/>
    </row>
    <row r="89" spans="1:21">
      <c r="A89" s="22" t="s">
        <v>163</v>
      </c>
      <c r="B89" s="23"/>
      <c r="C89" s="22" t="s">
        <v>164</v>
      </c>
      <c r="D89" s="23"/>
      <c r="E89" s="23"/>
      <c r="F89" s="23"/>
      <c r="G89" s="23"/>
      <c r="H89" s="2">
        <f t="shared" si="40"/>
        <v>0</v>
      </c>
      <c r="I89" s="2">
        <f t="shared" si="41"/>
        <v>0</v>
      </c>
      <c r="J89" s="2">
        <f t="shared" si="41"/>
        <v>0</v>
      </c>
      <c r="K89" s="2">
        <f t="shared" si="38"/>
        <v>0</v>
      </c>
      <c r="L89" s="24">
        <f t="shared" ref="L89:L104" si="43">ROUND(0,2)</f>
        <v>0</v>
      </c>
      <c r="M89" s="25"/>
      <c r="N89" s="2">
        <f>ROUND(68389.75,2)</f>
        <v>68389.75</v>
      </c>
      <c r="O89" s="2">
        <f t="shared" si="42"/>
        <v>0</v>
      </c>
      <c r="P89" s="2">
        <f t="shared" si="39"/>
        <v>0</v>
      </c>
      <c r="Q89" s="24">
        <f t="shared" si="37"/>
        <v>0</v>
      </c>
      <c r="R89" s="25"/>
      <c r="S89" s="24">
        <f>ROUND(68389.75,2)</f>
        <v>68389.75</v>
      </c>
      <c r="T89" s="25"/>
      <c r="U89" s="26"/>
    </row>
    <row r="90" spans="1:21">
      <c r="A90" s="22" t="s">
        <v>165</v>
      </c>
      <c r="B90" s="23"/>
      <c r="C90" s="22" t="s">
        <v>166</v>
      </c>
      <c r="D90" s="23"/>
      <c r="E90" s="23"/>
      <c r="F90" s="23"/>
      <c r="G90" s="23"/>
      <c r="H90" s="2">
        <f t="shared" si="40"/>
        <v>0</v>
      </c>
      <c r="I90" s="2">
        <f t="shared" si="41"/>
        <v>0</v>
      </c>
      <c r="J90" s="2">
        <f t="shared" si="41"/>
        <v>0</v>
      </c>
      <c r="K90" s="2">
        <f t="shared" si="38"/>
        <v>0</v>
      </c>
      <c r="L90" s="24">
        <f t="shared" si="43"/>
        <v>0</v>
      </c>
      <c r="M90" s="25"/>
      <c r="N90" s="2">
        <f>ROUND(12100,2)</f>
        <v>12100</v>
      </c>
      <c r="O90" s="2">
        <f t="shared" si="42"/>
        <v>0</v>
      </c>
      <c r="P90" s="2">
        <f t="shared" si="39"/>
        <v>0</v>
      </c>
      <c r="Q90" s="24">
        <f t="shared" si="37"/>
        <v>0</v>
      </c>
      <c r="R90" s="25"/>
      <c r="S90" s="24">
        <f>ROUND(12100,2)</f>
        <v>12100</v>
      </c>
      <c r="T90" s="25"/>
      <c r="U90" s="26"/>
    </row>
    <row r="91" spans="1:21">
      <c r="A91" s="22" t="s">
        <v>167</v>
      </c>
      <c r="B91" s="23"/>
      <c r="C91" s="22" t="s">
        <v>168</v>
      </c>
      <c r="D91" s="23"/>
      <c r="E91" s="23"/>
      <c r="F91" s="23"/>
      <c r="G91" s="23"/>
      <c r="H91" s="2">
        <f t="shared" si="40"/>
        <v>0</v>
      </c>
      <c r="I91" s="2">
        <f t="shared" si="41"/>
        <v>0</v>
      </c>
      <c r="J91" s="2">
        <f t="shared" si="41"/>
        <v>0</v>
      </c>
      <c r="K91" s="2">
        <f t="shared" si="38"/>
        <v>0</v>
      </c>
      <c r="L91" s="24">
        <f t="shared" si="43"/>
        <v>0</v>
      </c>
      <c r="M91" s="25"/>
      <c r="N91" s="2">
        <f>ROUND(77045.52,2)</f>
        <v>77045.52</v>
      </c>
      <c r="O91" s="2">
        <f t="shared" si="42"/>
        <v>0</v>
      </c>
      <c r="P91" s="2">
        <f t="shared" si="39"/>
        <v>0</v>
      </c>
      <c r="Q91" s="24">
        <f t="shared" si="37"/>
        <v>0</v>
      </c>
      <c r="R91" s="25"/>
      <c r="S91" s="24">
        <f>ROUND(77045.52,2)</f>
        <v>77045.52</v>
      </c>
      <c r="T91" s="25"/>
      <c r="U91" s="26"/>
    </row>
    <row r="92" spans="1:21">
      <c r="A92" s="22" t="s">
        <v>169</v>
      </c>
      <c r="B92" s="23"/>
      <c r="C92" s="22" t="s">
        <v>170</v>
      </c>
      <c r="D92" s="23"/>
      <c r="E92" s="23"/>
      <c r="F92" s="23"/>
      <c r="G92" s="23"/>
      <c r="H92" s="2">
        <f t="shared" si="40"/>
        <v>0</v>
      </c>
      <c r="I92" s="2">
        <f t="shared" si="41"/>
        <v>0</v>
      </c>
      <c r="J92" s="2">
        <f t="shared" si="41"/>
        <v>0</v>
      </c>
      <c r="K92" s="2">
        <f t="shared" si="38"/>
        <v>0</v>
      </c>
      <c r="L92" s="24">
        <f t="shared" si="43"/>
        <v>0</v>
      </c>
      <c r="M92" s="25"/>
      <c r="N92" s="2">
        <f>ROUND(166410,2)</f>
        <v>166410</v>
      </c>
      <c r="O92" s="2">
        <f t="shared" si="42"/>
        <v>0</v>
      </c>
      <c r="P92" s="2">
        <f t="shared" si="39"/>
        <v>0</v>
      </c>
      <c r="Q92" s="24">
        <f t="shared" si="37"/>
        <v>0</v>
      </c>
      <c r="R92" s="25"/>
      <c r="S92" s="24">
        <f>ROUND(166410,2)</f>
        <v>166410</v>
      </c>
      <c r="T92" s="25"/>
      <c r="U92" s="26"/>
    </row>
    <row r="93" spans="1:21">
      <c r="A93" s="22" t="s">
        <v>171</v>
      </c>
      <c r="B93" s="23"/>
      <c r="C93" s="22" t="s">
        <v>172</v>
      </c>
      <c r="D93" s="23"/>
      <c r="E93" s="23"/>
      <c r="F93" s="23"/>
      <c r="G93" s="23"/>
      <c r="H93" s="2">
        <f t="shared" si="40"/>
        <v>0</v>
      </c>
      <c r="I93" s="2">
        <f t="shared" si="41"/>
        <v>0</v>
      </c>
      <c r="J93" s="2">
        <f t="shared" si="41"/>
        <v>0</v>
      </c>
      <c r="K93" s="2">
        <f t="shared" si="38"/>
        <v>0</v>
      </c>
      <c r="L93" s="24">
        <f t="shared" si="43"/>
        <v>0</v>
      </c>
      <c r="M93" s="25"/>
      <c r="N93" s="2">
        <f>ROUND(364210,2)</f>
        <v>364210</v>
      </c>
      <c r="O93" s="2">
        <f t="shared" si="42"/>
        <v>0</v>
      </c>
      <c r="P93" s="2">
        <f t="shared" si="39"/>
        <v>0</v>
      </c>
      <c r="Q93" s="24">
        <f t="shared" si="37"/>
        <v>0</v>
      </c>
      <c r="R93" s="25"/>
      <c r="S93" s="24">
        <f>ROUND(364210,2)</f>
        <v>364210</v>
      </c>
      <c r="T93" s="25"/>
      <c r="U93" s="26"/>
    </row>
    <row r="94" spans="1:21">
      <c r="A94" s="22" t="s">
        <v>173</v>
      </c>
      <c r="B94" s="23"/>
      <c r="C94" s="22" t="s">
        <v>174</v>
      </c>
      <c r="D94" s="23"/>
      <c r="E94" s="23"/>
      <c r="F94" s="23"/>
      <c r="G94" s="23"/>
      <c r="H94" s="2">
        <f t="shared" si="40"/>
        <v>0</v>
      </c>
      <c r="I94" s="2">
        <f t="shared" si="41"/>
        <v>0</v>
      </c>
      <c r="J94" s="2">
        <f t="shared" si="41"/>
        <v>0</v>
      </c>
      <c r="K94" s="2">
        <f t="shared" si="38"/>
        <v>0</v>
      </c>
      <c r="L94" s="24">
        <f t="shared" si="43"/>
        <v>0</v>
      </c>
      <c r="M94" s="25"/>
      <c r="N94" s="2">
        <f>ROUND(67982,2)</f>
        <v>67982</v>
      </c>
      <c r="O94" s="2">
        <f t="shared" si="42"/>
        <v>0</v>
      </c>
      <c r="P94" s="2">
        <f t="shared" si="39"/>
        <v>0</v>
      </c>
      <c r="Q94" s="24">
        <f t="shared" si="37"/>
        <v>0</v>
      </c>
      <c r="R94" s="25"/>
      <c r="S94" s="24">
        <f>ROUND(67982,2)</f>
        <v>67982</v>
      </c>
      <c r="T94" s="25"/>
      <c r="U94" s="26"/>
    </row>
    <row r="95" spans="1:21">
      <c r="A95" s="22" t="s">
        <v>175</v>
      </c>
      <c r="B95" s="23"/>
      <c r="C95" s="22" t="s">
        <v>176</v>
      </c>
      <c r="D95" s="23"/>
      <c r="E95" s="23"/>
      <c r="F95" s="23"/>
      <c r="G95" s="23"/>
      <c r="H95" s="2">
        <f t="shared" si="40"/>
        <v>0</v>
      </c>
      <c r="I95" s="2">
        <f t="shared" si="41"/>
        <v>0</v>
      </c>
      <c r="J95" s="2">
        <f t="shared" si="41"/>
        <v>0</v>
      </c>
      <c r="K95" s="2">
        <f t="shared" si="38"/>
        <v>0</v>
      </c>
      <c r="L95" s="24">
        <f t="shared" si="43"/>
        <v>0</v>
      </c>
      <c r="M95" s="25"/>
      <c r="N95" s="2">
        <f>ROUND(63619,2)</f>
        <v>63619</v>
      </c>
      <c r="O95" s="2">
        <f t="shared" si="42"/>
        <v>0</v>
      </c>
      <c r="P95" s="2">
        <f t="shared" si="39"/>
        <v>0</v>
      </c>
      <c r="Q95" s="24">
        <f t="shared" ref="Q95:Q110" si="44">ROUND(0,2)</f>
        <v>0</v>
      </c>
      <c r="R95" s="25"/>
      <c r="S95" s="24">
        <f>ROUND(63619,2)</f>
        <v>63619</v>
      </c>
      <c r="T95" s="25"/>
      <c r="U95" s="26"/>
    </row>
    <row r="96" spans="1:21">
      <c r="A96" s="22" t="s">
        <v>177</v>
      </c>
      <c r="B96" s="23"/>
      <c r="C96" s="22" t="s">
        <v>178</v>
      </c>
      <c r="D96" s="23"/>
      <c r="E96" s="23"/>
      <c r="F96" s="23"/>
      <c r="G96" s="23"/>
      <c r="H96" s="2">
        <f t="shared" si="40"/>
        <v>0</v>
      </c>
      <c r="I96" s="2">
        <f t="shared" si="41"/>
        <v>0</v>
      </c>
      <c r="J96" s="2">
        <f t="shared" si="41"/>
        <v>0</v>
      </c>
      <c r="K96" s="2">
        <f t="shared" si="38"/>
        <v>0</v>
      </c>
      <c r="L96" s="24">
        <f t="shared" si="43"/>
        <v>0</v>
      </c>
      <c r="M96" s="25"/>
      <c r="N96" s="2">
        <f>ROUND(3509,2)</f>
        <v>3509</v>
      </c>
      <c r="O96" s="2">
        <f t="shared" si="42"/>
        <v>0</v>
      </c>
      <c r="P96" s="2">
        <f t="shared" si="39"/>
        <v>0</v>
      </c>
      <c r="Q96" s="24">
        <f t="shared" si="44"/>
        <v>0</v>
      </c>
      <c r="R96" s="25"/>
      <c r="S96" s="24">
        <f>ROUND(3509,2)</f>
        <v>3509</v>
      </c>
      <c r="T96" s="25"/>
      <c r="U96" s="26"/>
    </row>
    <row r="97" spans="1:21">
      <c r="A97" s="22" t="s">
        <v>179</v>
      </c>
      <c r="B97" s="23"/>
      <c r="C97" s="22" t="s">
        <v>180</v>
      </c>
      <c r="D97" s="23"/>
      <c r="E97" s="23"/>
      <c r="F97" s="23"/>
      <c r="G97" s="23"/>
      <c r="H97" s="2">
        <f t="shared" si="40"/>
        <v>0</v>
      </c>
      <c r="I97" s="2">
        <f t="shared" si="41"/>
        <v>0</v>
      </c>
      <c r="J97" s="2">
        <f t="shared" si="41"/>
        <v>0</v>
      </c>
      <c r="K97" s="2">
        <f t="shared" si="38"/>
        <v>0</v>
      </c>
      <c r="L97" s="24">
        <f t="shared" si="43"/>
        <v>0</v>
      </c>
      <c r="M97" s="25"/>
      <c r="N97" s="2">
        <f>ROUND(3893.7,2)</f>
        <v>3893.7</v>
      </c>
      <c r="O97" s="2">
        <f t="shared" si="42"/>
        <v>0</v>
      </c>
      <c r="P97" s="2">
        <f t="shared" si="39"/>
        <v>0</v>
      </c>
      <c r="Q97" s="24">
        <f t="shared" si="44"/>
        <v>0</v>
      </c>
      <c r="R97" s="25"/>
      <c r="S97" s="24">
        <f>ROUND(3893.7,2)</f>
        <v>3893.7</v>
      </c>
      <c r="T97" s="25"/>
      <c r="U97" s="26"/>
    </row>
    <row r="98" spans="1:21">
      <c r="A98" s="22" t="s">
        <v>181</v>
      </c>
      <c r="B98" s="23"/>
      <c r="C98" s="22" t="s">
        <v>182</v>
      </c>
      <c r="D98" s="23"/>
      <c r="E98" s="23"/>
      <c r="F98" s="23"/>
      <c r="G98" s="23"/>
      <c r="H98" s="2">
        <f t="shared" si="40"/>
        <v>0</v>
      </c>
      <c r="I98" s="2">
        <f t="shared" si="41"/>
        <v>0</v>
      </c>
      <c r="J98" s="2">
        <f t="shared" si="41"/>
        <v>0</v>
      </c>
      <c r="K98" s="2">
        <f t="shared" si="38"/>
        <v>0</v>
      </c>
      <c r="L98" s="24">
        <f t="shared" si="43"/>
        <v>0</v>
      </c>
      <c r="M98" s="25"/>
      <c r="N98" s="2">
        <f>ROUND(1411.92,2)</f>
        <v>1411.92</v>
      </c>
      <c r="O98" s="2">
        <f t="shared" si="42"/>
        <v>0</v>
      </c>
      <c r="P98" s="2">
        <f t="shared" si="39"/>
        <v>0</v>
      </c>
      <c r="Q98" s="24">
        <f t="shared" si="44"/>
        <v>0</v>
      </c>
      <c r="R98" s="25"/>
      <c r="S98" s="24">
        <f>ROUND(1411.92,2)</f>
        <v>1411.92</v>
      </c>
      <c r="T98" s="25"/>
      <c r="U98" s="26"/>
    </row>
    <row r="99" spans="1:21">
      <c r="A99" s="22" t="s">
        <v>183</v>
      </c>
      <c r="B99" s="23"/>
      <c r="C99" s="22" t="s">
        <v>184</v>
      </c>
      <c r="D99" s="23"/>
      <c r="E99" s="23"/>
      <c r="F99" s="23"/>
      <c r="G99" s="23"/>
      <c r="H99" s="2">
        <f t="shared" si="40"/>
        <v>0</v>
      </c>
      <c r="I99" s="2">
        <f t="shared" si="41"/>
        <v>0</v>
      </c>
      <c r="J99" s="2">
        <f t="shared" si="41"/>
        <v>0</v>
      </c>
      <c r="K99" s="2">
        <f t="shared" si="38"/>
        <v>0</v>
      </c>
      <c r="L99" s="24">
        <f t="shared" si="43"/>
        <v>0</v>
      </c>
      <c r="M99" s="25"/>
      <c r="N99" s="2">
        <f>ROUND(58860,2)</f>
        <v>58860</v>
      </c>
      <c r="O99" s="2">
        <f t="shared" si="42"/>
        <v>0</v>
      </c>
      <c r="P99" s="2">
        <f t="shared" si="39"/>
        <v>0</v>
      </c>
      <c r="Q99" s="24">
        <f t="shared" si="44"/>
        <v>0</v>
      </c>
      <c r="R99" s="25"/>
      <c r="S99" s="24">
        <f>ROUND(58860,2)</f>
        <v>58860</v>
      </c>
      <c r="T99" s="25"/>
      <c r="U99" s="26"/>
    </row>
    <row r="100" spans="1:21">
      <c r="A100" s="22" t="s">
        <v>185</v>
      </c>
      <c r="B100" s="23"/>
      <c r="C100" s="22" t="s">
        <v>186</v>
      </c>
      <c r="D100" s="23"/>
      <c r="E100" s="23"/>
      <c r="F100" s="23"/>
      <c r="G100" s="23"/>
      <c r="H100" s="2">
        <f t="shared" si="40"/>
        <v>0</v>
      </c>
      <c r="I100" s="2">
        <f t="shared" si="41"/>
        <v>0</v>
      </c>
      <c r="J100" s="2">
        <f t="shared" si="41"/>
        <v>0</v>
      </c>
      <c r="K100" s="2">
        <f t="shared" ref="K100:K115" si="45">ROUND(0,2)</f>
        <v>0</v>
      </c>
      <c r="L100" s="24">
        <f t="shared" si="43"/>
        <v>0</v>
      </c>
      <c r="M100" s="25"/>
      <c r="N100" s="2">
        <f>ROUND(5648.97,2)</f>
        <v>5648.97</v>
      </c>
      <c r="O100" s="2">
        <f t="shared" si="42"/>
        <v>0</v>
      </c>
      <c r="P100" s="2">
        <f t="shared" si="39"/>
        <v>0</v>
      </c>
      <c r="Q100" s="24">
        <f t="shared" si="44"/>
        <v>0</v>
      </c>
      <c r="R100" s="25"/>
      <c r="S100" s="24">
        <f>ROUND(5648.97,2)</f>
        <v>5648.97</v>
      </c>
      <c r="T100" s="25"/>
      <c r="U100" s="26"/>
    </row>
    <row r="101" spans="1:21">
      <c r="A101" s="22" t="s">
        <v>187</v>
      </c>
      <c r="B101" s="23"/>
      <c r="C101" s="22" t="s">
        <v>188</v>
      </c>
      <c r="D101" s="23"/>
      <c r="E101" s="23"/>
      <c r="F101" s="23"/>
      <c r="G101" s="23"/>
      <c r="H101" s="2">
        <f t="shared" si="40"/>
        <v>0</v>
      </c>
      <c r="I101" s="2">
        <f t="shared" si="41"/>
        <v>0</v>
      </c>
      <c r="J101" s="2">
        <f t="shared" si="41"/>
        <v>0</v>
      </c>
      <c r="K101" s="2">
        <f t="shared" si="45"/>
        <v>0</v>
      </c>
      <c r="L101" s="24">
        <f t="shared" si="43"/>
        <v>0</v>
      </c>
      <c r="M101" s="25"/>
      <c r="N101" s="2">
        <f>ROUND(7894.8,2)</f>
        <v>7894.8</v>
      </c>
      <c r="O101" s="2">
        <f t="shared" si="42"/>
        <v>0</v>
      </c>
      <c r="P101" s="2">
        <f t="shared" si="39"/>
        <v>0</v>
      </c>
      <c r="Q101" s="24">
        <f t="shared" si="44"/>
        <v>0</v>
      </c>
      <c r="R101" s="25"/>
      <c r="S101" s="24">
        <f>ROUND(7894.8,2)</f>
        <v>7894.8</v>
      </c>
      <c r="T101" s="25"/>
      <c r="U101" s="26"/>
    </row>
    <row r="102" spans="1:21">
      <c r="A102" s="22" t="s">
        <v>189</v>
      </c>
      <c r="B102" s="23"/>
      <c r="C102" s="22" t="s">
        <v>190</v>
      </c>
      <c r="D102" s="23"/>
      <c r="E102" s="23"/>
      <c r="F102" s="23"/>
      <c r="G102" s="23"/>
      <c r="H102" s="2">
        <f t="shared" si="40"/>
        <v>0</v>
      </c>
      <c r="I102" s="2">
        <f t="shared" si="41"/>
        <v>0</v>
      </c>
      <c r="J102" s="2">
        <f t="shared" si="41"/>
        <v>0</v>
      </c>
      <c r="K102" s="2">
        <f t="shared" si="45"/>
        <v>0</v>
      </c>
      <c r="L102" s="24">
        <f t="shared" si="43"/>
        <v>0</v>
      </c>
      <c r="M102" s="25"/>
      <c r="N102" s="2">
        <f>ROUND(48025.73,2)</f>
        <v>48025.73</v>
      </c>
      <c r="O102" s="2">
        <f t="shared" si="42"/>
        <v>0</v>
      </c>
      <c r="P102" s="2">
        <f t="shared" ref="P102:P117" si="46">ROUND(0,2)</f>
        <v>0</v>
      </c>
      <c r="Q102" s="24">
        <f t="shared" si="44"/>
        <v>0</v>
      </c>
      <c r="R102" s="25"/>
      <c r="S102" s="24">
        <f>ROUND(48025.73,2)</f>
        <v>48025.73</v>
      </c>
      <c r="T102" s="25"/>
      <c r="U102" s="26"/>
    </row>
    <row r="103" spans="1:21">
      <c r="A103" s="22" t="s">
        <v>191</v>
      </c>
      <c r="B103" s="23"/>
      <c r="C103" s="22" t="s">
        <v>192</v>
      </c>
      <c r="D103" s="23"/>
      <c r="E103" s="23"/>
      <c r="F103" s="23"/>
      <c r="G103" s="23"/>
      <c r="H103" s="2">
        <f t="shared" ref="H103:H118" si="47">ROUND(0,2)</f>
        <v>0</v>
      </c>
      <c r="I103" s="2">
        <f t="shared" si="41"/>
        <v>0</v>
      </c>
      <c r="J103" s="2">
        <f t="shared" si="41"/>
        <v>0</v>
      </c>
      <c r="K103" s="2">
        <f t="shared" si="45"/>
        <v>0</v>
      </c>
      <c r="L103" s="24">
        <f t="shared" si="43"/>
        <v>0</v>
      </c>
      <c r="M103" s="25"/>
      <c r="N103" s="2">
        <f>ROUND(1316.47,2)</f>
        <v>1316.47</v>
      </c>
      <c r="O103" s="2">
        <f t="shared" si="42"/>
        <v>0</v>
      </c>
      <c r="P103" s="2">
        <f t="shared" si="46"/>
        <v>0</v>
      </c>
      <c r="Q103" s="24">
        <f t="shared" si="44"/>
        <v>0</v>
      </c>
      <c r="R103" s="25"/>
      <c r="S103" s="24">
        <f>ROUND(1316.47,2)</f>
        <v>1316.47</v>
      </c>
      <c r="T103" s="25"/>
      <c r="U103" s="26"/>
    </row>
    <row r="104" spans="1:21">
      <c r="A104" s="22" t="s">
        <v>193</v>
      </c>
      <c r="B104" s="23"/>
      <c r="C104" s="22" t="s">
        <v>194</v>
      </c>
      <c r="D104" s="23"/>
      <c r="E104" s="23"/>
      <c r="F104" s="23"/>
      <c r="G104" s="23"/>
      <c r="H104" s="2">
        <f t="shared" si="47"/>
        <v>0</v>
      </c>
      <c r="I104" s="2">
        <f t="shared" ref="I104:J119" si="48">ROUND(0,2)</f>
        <v>0</v>
      </c>
      <c r="J104" s="2">
        <f t="shared" si="48"/>
        <v>0</v>
      </c>
      <c r="K104" s="2">
        <f t="shared" si="45"/>
        <v>0</v>
      </c>
      <c r="L104" s="24">
        <f t="shared" si="43"/>
        <v>0</v>
      </c>
      <c r="M104" s="25"/>
      <c r="N104" s="2">
        <f>ROUND(6487.73,2)</f>
        <v>6487.73</v>
      </c>
      <c r="O104" s="2">
        <f t="shared" ref="O104:O119" si="49">ROUND(0,2)</f>
        <v>0</v>
      </c>
      <c r="P104" s="2">
        <f t="shared" si="46"/>
        <v>0</v>
      </c>
      <c r="Q104" s="24">
        <f t="shared" si="44"/>
        <v>0</v>
      </c>
      <c r="R104" s="25"/>
      <c r="S104" s="24">
        <f>ROUND(6487.73,2)</f>
        <v>6487.73</v>
      </c>
      <c r="T104" s="25"/>
      <c r="U104" s="26"/>
    </row>
    <row r="105" spans="1:21">
      <c r="A105" s="22" t="s">
        <v>195</v>
      </c>
      <c r="B105" s="23"/>
      <c r="C105" s="22" t="s">
        <v>196</v>
      </c>
      <c r="D105" s="23"/>
      <c r="E105" s="23"/>
      <c r="F105" s="23"/>
      <c r="G105" s="23"/>
      <c r="H105" s="2">
        <f t="shared" si="47"/>
        <v>0</v>
      </c>
      <c r="I105" s="2">
        <f t="shared" si="48"/>
        <v>0</v>
      </c>
      <c r="J105" s="2">
        <f t="shared" si="48"/>
        <v>0</v>
      </c>
      <c r="K105" s="2">
        <f t="shared" si="45"/>
        <v>0</v>
      </c>
      <c r="L105" s="24">
        <f t="shared" ref="L105:L120" si="50">ROUND(0,2)</f>
        <v>0</v>
      </c>
      <c r="M105" s="25"/>
      <c r="N105" s="2">
        <f>ROUND(25697.76,2)</f>
        <v>25697.759999999998</v>
      </c>
      <c r="O105" s="2">
        <f t="shared" si="49"/>
        <v>0</v>
      </c>
      <c r="P105" s="2">
        <f t="shared" si="46"/>
        <v>0</v>
      </c>
      <c r="Q105" s="24">
        <f t="shared" si="44"/>
        <v>0</v>
      </c>
      <c r="R105" s="25"/>
      <c r="S105" s="24">
        <f>ROUND(25697.76,2)</f>
        <v>25697.759999999998</v>
      </c>
      <c r="T105" s="25"/>
      <c r="U105" s="26"/>
    </row>
    <row r="106" spans="1:21">
      <c r="A106" s="22" t="s">
        <v>197</v>
      </c>
      <c r="B106" s="23"/>
      <c r="C106" s="22" t="s">
        <v>198</v>
      </c>
      <c r="D106" s="23"/>
      <c r="E106" s="23"/>
      <c r="F106" s="23"/>
      <c r="G106" s="23"/>
      <c r="H106" s="2">
        <f t="shared" si="47"/>
        <v>0</v>
      </c>
      <c r="I106" s="2">
        <f t="shared" si="48"/>
        <v>0</v>
      </c>
      <c r="J106" s="2">
        <f t="shared" si="48"/>
        <v>0</v>
      </c>
      <c r="K106" s="2">
        <f t="shared" si="45"/>
        <v>0</v>
      </c>
      <c r="L106" s="24">
        <f t="shared" si="50"/>
        <v>0</v>
      </c>
      <c r="M106" s="25"/>
      <c r="N106" s="2">
        <f>ROUND(15485.47,2)</f>
        <v>15485.47</v>
      </c>
      <c r="O106" s="2">
        <f t="shared" si="49"/>
        <v>0</v>
      </c>
      <c r="P106" s="2">
        <f t="shared" si="46"/>
        <v>0</v>
      </c>
      <c r="Q106" s="24">
        <f t="shared" si="44"/>
        <v>0</v>
      </c>
      <c r="R106" s="25"/>
      <c r="S106" s="24">
        <f>ROUND(15485.47,2)</f>
        <v>15485.47</v>
      </c>
      <c r="T106" s="25"/>
      <c r="U106" s="26"/>
    </row>
    <row r="107" spans="1:21">
      <c r="A107" s="22" t="s">
        <v>199</v>
      </c>
      <c r="B107" s="23"/>
      <c r="C107" s="22" t="s">
        <v>200</v>
      </c>
      <c r="D107" s="23"/>
      <c r="E107" s="23"/>
      <c r="F107" s="23"/>
      <c r="G107" s="23"/>
      <c r="H107" s="2">
        <f t="shared" si="47"/>
        <v>0</v>
      </c>
      <c r="I107" s="2">
        <f t="shared" si="48"/>
        <v>0</v>
      </c>
      <c r="J107" s="2">
        <f t="shared" si="48"/>
        <v>0</v>
      </c>
      <c r="K107" s="2">
        <f t="shared" si="45"/>
        <v>0</v>
      </c>
      <c r="L107" s="24">
        <f t="shared" si="50"/>
        <v>0</v>
      </c>
      <c r="M107" s="25"/>
      <c r="N107" s="2">
        <f>ROUND(24005.23,2)</f>
        <v>24005.23</v>
      </c>
      <c r="O107" s="2">
        <f t="shared" si="49"/>
        <v>0</v>
      </c>
      <c r="P107" s="2">
        <f t="shared" si="46"/>
        <v>0</v>
      </c>
      <c r="Q107" s="24">
        <f t="shared" si="44"/>
        <v>0</v>
      </c>
      <c r="R107" s="25"/>
      <c r="S107" s="24">
        <f>ROUND(24005.23,2)</f>
        <v>24005.23</v>
      </c>
      <c r="T107" s="25"/>
      <c r="U107" s="26"/>
    </row>
    <row r="108" spans="1:21">
      <c r="A108" s="22" t="s">
        <v>201</v>
      </c>
      <c r="B108" s="23"/>
      <c r="C108" s="22" t="s">
        <v>202</v>
      </c>
      <c r="D108" s="23"/>
      <c r="E108" s="23"/>
      <c r="F108" s="23"/>
      <c r="G108" s="23"/>
      <c r="H108" s="2">
        <f t="shared" si="47"/>
        <v>0</v>
      </c>
      <c r="I108" s="2">
        <f t="shared" si="48"/>
        <v>0</v>
      </c>
      <c r="J108" s="2">
        <f t="shared" si="48"/>
        <v>0</v>
      </c>
      <c r="K108" s="2">
        <f t="shared" si="45"/>
        <v>0</v>
      </c>
      <c r="L108" s="24">
        <f t="shared" si="50"/>
        <v>0</v>
      </c>
      <c r="M108" s="25"/>
      <c r="N108" s="2">
        <f>ROUND(38400,2)</f>
        <v>38400</v>
      </c>
      <c r="O108" s="2">
        <f t="shared" si="49"/>
        <v>0</v>
      </c>
      <c r="P108" s="2">
        <f t="shared" si="46"/>
        <v>0</v>
      </c>
      <c r="Q108" s="24">
        <f t="shared" si="44"/>
        <v>0</v>
      </c>
      <c r="R108" s="25"/>
      <c r="S108" s="24">
        <f>ROUND(38400,2)</f>
        <v>38400</v>
      </c>
      <c r="T108" s="25"/>
      <c r="U108" s="26"/>
    </row>
    <row r="109" spans="1:21">
      <c r="A109" s="22" t="s">
        <v>203</v>
      </c>
      <c r="B109" s="23"/>
      <c r="C109" s="22" t="s">
        <v>204</v>
      </c>
      <c r="D109" s="23"/>
      <c r="E109" s="23"/>
      <c r="F109" s="23"/>
      <c r="G109" s="23"/>
      <c r="H109" s="2">
        <f t="shared" si="47"/>
        <v>0</v>
      </c>
      <c r="I109" s="2">
        <f t="shared" si="48"/>
        <v>0</v>
      </c>
      <c r="J109" s="2">
        <f t="shared" si="48"/>
        <v>0</v>
      </c>
      <c r="K109" s="2">
        <f t="shared" si="45"/>
        <v>0</v>
      </c>
      <c r="L109" s="24">
        <f t="shared" si="50"/>
        <v>0</v>
      </c>
      <c r="M109" s="25"/>
      <c r="N109" s="2">
        <f>ROUND(13641,2)</f>
        <v>13641</v>
      </c>
      <c r="O109" s="2">
        <f t="shared" si="49"/>
        <v>0</v>
      </c>
      <c r="P109" s="2">
        <f t="shared" si="46"/>
        <v>0</v>
      </c>
      <c r="Q109" s="24">
        <f t="shared" si="44"/>
        <v>0</v>
      </c>
      <c r="R109" s="25"/>
      <c r="S109" s="24">
        <f>ROUND(13641,2)</f>
        <v>13641</v>
      </c>
      <c r="T109" s="25"/>
      <c r="U109" s="26"/>
    </row>
    <row r="110" spans="1:21">
      <c r="A110" s="22" t="s">
        <v>205</v>
      </c>
      <c r="B110" s="23"/>
      <c r="C110" s="22" t="s">
        <v>206</v>
      </c>
      <c r="D110" s="23"/>
      <c r="E110" s="23"/>
      <c r="F110" s="23"/>
      <c r="G110" s="23"/>
      <c r="H110" s="2">
        <f t="shared" si="47"/>
        <v>0</v>
      </c>
      <c r="I110" s="2">
        <f t="shared" si="48"/>
        <v>0</v>
      </c>
      <c r="J110" s="2">
        <f t="shared" si="48"/>
        <v>0</v>
      </c>
      <c r="K110" s="2">
        <f t="shared" si="45"/>
        <v>0</v>
      </c>
      <c r="L110" s="24">
        <f t="shared" si="50"/>
        <v>0</v>
      </c>
      <c r="M110" s="25"/>
      <c r="N110" s="2">
        <f>ROUND(14260,2)</f>
        <v>14260</v>
      </c>
      <c r="O110" s="2">
        <f t="shared" si="49"/>
        <v>0</v>
      </c>
      <c r="P110" s="2">
        <f t="shared" si="46"/>
        <v>0</v>
      </c>
      <c r="Q110" s="24">
        <f t="shared" si="44"/>
        <v>0</v>
      </c>
      <c r="R110" s="25"/>
      <c r="S110" s="24">
        <f>ROUND(14260,2)</f>
        <v>14260</v>
      </c>
      <c r="T110" s="25"/>
      <c r="U110" s="26"/>
    </row>
    <row r="111" spans="1:21">
      <c r="A111" s="22" t="s">
        <v>207</v>
      </c>
      <c r="B111" s="23"/>
      <c r="C111" s="22" t="s">
        <v>208</v>
      </c>
      <c r="D111" s="23"/>
      <c r="E111" s="23"/>
      <c r="F111" s="23"/>
      <c r="G111" s="23"/>
      <c r="H111" s="2">
        <f t="shared" si="47"/>
        <v>0</v>
      </c>
      <c r="I111" s="2">
        <f t="shared" si="48"/>
        <v>0</v>
      </c>
      <c r="J111" s="2">
        <f t="shared" si="48"/>
        <v>0</v>
      </c>
      <c r="K111" s="2">
        <f t="shared" si="45"/>
        <v>0</v>
      </c>
      <c r="L111" s="24">
        <f t="shared" si="50"/>
        <v>0</v>
      </c>
      <c r="M111" s="25"/>
      <c r="N111" s="2">
        <f>ROUND(141803.6,2)</f>
        <v>141803.6</v>
      </c>
      <c r="O111" s="2">
        <f t="shared" si="49"/>
        <v>0</v>
      </c>
      <c r="P111" s="2">
        <f t="shared" si="46"/>
        <v>0</v>
      </c>
      <c r="Q111" s="24">
        <f t="shared" ref="Q111:Q126" si="51">ROUND(0,2)</f>
        <v>0</v>
      </c>
      <c r="R111" s="25"/>
      <c r="S111" s="24">
        <f>ROUND(141803.6,2)</f>
        <v>141803.6</v>
      </c>
      <c r="T111" s="25"/>
      <c r="U111" s="26"/>
    </row>
    <row r="112" spans="1:21">
      <c r="A112" s="22" t="s">
        <v>209</v>
      </c>
      <c r="B112" s="23"/>
      <c r="C112" s="22" t="s">
        <v>210</v>
      </c>
      <c r="D112" s="23"/>
      <c r="E112" s="23"/>
      <c r="F112" s="23"/>
      <c r="G112" s="23"/>
      <c r="H112" s="2">
        <f t="shared" si="47"/>
        <v>0</v>
      </c>
      <c r="I112" s="2">
        <f t="shared" si="48"/>
        <v>0</v>
      </c>
      <c r="J112" s="2">
        <f t="shared" si="48"/>
        <v>0</v>
      </c>
      <c r="K112" s="2">
        <f t="shared" si="45"/>
        <v>0</v>
      </c>
      <c r="L112" s="24">
        <f t="shared" si="50"/>
        <v>0</v>
      </c>
      <c r="M112" s="25"/>
      <c r="N112" s="2">
        <f>ROUND(4655.5,2)</f>
        <v>4655.5</v>
      </c>
      <c r="O112" s="2">
        <f t="shared" si="49"/>
        <v>0</v>
      </c>
      <c r="P112" s="2">
        <f t="shared" si="46"/>
        <v>0</v>
      </c>
      <c r="Q112" s="24">
        <f t="shared" si="51"/>
        <v>0</v>
      </c>
      <c r="R112" s="25"/>
      <c r="S112" s="24">
        <f>ROUND(4655.5,2)</f>
        <v>4655.5</v>
      </c>
      <c r="T112" s="25"/>
      <c r="U112" s="26"/>
    </row>
    <row r="113" spans="1:21">
      <c r="A113" s="22" t="s">
        <v>211</v>
      </c>
      <c r="B113" s="23"/>
      <c r="C113" s="22" t="s">
        <v>212</v>
      </c>
      <c r="D113" s="23"/>
      <c r="E113" s="23"/>
      <c r="F113" s="23"/>
      <c r="G113" s="23"/>
      <c r="H113" s="2">
        <f t="shared" si="47"/>
        <v>0</v>
      </c>
      <c r="I113" s="2">
        <f t="shared" si="48"/>
        <v>0</v>
      </c>
      <c r="J113" s="2">
        <f t="shared" si="48"/>
        <v>0</v>
      </c>
      <c r="K113" s="2">
        <f t="shared" si="45"/>
        <v>0</v>
      </c>
      <c r="L113" s="24">
        <f t="shared" si="50"/>
        <v>0</v>
      </c>
      <c r="M113" s="25"/>
      <c r="N113" s="2">
        <f>ROUND(24500,2)</f>
        <v>24500</v>
      </c>
      <c r="O113" s="2">
        <f t="shared" si="49"/>
        <v>0</v>
      </c>
      <c r="P113" s="2">
        <f t="shared" si="46"/>
        <v>0</v>
      </c>
      <c r="Q113" s="24">
        <f t="shared" si="51"/>
        <v>0</v>
      </c>
      <c r="R113" s="25"/>
      <c r="S113" s="24">
        <f>ROUND(24500,2)</f>
        <v>24500</v>
      </c>
      <c r="T113" s="25"/>
      <c r="U113" s="26"/>
    </row>
    <row r="114" spans="1:21">
      <c r="A114" s="22" t="s">
        <v>213</v>
      </c>
      <c r="B114" s="23"/>
      <c r="C114" s="22" t="s">
        <v>214</v>
      </c>
      <c r="D114" s="23"/>
      <c r="E114" s="23"/>
      <c r="F114" s="23"/>
      <c r="G114" s="23"/>
      <c r="H114" s="2">
        <f t="shared" si="47"/>
        <v>0</v>
      </c>
      <c r="I114" s="2">
        <f t="shared" si="48"/>
        <v>0</v>
      </c>
      <c r="J114" s="2">
        <f t="shared" si="48"/>
        <v>0</v>
      </c>
      <c r="K114" s="2">
        <f t="shared" si="45"/>
        <v>0</v>
      </c>
      <c r="L114" s="24">
        <f t="shared" si="50"/>
        <v>0</v>
      </c>
      <c r="M114" s="25"/>
      <c r="N114" s="2">
        <f>ROUND(5500,2)</f>
        <v>5500</v>
      </c>
      <c r="O114" s="2">
        <f t="shared" si="49"/>
        <v>0</v>
      </c>
      <c r="P114" s="2">
        <f t="shared" si="46"/>
        <v>0</v>
      </c>
      <c r="Q114" s="24">
        <f t="shared" si="51"/>
        <v>0</v>
      </c>
      <c r="R114" s="25"/>
      <c r="S114" s="24">
        <f>ROUND(5500,2)</f>
        <v>5500</v>
      </c>
      <c r="T114" s="25"/>
      <c r="U114" s="26"/>
    </row>
    <row r="115" spans="1:21">
      <c r="A115" s="22" t="s">
        <v>215</v>
      </c>
      <c r="B115" s="23"/>
      <c r="C115" s="22" t="s">
        <v>216</v>
      </c>
      <c r="D115" s="23"/>
      <c r="E115" s="23"/>
      <c r="F115" s="23"/>
      <c r="G115" s="23"/>
      <c r="H115" s="2">
        <f t="shared" si="47"/>
        <v>0</v>
      </c>
      <c r="I115" s="2">
        <f t="shared" si="48"/>
        <v>0</v>
      </c>
      <c r="J115" s="2">
        <f t="shared" si="48"/>
        <v>0</v>
      </c>
      <c r="K115" s="2">
        <f t="shared" si="45"/>
        <v>0</v>
      </c>
      <c r="L115" s="24">
        <f t="shared" si="50"/>
        <v>0</v>
      </c>
      <c r="M115" s="25"/>
      <c r="N115" s="2">
        <f>ROUND(12000,2)</f>
        <v>12000</v>
      </c>
      <c r="O115" s="2">
        <f t="shared" si="49"/>
        <v>0</v>
      </c>
      <c r="P115" s="2">
        <f t="shared" si="46"/>
        <v>0</v>
      </c>
      <c r="Q115" s="24">
        <f t="shared" si="51"/>
        <v>0</v>
      </c>
      <c r="R115" s="25"/>
      <c r="S115" s="24">
        <f>ROUND(12000,2)</f>
        <v>12000</v>
      </c>
      <c r="T115" s="25"/>
      <c r="U115" s="26"/>
    </row>
    <row r="116" spans="1:21">
      <c r="A116" s="22" t="s">
        <v>215</v>
      </c>
      <c r="B116" s="23"/>
      <c r="C116" s="22" t="s">
        <v>216</v>
      </c>
      <c r="D116" s="23"/>
      <c r="E116" s="23"/>
      <c r="F116" s="23"/>
      <c r="G116" s="23"/>
      <c r="H116" s="2">
        <f t="shared" si="47"/>
        <v>0</v>
      </c>
      <c r="I116" s="2">
        <f t="shared" si="48"/>
        <v>0</v>
      </c>
      <c r="J116" s="2">
        <f t="shared" si="48"/>
        <v>0</v>
      </c>
      <c r="K116" s="2">
        <f t="shared" ref="K116:K131" si="52">ROUND(0,2)</f>
        <v>0</v>
      </c>
      <c r="L116" s="24">
        <f t="shared" si="50"/>
        <v>0</v>
      </c>
      <c r="M116" s="25"/>
      <c r="N116" s="2">
        <f>ROUND(96100,2)</f>
        <v>96100</v>
      </c>
      <c r="O116" s="2">
        <f t="shared" si="49"/>
        <v>0</v>
      </c>
      <c r="P116" s="2">
        <f t="shared" si="46"/>
        <v>0</v>
      </c>
      <c r="Q116" s="24">
        <f t="shared" si="51"/>
        <v>0</v>
      </c>
      <c r="R116" s="25"/>
      <c r="S116" s="24">
        <f>ROUND(96100,2)</f>
        <v>96100</v>
      </c>
      <c r="T116" s="25"/>
      <c r="U116" s="26"/>
    </row>
    <row r="117" spans="1:21">
      <c r="A117" s="22" t="s">
        <v>217</v>
      </c>
      <c r="B117" s="23"/>
      <c r="C117" s="22" t="s">
        <v>218</v>
      </c>
      <c r="D117" s="23"/>
      <c r="E117" s="23"/>
      <c r="F117" s="23"/>
      <c r="G117" s="23"/>
      <c r="H117" s="2">
        <f t="shared" si="47"/>
        <v>0</v>
      </c>
      <c r="I117" s="2">
        <f t="shared" si="48"/>
        <v>0</v>
      </c>
      <c r="J117" s="2">
        <f t="shared" si="48"/>
        <v>0</v>
      </c>
      <c r="K117" s="2">
        <f t="shared" si="52"/>
        <v>0</v>
      </c>
      <c r="L117" s="24">
        <f t="shared" si="50"/>
        <v>0</v>
      </c>
      <c r="M117" s="25"/>
      <c r="N117" s="2">
        <f>ROUND(10500,2)</f>
        <v>10500</v>
      </c>
      <c r="O117" s="2">
        <f t="shared" si="49"/>
        <v>0</v>
      </c>
      <c r="P117" s="2">
        <f t="shared" si="46"/>
        <v>0</v>
      </c>
      <c r="Q117" s="24">
        <f t="shared" si="51"/>
        <v>0</v>
      </c>
      <c r="R117" s="25"/>
      <c r="S117" s="24">
        <f>ROUND(10500,2)</f>
        <v>10500</v>
      </c>
      <c r="T117" s="25"/>
      <c r="U117" s="26"/>
    </row>
    <row r="118" spans="1:21">
      <c r="A118" s="22" t="s">
        <v>219</v>
      </c>
      <c r="B118" s="23"/>
      <c r="C118" s="22" t="s">
        <v>220</v>
      </c>
      <c r="D118" s="23"/>
      <c r="E118" s="23"/>
      <c r="F118" s="23"/>
      <c r="G118" s="23"/>
      <c r="H118" s="2">
        <f t="shared" si="47"/>
        <v>0</v>
      </c>
      <c r="I118" s="2">
        <f t="shared" si="48"/>
        <v>0</v>
      </c>
      <c r="J118" s="2">
        <f t="shared" si="48"/>
        <v>0</v>
      </c>
      <c r="K118" s="2">
        <f t="shared" si="52"/>
        <v>0</v>
      </c>
      <c r="L118" s="24">
        <f t="shared" si="50"/>
        <v>0</v>
      </c>
      <c r="M118" s="25"/>
      <c r="N118" s="2">
        <f>ROUND(1000,2)</f>
        <v>1000</v>
      </c>
      <c r="O118" s="2">
        <f t="shared" si="49"/>
        <v>0</v>
      </c>
      <c r="P118" s="2">
        <f t="shared" ref="P118:P133" si="53">ROUND(0,2)</f>
        <v>0</v>
      </c>
      <c r="Q118" s="24">
        <f t="shared" si="51"/>
        <v>0</v>
      </c>
      <c r="R118" s="25"/>
      <c r="S118" s="24">
        <f>ROUND(1000,2)</f>
        <v>1000</v>
      </c>
      <c r="T118" s="25"/>
      <c r="U118" s="26"/>
    </row>
    <row r="119" spans="1:21">
      <c r="A119" s="22" t="s">
        <v>221</v>
      </c>
      <c r="B119" s="23"/>
      <c r="C119" s="22" t="s">
        <v>222</v>
      </c>
      <c r="D119" s="23"/>
      <c r="E119" s="23"/>
      <c r="F119" s="23"/>
      <c r="G119" s="23"/>
      <c r="H119" s="2">
        <f t="shared" ref="H119:H133" si="54">ROUND(0,2)</f>
        <v>0</v>
      </c>
      <c r="I119" s="2">
        <f t="shared" si="48"/>
        <v>0</v>
      </c>
      <c r="J119" s="2">
        <f t="shared" si="48"/>
        <v>0</v>
      </c>
      <c r="K119" s="2">
        <f t="shared" si="52"/>
        <v>0</v>
      </c>
      <c r="L119" s="24">
        <f t="shared" si="50"/>
        <v>0</v>
      </c>
      <c r="M119" s="25"/>
      <c r="N119" s="2">
        <f>ROUND(50000,2)</f>
        <v>50000</v>
      </c>
      <c r="O119" s="2">
        <f t="shared" si="49"/>
        <v>0</v>
      </c>
      <c r="P119" s="2">
        <f t="shared" si="53"/>
        <v>0</v>
      </c>
      <c r="Q119" s="24">
        <f t="shared" si="51"/>
        <v>0</v>
      </c>
      <c r="R119" s="25"/>
      <c r="S119" s="24">
        <f>ROUND(50000,2)</f>
        <v>50000</v>
      </c>
      <c r="T119" s="25"/>
      <c r="U119" s="26"/>
    </row>
    <row r="120" spans="1:21">
      <c r="A120" s="22" t="s">
        <v>223</v>
      </c>
      <c r="B120" s="23"/>
      <c r="C120" s="22" t="s">
        <v>224</v>
      </c>
      <c r="D120" s="23"/>
      <c r="E120" s="23"/>
      <c r="F120" s="23"/>
      <c r="G120" s="23"/>
      <c r="H120" s="2">
        <f t="shared" si="54"/>
        <v>0</v>
      </c>
      <c r="I120" s="2">
        <f t="shared" ref="I120:J135" si="55">ROUND(0,2)</f>
        <v>0</v>
      </c>
      <c r="J120" s="2">
        <f t="shared" si="55"/>
        <v>0</v>
      </c>
      <c r="K120" s="2">
        <f t="shared" si="52"/>
        <v>0</v>
      </c>
      <c r="L120" s="24">
        <f t="shared" si="50"/>
        <v>0</v>
      </c>
      <c r="M120" s="25"/>
      <c r="N120" s="2">
        <f>ROUND(18361.3,2)</f>
        <v>18361.3</v>
      </c>
      <c r="O120" s="2">
        <f t="shared" ref="O120:O135" si="56">ROUND(0,2)</f>
        <v>0</v>
      </c>
      <c r="P120" s="2">
        <f t="shared" si="53"/>
        <v>0</v>
      </c>
      <c r="Q120" s="24">
        <f t="shared" si="51"/>
        <v>0</v>
      </c>
      <c r="R120" s="25"/>
      <c r="S120" s="24">
        <f>ROUND(18361.3,2)</f>
        <v>18361.3</v>
      </c>
      <c r="T120" s="25"/>
      <c r="U120" s="26"/>
    </row>
    <row r="121" spans="1:21">
      <c r="A121" s="22" t="s">
        <v>225</v>
      </c>
      <c r="B121" s="23"/>
      <c r="C121" s="22" t="s">
        <v>226</v>
      </c>
      <c r="D121" s="23"/>
      <c r="E121" s="23"/>
      <c r="F121" s="23"/>
      <c r="G121" s="23"/>
      <c r="H121" s="2">
        <f t="shared" si="54"/>
        <v>0</v>
      </c>
      <c r="I121" s="2">
        <f t="shared" si="55"/>
        <v>0</v>
      </c>
      <c r="J121" s="2">
        <f t="shared" si="55"/>
        <v>0</v>
      </c>
      <c r="K121" s="2">
        <f t="shared" si="52"/>
        <v>0</v>
      </c>
      <c r="L121" s="24">
        <f t="shared" ref="L121:L134" si="57">ROUND(0,2)</f>
        <v>0</v>
      </c>
      <c r="M121" s="25"/>
      <c r="N121" s="2">
        <f>ROUND(100,2)</f>
        <v>100</v>
      </c>
      <c r="O121" s="2">
        <f t="shared" si="56"/>
        <v>0</v>
      </c>
      <c r="P121" s="2">
        <f t="shared" si="53"/>
        <v>0</v>
      </c>
      <c r="Q121" s="24">
        <f t="shared" si="51"/>
        <v>0</v>
      </c>
      <c r="R121" s="25"/>
      <c r="S121" s="24">
        <f>ROUND(100,2)</f>
        <v>100</v>
      </c>
      <c r="T121" s="25"/>
      <c r="U121" s="26"/>
    </row>
    <row r="122" spans="1:21">
      <c r="A122" s="22" t="s">
        <v>227</v>
      </c>
      <c r="B122" s="23"/>
      <c r="C122" s="22" t="s">
        <v>228</v>
      </c>
      <c r="D122" s="23"/>
      <c r="E122" s="23"/>
      <c r="F122" s="23"/>
      <c r="G122" s="23"/>
      <c r="H122" s="2">
        <f t="shared" si="54"/>
        <v>0</v>
      </c>
      <c r="I122" s="2">
        <f t="shared" si="55"/>
        <v>0</v>
      </c>
      <c r="J122" s="2">
        <f t="shared" si="55"/>
        <v>0</v>
      </c>
      <c r="K122" s="2">
        <f t="shared" si="52"/>
        <v>0</v>
      </c>
      <c r="L122" s="24">
        <f t="shared" si="57"/>
        <v>0</v>
      </c>
      <c r="M122" s="25"/>
      <c r="N122" s="2">
        <f>ROUND(845,2)</f>
        <v>845</v>
      </c>
      <c r="O122" s="2">
        <f t="shared" si="56"/>
        <v>0</v>
      </c>
      <c r="P122" s="2">
        <f t="shared" si="53"/>
        <v>0</v>
      </c>
      <c r="Q122" s="24">
        <f t="shared" si="51"/>
        <v>0</v>
      </c>
      <c r="R122" s="25"/>
      <c r="S122" s="24">
        <f>ROUND(845,2)</f>
        <v>845</v>
      </c>
      <c r="T122" s="25"/>
      <c r="U122" s="26"/>
    </row>
    <row r="123" spans="1:21">
      <c r="A123" s="22" t="s">
        <v>229</v>
      </c>
      <c r="B123" s="23"/>
      <c r="C123" s="22" t="s">
        <v>230</v>
      </c>
      <c r="D123" s="23"/>
      <c r="E123" s="23"/>
      <c r="F123" s="23"/>
      <c r="G123" s="23"/>
      <c r="H123" s="2">
        <f t="shared" si="54"/>
        <v>0</v>
      </c>
      <c r="I123" s="2">
        <f t="shared" si="55"/>
        <v>0</v>
      </c>
      <c r="J123" s="2">
        <f t="shared" si="55"/>
        <v>0</v>
      </c>
      <c r="K123" s="2">
        <f t="shared" si="52"/>
        <v>0</v>
      </c>
      <c r="L123" s="24">
        <f t="shared" si="57"/>
        <v>0</v>
      </c>
      <c r="M123" s="25"/>
      <c r="N123" s="2">
        <f>ROUND(7549.67,2)</f>
        <v>7549.67</v>
      </c>
      <c r="O123" s="2">
        <f t="shared" si="56"/>
        <v>0</v>
      </c>
      <c r="P123" s="2">
        <f t="shared" si="53"/>
        <v>0</v>
      </c>
      <c r="Q123" s="24">
        <f t="shared" si="51"/>
        <v>0</v>
      </c>
      <c r="R123" s="25"/>
      <c r="S123" s="24">
        <f>ROUND(7549.67,2)</f>
        <v>7549.67</v>
      </c>
      <c r="T123" s="25"/>
      <c r="U123" s="26"/>
    </row>
    <row r="124" spans="1:21">
      <c r="A124" s="22" t="s">
        <v>231</v>
      </c>
      <c r="B124" s="23"/>
      <c r="C124" s="22" t="s">
        <v>232</v>
      </c>
      <c r="D124" s="23"/>
      <c r="E124" s="23"/>
      <c r="F124" s="23"/>
      <c r="G124" s="23"/>
      <c r="H124" s="2">
        <f t="shared" si="54"/>
        <v>0</v>
      </c>
      <c r="I124" s="2">
        <f t="shared" si="55"/>
        <v>0</v>
      </c>
      <c r="J124" s="2">
        <f t="shared" si="55"/>
        <v>0</v>
      </c>
      <c r="K124" s="2">
        <f t="shared" si="52"/>
        <v>0</v>
      </c>
      <c r="L124" s="24">
        <f t="shared" si="57"/>
        <v>0</v>
      </c>
      <c r="M124" s="25"/>
      <c r="N124" s="2">
        <f>ROUND(24263.36,2)</f>
        <v>24263.360000000001</v>
      </c>
      <c r="O124" s="2">
        <f t="shared" si="56"/>
        <v>0</v>
      </c>
      <c r="P124" s="2">
        <f t="shared" si="53"/>
        <v>0</v>
      </c>
      <c r="Q124" s="24">
        <f t="shared" si="51"/>
        <v>0</v>
      </c>
      <c r="R124" s="25"/>
      <c r="S124" s="24">
        <f>ROUND(24263.36,2)</f>
        <v>24263.360000000001</v>
      </c>
      <c r="T124" s="25"/>
      <c r="U124" s="26"/>
    </row>
    <row r="125" spans="1:21">
      <c r="A125" s="22" t="s">
        <v>233</v>
      </c>
      <c r="B125" s="23"/>
      <c r="C125" s="22" t="s">
        <v>234</v>
      </c>
      <c r="D125" s="23"/>
      <c r="E125" s="23"/>
      <c r="F125" s="23"/>
      <c r="G125" s="23"/>
      <c r="H125" s="2">
        <f t="shared" si="54"/>
        <v>0</v>
      </c>
      <c r="I125" s="2">
        <f t="shared" si="55"/>
        <v>0</v>
      </c>
      <c r="J125" s="2">
        <f t="shared" si="55"/>
        <v>0</v>
      </c>
      <c r="K125" s="2">
        <f t="shared" si="52"/>
        <v>0</v>
      </c>
      <c r="L125" s="24">
        <f t="shared" si="57"/>
        <v>0</v>
      </c>
      <c r="M125" s="25"/>
      <c r="N125" s="2">
        <f>ROUND(24000,2)</f>
        <v>24000</v>
      </c>
      <c r="O125" s="2">
        <f t="shared" si="56"/>
        <v>0</v>
      </c>
      <c r="P125" s="2">
        <f t="shared" si="53"/>
        <v>0</v>
      </c>
      <c r="Q125" s="24">
        <f t="shared" si="51"/>
        <v>0</v>
      </c>
      <c r="R125" s="25"/>
      <c r="S125" s="24">
        <f>ROUND(24000,2)</f>
        <v>24000</v>
      </c>
      <c r="T125" s="25"/>
      <c r="U125" s="26"/>
    </row>
    <row r="126" spans="1:21">
      <c r="A126" s="22" t="s">
        <v>235</v>
      </c>
      <c r="B126" s="23"/>
      <c r="C126" s="22" t="s">
        <v>236</v>
      </c>
      <c r="D126" s="23"/>
      <c r="E126" s="23"/>
      <c r="F126" s="23"/>
      <c r="G126" s="23"/>
      <c r="H126" s="2">
        <f t="shared" si="54"/>
        <v>0</v>
      </c>
      <c r="I126" s="2">
        <f t="shared" si="55"/>
        <v>0</v>
      </c>
      <c r="J126" s="2">
        <f t="shared" si="55"/>
        <v>0</v>
      </c>
      <c r="K126" s="2">
        <f t="shared" si="52"/>
        <v>0</v>
      </c>
      <c r="L126" s="24">
        <f t="shared" si="57"/>
        <v>0</v>
      </c>
      <c r="M126" s="25"/>
      <c r="N126" s="2">
        <f>ROUND(10000,2)</f>
        <v>10000</v>
      </c>
      <c r="O126" s="2">
        <f t="shared" si="56"/>
        <v>0</v>
      </c>
      <c r="P126" s="2">
        <f t="shared" si="53"/>
        <v>0</v>
      </c>
      <c r="Q126" s="24">
        <f t="shared" si="51"/>
        <v>0</v>
      </c>
      <c r="R126" s="25"/>
      <c r="S126" s="24">
        <f>ROUND(10000,2)</f>
        <v>10000</v>
      </c>
      <c r="T126" s="25"/>
      <c r="U126" s="26"/>
    </row>
    <row r="127" spans="1:21">
      <c r="A127" s="22" t="s">
        <v>237</v>
      </c>
      <c r="B127" s="23"/>
      <c r="C127" s="22" t="s">
        <v>238</v>
      </c>
      <c r="D127" s="23"/>
      <c r="E127" s="23"/>
      <c r="F127" s="23"/>
      <c r="G127" s="23"/>
      <c r="H127" s="2">
        <f t="shared" si="54"/>
        <v>0</v>
      </c>
      <c r="I127" s="2">
        <f t="shared" si="55"/>
        <v>0</v>
      </c>
      <c r="J127" s="2">
        <f t="shared" si="55"/>
        <v>0</v>
      </c>
      <c r="K127" s="2">
        <f t="shared" si="52"/>
        <v>0</v>
      </c>
      <c r="L127" s="24">
        <f t="shared" si="57"/>
        <v>0</v>
      </c>
      <c r="M127" s="25"/>
      <c r="N127" s="2">
        <f>ROUND(282582.8,2)</f>
        <v>282582.8</v>
      </c>
      <c r="O127" s="2">
        <f t="shared" si="56"/>
        <v>0</v>
      </c>
      <c r="P127" s="2">
        <f t="shared" si="53"/>
        <v>0</v>
      </c>
      <c r="Q127" s="24">
        <f t="shared" ref="Q127:Q142" si="58">ROUND(0,2)</f>
        <v>0</v>
      </c>
      <c r="R127" s="25"/>
      <c r="S127" s="24">
        <f>ROUND(282582.8,2)</f>
        <v>282582.8</v>
      </c>
      <c r="T127" s="25"/>
      <c r="U127" s="26"/>
    </row>
    <row r="128" spans="1:21">
      <c r="A128" s="22" t="s">
        <v>239</v>
      </c>
      <c r="B128" s="23"/>
      <c r="C128" s="22" t="s">
        <v>240</v>
      </c>
      <c r="D128" s="23"/>
      <c r="E128" s="23"/>
      <c r="F128" s="23"/>
      <c r="G128" s="23"/>
      <c r="H128" s="2">
        <f t="shared" si="54"/>
        <v>0</v>
      </c>
      <c r="I128" s="2">
        <f t="shared" si="55"/>
        <v>0</v>
      </c>
      <c r="J128" s="2">
        <f t="shared" si="55"/>
        <v>0</v>
      </c>
      <c r="K128" s="2">
        <f t="shared" si="52"/>
        <v>0</v>
      </c>
      <c r="L128" s="24">
        <f t="shared" si="57"/>
        <v>0</v>
      </c>
      <c r="M128" s="25"/>
      <c r="N128" s="2">
        <f>ROUND(175.35,2)</f>
        <v>175.35</v>
      </c>
      <c r="O128" s="2">
        <f t="shared" si="56"/>
        <v>0</v>
      </c>
      <c r="P128" s="2">
        <f t="shared" si="53"/>
        <v>0</v>
      </c>
      <c r="Q128" s="24">
        <f t="shared" si="58"/>
        <v>0</v>
      </c>
      <c r="R128" s="25"/>
      <c r="S128" s="24">
        <f>ROUND(175.35,2)</f>
        <v>175.35</v>
      </c>
      <c r="T128" s="25"/>
      <c r="U128" s="26"/>
    </row>
    <row r="129" spans="1:21">
      <c r="A129" s="22" t="s">
        <v>241</v>
      </c>
      <c r="B129" s="23"/>
      <c r="C129" s="22" t="s">
        <v>242</v>
      </c>
      <c r="D129" s="23"/>
      <c r="E129" s="23"/>
      <c r="F129" s="23"/>
      <c r="G129" s="23"/>
      <c r="H129" s="2">
        <f t="shared" si="54"/>
        <v>0</v>
      </c>
      <c r="I129" s="2">
        <f t="shared" si="55"/>
        <v>0</v>
      </c>
      <c r="J129" s="2">
        <f t="shared" si="55"/>
        <v>0</v>
      </c>
      <c r="K129" s="2">
        <f t="shared" si="52"/>
        <v>0</v>
      </c>
      <c r="L129" s="24">
        <f t="shared" si="57"/>
        <v>0</v>
      </c>
      <c r="M129" s="25"/>
      <c r="N129" s="2">
        <f>ROUND(12659.64,2)</f>
        <v>12659.64</v>
      </c>
      <c r="O129" s="2">
        <f t="shared" si="56"/>
        <v>0</v>
      </c>
      <c r="P129" s="2">
        <f t="shared" si="53"/>
        <v>0</v>
      </c>
      <c r="Q129" s="24">
        <f t="shared" si="58"/>
        <v>0</v>
      </c>
      <c r="R129" s="25"/>
      <c r="S129" s="24">
        <f>ROUND(12659.64,2)</f>
        <v>12659.64</v>
      </c>
      <c r="T129" s="25"/>
      <c r="U129" s="26"/>
    </row>
    <row r="130" spans="1:21">
      <c r="A130" s="22" t="s">
        <v>243</v>
      </c>
      <c r="B130" s="23"/>
      <c r="C130" s="22" t="s">
        <v>244</v>
      </c>
      <c r="D130" s="23"/>
      <c r="E130" s="23"/>
      <c r="F130" s="23"/>
      <c r="G130" s="23"/>
      <c r="H130" s="2">
        <f t="shared" si="54"/>
        <v>0</v>
      </c>
      <c r="I130" s="2">
        <f t="shared" si="55"/>
        <v>0</v>
      </c>
      <c r="J130" s="2">
        <f t="shared" si="55"/>
        <v>0</v>
      </c>
      <c r="K130" s="2">
        <f t="shared" si="52"/>
        <v>0</v>
      </c>
      <c r="L130" s="24">
        <f t="shared" si="57"/>
        <v>0</v>
      </c>
      <c r="M130" s="25"/>
      <c r="N130" s="2">
        <f>ROUND(19565.86,2)</f>
        <v>19565.86</v>
      </c>
      <c r="O130" s="2">
        <f t="shared" si="56"/>
        <v>0</v>
      </c>
      <c r="P130" s="2">
        <f t="shared" si="53"/>
        <v>0</v>
      </c>
      <c r="Q130" s="24">
        <f t="shared" si="58"/>
        <v>0</v>
      </c>
      <c r="R130" s="25"/>
      <c r="S130" s="24">
        <f>ROUND(19565.86,2)</f>
        <v>19565.86</v>
      </c>
      <c r="T130" s="25"/>
      <c r="U130" s="26"/>
    </row>
    <row r="131" spans="1:21">
      <c r="A131" s="22" t="s">
        <v>245</v>
      </c>
      <c r="B131" s="23"/>
      <c r="C131" s="22" t="s">
        <v>246</v>
      </c>
      <c r="D131" s="23"/>
      <c r="E131" s="23"/>
      <c r="F131" s="23"/>
      <c r="G131" s="23"/>
      <c r="H131" s="2">
        <f t="shared" si="54"/>
        <v>0</v>
      </c>
      <c r="I131" s="2">
        <f t="shared" si="55"/>
        <v>0</v>
      </c>
      <c r="J131" s="2">
        <f t="shared" si="55"/>
        <v>0</v>
      </c>
      <c r="K131" s="2">
        <f t="shared" si="52"/>
        <v>0</v>
      </c>
      <c r="L131" s="24">
        <f t="shared" si="57"/>
        <v>0</v>
      </c>
      <c r="M131" s="25"/>
      <c r="N131" s="2">
        <f>ROUND(110900,2)</f>
        <v>110900</v>
      </c>
      <c r="O131" s="2">
        <f t="shared" si="56"/>
        <v>0</v>
      </c>
      <c r="P131" s="2">
        <f t="shared" si="53"/>
        <v>0</v>
      </c>
      <c r="Q131" s="24">
        <f t="shared" si="58"/>
        <v>0</v>
      </c>
      <c r="R131" s="25"/>
      <c r="S131" s="24">
        <f>ROUND(110900,2)</f>
        <v>110900</v>
      </c>
      <c r="T131" s="25"/>
      <c r="U131" s="26"/>
    </row>
    <row r="132" spans="1:21">
      <c r="A132" s="22" t="s">
        <v>247</v>
      </c>
      <c r="B132" s="23"/>
      <c r="C132" s="22" t="s">
        <v>248</v>
      </c>
      <c r="D132" s="23"/>
      <c r="E132" s="23"/>
      <c r="F132" s="23"/>
      <c r="G132" s="23"/>
      <c r="H132" s="2">
        <f t="shared" si="54"/>
        <v>0</v>
      </c>
      <c r="I132" s="2">
        <f t="shared" si="55"/>
        <v>0</v>
      </c>
      <c r="J132" s="2">
        <f t="shared" si="55"/>
        <v>0</v>
      </c>
      <c r="K132" s="2">
        <f t="shared" ref="K132:K137" si="59">ROUND(0,2)</f>
        <v>0</v>
      </c>
      <c r="L132" s="24">
        <f t="shared" si="57"/>
        <v>0</v>
      </c>
      <c r="M132" s="25"/>
      <c r="N132" s="2">
        <f>ROUND(3000,2)</f>
        <v>3000</v>
      </c>
      <c r="O132" s="2">
        <f t="shared" si="56"/>
        <v>0</v>
      </c>
      <c r="P132" s="2">
        <f t="shared" si="53"/>
        <v>0</v>
      </c>
      <c r="Q132" s="24">
        <f t="shared" si="58"/>
        <v>0</v>
      </c>
      <c r="R132" s="25"/>
      <c r="S132" s="24">
        <f>ROUND(3000,2)</f>
        <v>3000</v>
      </c>
      <c r="T132" s="25"/>
      <c r="U132" s="26"/>
    </row>
    <row r="133" spans="1:21">
      <c r="A133" s="22" t="s">
        <v>249</v>
      </c>
      <c r="B133" s="23"/>
      <c r="C133" s="22" t="s">
        <v>250</v>
      </c>
      <c r="D133" s="23"/>
      <c r="E133" s="23"/>
      <c r="F133" s="23"/>
      <c r="G133" s="23"/>
      <c r="H133" s="2">
        <f t="shared" si="54"/>
        <v>0</v>
      </c>
      <c r="I133" s="2">
        <f t="shared" si="55"/>
        <v>0</v>
      </c>
      <c r="J133" s="2">
        <f t="shared" si="55"/>
        <v>0</v>
      </c>
      <c r="K133" s="2">
        <f t="shared" si="59"/>
        <v>0</v>
      </c>
      <c r="L133" s="24">
        <f t="shared" si="57"/>
        <v>0</v>
      </c>
      <c r="M133" s="25"/>
      <c r="N133" s="2">
        <f>ROUND(55000,2)</f>
        <v>55000</v>
      </c>
      <c r="O133" s="2">
        <f t="shared" si="56"/>
        <v>0</v>
      </c>
      <c r="P133" s="2">
        <f t="shared" si="53"/>
        <v>0</v>
      </c>
      <c r="Q133" s="24">
        <f t="shared" si="58"/>
        <v>0</v>
      </c>
      <c r="R133" s="25"/>
      <c r="S133" s="24">
        <f>ROUND(55000,2)</f>
        <v>55000</v>
      </c>
      <c r="T133" s="25"/>
      <c r="U133" s="26"/>
    </row>
    <row r="134" spans="1:21">
      <c r="A134" s="22" t="s">
        <v>251</v>
      </c>
      <c r="B134" s="23"/>
      <c r="C134" s="22" t="s">
        <v>252</v>
      </c>
      <c r="D134" s="23"/>
      <c r="E134" s="23"/>
      <c r="F134" s="23"/>
      <c r="G134" s="23"/>
      <c r="H134" s="2">
        <f>ROUND(1905149,2)</f>
        <v>1905149</v>
      </c>
      <c r="I134" s="2">
        <f t="shared" si="55"/>
        <v>0</v>
      </c>
      <c r="J134" s="2">
        <f t="shared" si="55"/>
        <v>0</v>
      </c>
      <c r="K134" s="2">
        <f t="shared" si="59"/>
        <v>0</v>
      </c>
      <c r="L134" s="24">
        <f t="shared" si="57"/>
        <v>0</v>
      </c>
      <c r="M134" s="25"/>
      <c r="N134" s="2">
        <f>ROUND(0,2)</f>
        <v>0</v>
      </c>
      <c r="O134" s="2">
        <f t="shared" si="56"/>
        <v>0</v>
      </c>
      <c r="P134" s="2">
        <f t="shared" ref="P134:P149" si="60">ROUND(0,2)</f>
        <v>0</v>
      </c>
      <c r="Q134" s="24">
        <f t="shared" si="58"/>
        <v>0</v>
      </c>
      <c r="R134" s="25"/>
      <c r="S134" s="24">
        <f>ROUND(1905149,2)</f>
        <v>1905149</v>
      </c>
      <c r="T134" s="25"/>
      <c r="U134" s="26"/>
    </row>
    <row r="135" spans="1:21">
      <c r="A135" s="22" t="s">
        <v>253</v>
      </c>
      <c r="B135" s="23"/>
      <c r="C135" s="22" t="s">
        <v>254</v>
      </c>
      <c r="D135" s="23"/>
      <c r="E135" s="23"/>
      <c r="F135" s="23"/>
      <c r="G135" s="23"/>
      <c r="H135" s="2">
        <f t="shared" ref="H135:H150" si="61">ROUND(0,2)</f>
        <v>0</v>
      </c>
      <c r="I135" s="2">
        <f t="shared" si="55"/>
        <v>0</v>
      </c>
      <c r="J135" s="2">
        <f t="shared" si="55"/>
        <v>0</v>
      </c>
      <c r="K135" s="2">
        <f t="shared" si="59"/>
        <v>0</v>
      </c>
      <c r="L135" s="24">
        <f>ROUND(17000,2)</f>
        <v>17000</v>
      </c>
      <c r="M135" s="25"/>
      <c r="N135" s="2">
        <f>ROUND(0,2)</f>
        <v>0</v>
      </c>
      <c r="O135" s="2">
        <f t="shared" si="56"/>
        <v>0</v>
      </c>
      <c r="P135" s="2">
        <f t="shared" si="60"/>
        <v>0</v>
      </c>
      <c r="Q135" s="24">
        <f t="shared" si="58"/>
        <v>0</v>
      </c>
      <c r="R135" s="25"/>
      <c r="S135" s="24">
        <f>ROUND(-17000,2)</f>
        <v>-17000</v>
      </c>
      <c r="T135" s="25"/>
      <c r="U135" s="26"/>
    </row>
    <row r="136" spans="1:21">
      <c r="A136" s="22" t="s">
        <v>255</v>
      </c>
      <c r="B136" s="23"/>
      <c r="C136" s="22" t="s">
        <v>256</v>
      </c>
      <c r="D136" s="23"/>
      <c r="E136" s="23"/>
      <c r="F136" s="23"/>
      <c r="G136" s="23"/>
      <c r="H136" s="2">
        <f t="shared" si="61"/>
        <v>0</v>
      </c>
      <c r="I136" s="2">
        <f>ROUND(0,2)</f>
        <v>0</v>
      </c>
      <c r="J136" s="2">
        <f>ROUND(0,2)</f>
        <v>0</v>
      </c>
      <c r="K136" s="2">
        <f t="shared" si="59"/>
        <v>0</v>
      </c>
      <c r="L136" s="24">
        <f>ROUND(48000,2)</f>
        <v>48000</v>
      </c>
      <c r="M136" s="25"/>
      <c r="N136" s="2">
        <f>ROUND(0,2)</f>
        <v>0</v>
      </c>
      <c r="O136" s="2">
        <f t="shared" ref="O136:O143" si="62">ROUND(0,2)</f>
        <v>0</v>
      </c>
      <c r="P136" s="2">
        <f t="shared" si="60"/>
        <v>0</v>
      </c>
      <c r="Q136" s="24">
        <f t="shared" si="58"/>
        <v>0</v>
      </c>
      <c r="R136" s="25"/>
      <c r="S136" s="24">
        <f>ROUND(-48000,2)</f>
        <v>-48000</v>
      </c>
      <c r="T136" s="25"/>
      <c r="U136" s="26"/>
    </row>
    <row r="137" spans="1:21">
      <c r="A137" s="22" t="s">
        <v>257</v>
      </c>
      <c r="B137" s="23"/>
      <c r="C137" s="22" t="s">
        <v>258</v>
      </c>
      <c r="D137" s="23"/>
      <c r="E137" s="23"/>
      <c r="F137" s="23"/>
      <c r="G137" s="23"/>
      <c r="H137" s="2">
        <f t="shared" si="61"/>
        <v>0</v>
      </c>
      <c r="I137" s="2">
        <f>ROUND(0,2)</f>
        <v>0</v>
      </c>
      <c r="J137" s="2">
        <f>ROUND(0,2)</f>
        <v>0</v>
      </c>
      <c r="K137" s="2">
        <f t="shared" si="59"/>
        <v>0</v>
      </c>
      <c r="L137" s="24">
        <f t="shared" ref="L137:L150" si="63">ROUND(0,2)</f>
        <v>0</v>
      </c>
      <c r="M137" s="25"/>
      <c r="N137" s="2">
        <f>ROUND(30000,2)</f>
        <v>30000</v>
      </c>
      <c r="O137" s="2">
        <f t="shared" si="62"/>
        <v>0</v>
      </c>
      <c r="P137" s="2">
        <f t="shared" si="60"/>
        <v>0</v>
      </c>
      <c r="Q137" s="24">
        <f t="shared" si="58"/>
        <v>0</v>
      </c>
      <c r="R137" s="25"/>
      <c r="S137" s="24">
        <f>ROUND(30000,2)</f>
        <v>30000</v>
      </c>
      <c r="T137" s="25"/>
      <c r="U137" s="26"/>
    </row>
    <row r="138" spans="1:21">
      <c r="A138" s="22" t="s">
        <v>259</v>
      </c>
      <c r="B138" s="23"/>
      <c r="C138" s="22" t="s">
        <v>260</v>
      </c>
      <c r="D138" s="23"/>
      <c r="E138" s="23"/>
      <c r="F138" s="23"/>
      <c r="G138" s="23"/>
      <c r="H138" s="2">
        <f t="shared" si="61"/>
        <v>0</v>
      </c>
      <c r="I138" s="2">
        <f t="shared" ref="I138:J141" si="64">ROUND(0,2)</f>
        <v>0</v>
      </c>
      <c r="J138" s="2">
        <f t="shared" si="64"/>
        <v>0</v>
      </c>
      <c r="K138" s="2">
        <f>ROUND(6840.6,2)</f>
        <v>6840.6</v>
      </c>
      <c r="L138" s="24">
        <f t="shared" si="63"/>
        <v>0</v>
      </c>
      <c r="M138" s="25"/>
      <c r="N138" s="2">
        <f>ROUND(0,2)</f>
        <v>0</v>
      </c>
      <c r="O138" s="2">
        <f t="shared" si="62"/>
        <v>0</v>
      </c>
      <c r="P138" s="2">
        <f t="shared" si="60"/>
        <v>0</v>
      </c>
      <c r="Q138" s="24">
        <f t="shared" si="58"/>
        <v>0</v>
      </c>
      <c r="R138" s="25"/>
      <c r="S138" s="24">
        <f>ROUND(6840.6,2)</f>
        <v>6840.6</v>
      </c>
      <c r="T138" s="25"/>
      <c r="U138" s="26"/>
    </row>
    <row r="139" spans="1:21">
      <c r="A139" s="22" t="s">
        <v>261</v>
      </c>
      <c r="B139" s="23"/>
      <c r="C139" s="22" t="s">
        <v>262</v>
      </c>
      <c r="D139" s="23"/>
      <c r="E139" s="23"/>
      <c r="F139" s="23"/>
      <c r="G139" s="23"/>
      <c r="H139" s="2">
        <f t="shared" si="61"/>
        <v>0</v>
      </c>
      <c r="I139" s="2">
        <f t="shared" si="64"/>
        <v>0</v>
      </c>
      <c r="J139" s="2">
        <f t="shared" si="64"/>
        <v>0</v>
      </c>
      <c r="K139" s="2">
        <f t="shared" ref="K139:K148" si="65">ROUND(0,2)</f>
        <v>0</v>
      </c>
      <c r="L139" s="24">
        <f t="shared" si="63"/>
        <v>0</v>
      </c>
      <c r="M139" s="25"/>
      <c r="N139" s="2">
        <f>ROUND(51639.8,2)</f>
        <v>51639.8</v>
      </c>
      <c r="O139" s="2">
        <f t="shared" si="62"/>
        <v>0</v>
      </c>
      <c r="P139" s="2">
        <f t="shared" si="60"/>
        <v>0</v>
      </c>
      <c r="Q139" s="24">
        <f t="shared" si="58"/>
        <v>0</v>
      </c>
      <c r="R139" s="25"/>
      <c r="S139" s="24">
        <f>ROUND(51639.8,2)</f>
        <v>51639.8</v>
      </c>
      <c r="T139" s="25"/>
      <c r="U139" s="26"/>
    </row>
    <row r="140" spans="1:21">
      <c r="A140" s="22" t="s">
        <v>263</v>
      </c>
      <c r="B140" s="23"/>
      <c r="C140" s="22" t="s">
        <v>264</v>
      </c>
      <c r="D140" s="23"/>
      <c r="E140" s="23"/>
      <c r="F140" s="23"/>
      <c r="G140" s="23"/>
      <c r="H140" s="2">
        <f t="shared" si="61"/>
        <v>0</v>
      </c>
      <c r="I140" s="2">
        <f t="shared" si="64"/>
        <v>0</v>
      </c>
      <c r="J140" s="2">
        <f t="shared" si="64"/>
        <v>0</v>
      </c>
      <c r="K140" s="2">
        <f t="shared" si="65"/>
        <v>0</v>
      </c>
      <c r="L140" s="24">
        <f t="shared" si="63"/>
        <v>0</v>
      </c>
      <c r="M140" s="25"/>
      <c r="N140" s="2">
        <f>ROUND(1000,2)</f>
        <v>1000</v>
      </c>
      <c r="O140" s="2">
        <f t="shared" si="62"/>
        <v>0</v>
      </c>
      <c r="P140" s="2">
        <f t="shared" si="60"/>
        <v>0</v>
      </c>
      <c r="Q140" s="24">
        <f t="shared" si="58"/>
        <v>0</v>
      </c>
      <c r="R140" s="25"/>
      <c r="S140" s="24">
        <f>ROUND(1000,2)</f>
        <v>1000</v>
      </c>
      <c r="T140" s="25"/>
      <c r="U140" s="26"/>
    </row>
    <row r="141" spans="1:21">
      <c r="A141" s="22" t="s">
        <v>265</v>
      </c>
      <c r="B141" s="23"/>
      <c r="C141" s="22" t="s">
        <v>266</v>
      </c>
      <c r="D141" s="23"/>
      <c r="E141" s="23"/>
      <c r="F141" s="23"/>
      <c r="G141" s="23"/>
      <c r="H141" s="2">
        <f t="shared" si="61"/>
        <v>0</v>
      </c>
      <c r="I141" s="2">
        <f t="shared" si="64"/>
        <v>0</v>
      </c>
      <c r="J141" s="2">
        <f t="shared" si="64"/>
        <v>0</v>
      </c>
      <c r="K141" s="2">
        <f t="shared" si="65"/>
        <v>0</v>
      </c>
      <c r="L141" s="24">
        <f t="shared" si="63"/>
        <v>0</v>
      </c>
      <c r="M141" s="25"/>
      <c r="N141" s="2">
        <f>ROUND(433022,2)</f>
        <v>433022</v>
      </c>
      <c r="O141" s="2">
        <f t="shared" si="62"/>
        <v>0</v>
      </c>
      <c r="P141" s="2">
        <f t="shared" si="60"/>
        <v>0</v>
      </c>
      <c r="Q141" s="24">
        <f t="shared" si="58"/>
        <v>0</v>
      </c>
      <c r="R141" s="25"/>
      <c r="S141" s="24">
        <f>ROUND(433022,2)</f>
        <v>433022</v>
      </c>
      <c r="T141" s="25"/>
      <c r="U141" s="26"/>
    </row>
    <row r="142" spans="1:21">
      <c r="A142" s="22" t="s">
        <v>267</v>
      </c>
      <c r="B142" s="23"/>
      <c r="C142" s="22" t="s">
        <v>268</v>
      </c>
      <c r="D142" s="23"/>
      <c r="E142" s="23"/>
      <c r="F142" s="23"/>
      <c r="G142" s="23"/>
      <c r="H142" s="2">
        <f t="shared" si="61"/>
        <v>0</v>
      </c>
      <c r="I142" s="2">
        <f>ROUND(580000,2)</f>
        <v>580000</v>
      </c>
      <c r="J142" s="2">
        <f>ROUND(0,2)</f>
        <v>0</v>
      </c>
      <c r="K142" s="2">
        <f t="shared" si="65"/>
        <v>0</v>
      </c>
      <c r="L142" s="24">
        <f t="shared" si="63"/>
        <v>0</v>
      </c>
      <c r="M142" s="25"/>
      <c r="N142" s="2">
        <f>ROUND(465878.35,2)</f>
        <v>465878.35</v>
      </c>
      <c r="O142" s="2">
        <f t="shared" si="62"/>
        <v>0</v>
      </c>
      <c r="P142" s="2">
        <f t="shared" si="60"/>
        <v>0</v>
      </c>
      <c r="Q142" s="24">
        <f t="shared" si="58"/>
        <v>0</v>
      </c>
      <c r="R142" s="25"/>
      <c r="S142" s="24">
        <f>ROUND(1045878.35,2)</f>
        <v>1045878.35</v>
      </c>
      <c r="T142" s="25"/>
      <c r="U142" s="26"/>
    </row>
    <row r="143" spans="1:21">
      <c r="A143" s="22" t="s">
        <v>269</v>
      </c>
      <c r="B143" s="23"/>
      <c r="C143" s="22" t="s">
        <v>270</v>
      </c>
      <c r="D143" s="23"/>
      <c r="E143" s="23"/>
      <c r="F143" s="23"/>
      <c r="G143" s="23"/>
      <c r="H143" s="2">
        <f t="shared" si="61"/>
        <v>0</v>
      </c>
      <c r="I143" s="2">
        <f>ROUND(0,2)</f>
        <v>0</v>
      </c>
      <c r="J143" s="2">
        <f>ROUND(37933.89,2)</f>
        <v>37933.89</v>
      </c>
      <c r="K143" s="2">
        <f t="shared" si="65"/>
        <v>0</v>
      </c>
      <c r="L143" s="24">
        <f t="shared" si="63"/>
        <v>0</v>
      </c>
      <c r="M143" s="25"/>
      <c r="N143" s="2">
        <f>ROUND(0,2)</f>
        <v>0</v>
      </c>
      <c r="O143" s="2">
        <f t="shared" si="62"/>
        <v>0</v>
      </c>
      <c r="P143" s="2">
        <f t="shared" si="60"/>
        <v>0</v>
      </c>
      <c r="Q143" s="24">
        <f t="shared" ref="Q143:Q158" si="66">ROUND(0,2)</f>
        <v>0</v>
      </c>
      <c r="R143" s="25"/>
      <c r="S143" s="24">
        <f>ROUND(37933.89,2)</f>
        <v>37933.89</v>
      </c>
      <c r="T143" s="25"/>
      <c r="U143" s="26"/>
    </row>
    <row r="144" spans="1:21">
      <c r="A144" s="22" t="s">
        <v>271</v>
      </c>
      <c r="B144" s="23"/>
      <c r="C144" s="22" t="s">
        <v>272</v>
      </c>
      <c r="D144" s="23"/>
      <c r="E144" s="23"/>
      <c r="F144" s="23"/>
      <c r="G144" s="23"/>
      <c r="H144" s="2">
        <f t="shared" si="61"/>
        <v>0</v>
      </c>
      <c r="I144" s="2">
        <f>ROUND(0,2)</f>
        <v>0</v>
      </c>
      <c r="J144" s="2">
        <f t="shared" ref="J144:J159" si="67">ROUND(0,2)</f>
        <v>0</v>
      </c>
      <c r="K144" s="2">
        <f t="shared" si="65"/>
        <v>0</v>
      </c>
      <c r="L144" s="24">
        <f t="shared" si="63"/>
        <v>0</v>
      </c>
      <c r="M144" s="25"/>
      <c r="N144" s="2">
        <f>ROUND(0,2)</f>
        <v>0</v>
      </c>
      <c r="O144" s="2">
        <f>ROUND(175000,2)</f>
        <v>175000</v>
      </c>
      <c r="P144" s="2">
        <f t="shared" si="60"/>
        <v>0</v>
      </c>
      <c r="Q144" s="24">
        <f t="shared" si="66"/>
        <v>0</v>
      </c>
      <c r="R144" s="25"/>
      <c r="S144" s="24">
        <f>ROUND(175000,2)</f>
        <v>175000</v>
      </c>
      <c r="T144" s="25"/>
      <c r="U144" s="26"/>
    </row>
    <row r="145" spans="1:21">
      <c r="A145" s="22" t="s">
        <v>273</v>
      </c>
      <c r="B145" s="23"/>
      <c r="C145" s="22" t="s">
        <v>274</v>
      </c>
      <c r="D145" s="23"/>
      <c r="E145" s="23"/>
      <c r="F145" s="23"/>
      <c r="G145" s="23"/>
      <c r="H145" s="2">
        <f t="shared" si="61"/>
        <v>0</v>
      </c>
      <c r="I145" s="2">
        <f>ROUND(0,2)</f>
        <v>0</v>
      </c>
      <c r="J145" s="2">
        <f t="shared" si="67"/>
        <v>0</v>
      </c>
      <c r="K145" s="2">
        <f t="shared" si="65"/>
        <v>0</v>
      </c>
      <c r="L145" s="24">
        <f t="shared" si="63"/>
        <v>0</v>
      </c>
      <c r="M145" s="25"/>
      <c r="N145" s="2">
        <f>ROUND(0,2)</f>
        <v>0</v>
      </c>
      <c r="O145" s="2">
        <f>ROUND(376000,2)</f>
        <v>376000</v>
      </c>
      <c r="P145" s="2">
        <f t="shared" si="60"/>
        <v>0</v>
      </c>
      <c r="Q145" s="24">
        <f t="shared" si="66"/>
        <v>0</v>
      </c>
      <c r="R145" s="25"/>
      <c r="S145" s="24">
        <f>ROUND(376000,2)</f>
        <v>376000</v>
      </c>
      <c r="T145" s="25"/>
      <c r="U145" s="26"/>
    </row>
    <row r="146" spans="1:21">
      <c r="A146" s="22" t="s">
        <v>275</v>
      </c>
      <c r="B146" s="23"/>
      <c r="C146" s="22" t="s">
        <v>276</v>
      </c>
      <c r="D146" s="23"/>
      <c r="E146" s="23"/>
      <c r="F146" s="23"/>
      <c r="G146" s="23"/>
      <c r="H146" s="2">
        <f t="shared" si="61"/>
        <v>0</v>
      </c>
      <c r="I146" s="2">
        <f>ROUND(817000,2)</f>
        <v>817000</v>
      </c>
      <c r="J146" s="2">
        <f t="shared" si="67"/>
        <v>0</v>
      </c>
      <c r="K146" s="2">
        <f t="shared" si="65"/>
        <v>0</v>
      </c>
      <c r="L146" s="24">
        <f t="shared" si="63"/>
        <v>0</v>
      </c>
      <c r="M146" s="25"/>
      <c r="N146" s="2">
        <f>ROUND(0,2)</f>
        <v>0</v>
      </c>
      <c r="O146" s="2">
        <f>ROUND(0,2)</f>
        <v>0</v>
      </c>
      <c r="P146" s="2">
        <f t="shared" si="60"/>
        <v>0</v>
      </c>
      <c r="Q146" s="24">
        <f t="shared" si="66"/>
        <v>0</v>
      </c>
      <c r="R146" s="25"/>
      <c r="S146" s="24">
        <f>ROUND(817000,2)</f>
        <v>817000</v>
      </c>
      <c r="T146" s="25"/>
      <c r="U146" s="26"/>
    </row>
    <row r="147" spans="1:21">
      <c r="A147" s="22" t="s">
        <v>277</v>
      </c>
      <c r="B147" s="23"/>
      <c r="C147" s="22" t="s">
        <v>278</v>
      </c>
      <c r="D147" s="23"/>
      <c r="E147" s="23"/>
      <c r="F147" s="23"/>
      <c r="G147" s="23"/>
      <c r="H147" s="2">
        <f t="shared" si="61"/>
        <v>0</v>
      </c>
      <c r="I147" s="2">
        <f t="shared" ref="I147:I162" si="68">ROUND(0,2)</f>
        <v>0</v>
      </c>
      <c r="J147" s="2">
        <f t="shared" si="67"/>
        <v>0</v>
      </c>
      <c r="K147" s="2">
        <f t="shared" si="65"/>
        <v>0</v>
      </c>
      <c r="L147" s="24">
        <f t="shared" si="63"/>
        <v>0</v>
      </c>
      <c r="M147" s="25"/>
      <c r="N147" s="2">
        <f>ROUND(0,2)</f>
        <v>0</v>
      </c>
      <c r="O147" s="2">
        <f>ROUND(94724.18,2)</f>
        <v>94724.18</v>
      </c>
      <c r="P147" s="2">
        <f t="shared" si="60"/>
        <v>0</v>
      </c>
      <c r="Q147" s="24">
        <f t="shared" si="66"/>
        <v>0</v>
      </c>
      <c r="R147" s="25"/>
      <c r="S147" s="24">
        <f>ROUND(94724.18,2)</f>
        <v>94724.18</v>
      </c>
      <c r="T147" s="25"/>
      <c r="U147" s="26"/>
    </row>
    <row r="148" spans="1:21">
      <c r="A148" s="22" t="s">
        <v>277</v>
      </c>
      <c r="B148" s="23"/>
      <c r="C148" s="22" t="s">
        <v>278</v>
      </c>
      <c r="D148" s="23"/>
      <c r="E148" s="23"/>
      <c r="F148" s="23"/>
      <c r="G148" s="23"/>
      <c r="H148" s="2">
        <f t="shared" si="61"/>
        <v>0</v>
      </c>
      <c r="I148" s="2">
        <f t="shared" si="68"/>
        <v>0</v>
      </c>
      <c r="J148" s="2">
        <f t="shared" si="67"/>
        <v>0</v>
      </c>
      <c r="K148" s="2">
        <f t="shared" si="65"/>
        <v>0</v>
      </c>
      <c r="L148" s="24">
        <f t="shared" si="63"/>
        <v>0</v>
      </c>
      <c r="M148" s="25"/>
      <c r="N148" s="2">
        <f>ROUND(156434.44,2)</f>
        <v>156434.44</v>
      </c>
      <c r="O148" s="2">
        <f t="shared" ref="O148:O163" si="69">ROUND(0,2)</f>
        <v>0</v>
      </c>
      <c r="P148" s="2">
        <f t="shared" si="60"/>
        <v>0</v>
      </c>
      <c r="Q148" s="24">
        <f t="shared" si="66"/>
        <v>0</v>
      </c>
      <c r="R148" s="25"/>
      <c r="S148" s="24">
        <f>ROUND(156434.44,2)</f>
        <v>156434.44</v>
      </c>
      <c r="T148" s="25"/>
      <c r="U148" s="26"/>
    </row>
    <row r="149" spans="1:21">
      <c r="A149" s="22" t="s">
        <v>279</v>
      </c>
      <c r="B149" s="23"/>
      <c r="C149" s="22" t="s">
        <v>280</v>
      </c>
      <c r="D149" s="23"/>
      <c r="E149" s="23"/>
      <c r="F149" s="23"/>
      <c r="G149" s="23"/>
      <c r="H149" s="2">
        <f t="shared" si="61"/>
        <v>0</v>
      </c>
      <c r="I149" s="2">
        <f t="shared" si="68"/>
        <v>0</v>
      </c>
      <c r="J149" s="2">
        <f t="shared" si="67"/>
        <v>0</v>
      </c>
      <c r="K149" s="2">
        <f>ROUND(10000,2)</f>
        <v>10000</v>
      </c>
      <c r="L149" s="24">
        <f t="shared" si="63"/>
        <v>0</v>
      </c>
      <c r="M149" s="25"/>
      <c r="N149" s="2">
        <f>ROUND(0,2)</f>
        <v>0</v>
      </c>
      <c r="O149" s="2">
        <f t="shared" si="69"/>
        <v>0</v>
      </c>
      <c r="P149" s="2">
        <f t="shared" si="60"/>
        <v>0</v>
      </c>
      <c r="Q149" s="24">
        <f t="shared" si="66"/>
        <v>0</v>
      </c>
      <c r="R149" s="25"/>
      <c r="S149" s="24">
        <f>ROUND(10000,2)</f>
        <v>10000</v>
      </c>
      <c r="T149" s="25"/>
      <c r="U149" s="26"/>
    </row>
    <row r="150" spans="1:21">
      <c r="A150" s="22" t="s">
        <v>279</v>
      </c>
      <c r="B150" s="23"/>
      <c r="C150" s="22" t="s">
        <v>280</v>
      </c>
      <c r="D150" s="23"/>
      <c r="E150" s="23"/>
      <c r="F150" s="23"/>
      <c r="G150" s="23"/>
      <c r="H150" s="2">
        <f t="shared" si="61"/>
        <v>0</v>
      </c>
      <c r="I150" s="2">
        <f t="shared" si="68"/>
        <v>0</v>
      </c>
      <c r="J150" s="2">
        <f t="shared" si="67"/>
        <v>0</v>
      </c>
      <c r="K150" s="2">
        <f t="shared" ref="K150:K165" si="70">ROUND(0,2)</f>
        <v>0</v>
      </c>
      <c r="L150" s="24">
        <f t="shared" si="63"/>
        <v>0</v>
      </c>
      <c r="M150" s="25"/>
      <c r="N150" s="2">
        <f>ROUND(79686.34,2)</f>
        <v>79686.34</v>
      </c>
      <c r="O150" s="2">
        <f t="shared" si="69"/>
        <v>0</v>
      </c>
      <c r="P150" s="2">
        <f t="shared" ref="P150:P165" si="71">ROUND(0,2)</f>
        <v>0</v>
      </c>
      <c r="Q150" s="24">
        <f t="shared" si="66"/>
        <v>0</v>
      </c>
      <c r="R150" s="25"/>
      <c r="S150" s="24">
        <f>ROUND(79686.34,2)</f>
        <v>79686.34</v>
      </c>
      <c r="T150" s="25"/>
      <c r="U150" s="26"/>
    </row>
    <row r="151" spans="1:21">
      <c r="A151" s="22" t="s">
        <v>281</v>
      </c>
      <c r="B151" s="23"/>
      <c r="C151" s="22" t="s">
        <v>282</v>
      </c>
      <c r="D151" s="23"/>
      <c r="E151" s="23"/>
      <c r="F151" s="23"/>
      <c r="G151" s="23"/>
      <c r="H151" s="2">
        <f t="shared" ref="H151:H166" si="72">ROUND(0,2)</f>
        <v>0</v>
      </c>
      <c r="I151" s="2">
        <f t="shared" si="68"/>
        <v>0</v>
      </c>
      <c r="J151" s="2">
        <f t="shared" si="67"/>
        <v>0</v>
      </c>
      <c r="K151" s="2">
        <f t="shared" si="70"/>
        <v>0</v>
      </c>
      <c r="L151" s="24">
        <f>ROUND(97375.6,2)</f>
        <v>97375.6</v>
      </c>
      <c r="M151" s="25"/>
      <c r="N151" s="2">
        <f>ROUND(0,2)</f>
        <v>0</v>
      </c>
      <c r="O151" s="2">
        <f t="shared" si="69"/>
        <v>0</v>
      </c>
      <c r="P151" s="2">
        <f t="shared" si="71"/>
        <v>0</v>
      </c>
      <c r="Q151" s="24">
        <f t="shared" si="66"/>
        <v>0</v>
      </c>
      <c r="R151" s="25"/>
      <c r="S151" s="24">
        <f>ROUND(-97375.6,2)</f>
        <v>-97375.6</v>
      </c>
      <c r="T151" s="25"/>
      <c r="U151" s="26"/>
    </row>
    <row r="152" spans="1:21">
      <c r="A152" s="22" t="s">
        <v>281</v>
      </c>
      <c r="B152" s="23"/>
      <c r="C152" s="22" t="s">
        <v>282</v>
      </c>
      <c r="D152" s="23"/>
      <c r="E152" s="23"/>
      <c r="F152" s="23"/>
      <c r="G152" s="23"/>
      <c r="H152" s="2">
        <f t="shared" si="72"/>
        <v>0</v>
      </c>
      <c r="I152" s="2">
        <f t="shared" si="68"/>
        <v>0</v>
      </c>
      <c r="J152" s="2">
        <f t="shared" si="67"/>
        <v>0</v>
      </c>
      <c r="K152" s="2">
        <f t="shared" si="70"/>
        <v>0</v>
      </c>
      <c r="L152" s="24">
        <f t="shared" ref="L152:L167" si="73">ROUND(0,2)</f>
        <v>0</v>
      </c>
      <c r="M152" s="25"/>
      <c r="N152" s="2">
        <f>ROUND(295977.37,2)</f>
        <v>295977.37</v>
      </c>
      <c r="O152" s="2">
        <f t="shared" si="69"/>
        <v>0</v>
      </c>
      <c r="P152" s="2">
        <f t="shared" si="71"/>
        <v>0</v>
      </c>
      <c r="Q152" s="24">
        <f t="shared" si="66"/>
        <v>0</v>
      </c>
      <c r="R152" s="25"/>
      <c r="S152" s="24">
        <f>ROUND(295977.37,2)</f>
        <v>295977.37</v>
      </c>
      <c r="T152" s="25"/>
      <c r="U152" s="26"/>
    </row>
    <row r="153" spans="1:21">
      <c r="A153" s="22" t="s">
        <v>281</v>
      </c>
      <c r="B153" s="23"/>
      <c r="C153" s="22" t="s">
        <v>282</v>
      </c>
      <c r="D153" s="23"/>
      <c r="E153" s="23"/>
      <c r="F153" s="23"/>
      <c r="G153" s="23"/>
      <c r="H153" s="2">
        <f t="shared" si="72"/>
        <v>0</v>
      </c>
      <c r="I153" s="2">
        <f t="shared" si="68"/>
        <v>0</v>
      </c>
      <c r="J153" s="2">
        <f t="shared" si="67"/>
        <v>0</v>
      </c>
      <c r="K153" s="2">
        <f t="shared" si="70"/>
        <v>0</v>
      </c>
      <c r="L153" s="24">
        <f t="shared" si="73"/>
        <v>0</v>
      </c>
      <c r="M153" s="25"/>
      <c r="N153" s="2">
        <f>ROUND(155111.08,2)</f>
        <v>155111.07999999999</v>
      </c>
      <c r="O153" s="2">
        <f t="shared" si="69"/>
        <v>0</v>
      </c>
      <c r="P153" s="2">
        <f t="shared" si="71"/>
        <v>0</v>
      </c>
      <c r="Q153" s="24">
        <f t="shared" si="66"/>
        <v>0</v>
      </c>
      <c r="R153" s="25"/>
      <c r="S153" s="24">
        <f>ROUND(155111.08,2)</f>
        <v>155111.07999999999</v>
      </c>
      <c r="T153" s="25"/>
      <c r="U153" s="26"/>
    </row>
    <row r="154" spans="1:21">
      <c r="A154" s="22" t="s">
        <v>283</v>
      </c>
      <c r="B154" s="23"/>
      <c r="C154" s="22" t="s">
        <v>284</v>
      </c>
      <c r="D154" s="23"/>
      <c r="E154" s="23"/>
      <c r="F154" s="23"/>
      <c r="G154" s="23"/>
      <c r="H154" s="2">
        <f t="shared" si="72"/>
        <v>0</v>
      </c>
      <c r="I154" s="2">
        <f t="shared" si="68"/>
        <v>0</v>
      </c>
      <c r="J154" s="2">
        <f t="shared" si="67"/>
        <v>0</v>
      </c>
      <c r="K154" s="2">
        <f t="shared" si="70"/>
        <v>0</v>
      </c>
      <c r="L154" s="24">
        <f t="shared" si="73"/>
        <v>0</v>
      </c>
      <c r="M154" s="25"/>
      <c r="N154" s="2">
        <f>ROUND(87549.99,2)</f>
        <v>87549.99</v>
      </c>
      <c r="O154" s="2">
        <f t="shared" si="69"/>
        <v>0</v>
      </c>
      <c r="P154" s="2">
        <f t="shared" si="71"/>
        <v>0</v>
      </c>
      <c r="Q154" s="24">
        <f t="shared" si="66"/>
        <v>0</v>
      </c>
      <c r="R154" s="25"/>
      <c r="S154" s="24">
        <f>ROUND(87549.99,2)</f>
        <v>87549.99</v>
      </c>
      <c r="T154" s="25"/>
      <c r="U154" s="26"/>
    </row>
    <row r="155" spans="1:21">
      <c r="A155" s="22" t="s">
        <v>285</v>
      </c>
      <c r="B155" s="23"/>
      <c r="C155" s="22" t="s">
        <v>286</v>
      </c>
      <c r="D155" s="23"/>
      <c r="E155" s="23"/>
      <c r="F155" s="23"/>
      <c r="G155" s="23"/>
      <c r="H155" s="2">
        <f t="shared" si="72"/>
        <v>0</v>
      </c>
      <c r="I155" s="2">
        <f t="shared" si="68"/>
        <v>0</v>
      </c>
      <c r="J155" s="2">
        <f t="shared" si="67"/>
        <v>0</v>
      </c>
      <c r="K155" s="2">
        <f t="shared" si="70"/>
        <v>0</v>
      </c>
      <c r="L155" s="24">
        <f t="shared" si="73"/>
        <v>0</v>
      </c>
      <c r="M155" s="25"/>
      <c r="N155" s="2">
        <f>ROUND(4343.93,2)</f>
        <v>4343.93</v>
      </c>
      <c r="O155" s="2">
        <f t="shared" si="69"/>
        <v>0</v>
      </c>
      <c r="P155" s="2">
        <f t="shared" si="71"/>
        <v>0</v>
      </c>
      <c r="Q155" s="24">
        <f t="shared" si="66"/>
        <v>0</v>
      </c>
      <c r="R155" s="25"/>
      <c r="S155" s="24">
        <f>ROUND(4343.93,2)</f>
        <v>4343.93</v>
      </c>
      <c r="T155" s="25"/>
      <c r="U155" s="26"/>
    </row>
    <row r="156" spans="1:21">
      <c r="A156" s="22" t="s">
        <v>287</v>
      </c>
      <c r="B156" s="23"/>
      <c r="C156" s="22" t="s">
        <v>288</v>
      </c>
      <c r="D156" s="23"/>
      <c r="E156" s="23"/>
      <c r="F156" s="23"/>
      <c r="G156" s="23"/>
      <c r="H156" s="2">
        <f t="shared" si="72"/>
        <v>0</v>
      </c>
      <c r="I156" s="2">
        <f t="shared" si="68"/>
        <v>0</v>
      </c>
      <c r="J156" s="2">
        <f t="shared" si="67"/>
        <v>0</v>
      </c>
      <c r="K156" s="2">
        <f t="shared" si="70"/>
        <v>0</v>
      </c>
      <c r="L156" s="24">
        <f t="shared" si="73"/>
        <v>0</v>
      </c>
      <c r="M156" s="25"/>
      <c r="N156" s="2">
        <f>ROUND(29920.78,2)</f>
        <v>29920.78</v>
      </c>
      <c r="O156" s="2">
        <f t="shared" si="69"/>
        <v>0</v>
      </c>
      <c r="P156" s="2">
        <f t="shared" si="71"/>
        <v>0</v>
      </c>
      <c r="Q156" s="24">
        <f t="shared" si="66"/>
        <v>0</v>
      </c>
      <c r="R156" s="25"/>
      <c r="S156" s="24">
        <f>ROUND(29920.78,2)</f>
        <v>29920.78</v>
      </c>
      <c r="T156" s="25"/>
      <c r="U156" s="26"/>
    </row>
    <row r="157" spans="1:21">
      <c r="A157" s="22" t="s">
        <v>289</v>
      </c>
      <c r="B157" s="23"/>
      <c r="C157" s="22" t="s">
        <v>290</v>
      </c>
      <c r="D157" s="23"/>
      <c r="E157" s="23"/>
      <c r="F157" s="23"/>
      <c r="G157" s="23"/>
      <c r="H157" s="2">
        <f t="shared" si="72"/>
        <v>0</v>
      </c>
      <c r="I157" s="2">
        <f t="shared" si="68"/>
        <v>0</v>
      </c>
      <c r="J157" s="2">
        <f t="shared" si="67"/>
        <v>0</v>
      </c>
      <c r="K157" s="2">
        <f t="shared" si="70"/>
        <v>0</v>
      </c>
      <c r="L157" s="24">
        <f t="shared" si="73"/>
        <v>0</v>
      </c>
      <c r="M157" s="25"/>
      <c r="N157" s="2">
        <f>ROUND(133009.5,2)</f>
        <v>133009.5</v>
      </c>
      <c r="O157" s="2">
        <f t="shared" si="69"/>
        <v>0</v>
      </c>
      <c r="P157" s="2">
        <f t="shared" si="71"/>
        <v>0</v>
      </c>
      <c r="Q157" s="24">
        <f t="shared" si="66"/>
        <v>0</v>
      </c>
      <c r="R157" s="25"/>
      <c r="S157" s="24">
        <f>ROUND(133009.5,2)</f>
        <v>133009.5</v>
      </c>
      <c r="T157" s="25"/>
      <c r="U157" s="26"/>
    </row>
    <row r="158" spans="1:21">
      <c r="A158" s="22" t="s">
        <v>291</v>
      </c>
      <c r="B158" s="23"/>
      <c r="C158" s="22" t="s">
        <v>292</v>
      </c>
      <c r="D158" s="23"/>
      <c r="E158" s="23"/>
      <c r="F158" s="23"/>
      <c r="G158" s="23"/>
      <c r="H158" s="2">
        <f t="shared" si="72"/>
        <v>0</v>
      </c>
      <c r="I158" s="2">
        <f t="shared" si="68"/>
        <v>0</v>
      </c>
      <c r="J158" s="2">
        <f t="shared" si="67"/>
        <v>0</v>
      </c>
      <c r="K158" s="2">
        <f t="shared" si="70"/>
        <v>0</v>
      </c>
      <c r="L158" s="24">
        <f t="shared" si="73"/>
        <v>0</v>
      </c>
      <c r="M158" s="25"/>
      <c r="N158" s="2">
        <f>ROUND(625,2)</f>
        <v>625</v>
      </c>
      <c r="O158" s="2">
        <f t="shared" si="69"/>
        <v>0</v>
      </c>
      <c r="P158" s="2">
        <f t="shared" si="71"/>
        <v>0</v>
      </c>
      <c r="Q158" s="24">
        <f t="shared" si="66"/>
        <v>0</v>
      </c>
      <c r="R158" s="25"/>
      <c r="S158" s="24">
        <f>ROUND(625,2)</f>
        <v>625</v>
      </c>
      <c r="T158" s="25"/>
      <c r="U158" s="26"/>
    </row>
    <row r="159" spans="1:21">
      <c r="A159" s="22" t="s">
        <v>293</v>
      </c>
      <c r="B159" s="23"/>
      <c r="C159" s="22" t="s">
        <v>294</v>
      </c>
      <c r="D159" s="23"/>
      <c r="E159" s="23"/>
      <c r="F159" s="23"/>
      <c r="G159" s="23"/>
      <c r="H159" s="2">
        <f t="shared" si="72"/>
        <v>0</v>
      </c>
      <c r="I159" s="2">
        <f t="shared" si="68"/>
        <v>0</v>
      </c>
      <c r="J159" s="2">
        <f t="shared" si="67"/>
        <v>0</v>
      </c>
      <c r="K159" s="2">
        <f t="shared" si="70"/>
        <v>0</v>
      </c>
      <c r="L159" s="24">
        <f t="shared" si="73"/>
        <v>0</v>
      </c>
      <c r="M159" s="25"/>
      <c r="N159" s="2">
        <f>ROUND(175000,2)</f>
        <v>175000</v>
      </c>
      <c r="O159" s="2">
        <f t="shared" si="69"/>
        <v>0</v>
      </c>
      <c r="P159" s="2">
        <f t="shared" si="71"/>
        <v>0</v>
      </c>
      <c r="Q159" s="24">
        <f t="shared" ref="Q159:Q174" si="74">ROUND(0,2)</f>
        <v>0</v>
      </c>
      <c r="R159" s="25"/>
      <c r="S159" s="24">
        <f>ROUND(175000,2)</f>
        <v>175000</v>
      </c>
      <c r="T159" s="25"/>
      <c r="U159" s="26"/>
    </row>
    <row r="160" spans="1:21">
      <c r="A160" s="22" t="s">
        <v>293</v>
      </c>
      <c r="B160" s="23"/>
      <c r="C160" s="22" t="s">
        <v>294</v>
      </c>
      <c r="D160" s="23"/>
      <c r="E160" s="23"/>
      <c r="F160" s="23"/>
      <c r="G160" s="23"/>
      <c r="H160" s="2">
        <f t="shared" si="72"/>
        <v>0</v>
      </c>
      <c r="I160" s="2">
        <f t="shared" si="68"/>
        <v>0</v>
      </c>
      <c r="J160" s="2">
        <f t="shared" ref="J160:J175" si="75">ROUND(0,2)</f>
        <v>0</v>
      </c>
      <c r="K160" s="2">
        <f t="shared" si="70"/>
        <v>0</v>
      </c>
      <c r="L160" s="24">
        <f t="shared" si="73"/>
        <v>0</v>
      </c>
      <c r="M160" s="25"/>
      <c r="N160" s="2">
        <f>ROUND(1772472,2)</f>
        <v>1772472</v>
      </c>
      <c r="O160" s="2">
        <f t="shared" si="69"/>
        <v>0</v>
      </c>
      <c r="P160" s="2">
        <f t="shared" si="71"/>
        <v>0</v>
      </c>
      <c r="Q160" s="24">
        <f t="shared" si="74"/>
        <v>0</v>
      </c>
      <c r="R160" s="25"/>
      <c r="S160" s="24">
        <f>ROUND(1772472,2)</f>
        <v>1772472</v>
      </c>
      <c r="T160" s="25"/>
      <c r="U160" s="26"/>
    </row>
    <row r="161" spans="1:21">
      <c r="A161" s="22" t="s">
        <v>295</v>
      </c>
      <c r="B161" s="23"/>
      <c r="C161" s="22" t="s">
        <v>296</v>
      </c>
      <c r="D161" s="23"/>
      <c r="E161" s="23"/>
      <c r="F161" s="23"/>
      <c r="G161" s="23"/>
      <c r="H161" s="2">
        <f t="shared" si="72"/>
        <v>0</v>
      </c>
      <c r="I161" s="2">
        <f t="shared" si="68"/>
        <v>0</v>
      </c>
      <c r="J161" s="2">
        <f t="shared" si="75"/>
        <v>0</v>
      </c>
      <c r="K161" s="2">
        <f t="shared" si="70"/>
        <v>0</v>
      </c>
      <c r="L161" s="24">
        <f t="shared" si="73"/>
        <v>0</v>
      </c>
      <c r="M161" s="25"/>
      <c r="N161" s="2">
        <f>ROUND(8881,2)</f>
        <v>8881</v>
      </c>
      <c r="O161" s="2">
        <f t="shared" si="69"/>
        <v>0</v>
      </c>
      <c r="P161" s="2">
        <f t="shared" si="71"/>
        <v>0</v>
      </c>
      <c r="Q161" s="24">
        <f t="shared" si="74"/>
        <v>0</v>
      </c>
      <c r="R161" s="25"/>
      <c r="S161" s="24">
        <f>ROUND(8881,2)</f>
        <v>8881</v>
      </c>
      <c r="T161" s="25"/>
      <c r="U161" s="26"/>
    </row>
    <row r="162" spans="1:21">
      <c r="A162" s="22" t="s">
        <v>297</v>
      </c>
      <c r="B162" s="23"/>
      <c r="C162" s="22" t="s">
        <v>298</v>
      </c>
      <c r="D162" s="23"/>
      <c r="E162" s="23"/>
      <c r="F162" s="23"/>
      <c r="G162" s="23"/>
      <c r="H162" s="2">
        <f t="shared" si="72"/>
        <v>0</v>
      </c>
      <c r="I162" s="2">
        <f t="shared" si="68"/>
        <v>0</v>
      </c>
      <c r="J162" s="2">
        <f t="shared" si="75"/>
        <v>0</v>
      </c>
      <c r="K162" s="2">
        <f t="shared" si="70"/>
        <v>0</v>
      </c>
      <c r="L162" s="24">
        <f t="shared" si="73"/>
        <v>0</v>
      </c>
      <c r="M162" s="25"/>
      <c r="N162" s="2">
        <f>ROUND(123500,2)</f>
        <v>123500</v>
      </c>
      <c r="O162" s="2">
        <f t="shared" si="69"/>
        <v>0</v>
      </c>
      <c r="P162" s="2">
        <f t="shared" si="71"/>
        <v>0</v>
      </c>
      <c r="Q162" s="24">
        <f t="shared" si="74"/>
        <v>0</v>
      </c>
      <c r="R162" s="25"/>
      <c r="S162" s="24">
        <f>ROUND(123500,2)</f>
        <v>123500</v>
      </c>
      <c r="T162" s="25"/>
      <c r="U162" s="26"/>
    </row>
    <row r="163" spans="1:21">
      <c r="A163" s="22" t="s">
        <v>299</v>
      </c>
      <c r="B163" s="23"/>
      <c r="C163" s="22" t="s">
        <v>300</v>
      </c>
      <c r="D163" s="23"/>
      <c r="E163" s="23"/>
      <c r="F163" s="23"/>
      <c r="G163" s="23"/>
      <c r="H163" s="2">
        <f t="shared" si="72"/>
        <v>0</v>
      </c>
      <c r="I163" s="2">
        <f t="shared" ref="I163:I178" si="76">ROUND(0,2)</f>
        <v>0</v>
      </c>
      <c r="J163" s="2">
        <f t="shared" si="75"/>
        <v>0</v>
      </c>
      <c r="K163" s="2">
        <f t="shared" si="70"/>
        <v>0</v>
      </c>
      <c r="L163" s="24">
        <f t="shared" si="73"/>
        <v>0</v>
      </c>
      <c r="M163" s="25"/>
      <c r="N163" s="2">
        <f>ROUND(955515.62,2)</f>
        <v>955515.62</v>
      </c>
      <c r="O163" s="2">
        <f t="shared" si="69"/>
        <v>0</v>
      </c>
      <c r="P163" s="2">
        <f t="shared" si="71"/>
        <v>0</v>
      </c>
      <c r="Q163" s="24">
        <f t="shared" si="74"/>
        <v>0</v>
      </c>
      <c r="R163" s="25"/>
      <c r="S163" s="24">
        <f>ROUND(955515.62,2)</f>
        <v>955515.62</v>
      </c>
      <c r="T163" s="25"/>
      <c r="U163" s="26"/>
    </row>
    <row r="164" spans="1:21">
      <c r="A164" s="22" t="s">
        <v>301</v>
      </c>
      <c r="B164" s="23"/>
      <c r="C164" s="22" t="s">
        <v>302</v>
      </c>
      <c r="D164" s="23"/>
      <c r="E164" s="23"/>
      <c r="F164" s="23"/>
      <c r="G164" s="23"/>
      <c r="H164" s="2">
        <f t="shared" si="72"/>
        <v>0</v>
      </c>
      <c r="I164" s="2">
        <f t="shared" si="76"/>
        <v>0</v>
      </c>
      <c r="J164" s="2">
        <f t="shared" si="75"/>
        <v>0</v>
      </c>
      <c r="K164" s="2">
        <f t="shared" si="70"/>
        <v>0</v>
      </c>
      <c r="L164" s="24">
        <f t="shared" si="73"/>
        <v>0</v>
      </c>
      <c r="M164" s="25"/>
      <c r="N164" s="2">
        <f>ROUND(3365199.89,2)</f>
        <v>3365199.89</v>
      </c>
      <c r="O164" s="2">
        <f>ROUND(0,2)</f>
        <v>0</v>
      </c>
      <c r="P164" s="2">
        <f t="shared" si="71"/>
        <v>0</v>
      </c>
      <c r="Q164" s="24">
        <f t="shared" si="74"/>
        <v>0</v>
      </c>
      <c r="R164" s="25"/>
      <c r="S164" s="24">
        <f>ROUND(3365199.89,2)</f>
        <v>3365199.89</v>
      </c>
      <c r="T164" s="25"/>
      <c r="U164" s="26"/>
    </row>
    <row r="165" spans="1:21">
      <c r="A165" s="22" t="s">
        <v>301</v>
      </c>
      <c r="B165" s="23"/>
      <c r="C165" s="22" t="s">
        <v>302</v>
      </c>
      <c r="D165" s="23"/>
      <c r="E165" s="23"/>
      <c r="F165" s="23"/>
      <c r="G165" s="23"/>
      <c r="H165" s="2">
        <f t="shared" si="72"/>
        <v>0</v>
      </c>
      <c r="I165" s="2">
        <f t="shared" si="76"/>
        <v>0</v>
      </c>
      <c r="J165" s="2">
        <f t="shared" si="75"/>
        <v>0</v>
      </c>
      <c r="K165" s="2">
        <f t="shared" si="70"/>
        <v>0</v>
      </c>
      <c r="L165" s="24">
        <f t="shared" si="73"/>
        <v>0</v>
      </c>
      <c r="M165" s="25"/>
      <c r="N165" s="2">
        <f>ROUND(664530.53,2)</f>
        <v>664530.53</v>
      </c>
      <c r="O165" s="2">
        <f>ROUND(0,2)</f>
        <v>0</v>
      </c>
      <c r="P165" s="2">
        <f t="shared" si="71"/>
        <v>0</v>
      </c>
      <c r="Q165" s="24">
        <f t="shared" si="74"/>
        <v>0</v>
      </c>
      <c r="R165" s="25"/>
      <c r="S165" s="24">
        <f>ROUND(664530.53,2)</f>
        <v>664530.53</v>
      </c>
      <c r="T165" s="25"/>
      <c r="U165" s="26"/>
    </row>
    <row r="166" spans="1:21">
      <c r="A166" s="22" t="s">
        <v>303</v>
      </c>
      <c r="B166" s="23"/>
      <c r="C166" s="22" t="s">
        <v>304</v>
      </c>
      <c r="D166" s="23"/>
      <c r="E166" s="23"/>
      <c r="F166" s="23"/>
      <c r="G166" s="23"/>
      <c r="H166" s="2">
        <f t="shared" si="72"/>
        <v>0</v>
      </c>
      <c r="I166" s="2">
        <f t="shared" si="76"/>
        <v>0</v>
      </c>
      <c r="J166" s="2">
        <f t="shared" si="75"/>
        <v>0</v>
      </c>
      <c r="K166" s="2">
        <f t="shared" ref="K166:K173" si="77">ROUND(0,2)</f>
        <v>0</v>
      </c>
      <c r="L166" s="24">
        <f t="shared" si="73"/>
        <v>0</v>
      </c>
      <c r="M166" s="25"/>
      <c r="N166" s="2">
        <f>ROUND(197080,2)</f>
        <v>197080</v>
      </c>
      <c r="O166" s="2">
        <f>ROUND(0,2)</f>
        <v>0</v>
      </c>
      <c r="P166" s="2">
        <f t="shared" ref="P166:P181" si="78">ROUND(0,2)</f>
        <v>0</v>
      </c>
      <c r="Q166" s="24">
        <f t="shared" si="74"/>
        <v>0</v>
      </c>
      <c r="R166" s="25"/>
      <c r="S166" s="24">
        <f>ROUND(197080,2)</f>
        <v>197080</v>
      </c>
      <c r="T166" s="25"/>
      <c r="U166" s="26"/>
    </row>
    <row r="167" spans="1:21">
      <c r="A167" s="22" t="s">
        <v>305</v>
      </c>
      <c r="B167" s="23"/>
      <c r="C167" s="22" t="s">
        <v>306</v>
      </c>
      <c r="D167" s="23"/>
      <c r="E167" s="23"/>
      <c r="F167" s="23"/>
      <c r="G167" s="23"/>
      <c r="H167" s="2">
        <f t="shared" ref="H167:H178" si="79">ROUND(0,2)</f>
        <v>0</v>
      </c>
      <c r="I167" s="2">
        <f t="shared" si="76"/>
        <v>0</v>
      </c>
      <c r="J167" s="2">
        <f t="shared" si="75"/>
        <v>0</v>
      </c>
      <c r="K167" s="2">
        <f t="shared" si="77"/>
        <v>0</v>
      </c>
      <c r="L167" s="24">
        <f t="shared" si="73"/>
        <v>0</v>
      </c>
      <c r="M167" s="25"/>
      <c r="N167" s="2">
        <f>ROUND(376000,2)</f>
        <v>376000</v>
      </c>
      <c r="O167" s="2">
        <f>ROUND(174509.29,2)</f>
        <v>174509.29</v>
      </c>
      <c r="P167" s="2">
        <f t="shared" si="78"/>
        <v>0</v>
      </c>
      <c r="Q167" s="24">
        <f t="shared" si="74"/>
        <v>0</v>
      </c>
      <c r="R167" s="25"/>
      <c r="S167" s="24">
        <f>ROUND(550509.29,2)</f>
        <v>550509.29</v>
      </c>
      <c r="T167" s="25"/>
      <c r="U167" s="26"/>
    </row>
    <row r="168" spans="1:21">
      <c r="A168" s="22" t="s">
        <v>307</v>
      </c>
      <c r="B168" s="23"/>
      <c r="C168" s="22" t="s">
        <v>308</v>
      </c>
      <c r="D168" s="23"/>
      <c r="E168" s="23"/>
      <c r="F168" s="23"/>
      <c r="G168" s="23"/>
      <c r="H168" s="2">
        <f t="shared" si="79"/>
        <v>0</v>
      </c>
      <c r="I168" s="2">
        <f t="shared" si="76"/>
        <v>0</v>
      </c>
      <c r="J168" s="2">
        <f t="shared" si="75"/>
        <v>0</v>
      </c>
      <c r="K168" s="2">
        <f t="shared" si="77"/>
        <v>0</v>
      </c>
      <c r="L168" s="24">
        <f t="shared" ref="L168:L183" si="80">ROUND(0,2)</f>
        <v>0</v>
      </c>
      <c r="M168" s="25"/>
      <c r="N168" s="2">
        <f>ROUND(83338.68,2)</f>
        <v>83338.679999999993</v>
      </c>
      <c r="O168" s="2">
        <f t="shared" ref="O168:O173" si="81">ROUND(0,2)</f>
        <v>0</v>
      </c>
      <c r="P168" s="2">
        <f t="shared" si="78"/>
        <v>0</v>
      </c>
      <c r="Q168" s="24">
        <f t="shared" si="74"/>
        <v>0</v>
      </c>
      <c r="R168" s="25"/>
      <c r="S168" s="24">
        <f>ROUND(83338.68,2)</f>
        <v>83338.679999999993</v>
      </c>
      <c r="T168" s="25"/>
      <c r="U168" s="26"/>
    </row>
    <row r="169" spans="1:21">
      <c r="A169" s="22" t="s">
        <v>309</v>
      </c>
      <c r="B169" s="23"/>
      <c r="C169" s="22" t="s">
        <v>310</v>
      </c>
      <c r="D169" s="23"/>
      <c r="E169" s="23"/>
      <c r="F169" s="23"/>
      <c r="G169" s="23"/>
      <c r="H169" s="2">
        <f t="shared" si="79"/>
        <v>0</v>
      </c>
      <c r="I169" s="2">
        <f t="shared" si="76"/>
        <v>0</v>
      </c>
      <c r="J169" s="2">
        <f t="shared" si="75"/>
        <v>0</v>
      </c>
      <c r="K169" s="2">
        <f t="shared" si="77"/>
        <v>0</v>
      </c>
      <c r="L169" s="24">
        <f t="shared" si="80"/>
        <v>0</v>
      </c>
      <c r="M169" s="25"/>
      <c r="N169" s="2">
        <f>ROUND(657388.6,2)</f>
        <v>657388.6</v>
      </c>
      <c r="O169" s="2">
        <f t="shared" si="81"/>
        <v>0</v>
      </c>
      <c r="P169" s="2">
        <f t="shared" si="78"/>
        <v>0</v>
      </c>
      <c r="Q169" s="24">
        <f t="shared" si="74"/>
        <v>0</v>
      </c>
      <c r="R169" s="25"/>
      <c r="S169" s="24">
        <f>ROUND(657388.6,2)</f>
        <v>657388.6</v>
      </c>
      <c r="T169" s="25"/>
      <c r="U169" s="26"/>
    </row>
    <row r="170" spans="1:21">
      <c r="A170" s="22" t="s">
        <v>311</v>
      </c>
      <c r="B170" s="23"/>
      <c r="C170" s="22" t="s">
        <v>312</v>
      </c>
      <c r="D170" s="23"/>
      <c r="E170" s="23"/>
      <c r="F170" s="23"/>
      <c r="G170" s="23"/>
      <c r="H170" s="2">
        <f t="shared" si="79"/>
        <v>0</v>
      </c>
      <c r="I170" s="2">
        <f t="shared" si="76"/>
        <v>0</v>
      </c>
      <c r="J170" s="2">
        <f t="shared" si="75"/>
        <v>0</v>
      </c>
      <c r="K170" s="2">
        <f t="shared" si="77"/>
        <v>0</v>
      </c>
      <c r="L170" s="24">
        <f t="shared" si="80"/>
        <v>0</v>
      </c>
      <c r="M170" s="25"/>
      <c r="N170" s="2">
        <f>ROUND(160000,2)</f>
        <v>160000</v>
      </c>
      <c r="O170" s="2">
        <f t="shared" si="81"/>
        <v>0</v>
      </c>
      <c r="P170" s="2">
        <f t="shared" si="78"/>
        <v>0</v>
      </c>
      <c r="Q170" s="24">
        <f t="shared" si="74"/>
        <v>0</v>
      </c>
      <c r="R170" s="25"/>
      <c r="S170" s="24">
        <f>ROUND(160000,2)</f>
        <v>160000</v>
      </c>
      <c r="T170" s="25"/>
      <c r="U170" s="26"/>
    </row>
    <row r="171" spans="1:21">
      <c r="A171" s="22" t="s">
        <v>313</v>
      </c>
      <c r="B171" s="23"/>
      <c r="C171" s="22" t="s">
        <v>314</v>
      </c>
      <c r="D171" s="23"/>
      <c r="E171" s="23"/>
      <c r="F171" s="23"/>
      <c r="G171" s="23"/>
      <c r="H171" s="2">
        <f t="shared" si="79"/>
        <v>0</v>
      </c>
      <c r="I171" s="2">
        <f t="shared" si="76"/>
        <v>0</v>
      </c>
      <c r="J171" s="2">
        <f t="shared" si="75"/>
        <v>0</v>
      </c>
      <c r="K171" s="2">
        <f t="shared" si="77"/>
        <v>0</v>
      </c>
      <c r="L171" s="24">
        <f t="shared" si="80"/>
        <v>0</v>
      </c>
      <c r="M171" s="25"/>
      <c r="N171" s="2">
        <f>ROUND(1259311.67,2)</f>
        <v>1259311.67</v>
      </c>
      <c r="O171" s="2">
        <f t="shared" si="81"/>
        <v>0</v>
      </c>
      <c r="P171" s="2">
        <f t="shared" si="78"/>
        <v>0</v>
      </c>
      <c r="Q171" s="24">
        <f t="shared" si="74"/>
        <v>0</v>
      </c>
      <c r="R171" s="25"/>
      <c r="S171" s="24">
        <f>ROUND(1259311.67,2)</f>
        <v>1259311.67</v>
      </c>
      <c r="T171" s="25"/>
      <c r="U171" s="26"/>
    </row>
    <row r="172" spans="1:21">
      <c r="A172" s="22" t="s">
        <v>315</v>
      </c>
      <c r="B172" s="23"/>
      <c r="C172" s="22" t="s">
        <v>316</v>
      </c>
      <c r="D172" s="23"/>
      <c r="E172" s="23"/>
      <c r="F172" s="23"/>
      <c r="G172" s="23"/>
      <c r="H172" s="2">
        <f t="shared" si="79"/>
        <v>0</v>
      </c>
      <c r="I172" s="2">
        <f t="shared" si="76"/>
        <v>0</v>
      </c>
      <c r="J172" s="2">
        <f t="shared" si="75"/>
        <v>0</v>
      </c>
      <c r="K172" s="2">
        <f t="shared" si="77"/>
        <v>0</v>
      </c>
      <c r="L172" s="24">
        <f t="shared" si="80"/>
        <v>0</v>
      </c>
      <c r="M172" s="25"/>
      <c r="N172" s="2">
        <f>ROUND(68151.69,2)</f>
        <v>68151.69</v>
      </c>
      <c r="O172" s="2">
        <f t="shared" si="81"/>
        <v>0</v>
      </c>
      <c r="P172" s="2">
        <f t="shared" si="78"/>
        <v>0</v>
      </c>
      <c r="Q172" s="24">
        <f t="shared" si="74"/>
        <v>0</v>
      </c>
      <c r="R172" s="25"/>
      <c r="S172" s="24">
        <f>ROUND(68151.69,2)</f>
        <v>68151.69</v>
      </c>
      <c r="T172" s="25"/>
      <c r="U172" s="26"/>
    </row>
    <row r="173" spans="1:21">
      <c r="A173" s="22" t="s">
        <v>317</v>
      </c>
      <c r="B173" s="23"/>
      <c r="C173" s="22" t="s">
        <v>318</v>
      </c>
      <c r="D173" s="23"/>
      <c r="E173" s="23"/>
      <c r="F173" s="23"/>
      <c r="G173" s="23"/>
      <c r="H173" s="2">
        <f t="shared" si="79"/>
        <v>0</v>
      </c>
      <c r="I173" s="2">
        <f t="shared" si="76"/>
        <v>0</v>
      </c>
      <c r="J173" s="2">
        <f t="shared" si="75"/>
        <v>0</v>
      </c>
      <c r="K173" s="2">
        <f t="shared" si="77"/>
        <v>0</v>
      </c>
      <c r="L173" s="24">
        <f t="shared" si="80"/>
        <v>0</v>
      </c>
      <c r="M173" s="25"/>
      <c r="N173" s="2">
        <f>ROUND(168775.56,2)</f>
        <v>168775.56</v>
      </c>
      <c r="O173" s="2">
        <f t="shared" si="81"/>
        <v>0</v>
      </c>
      <c r="P173" s="2">
        <f t="shared" si="78"/>
        <v>0</v>
      </c>
      <c r="Q173" s="24">
        <f t="shared" si="74"/>
        <v>0</v>
      </c>
      <c r="R173" s="25"/>
      <c r="S173" s="24">
        <f>ROUND(168775.56,2)</f>
        <v>168775.56</v>
      </c>
      <c r="T173" s="25"/>
      <c r="U173" s="26"/>
    </row>
    <row r="174" spans="1:21">
      <c r="A174" s="22" t="s">
        <v>319</v>
      </c>
      <c r="B174" s="23"/>
      <c r="C174" s="22" t="s">
        <v>320</v>
      </c>
      <c r="D174" s="23"/>
      <c r="E174" s="23"/>
      <c r="F174" s="23"/>
      <c r="G174" s="23"/>
      <c r="H174" s="2">
        <f t="shared" si="79"/>
        <v>0</v>
      </c>
      <c r="I174" s="2">
        <f t="shared" si="76"/>
        <v>0</v>
      </c>
      <c r="J174" s="2">
        <f t="shared" si="75"/>
        <v>0</v>
      </c>
      <c r="K174" s="2">
        <f>ROUND(80535,2)</f>
        <v>80535</v>
      </c>
      <c r="L174" s="24">
        <f t="shared" si="80"/>
        <v>0</v>
      </c>
      <c r="M174" s="25"/>
      <c r="N174" s="2">
        <f>ROUND(0,2)</f>
        <v>0</v>
      </c>
      <c r="O174" s="2">
        <f>ROUND(135000,2)</f>
        <v>135000</v>
      </c>
      <c r="P174" s="2">
        <f t="shared" si="78"/>
        <v>0</v>
      </c>
      <c r="Q174" s="24">
        <f t="shared" si="74"/>
        <v>0</v>
      </c>
      <c r="R174" s="25"/>
      <c r="S174" s="24">
        <f>ROUND(215535,2)</f>
        <v>215535</v>
      </c>
      <c r="T174" s="25"/>
      <c r="U174" s="26"/>
    </row>
    <row r="175" spans="1:21">
      <c r="A175" s="22" t="s">
        <v>321</v>
      </c>
      <c r="B175" s="23"/>
      <c r="C175" s="22" t="s">
        <v>322</v>
      </c>
      <c r="D175" s="23"/>
      <c r="E175" s="23"/>
      <c r="F175" s="23"/>
      <c r="G175" s="23"/>
      <c r="H175" s="2">
        <f t="shared" si="79"/>
        <v>0</v>
      </c>
      <c r="I175" s="2">
        <f t="shared" si="76"/>
        <v>0</v>
      </c>
      <c r="J175" s="2">
        <f t="shared" si="75"/>
        <v>0</v>
      </c>
      <c r="K175" s="2">
        <f t="shared" ref="K175:K190" si="82">ROUND(0,2)</f>
        <v>0</v>
      </c>
      <c r="L175" s="24">
        <f t="shared" si="80"/>
        <v>0</v>
      </c>
      <c r="M175" s="25"/>
      <c r="N175" s="2">
        <f>ROUND(293790.9,2)</f>
        <v>293790.90000000002</v>
      </c>
      <c r="O175" s="2">
        <f t="shared" ref="O175:O190" si="83">ROUND(0,2)</f>
        <v>0</v>
      </c>
      <c r="P175" s="2">
        <f t="shared" si="78"/>
        <v>0</v>
      </c>
      <c r="Q175" s="24">
        <f t="shared" ref="Q175:Q190" si="84">ROUND(0,2)</f>
        <v>0</v>
      </c>
      <c r="R175" s="25"/>
      <c r="S175" s="24">
        <f>ROUND(293790.9,2)</f>
        <v>293790.90000000002</v>
      </c>
      <c r="T175" s="25"/>
      <c r="U175" s="26"/>
    </row>
    <row r="176" spans="1:21">
      <c r="A176" s="22" t="s">
        <v>323</v>
      </c>
      <c r="B176" s="23"/>
      <c r="C176" s="22" t="s">
        <v>324</v>
      </c>
      <c r="D176" s="23"/>
      <c r="E176" s="23"/>
      <c r="F176" s="23"/>
      <c r="G176" s="23"/>
      <c r="H176" s="2">
        <f t="shared" si="79"/>
        <v>0</v>
      </c>
      <c r="I176" s="2">
        <f t="shared" si="76"/>
        <v>0</v>
      </c>
      <c r="J176" s="2">
        <f t="shared" ref="J176:J191" si="85">ROUND(0,2)</f>
        <v>0</v>
      </c>
      <c r="K176" s="2">
        <f t="shared" si="82"/>
        <v>0</v>
      </c>
      <c r="L176" s="24">
        <f t="shared" si="80"/>
        <v>0</v>
      </c>
      <c r="M176" s="25"/>
      <c r="N176" s="2">
        <f>ROUND(23375,2)</f>
        <v>23375</v>
      </c>
      <c r="O176" s="2">
        <f t="shared" si="83"/>
        <v>0</v>
      </c>
      <c r="P176" s="2">
        <f t="shared" si="78"/>
        <v>0</v>
      </c>
      <c r="Q176" s="24">
        <f t="shared" si="84"/>
        <v>0</v>
      </c>
      <c r="R176" s="25"/>
      <c r="S176" s="24">
        <f>ROUND(23375,2)</f>
        <v>23375</v>
      </c>
      <c r="T176" s="25"/>
      <c r="U176" s="26"/>
    </row>
    <row r="177" spans="1:21">
      <c r="A177" s="22" t="s">
        <v>325</v>
      </c>
      <c r="B177" s="23"/>
      <c r="C177" s="22" t="s">
        <v>326</v>
      </c>
      <c r="D177" s="23"/>
      <c r="E177" s="23"/>
      <c r="F177" s="23"/>
      <c r="G177" s="23"/>
      <c r="H177" s="2">
        <f t="shared" si="79"/>
        <v>0</v>
      </c>
      <c r="I177" s="2">
        <f t="shared" si="76"/>
        <v>0</v>
      </c>
      <c r="J177" s="2">
        <f t="shared" si="85"/>
        <v>0</v>
      </c>
      <c r="K177" s="2">
        <f t="shared" si="82"/>
        <v>0</v>
      </c>
      <c r="L177" s="24">
        <f t="shared" si="80"/>
        <v>0</v>
      </c>
      <c r="M177" s="25"/>
      <c r="N177" s="2">
        <f>ROUND(1611175.05,2)</f>
        <v>1611175.05</v>
      </c>
      <c r="O177" s="2">
        <f t="shared" si="83"/>
        <v>0</v>
      </c>
      <c r="P177" s="2">
        <f t="shared" si="78"/>
        <v>0</v>
      </c>
      <c r="Q177" s="24">
        <f t="shared" si="84"/>
        <v>0</v>
      </c>
      <c r="R177" s="25"/>
      <c r="S177" s="24">
        <f>ROUND(1611175.05,2)</f>
        <v>1611175.05</v>
      </c>
      <c r="T177" s="25"/>
      <c r="U177" s="26"/>
    </row>
    <row r="178" spans="1:21">
      <c r="A178" s="22" t="s">
        <v>327</v>
      </c>
      <c r="B178" s="23"/>
      <c r="C178" s="22" t="s">
        <v>328</v>
      </c>
      <c r="D178" s="23"/>
      <c r="E178" s="23"/>
      <c r="F178" s="23"/>
      <c r="G178" s="23"/>
      <c r="H178" s="2">
        <f t="shared" si="79"/>
        <v>0</v>
      </c>
      <c r="I178" s="2">
        <f t="shared" si="76"/>
        <v>0</v>
      </c>
      <c r="J178" s="2">
        <f t="shared" si="85"/>
        <v>0</v>
      </c>
      <c r="K178" s="2">
        <f t="shared" si="82"/>
        <v>0</v>
      </c>
      <c r="L178" s="24">
        <f t="shared" si="80"/>
        <v>0</v>
      </c>
      <c r="M178" s="25"/>
      <c r="N178" s="2">
        <f>ROUND(72435.6,2)</f>
        <v>72435.600000000006</v>
      </c>
      <c r="O178" s="2">
        <f t="shared" si="83"/>
        <v>0</v>
      </c>
      <c r="P178" s="2">
        <f t="shared" si="78"/>
        <v>0</v>
      </c>
      <c r="Q178" s="24">
        <f t="shared" si="84"/>
        <v>0</v>
      </c>
      <c r="R178" s="25"/>
      <c r="S178" s="24">
        <f>ROUND(72435.6,2)</f>
        <v>72435.600000000006</v>
      </c>
      <c r="T178" s="25"/>
      <c r="U178" s="26"/>
    </row>
    <row r="179" spans="1:21">
      <c r="A179" s="22" t="s">
        <v>329</v>
      </c>
      <c r="B179" s="23"/>
      <c r="C179" s="22" t="s">
        <v>330</v>
      </c>
      <c r="D179" s="23"/>
      <c r="E179" s="23"/>
      <c r="F179" s="23"/>
      <c r="G179" s="23"/>
      <c r="H179" s="2">
        <f>ROUND(1770000,2)</f>
        <v>1770000</v>
      </c>
      <c r="I179" s="2">
        <f>ROUND(0,2)</f>
        <v>0</v>
      </c>
      <c r="J179" s="2">
        <f t="shared" si="85"/>
        <v>0</v>
      </c>
      <c r="K179" s="2">
        <f t="shared" si="82"/>
        <v>0</v>
      </c>
      <c r="L179" s="24">
        <f t="shared" si="80"/>
        <v>0</v>
      </c>
      <c r="M179" s="25"/>
      <c r="N179" s="2">
        <f>ROUND(167774,2)</f>
        <v>167774</v>
      </c>
      <c r="O179" s="2">
        <f t="shared" si="83"/>
        <v>0</v>
      </c>
      <c r="P179" s="2">
        <f t="shared" si="78"/>
        <v>0</v>
      </c>
      <c r="Q179" s="24">
        <f t="shared" si="84"/>
        <v>0</v>
      </c>
      <c r="R179" s="25"/>
      <c r="S179" s="24">
        <f>ROUND(1937774,2)</f>
        <v>1937774</v>
      </c>
      <c r="T179" s="25"/>
      <c r="U179" s="26"/>
    </row>
    <row r="180" spans="1:21">
      <c r="A180" s="22" t="s">
        <v>331</v>
      </c>
      <c r="B180" s="23"/>
      <c r="C180" s="22" t="s">
        <v>332</v>
      </c>
      <c r="D180" s="23"/>
      <c r="E180" s="23"/>
      <c r="F180" s="23"/>
      <c r="G180" s="23"/>
      <c r="H180" s="2">
        <f>ROUND(0,2)</f>
        <v>0</v>
      </c>
      <c r="I180" s="2">
        <f>ROUND(0,2)</f>
        <v>0</v>
      </c>
      <c r="J180" s="2">
        <f t="shared" si="85"/>
        <v>0</v>
      </c>
      <c r="K180" s="2">
        <f t="shared" si="82"/>
        <v>0</v>
      </c>
      <c r="L180" s="24">
        <f t="shared" si="80"/>
        <v>0</v>
      </c>
      <c r="M180" s="25"/>
      <c r="N180" s="2">
        <f>ROUND(159434.02,2)</f>
        <v>159434.01999999999</v>
      </c>
      <c r="O180" s="2">
        <f t="shared" si="83"/>
        <v>0</v>
      </c>
      <c r="P180" s="2">
        <f t="shared" si="78"/>
        <v>0</v>
      </c>
      <c r="Q180" s="24">
        <f t="shared" si="84"/>
        <v>0</v>
      </c>
      <c r="R180" s="25"/>
      <c r="S180" s="24">
        <f>ROUND(159434.02,2)</f>
        <v>159434.01999999999</v>
      </c>
      <c r="T180" s="25"/>
      <c r="U180" s="26"/>
    </row>
    <row r="181" spans="1:21">
      <c r="A181" s="22" t="s">
        <v>333</v>
      </c>
      <c r="B181" s="23"/>
      <c r="C181" s="22" t="s">
        <v>334</v>
      </c>
      <c r="D181" s="23"/>
      <c r="E181" s="23"/>
      <c r="F181" s="23"/>
      <c r="G181" s="23"/>
      <c r="H181" s="2">
        <f t="shared" ref="H181:H195" si="86">ROUND(0,2)</f>
        <v>0</v>
      </c>
      <c r="I181" s="2">
        <f>ROUND(30000,2)</f>
        <v>30000</v>
      </c>
      <c r="J181" s="2">
        <f t="shared" si="85"/>
        <v>0</v>
      </c>
      <c r="K181" s="2">
        <f t="shared" si="82"/>
        <v>0</v>
      </c>
      <c r="L181" s="24">
        <f t="shared" si="80"/>
        <v>0</v>
      </c>
      <c r="M181" s="25"/>
      <c r="N181" s="2">
        <f>ROUND(0,2)</f>
        <v>0</v>
      </c>
      <c r="O181" s="2">
        <f t="shared" si="83"/>
        <v>0</v>
      </c>
      <c r="P181" s="2">
        <f t="shared" si="78"/>
        <v>0</v>
      </c>
      <c r="Q181" s="24">
        <f t="shared" si="84"/>
        <v>0</v>
      </c>
      <c r="R181" s="25"/>
      <c r="S181" s="24">
        <f>ROUND(30000,2)</f>
        <v>30000</v>
      </c>
      <c r="T181" s="25"/>
      <c r="U181" s="26"/>
    </row>
    <row r="182" spans="1:21">
      <c r="A182" s="22" t="s">
        <v>335</v>
      </c>
      <c r="B182" s="23"/>
      <c r="C182" s="22" t="s">
        <v>336</v>
      </c>
      <c r="D182" s="23"/>
      <c r="E182" s="23"/>
      <c r="F182" s="23"/>
      <c r="G182" s="23"/>
      <c r="H182" s="2">
        <f t="shared" si="86"/>
        <v>0</v>
      </c>
      <c r="I182" s="2">
        <f t="shared" ref="I182:I197" si="87">ROUND(0,2)</f>
        <v>0</v>
      </c>
      <c r="J182" s="2">
        <f t="shared" si="85"/>
        <v>0</v>
      </c>
      <c r="K182" s="2">
        <f t="shared" si="82"/>
        <v>0</v>
      </c>
      <c r="L182" s="24">
        <f t="shared" si="80"/>
        <v>0</v>
      </c>
      <c r="M182" s="25"/>
      <c r="N182" s="2">
        <f>ROUND(840787.46,2)</f>
        <v>840787.46</v>
      </c>
      <c r="O182" s="2">
        <f t="shared" si="83"/>
        <v>0</v>
      </c>
      <c r="P182" s="2">
        <f t="shared" ref="P182:P197" si="88">ROUND(0,2)</f>
        <v>0</v>
      </c>
      <c r="Q182" s="24">
        <f t="shared" si="84"/>
        <v>0</v>
      </c>
      <c r="R182" s="25"/>
      <c r="S182" s="24">
        <f>ROUND(840787.46,2)</f>
        <v>840787.46</v>
      </c>
      <c r="T182" s="25"/>
      <c r="U182" s="26"/>
    </row>
    <row r="183" spans="1:21">
      <c r="A183" s="22" t="s">
        <v>337</v>
      </c>
      <c r="B183" s="23"/>
      <c r="C183" s="22" t="s">
        <v>338</v>
      </c>
      <c r="D183" s="23"/>
      <c r="E183" s="23"/>
      <c r="F183" s="23"/>
      <c r="G183" s="23"/>
      <c r="H183" s="2">
        <f t="shared" si="86"/>
        <v>0</v>
      </c>
      <c r="I183" s="2">
        <f t="shared" si="87"/>
        <v>0</v>
      </c>
      <c r="J183" s="2">
        <f t="shared" si="85"/>
        <v>0</v>
      </c>
      <c r="K183" s="2">
        <f t="shared" si="82"/>
        <v>0</v>
      </c>
      <c r="L183" s="24">
        <f t="shared" si="80"/>
        <v>0</v>
      </c>
      <c r="M183" s="25"/>
      <c r="N183" s="2">
        <f>ROUND(100000,2)</f>
        <v>100000</v>
      </c>
      <c r="O183" s="2">
        <f t="shared" si="83"/>
        <v>0</v>
      </c>
      <c r="P183" s="2">
        <f t="shared" si="88"/>
        <v>0</v>
      </c>
      <c r="Q183" s="24">
        <f t="shared" si="84"/>
        <v>0</v>
      </c>
      <c r="R183" s="25"/>
      <c r="S183" s="24">
        <f>ROUND(100000,2)</f>
        <v>100000</v>
      </c>
      <c r="T183" s="25"/>
      <c r="U183" s="26"/>
    </row>
    <row r="184" spans="1:21">
      <c r="A184" s="22" t="s">
        <v>339</v>
      </c>
      <c r="B184" s="23"/>
      <c r="C184" s="22" t="s">
        <v>340</v>
      </c>
      <c r="D184" s="23"/>
      <c r="E184" s="23"/>
      <c r="F184" s="23"/>
      <c r="G184" s="23"/>
      <c r="H184" s="2">
        <f t="shared" si="86"/>
        <v>0</v>
      </c>
      <c r="I184" s="2">
        <f t="shared" si="87"/>
        <v>0</v>
      </c>
      <c r="J184" s="2">
        <f t="shared" si="85"/>
        <v>0</v>
      </c>
      <c r="K184" s="2">
        <f t="shared" si="82"/>
        <v>0</v>
      </c>
      <c r="L184" s="24">
        <f t="shared" ref="L184:L197" si="89">ROUND(0,2)</f>
        <v>0</v>
      </c>
      <c r="M184" s="25"/>
      <c r="N184" s="2">
        <f>ROUND(2221406.68,2)</f>
        <v>2221406.6800000002</v>
      </c>
      <c r="O184" s="2">
        <f t="shared" si="83"/>
        <v>0</v>
      </c>
      <c r="P184" s="2">
        <f t="shared" si="88"/>
        <v>0</v>
      </c>
      <c r="Q184" s="24">
        <f t="shared" si="84"/>
        <v>0</v>
      </c>
      <c r="R184" s="25"/>
      <c r="S184" s="24">
        <f>ROUND(2221406.68,2)</f>
        <v>2221406.6800000002</v>
      </c>
      <c r="T184" s="25"/>
      <c r="U184" s="26"/>
    </row>
    <row r="185" spans="1:21">
      <c r="A185" s="22" t="s">
        <v>341</v>
      </c>
      <c r="B185" s="23"/>
      <c r="C185" s="22" t="s">
        <v>342</v>
      </c>
      <c r="D185" s="23"/>
      <c r="E185" s="23"/>
      <c r="F185" s="23"/>
      <c r="G185" s="23"/>
      <c r="H185" s="2">
        <f t="shared" si="86"/>
        <v>0</v>
      </c>
      <c r="I185" s="2">
        <f t="shared" si="87"/>
        <v>0</v>
      </c>
      <c r="J185" s="2">
        <f t="shared" si="85"/>
        <v>0</v>
      </c>
      <c r="K185" s="2">
        <f t="shared" si="82"/>
        <v>0</v>
      </c>
      <c r="L185" s="24">
        <f t="shared" si="89"/>
        <v>0</v>
      </c>
      <c r="M185" s="25"/>
      <c r="N185" s="2">
        <f>ROUND(101303.35,2)</f>
        <v>101303.35</v>
      </c>
      <c r="O185" s="2">
        <f t="shared" si="83"/>
        <v>0</v>
      </c>
      <c r="P185" s="2">
        <f t="shared" si="88"/>
        <v>0</v>
      </c>
      <c r="Q185" s="24">
        <f t="shared" si="84"/>
        <v>0</v>
      </c>
      <c r="R185" s="25"/>
      <c r="S185" s="24">
        <f>ROUND(101303.35,2)</f>
        <v>101303.35</v>
      </c>
      <c r="T185" s="25"/>
      <c r="U185" s="26"/>
    </row>
    <row r="186" spans="1:21">
      <c r="A186" s="22" t="s">
        <v>341</v>
      </c>
      <c r="B186" s="23"/>
      <c r="C186" s="22" t="s">
        <v>342</v>
      </c>
      <c r="D186" s="23"/>
      <c r="E186" s="23"/>
      <c r="F186" s="23"/>
      <c r="G186" s="23"/>
      <c r="H186" s="2">
        <f t="shared" si="86"/>
        <v>0</v>
      </c>
      <c r="I186" s="2">
        <f t="shared" si="87"/>
        <v>0</v>
      </c>
      <c r="J186" s="2">
        <f t="shared" si="85"/>
        <v>0</v>
      </c>
      <c r="K186" s="2">
        <f t="shared" si="82"/>
        <v>0</v>
      </c>
      <c r="L186" s="24">
        <f t="shared" si="89"/>
        <v>0</v>
      </c>
      <c r="M186" s="25"/>
      <c r="N186" s="2">
        <f>ROUND(30612.42,2)</f>
        <v>30612.42</v>
      </c>
      <c r="O186" s="2">
        <f t="shared" si="83"/>
        <v>0</v>
      </c>
      <c r="P186" s="2">
        <f t="shared" si="88"/>
        <v>0</v>
      </c>
      <c r="Q186" s="24">
        <f t="shared" si="84"/>
        <v>0</v>
      </c>
      <c r="R186" s="25"/>
      <c r="S186" s="24">
        <f>ROUND(30612.42,2)</f>
        <v>30612.42</v>
      </c>
      <c r="T186" s="25"/>
      <c r="U186" s="26"/>
    </row>
    <row r="187" spans="1:21">
      <c r="A187" s="22" t="s">
        <v>343</v>
      </c>
      <c r="B187" s="23"/>
      <c r="C187" s="22" t="s">
        <v>344</v>
      </c>
      <c r="D187" s="23"/>
      <c r="E187" s="23"/>
      <c r="F187" s="23"/>
      <c r="G187" s="23"/>
      <c r="H187" s="2">
        <f t="shared" si="86"/>
        <v>0</v>
      </c>
      <c r="I187" s="2">
        <f t="shared" si="87"/>
        <v>0</v>
      </c>
      <c r="J187" s="2">
        <f t="shared" si="85"/>
        <v>0</v>
      </c>
      <c r="K187" s="2">
        <f t="shared" si="82"/>
        <v>0</v>
      </c>
      <c r="L187" s="24">
        <f t="shared" si="89"/>
        <v>0</v>
      </c>
      <c r="M187" s="25"/>
      <c r="N187" s="2">
        <f>ROUND(198026.52,2)</f>
        <v>198026.52</v>
      </c>
      <c r="O187" s="2">
        <f t="shared" si="83"/>
        <v>0</v>
      </c>
      <c r="P187" s="2">
        <f t="shared" si="88"/>
        <v>0</v>
      </c>
      <c r="Q187" s="24">
        <f t="shared" si="84"/>
        <v>0</v>
      </c>
      <c r="R187" s="25"/>
      <c r="S187" s="24">
        <f>ROUND(198026.52,2)</f>
        <v>198026.52</v>
      </c>
      <c r="T187" s="25"/>
      <c r="U187" s="26"/>
    </row>
    <row r="188" spans="1:21">
      <c r="A188" s="22" t="s">
        <v>345</v>
      </c>
      <c r="B188" s="23"/>
      <c r="C188" s="22" t="s">
        <v>346</v>
      </c>
      <c r="D188" s="23"/>
      <c r="E188" s="23"/>
      <c r="F188" s="23"/>
      <c r="G188" s="23"/>
      <c r="H188" s="2">
        <f t="shared" si="86"/>
        <v>0</v>
      </c>
      <c r="I188" s="2">
        <f t="shared" si="87"/>
        <v>0</v>
      </c>
      <c r="J188" s="2">
        <f t="shared" si="85"/>
        <v>0</v>
      </c>
      <c r="K188" s="2">
        <f t="shared" si="82"/>
        <v>0</v>
      </c>
      <c r="L188" s="24">
        <f t="shared" si="89"/>
        <v>0</v>
      </c>
      <c r="M188" s="25"/>
      <c r="N188" s="2">
        <f>ROUND(30000,2)</f>
        <v>30000</v>
      </c>
      <c r="O188" s="2">
        <f t="shared" si="83"/>
        <v>0</v>
      </c>
      <c r="P188" s="2">
        <f t="shared" si="88"/>
        <v>0</v>
      </c>
      <c r="Q188" s="24">
        <f t="shared" si="84"/>
        <v>0</v>
      </c>
      <c r="R188" s="25"/>
      <c r="S188" s="24">
        <f>ROUND(30000,2)</f>
        <v>30000</v>
      </c>
      <c r="T188" s="25"/>
      <c r="U188" s="26"/>
    </row>
    <row r="189" spans="1:21">
      <c r="A189" s="22" t="s">
        <v>347</v>
      </c>
      <c r="B189" s="23"/>
      <c r="C189" s="22" t="s">
        <v>348</v>
      </c>
      <c r="D189" s="23"/>
      <c r="E189" s="23"/>
      <c r="F189" s="23"/>
      <c r="G189" s="23"/>
      <c r="H189" s="2">
        <f t="shared" si="86"/>
        <v>0</v>
      </c>
      <c r="I189" s="2">
        <f t="shared" si="87"/>
        <v>0</v>
      </c>
      <c r="J189" s="2">
        <f t="shared" si="85"/>
        <v>0</v>
      </c>
      <c r="K189" s="2">
        <f t="shared" si="82"/>
        <v>0</v>
      </c>
      <c r="L189" s="24">
        <f t="shared" si="89"/>
        <v>0</v>
      </c>
      <c r="M189" s="25"/>
      <c r="N189" s="2">
        <f>ROUND(30250,2)</f>
        <v>30250</v>
      </c>
      <c r="O189" s="2">
        <f t="shared" si="83"/>
        <v>0</v>
      </c>
      <c r="P189" s="2">
        <f t="shared" si="88"/>
        <v>0</v>
      </c>
      <c r="Q189" s="24">
        <f t="shared" si="84"/>
        <v>0</v>
      </c>
      <c r="R189" s="25"/>
      <c r="S189" s="24">
        <f>ROUND(30250,2)</f>
        <v>30250</v>
      </c>
      <c r="T189" s="25"/>
      <c r="U189" s="26"/>
    </row>
    <row r="190" spans="1:21">
      <c r="A190" s="22" t="s">
        <v>349</v>
      </c>
      <c r="B190" s="23"/>
      <c r="C190" s="22" t="s">
        <v>350</v>
      </c>
      <c r="D190" s="23"/>
      <c r="E190" s="23"/>
      <c r="F190" s="23"/>
      <c r="G190" s="23"/>
      <c r="H190" s="2">
        <f t="shared" si="86"/>
        <v>0</v>
      </c>
      <c r="I190" s="2">
        <f t="shared" si="87"/>
        <v>0</v>
      </c>
      <c r="J190" s="2">
        <f t="shared" si="85"/>
        <v>0</v>
      </c>
      <c r="K190" s="2">
        <f t="shared" si="82"/>
        <v>0</v>
      </c>
      <c r="L190" s="24">
        <f t="shared" si="89"/>
        <v>0</v>
      </c>
      <c r="M190" s="25"/>
      <c r="N190" s="2">
        <f>ROUND(82704.86,2)</f>
        <v>82704.86</v>
      </c>
      <c r="O190" s="2">
        <f t="shared" si="83"/>
        <v>0</v>
      </c>
      <c r="P190" s="2">
        <f t="shared" si="88"/>
        <v>0</v>
      </c>
      <c r="Q190" s="24">
        <f t="shared" si="84"/>
        <v>0</v>
      </c>
      <c r="R190" s="25"/>
      <c r="S190" s="24">
        <f>ROUND(82704.86,2)</f>
        <v>82704.86</v>
      </c>
      <c r="T190" s="25"/>
      <c r="U190" s="26"/>
    </row>
    <row r="191" spans="1:21">
      <c r="A191" s="22" t="s">
        <v>351</v>
      </c>
      <c r="B191" s="23"/>
      <c r="C191" s="22" t="s">
        <v>352</v>
      </c>
      <c r="D191" s="23"/>
      <c r="E191" s="23"/>
      <c r="F191" s="23"/>
      <c r="G191" s="23"/>
      <c r="H191" s="2">
        <f t="shared" si="86"/>
        <v>0</v>
      </c>
      <c r="I191" s="2">
        <f t="shared" si="87"/>
        <v>0</v>
      </c>
      <c r="J191" s="2">
        <f t="shared" si="85"/>
        <v>0</v>
      </c>
      <c r="K191" s="2">
        <f>ROUND(0,2)</f>
        <v>0</v>
      </c>
      <c r="L191" s="24">
        <f t="shared" si="89"/>
        <v>0</v>
      </c>
      <c r="M191" s="25"/>
      <c r="N191" s="2">
        <f>ROUND(5716.23,2)</f>
        <v>5716.23</v>
      </c>
      <c r="O191" s="2">
        <f t="shared" ref="O191:O196" si="90">ROUND(0,2)</f>
        <v>0</v>
      </c>
      <c r="P191" s="2">
        <f t="shared" si="88"/>
        <v>0</v>
      </c>
      <c r="Q191" s="24">
        <f t="shared" ref="Q191:Q206" si="91">ROUND(0,2)</f>
        <v>0</v>
      </c>
      <c r="R191" s="25"/>
      <c r="S191" s="24">
        <f>ROUND(5716.23,2)</f>
        <v>5716.23</v>
      </c>
      <c r="T191" s="25"/>
      <c r="U191" s="26"/>
    </row>
    <row r="192" spans="1:21">
      <c r="A192" s="22" t="s">
        <v>353</v>
      </c>
      <c r="B192" s="23"/>
      <c r="C192" s="22" t="s">
        <v>354</v>
      </c>
      <c r="D192" s="23"/>
      <c r="E192" s="23"/>
      <c r="F192" s="23"/>
      <c r="G192" s="23"/>
      <c r="H192" s="2">
        <f t="shared" si="86"/>
        <v>0</v>
      </c>
      <c r="I192" s="2">
        <f t="shared" si="87"/>
        <v>0</v>
      </c>
      <c r="J192" s="2">
        <f t="shared" ref="J192:K196" si="92">ROUND(0,2)</f>
        <v>0</v>
      </c>
      <c r="K192" s="2">
        <f t="shared" si="92"/>
        <v>0</v>
      </c>
      <c r="L192" s="24">
        <f t="shared" si="89"/>
        <v>0</v>
      </c>
      <c r="M192" s="25"/>
      <c r="N192" s="2">
        <f>ROUND(5066.91,2)</f>
        <v>5066.91</v>
      </c>
      <c r="O192" s="2">
        <f t="shared" si="90"/>
        <v>0</v>
      </c>
      <c r="P192" s="2">
        <f t="shared" si="88"/>
        <v>0</v>
      </c>
      <c r="Q192" s="24">
        <f t="shared" si="91"/>
        <v>0</v>
      </c>
      <c r="R192" s="25"/>
      <c r="S192" s="24">
        <f>ROUND(5066.91,2)</f>
        <v>5066.91</v>
      </c>
      <c r="T192" s="25"/>
      <c r="U192" s="26"/>
    </row>
    <row r="193" spans="1:21">
      <c r="A193" s="22" t="s">
        <v>355</v>
      </c>
      <c r="B193" s="23"/>
      <c r="C193" s="22" t="s">
        <v>356</v>
      </c>
      <c r="D193" s="23"/>
      <c r="E193" s="23"/>
      <c r="F193" s="23"/>
      <c r="G193" s="23"/>
      <c r="H193" s="2">
        <f t="shared" si="86"/>
        <v>0</v>
      </c>
      <c r="I193" s="2">
        <f t="shared" si="87"/>
        <v>0</v>
      </c>
      <c r="J193" s="2">
        <f t="shared" si="92"/>
        <v>0</v>
      </c>
      <c r="K193" s="2">
        <f t="shared" si="92"/>
        <v>0</v>
      </c>
      <c r="L193" s="24">
        <f t="shared" si="89"/>
        <v>0</v>
      </c>
      <c r="M193" s="25"/>
      <c r="N193" s="2">
        <f>ROUND(5232.5,2)</f>
        <v>5232.5</v>
      </c>
      <c r="O193" s="2">
        <f t="shared" si="90"/>
        <v>0</v>
      </c>
      <c r="P193" s="2">
        <f t="shared" si="88"/>
        <v>0</v>
      </c>
      <c r="Q193" s="24">
        <f t="shared" si="91"/>
        <v>0</v>
      </c>
      <c r="R193" s="25"/>
      <c r="S193" s="24">
        <f>ROUND(5232.5,2)</f>
        <v>5232.5</v>
      </c>
      <c r="T193" s="25"/>
      <c r="U193" s="26"/>
    </row>
    <row r="194" spans="1:21">
      <c r="A194" s="22" t="s">
        <v>357</v>
      </c>
      <c r="B194" s="23"/>
      <c r="C194" s="22" t="s">
        <v>358</v>
      </c>
      <c r="D194" s="23"/>
      <c r="E194" s="23"/>
      <c r="F194" s="23"/>
      <c r="G194" s="23"/>
      <c r="H194" s="2">
        <f t="shared" si="86"/>
        <v>0</v>
      </c>
      <c r="I194" s="2">
        <f t="shared" si="87"/>
        <v>0</v>
      </c>
      <c r="J194" s="2">
        <f t="shared" si="92"/>
        <v>0</v>
      </c>
      <c r="K194" s="2">
        <f t="shared" si="92"/>
        <v>0</v>
      </c>
      <c r="L194" s="24">
        <f t="shared" si="89"/>
        <v>0</v>
      </c>
      <c r="M194" s="25"/>
      <c r="N194" s="2">
        <f>ROUND(121485.83,2)</f>
        <v>121485.83</v>
      </c>
      <c r="O194" s="2">
        <f t="shared" si="90"/>
        <v>0</v>
      </c>
      <c r="P194" s="2">
        <f t="shared" si="88"/>
        <v>0</v>
      </c>
      <c r="Q194" s="24">
        <f t="shared" si="91"/>
        <v>0</v>
      </c>
      <c r="R194" s="25"/>
      <c r="S194" s="24">
        <f>ROUND(121485.83,2)</f>
        <v>121485.83</v>
      </c>
      <c r="T194" s="25"/>
      <c r="U194" s="26"/>
    </row>
    <row r="195" spans="1:21">
      <c r="A195" s="22" t="s">
        <v>357</v>
      </c>
      <c r="B195" s="23"/>
      <c r="C195" s="22" t="s">
        <v>358</v>
      </c>
      <c r="D195" s="23"/>
      <c r="E195" s="23"/>
      <c r="F195" s="23"/>
      <c r="G195" s="23"/>
      <c r="H195" s="2">
        <f t="shared" si="86"/>
        <v>0</v>
      </c>
      <c r="I195" s="2">
        <f t="shared" si="87"/>
        <v>0</v>
      </c>
      <c r="J195" s="2">
        <f t="shared" si="92"/>
        <v>0</v>
      </c>
      <c r="K195" s="2">
        <f t="shared" si="92"/>
        <v>0</v>
      </c>
      <c r="L195" s="24">
        <f t="shared" si="89"/>
        <v>0</v>
      </c>
      <c r="M195" s="25"/>
      <c r="N195" s="2">
        <f>ROUND(60721.02,2)</f>
        <v>60721.02</v>
      </c>
      <c r="O195" s="2">
        <f t="shared" si="90"/>
        <v>0</v>
      </c>
      <c r="P195" s="2">
        <f t="shared" si="88"/>
        <v>0</v>
      </c>
      <c r="Q195" s="24">
        <f t="shared" si="91"/>
        <v>0</v>
      </c>
      <c r="R195" s="25"/>
      <c r="S195" s="24">
        <f>ROUND(60721.02,2)</f>
        <v>60721.02</v>
      </c>
      <c r="T195" s="25"/>
      <c r="U195" s="26"/>
    </row>
    <row r="196" spans="1:21">
      <c r="A196" s="22" t="s">
        <v>359</v>
      </c>
      <c r="B196" s="23"/>
      <c r="C196" s="22" t="s">
        <v>360</v>
      </c>
      <c r="D196" s="23"/>
      <c r="E196" s="23"/>
      <c r="F196" s="23"/>
      <c r="G196" s="23"/>
      <c r="H196" s="2">
        <f>ROUND(2881.61,2)</f>
        <v>2881.61</v>
      </c>
      <c r="I196" s="2">
        <f t="shared" si="87"/>
        <v>0</v>
      </c>
      <c r="J196" s="2">
        <f t="shared" si="92"/>
        <v>0</v>
      </c>
      <c r="K196" s="2">
        <f t="shared" si="92"/>
        <v>0</v>
      </c>
      <c r="L196" s="24">
        <f t="shared" si="89"/>
        <v>0</v>
      </c>
      <c r="M196" s="25"/>
      <c r="N196" s="2">
        <f>ROUND(10569.77,2)</f>
        <v>10569.77</v>
      </c>
      <c r="O196" s="2">
        <f t="shared" si="90"/>
        <v>0</v>
      </c>
      <c r="P196" s="2">
        <f t="shared" si="88"/>
        <v>0</v>
      </c>
      <c r="Q196" s="24">
        <f t="shared" si="91"/>
        <v>0</v>
      </c>
      <c r="R196" s="25"/>
      <c r="S196" s="24">
        <f>ROUND(13451.38,2)</f>
        <v>13451.38</v>
      </c>
      <c r="T196" s="25"/>
      <c r="U196" s="26"/>
    </row>
    <row r="197" spans="1:21">
      <c r="A197" s="22" t="s">
        <v>361</v>
      </c>
      <c r="B197" s="23"/>
      <c r="C197" s="22" t="s">
        <v>362</v>
      </c>
      <c r="D197" s="23"/>
      <c r="E197" s="23"/>
      <c r="F197" s="23"/>
      <c r="G197" s="23"/>
      <c r="H197" s="2">
        <f>ROUND(0,2)</f>
        <v>0</v>
      </c>
      <c r="I197" s="2">
        <f t="shared" si="87"/>
        <v>0</v>
      </c>
      <c r="J197" s="2">
        <f t="shared" ref="J197:J212" si="93">ROUND(0,2)</f>
        <v>0</v>
      </c>
      <c r="K197" s="2">
        <f>ROUND(1890.16,2)</f>
        <v>1890.16</v>
      </c>
      <c r="L197" s="24">
        <f t="shared" si="89"/>
        <v>0</v>
      </c>
      <c r="M197" s="25"/>
      <c r="N197" s="2">
        <f>ROUND(0,2)</f>
        <v>0</v>
      </c>
      <c r="O197" s="2">
        <f>ROUND(10,2)</f>
        <v>10</v>
      </c>
      <c r="P197" s="2">
        <f t="shared" si="88"/>
        <v>0</v>
      </c>
      <c r="Q197" s="24">
        <f t="shared" si="91"/>
        <v>0</v>
      </c>
      <c r="R197" s="25"/>
      <c r="S197" s="24">
        <f>ROUND(1900.16,2)</f>
        <v>1900.16</v>
      </c>
      <c r="T197" s="25"/>
      <c r="U197" s="26"/>
    </row>
    <row r="198" spans="1:21">
      <c r="A198" s="22" t="s">
        <v>363</v>
      </c>
      <c r="B198" s="23"/>
      <c r="C198" s="22" t="s">
        <v>364</v>
      </c>
      <c r="D198" s="23"/>
      <c r="E198" s="23"/>
      <c r="F198" s="23"/>
      <c r="G198" s="23"/>
      <c r="H198" s="2">
        <f>ROUND(0,2)</f>
        <v>0</v>
      </c>
      <c r="I198" s="2">
        <f>ROUND(0,2)</f>
        <v>0</v>
      </c>
      <c r="J198" s="2">
        <f t="shared" si="93"/>
        <v>0</v>
      </c>
      <c r="K198" s="2">
        <f>ROUND(0,2)</f>
        <v>0</v>
      </c>
      <c r="L198" s="24">
        <f>ROUND(25000,2)</f>
        <v>25000</v>
      </c>
      <c r="M198" s="25"/>
      <c r="N198" s="2">
        <f>ROUND(0,2)</f>
        <v>0</v>
      </c>
      <c r="O198" s="2">
        <f>ROUND(0,2)</f>
        <v>0</v>
      </c>
      <c r="P198" s="2">
        <f t="shared" ref="P198:P207" si="94">ROUND(0,2)</f>
        <v>0</v>
      </c>
      <c r="Q198" s="24">
        <f t="shared" si="91"/>
        <v>0</v>
      </c>
      <c r="R198" s="25"/>
      <c r="S198" s="24">
        <f>ROUND(-25000,2)</f>
        <v>-25000</v>
      </c>
      <c r="T198" s="25"/>
      <c r="U198" s="26"/>
    </row>
    <row r="199" spans="1:21">
      <c r="A199" s="22" t="s">
        <v>365</v>
      </c>
      <c r="B199" s="23"/>
      <c r="C199" s="22" t="s">
        <v>366</v>
      </c>
      <c r="D199" s="23"/>
      <c r="E199" s="23"/>
      <c r="F199" s="23"/>
      <c r="G199" s="23"/>
      <c r="H199" s="2">
        <f>ROUND(0,2)</f>
        <v>0</v>
      </c>
      <c r="I199" s="2">
        <f>ROUND(18000,2)</f>
        <v>18000</v>
      </c>
      <c r="J199" s="2">
        <f t="shared" si="93"/>
        <v>0</v>
      </c>
      <c r="K199" s="2">
        <f t="shared" ref="K199:L202" si="95">ROUND(0,2)</f>
        <v>0</v>
      </c>
      <c r="L199" s="24">
        <f t="shared" si="95"/>
        <v>0</v>
      </c>
      <c r="M199" s="25"/>
      <c r="N199" s="2">
        <f>ROUND(0,2)</f>
        <v>0</v>
      </c>
      <c r="O199" s="2">
        <f>ROUND(32375.2,2)</f>
        <v>32375.200000000001</v>
      </c>
      <c r="P199" s="2">
        <f t="shared" si="94"/>
        <v>0</v>
      </c>
      <c r="Q199" s="24">
        <f t="shared" si="91"/>
        <v>0</v>
      </c>
      <c r="R199" s="25"/>
      <c r="S199" s="24">
        <f>ROUND(50375.2,2)</f>
        <v>50375.199999999997</v>
      </c>
      <c r="T199" s="25"/>
      <c r="U199" s="26"/>
    </row>
    <row r="200" spans="1:21">
      <c r="A200" s="22" t="s">
        <v>365</v>
      </c>
      <c r="B200" s="23"/>
      <c r="C200" s="22" t="s">
        <v>366</v>
      </c>
      <c r="D200" s="23"/>
      <c r="E200" s="23"/>
      <c r="F200" s="23"/>
      <c r="G200" s="23"/>
      <c r="H200" s="2">
        <f>ROUND(0,2)</f>
        <v>0</v>
      </c>
      <c r="I200" s="2">
        <f>ROUND(0,2)</f>
        <v>0</v>
      </c>
      <c r="J200" s="2">
        <f t="shared" si="93"/>
        <v>0</v>
      </c>
      <c r="K200" s="2">
        <f t="shared" si="95"/>
        <v>0</v>
      </c>
      <c r="L200" s="24">
        <f t="shared" si="95"/>
        <v>0</v>
      </c>
      <c r="M200" s="25"/>
      <c r="N200" s="2">
        <f>ROUND(41701.74,2)</f>
        <v>41701.74</v>
      </c>
      <c r="O200" s="2">
        <f t="shared" ref="O200:O207" si="96">ROUND(0,2)</f>
        <v>0</v>
      </c>
      <c r="P200" s="2">
        <f t="shared" si="94"/>
        <v>0</v>
      </c>
      <c r="Q200" s="24">
        <f t="shared" si="91"/>
        <v>0</v>
      </c>
      <c r="R200" s="25"/>
      <c r="S200" s="24">
        <f>ROUND(41701.74,2)</f>
        <v>41701.74</v>
      </c>
      <c r="T200" s="25"/>
      <c r="U200" s="26"/>
    </row>
    <row r="201" spans="1:21">
      <c r="A201" s="22" t="s">
        <v>367</v>
      </c>
      <c r="B201" s="23"/>
      <c r="C201" s="22" t="s">
        <v>368</v>
      </c>
      <c r="D201" s="23"/>
      <c r="E201" s="23"/>
      <c r="F201" s="23"/>
      <c r="G201" s="23"/>
      <c r="H201" s="2">
        <f>ROUND(10000,2)</f>
        <v>10000</v>
      </c>
      <c r="I201" s="2">
        <f>ROUND(0,2)</f>
        <v>0</v>
      </c>
      <c r="J201" s="2">
        <f t="shared" si="93"/>
        <v>0</v>
      </c>
      <c r="K201" s="2">
        <f t="shared" si="95"/>
        <v>0</v>
      </c>
      <c r="L201" s="24">
        <f t="shared" si="95"/>
        <v>0</v>
      </c>
      <c r="M201" s="25"/>
      <c r="N201" s="2">
        <f>ROUND(0,2)</f>
        <v>0</v>
      </c>
      <c r="O201" s="2">
        <f t="shared" si="96"/>
        <v>0</v>
      </c>
      <c r="P201" s="2">
        <f t="shared" si="94"/>
        <v>0</v>
      </c>
      <c r="Q201" s="24">
        <f t="shared" si="91"/>
        <v>0</v>
      </c>
      <c r="R201" s="25"/>
      <c r="S201" s="24">
        <f>ROUND(10000,2)</f>
        <v>10000</v>
      </c>
      <c r="T201" s="25"/>
      <c r="U201" s="26"/>
    </row>
    <row r="202" spans="1:21">
      <c r="A202" s="22" t="s">
        <v>369</v>
      </c>
      <c r="B202" s="23"/>
      <c r="C202" s="22" t="s">
        <v>370</v>
      </c>
      <c r="D202" s="23"/>
      <c r="E202" s="23"/>
      <c r="F202" s="23"/>
      <c r="G202" s="23"/>
      <c r="H202" s="2">
        <f t="shared" ref="H202:H208" si="97">ROUND(0,2)</f>
        <v>0</v>
      </c>
      <c r="I202" s="2">
        <f>ROUND(0,2)</f>
        <v>0</v>
      </c>
      <c r="J202" s="2">
        <f t="shared" si="93"/>
        <v>0</v>
      </c>
      <c r="K202" s="2">
        <f t="shared" si="95"/>
        <v>0</v>
      </c>
      <c r="L202" s="24">
        <f t="shared" si="95"/>
        <v>0</v>
      </c>
      <c r="M202" s="25"/>
      <c r="N202" s="2">
        <f>ROUND(34484.36,2)</f>
        <v>34484.36</v>
      </c>
      <c r="O202" s="2">
        <f t="shared" si="96"/>
        <v>0</v>
      </c>
      <c r="P202" s="2">
        <f t="shared" si="94"/>
        <v>0</v>
      </c>
      <c r="Q202" s="24">
        <f t="shared" si="91"/>
        <v>0</v>
      </c>
      <c r="R202" s="25"/>
      <c r="S202" s="24">
        <f>ROUND(34484.36,2)</f>
        <v>34484.36</v>
      </c>
      <c r="T202" s="25"/>
      <c r="U202" s="26"/>
    </row>
    <row r="203" spans="1:21">
      <c r="A203" s="22" t="s">
        <v>371</v>
      </c>
      <c r="B203" s="23"/>
      <c r="C203" s="22" t="s">
        <v>372</v>
      </c>
      <c r="D203" s="23"/>
      <c r="E203" s="23"/>
      <c r="F203" s="23"/>
      <c r="G203" s="23"/>
      <c r="H203" s="2">
        <f t="shared" si="97"/>
        <v>0</v>
      </c>
      <c r="I203" s="2">
        <f>ROUND(0,2)</f>
        <v>0</v>
      </c>
      <c r="J203" s="2">
        <f t="shared" si="93"/>
        <v>0</v>
      </c>
      <c r="K203" s="2">
        <f>ROUND(2983,2)</f>
        <v>2983</v>
      </c>
      <c r="L203" s="24">
        <f>ROUND(0,2)</f>
        <v>0</v>
      </c>
      <c r="M203" s="25"/>
      <c r="N203" s="2">
        <f>ROUND(0,2)</f>
        <v>0</v>
      </c>
      <c r="O203" s="2">
        <f t="shared" si="96"/>
        <v>0</v>
      </c>
      <c r="P203" s="2">
        <f t="shared" si="94"/>
        <v>0</v>
      </c>
      <c r="Q203" s="24">
        <f t="shared" si="91"/>
        <v>0</v>
      </c>
      <c r="R203" s="25"/>
      <c r="S203" s="24">
        <f>ROUND(2983,2)</f>
        <v>2983</v>
      </c>
      <c r="T203" s="25"/>
      <c r="U203" s="26"/>
    </row>
    <row r="204" spans="1:21">
      <c r="A204" s="22" t="s">
        <v>373</v>
      </c>
      <c r="B204" s="23"/>
      <c r="C204" s="22" t="s">
        <v>374</v>
      </c>
      <c r="D204" s="23"/>
      <c r="E204" s="23"/>
      <c r="F204" s="23"/>
      <c r="G204" s="23"/>
      <c r="H204" s="2">
        <f t="shared" si="97"/>
        <v>0</v>
      </c>
      <c r="I204" s="2">
        <f>ROUND(9000,2)</f>
        <v>9000</v>
      </c>
      <c r="J204" s="2">
        <f t="shared" si="93"/>
        <v>0</v>
      </c>
      <c r="K204" s="2">
        <f t="shared" ref="K204:L207" si="98">ROUND(0,2)</f>
        <v>0</v>
      </c>
      <c r="L204" s="24">
        <f t="shared" si="98"/>
        <v>0</v>
      </c>
      <c r="M204" s="25"/>
      <c r="N204" s="2">
        <f>ROUND(0,2)</f>
        <v>0</v>
      </c>
      <c r="O204" s="2">
        <f t="shared" si="96"/>
        <v>0</v>
      </c>
      <c r="P204" s="2">
        <f t="shared" si="94"/>
        <v>0</v>
      </c>
      <c r="Q204" s="24">
        <f t="shared" si="91"/>
        <v>0</v>
      </c>
      <c r="R204" s="25"/>
      <c r="S204" s="24">
        <f>ROUND(9000,2)</f>
        <v>9000</v>
      </c>
      <c r="T204" s="25"/>
      <c r="U204" s="26"/>
    </row>
    <row r="205" spans="1:21">
      <c r="A205" s="22" t="s">
        <v>375</v>
      </c>
      <c r="B205" s="23"/>
      <c r="C205" s="22" t="s">
        <v>376</v>
      </c>
      <c r="D205" s="23"/>
      <c r="E205" s="23"/>
      <c r="F205" s="23"/>
      <c r="G205" s="23"/>
      <c r="H205" s="2">
        <f t="shared" si="97"/>
        <v>0</v>
      </c>
      <c r="I205" s="2">
        <f>ROUND(28686,2)</f>
        <v>28686</v>
      </c>
      <c r="J205" s="2">
        <f t="shared" si="93"/>
        <v>0</v>
      </c>
      <c r="K205" s="2">
        <f t="shared" si="98"/>
        <v>0</v>
      </c>
      <c r="L205" s="24">
        <f t="shared" si="98"/>
        <v>0</v>
      </c>
      <c r="M205" s="25"/>
      <c r="N205" s="2">
        <f>ROUND(0,2)</f>
        <v>0</v>
      </c>
      <c r="O205" s="2">
        <f t="shared" si="96"/>
        <v>0</v>
      </c>
      <c r="P205" s="2">
        <f t="shared" si="94"/>
        <v>0</v>
      </c>
      <c r="Q205" s="24">
        <f t="shared" si="91"/>
        <v>0</v>
      </c>
      <c r="R205" s="25"/>
      <c r="S205" s="24">
        <f>ROUND(28686,2)</f>
        <v>28686</v>
      </c>
      <c r="T205" s="25"/>
      <c r="U205" s="26"/>
    </row>
    <row r="206" spans="1:21">
      <c r="A206" s="22" t="s">
        <v>375</v>
      </c>
      <c r="B206" s="23"/>
      <c r="C206" s="22" t="s">
        <v>376</v>
      </c>
      <c r="D206" s="23"/>
      <c r="E206" s="23"/>
      <c r="F206" s="23"/>
      <c r="G206" s="23"/>
      <c r="H206" s="2">
        <f t="shared" si="97"/>
        <v>0</v>
      </c>
      <c r="I206" s="2">
        <f t="shared" ref="I206:I221" si="99">ROUND(0,2)</f>
        <v>0</v>
      </c>
      <c r="J206" s="2">
        <f t="shared" si="93"/>
        <v>0</v>
      </c>
      <c r="K206" s="2">
        <f t="shared" si="98"/>
        <v>0</v>
      </c>
      <c r="L206" s="24">
        <f t="shared" si="98"/>
        <v>0</v>
      </c>
      <c r="M206" s="25"/>
      <c r="N206" s="2">
        <f>ROUND(1899,2)</f>
        <v>1899</v>
      </c>
      <c r="O206" s="2">
        <f t="shared" si="96"/>
        <v>0</v>
      </c>
      <c r="P206" s="2">
        <f t="shared" si="94"/>
        <v>0</v>
      </c>
      <c r="Q206" s="24">
        <f t="shared" si="91"/>
        <v>0</v>
      </c>
      <c r="R206" s="25"/>
      <c r="S206" s="24">
        <f>ROUND(1899,2)</f>
        <v>1899</v>
      </c>
      <c r="T206" s="25"/>
      <c r="U206" s="26"/>
    </row>
    <row r="207" spans="1:21">
      <c r="A207" s="22" t="s">
        <v>377</v>
      </c>
      <c r="B207" s="23"/>
      <c r="C207" s="22" t="s">
        <v>378</v>
      </c>
      <c r="D207" s="23"/>
      <c r="E207" s="23"/>
      <c r="F207" s="23"/>
      <c r="G207" s="23"/>
      <c r="H207" s="2">
        <f t="shared" si="97"/>
        <v>0</v>
      </c>
      <c r="I207" s="2">
        <f t="shared" si="99"/>
        <v>0</v>
      </c>
      <c r="J207" s="2">
        <f t="shared" si="93"/>
        <v>0</v>
      </c>
      <c r="K207" s="2">
        <f t="shared" si="98"/>
        <v>0</v>
      </c>
      <c r="L207" s="24">
        <f t="shared" si="98"/>
        <v>0</v>
      </c>
      <c r="M207" s="25"/>
      <c r="N207" s="2">
        <f>ROUND(2662,2)</f>
        <v>2662</v>
      </c>
      <c r="O207" s="2">
        <f t="shared" si="96"/>
        <v>0</v>
      </c>
      <c r="P207" s="2">
        <f t="shared" si="94"/>
        <v>0</v>
      </c>
      <c r="Q207" s="24">
        <f t="shared" ref="Q207:Q222" si="100">ROUND(0,2)</f>
        <v>0</v>
      </c>
      <c r="R207" s="25"/>
      <c r="S207" s="24">
        <f>ROUND(2662,2)</f>
        <v>2662</v>
      </c>
      <c r="T207" s="25"/>
      <c r="U207" s="26"/>
    </row>
    <row r="208" spans="1:21">
      <c r="A208" s="22" t="s">
        <v>377</v>
      </c>
      <c r="B208" s="23"/>
      <c r="C208" s="22" t="s">
        <v>378</v>
      </c>
      <c r="D208" s="23"/>
      <c r="E208" s="23"/>
      <c r="F208" s="23"/>
      <c r="G208" s="23"/>
      <c r="H208" s="2">
        <f t="shared" si="97"/>
        <v>0</v>
      </c>
      <c r="I208" s="2">
        <f t="shared" si="99"/>
        <v>0</v>
      </c>
      <c r="J208" s="2">
        <f t="shared" si="93"/>
        <v>0</v>
      </c>
      <c r="K208" s="2">
        <f t="shared" ref="K208:K218" si="101">ROUND(0,2)</f>
        <v>0</v>
      </c>
      <c r="L208" s="24">
        <f>ROUND(4873.16,2)</f>
        <v>4873.16</v>
      </c>
      <c r="M208" s="25"/>
      <c r="N208" s="2">
        <f t="shared" ref="N208:N213" si="102">ROUND(0,2)</f>
        <v>0</v>
      </c>
      <c r="O208" s="2">
        <f>ROUND(7500,2)</f>
        <v>7500</v>
      </c>
      <c r="P208" s="2">
        <f>ROUND(2881.61,2)</f>
        <v>2881.61</v>
      </c>
      <c r="Q208" s="24">
        <f t="shared" si="100"/>
        <v>0</v>
      </c>
      <c r="R208" s="25"/>
      <c r="S208" s="24">
        <f>ROUND(-254.77,2)</f>
        <v>-254.77</v>
      </c>
      <c r="T208" s="25"/>
      <c r="U208" s="26"/>
    </row>
    <row r="209" spans="1:21">
      <c r="A209" s="22" t="s">
        <v>379</v>
      </c>
      <c r="B209" s="23"/>
      <c r="C209" s="22" t="s">
        <v>380</v>
      </c>
      <c r="D209" s="23"/>
      <c r="E209" s="23"/>
      <c r="F209" s="23"/>
      <c r="G209" s="23"/>
      <c r="H209" s="2">
        <f>ROUND(20000,2)</f>
        <v>20000</v>
      </c>
      <c r="I209" s="2">
        <f t="shared" si="99"/>
        <v>0</v>
      </c>
      <c r="J209" s="2">
        <f t="shared" si="93"/>
        <v>0</v>
      </c>
      <c r="K209" s="2">
        <f t="shared" si="101"/>
        <v>0</v>
      </c>
      <c r="L209" s="24">
        <f>ROUND(0,2)</f>
        <v>0</v>
      </c>
      <c r="M209" s="25"/>
      <c r="N209" s="2">
        <f t="shared" si="102"/>
        <v>0</v>
      </c>
      <c r="O209" s="2">
        <f>ROUND(0,2)</f>
        <v>0</v>
      </c>
      <c r="P209" s="2">
        <f t="shared" ref="P209:P224" si="103">ROUND(0,2)</f>
        <v>0</v>
      </c>
      <c r="Q209" s="24">
        <f t="shared" si="100"/>
        <v>0</v>
      </c>
      <c r="R209" s="25"/>
      <c r="S209" s="24">
        <f>ROUND(20000,2)</f>
        <v>20000</v>
      </c>
      <c r="T209" s="25"/>
      <c r="U209" s="26"/>
    </row>
    <row r="210" spans="1:21">
      <c r="A210" s="22" t="s">
        <v>381</v>
      </c>
      <c r="B210" s="23"/>
      <c r="C210" s="22" t="s">
        <v>382</v>
      </c>
      <c r="D210" s="23"/>
      <c r="E210" s="23"/>
      <c r="F210" s="23"/>
      <c r="G210" s="23"/>
      <c r="H210" s="2">
        <f t="shared" ref="H210:H225" si="104">ROUND(0,2)</f>
        <v>0</v>
      </c>
      <c r="I210" s="2">
        <f t="shared" si="99"/>
        <v>0</v>
      </c>
      <c r="J210" s="2">
        <f t="shared" si="93"/>
        <v>0</v>
      </c>
      <c r="K210" s="2">
        <f t="shared" si="101"/>
        <v>0</v>
      </c>
      <c r="L210" s="24">
        <f>ROUND(0,2)</f>
        <v>0</v>
      </c>
      <c r="M210" s="25"/>
      <c r="N210" s="2">
        <f t="shared" si="102"/>
        <v>0</v>
      </c>
      <c r="O210" s="2">
        <f>ROUND(5000,2)</f>
        <v>5000</v>
      </c>
      <c r="P210" s="2">
        <f t="shared" si="103"/>
        <v>0</v>
      </c>
      <c r="Q210" s="24">
        <f t="shared" si="100"/>
        <v>0</v>
      </c>
      <c r="R210" s="25"/>
      <c r="S210" s="24">
        <f>ROUND(5000,2)</f>
        <v>5000</v>
      </c>
      <c r="T210" s="25"/>
      <c r="U210" s="26"/>
    </row>
    <row r="211" spans="1:21">
      <c r="A211" s="22" t="s">
        <v>383</v>
      </c>
      <c r="B211" s="23"/>
      <c r="C211" s="22" t="s">
        <v>214</v>
      </c>
      <c r="D211" s="23"/>
      <c r="E211" s="23"/>
      <c r="F211" s="23"/>
      <c r="G211" s="23"/>
      <c r="H211" s="2">
        <f t="shared" si="104"/>
        <v>0</v>
      </c>
      <c r="I211" s="2">
        <f t="shared" si="99"/>
        <v>0</v>
      </c>
      <c r="J211" s="2">
        <f t="shared" si="93"/>
        <v>0</v>
      </c>
      <c r="K211" s="2">
        <f t="shared" si="101"/>
        <v>0</v>
      </c>
      <c r="L211" s="24">
        <f>ROUND(0,2)</f>
        <v>0</v>
      </c>
      <c r="M211" s="25"/>
      <c r="N211" s="2">
        <f t="shared" si="102"/>
        <v>0</v>
      </c>
      <c r="O211" s="2">
        <f>ROUND(5500,2)</f>
        <v>5500</v>
      </c>
      <c r="P211" s="2">
        <f t="shared" si="103"/>
        <v>0</v>
      </c>
      <c r="Q211" s="24">
        <f t="shared" si="100"/>
        <v>0</v>
      </c>
      <c r="R211" s="25"/>
      <c r="S211" s="24">
        <f>ROUND(5500,2)</f>
        <v>5500</v>
      </c>
      <c r="T211" s="25"/>
      <c r="U211" s="26"/>
    </row>
    <row r="212" spans="1:21">
      <c r="A212" s="22" t="s">
        <v>384</v>
      </c>
      <c r="B212" s="23"/>
      <c r="C212" s="22" t="s">
        <v>385</v>
      </c>
      <c r="D212" s="23"/>
      <c r="E212" s="23"/>
      <c r="F212" s="23"/>
      <c r="G212" s="23"/>
      <c r="H212" s="2">
        <f t="shared" si="104"/>
        <v>0</v>
      </c>
      <c r="I212" s="2">
        <f t="shared" si="99"/>
        <v>0</v>
      </c>
      <c r="J212" s="2">
        <f t="shared" si="93"/>
        <v>0</v>
      </c>
      <c r="K212" s="2">
        <f t="shared" si="101"/>
        <v>0</v>
      </c>
      <c r="L212" s="24">
        <f>ROUND(49606.53,2)</f>
        <v>49606.53</v>
      </c>
      <c r="M212" s="25"/>
      <c r="N212" s="2">
        <f t="shared" si="102"/>
        <v>0</v>
      </c>
      <c r="O212" s="2">
        <f t="shared" ref="O212:O218" si="105">ROUND(0,2)</f>
        <v>0</v>
      </c>
      <c r="P212" s="2">
        <f t="shared" si="103"/>
        <v>0</v>
      </c>
      <c r="Q212" s="24">
        <f t="shared" si="100"/>
        <v>0</v>
      </c>
      <c r="R212" s="25"/>
      <c r="S212" s="24">
        <f>ROUND(-49606.53,2)</f>
        <v>-49606.53</v>
      </c>
      <c r="T212" s="25"/>
      <c r="U212" s="26"/>
    </row>
    <row r="213" spans="1:21">
      <c r="A213" s="22" t="s">
        <v>386</v>
      </c>
      <c r="B213" s="23"/>
      <c r="C213" s="22" t="s">
        <v>387</v>
      </c>
      <c r="D213" s="23"/>
      <c r="E213" s="23"/>
      <c r="F213" s="23"/>
      <c r="G213" s="23"/>
      <c r="H213" s="2">
        <f t="shared" si="104"/>
        <v>0</v>
      </c>
      <c r="I213" s="2">
        <f t="shared" si="99"/>
        <v>0</v>
      </c>
      <c r="J213" s="2">
        <f t="shared" ref="J213:J228" si="106">ROUND(0,2)</f>
        <v>0</v>
      </c>
      <c r="K213" s="2">
        <f t="shared" si="101"/>
        <v>0</v>
      </c>
      <c r="L213" s="24">
        <f>ROUND(16545.61,2)</f>
        <v>16545.61</v>
      </c>
      <c r="M213" s="25"/>
      <c r="N213" s="2">
        <f t="shared" si="102"/>
        <v>0</v>
      </c>
      <c r="O213" s="2">
        <f t="shared" si="105"/>
        <v>0</v>
      </c>
      <c r="P213" s="2">
        <f t="shared" si="103"/>
        <v>0</v>
      </c>
      <c r="Q213" s="24">
        <f t="shared" si="100"/>
        <v>0</v>
      </c>
      <c r="R213" s="25"/>
      <c r="S213" s="24">
        <f>ROUND(-16545.61,2)</f>
        <v>-16545.61</v>
      </c>
      <c r="T213" s="25"/>
      <c r="U213" s="26"/>
    </row>
    <row r="214" spans="1:21">
      <c r="A214" s="22" t="s">
        <v>388</v>
      </c>
      <c r="B214" s="23"/>
      <c r="C214" s="22" t="s">
        <v>389</v>
      </c>
      <c r="D214" s="23"/>
      <c r="E214" s="23"/>
      <c r="F214" s="23"/>
      <c r="G214" s="23"/>
      <c r="H214" s="2">
        <f t="shared" si="104"/>
        <v>0</v>
      </c>
      <c r="I214" s="2">
        <f t="shared" si="99"/>
        <v>0</v>
      </c>
      <c r="J214" s="2">
        <f t="shared" si="106"/>
        <v>0</v>
      </c>
      <c r="K214" s="2">
        <f t="shared" si="101"/>
        <v>0</v>
      </c>
      <c r="L214" s="24">
        <f t="shared" ref="L214:L229" si="107">ROUND(0,2)</f>
        <v>0</v>
      </c>
      <c r="M214" s="25"/>
      <c r="N214" s="2">
        <f>ROUND(12931.48,2)</f>
        <v>12931.48</v>
      </c>
      <c r="O214" s="2">
        <f t="shared" si="105"/>
        <v>0</v>
      </c>
      <c r="P214" s="2">
        <f t="shared" si="103"/>
        <v>0</v>
      </c>
      <c r="Q214" s="24">
        <f t="shared" si="100"/>
        <v>0</v>
      </c>
      <c r="R214" s="25"/>
      <c r="S214" s="24">
        <f>ROUND(12931.48,2)</f>
        <v>12931.48</v>
      </c>
      <c r="T214" s="25"/>
      <c r="U214" s="26"/>
    </row>
    <row r="215" spans="1:21">
      <c r="A215" s="22" t="s">
        <v>390</v>
      </c>
      <c r="B215" s="23"/>
      <c r="C215" s="22" t="s">
        <v>391</v>
      </c>
      <c r="D215" s="23"/>
      <c r="E215" s="23"/>
      <c r="F215" s="23"/>
      <c r="G215" s="23"/>
      <c r="H215" s="2">
        <f t="shared" si="104"/>
        <v>0</v>
      </c>
      <c r="I215" s="2">
        <f t="shared" si="99"/>
        <v>0</v>
      </c>
      <c r="J215" s="2">
        <f t="shared" si="106"/>
        <v>0</v>
      </c>
      <c r="K215" s="2">
        <f t="shared" si="101"/>
        <v>0</v>
      </c>
      <c r="L215" s="24">
        <f t="shared" si="107"/>
        <v>0</v>
      </c>
      <c r="M215" s="25"/>
      <c r="N215" s="2">
        <f>ROUND(5538.23,2)</f>
        <v>5538.23</v>
      </c>
      <c r="O215" s="2">
        <f t="shared" si="105"/>
        <v>0</v>
      </c>
      <c r="P215" s="2">
        <f t="shared" si="103"/>
        <v>0</v>
      </c>
      <c r="Q215" s="24">
        <f t="shared" si="100"/>
        <v>0</v>
      </c>
      <c r="R215" s="25"/>
      <c r="S215" s="24">
        <f>ROUND(5538.23,2)</f>
        <v>5538.23</v>
      </c>
      <c r="T215" s="25"/>
      <c r="U215" s="26"/>
    </row>
    <row r="216" spans="1:21">
      <c r="A216" s="22" t="s">
        <v>392</v>
      </c>
      <c r="B216" s="23"/>
      <c r="C216" s="22" t="s">
        <v>393</v>
      </c>
      <c r="D216" s="23"/>
      <c r="E216" s="23"/>
      <c r="F216" s="23"/>
      <c r="G216" s="23"/>
      <c r="H216" s="2">
        <f t="shared" si="104"/>
        <v>0</v>
      </c>
      <c r="I216" s="2">
        <f t="shared" si="99"/>
        <v>0</v>
      </c>
      <c r="J216" s="2">
        <f t="shared" si="106"/>
        <v>0</v>
      </c>
      <c r="K216" s="2">
        <f t="shared" si="101"/>
        <v>0</v>
      </c>
      <c r="L216" s="24">
        <f t="shared" si="107"/>
        <v>0</v>
      </c>
      <c r="M216" s="25"/>
      <c r="N216" s="2">
        <f>ROUND(12230.67,2)</f>
        <v>12230.67</v>
      </c>
      <c r="O216" s="2">
        <f t="shared" si="105"/>
        <v>0</v>
      </c>
      <c r="P216" s="2">
        <f t="shared" si="103"/>
        <v>0</v>
      </c>
      <c r="Q216" s="24">
        <f t="shared" si="100"/>
        <v>0</v>
      </c>
      <c r="R216" s="25"/>
      <c r="S216" s="24">
        <f>ROUND(12230.67,2)</f>
        <v>12230.67</v>
      </c>
      <c r="T216" s="25"/>
      <c r="U216" s="26"/>
    </row>
    <row r="217" spans="1:21">
      <c r="A217" s="22" t="s">
        <v>394</v>
      </c>
      <c r="B217" s="23"/>
      <c r="C217" s="22" t="s">
        <v>395</v>
      </c>
      <c r="D217" s="23"/>
      <c r="E217" s="23"/>
      <c r="F217" s="23"/>
      <c r="G217" s="23"/>
      <c r="H217" s="2">
        <f t="shared" si="104"/>
        <v>0</v>
      </c>
      <c r="I217" s="2">
        <f t="shared" si="99"/>
        <v>0</v>
      </c>
      <c r="J217" s="2">
        <f t="shared" si="106"/>
        <v>0</v>
      </c>
      <c r="K217" s="2">
        <f t="shared" si="101"/>
        <v>0</v>
      </c>
      <c r="L217" s="24">
        <f t="shared" si="107"/>
        <v>0</v>
      </c>
      <c r="M217" s="25"/>
      <c r="N217" s="2">
        <f>ROUND(1206.92,2)</f>
        <v>1206.92</v>
      </c>
      <c r="O217" s="2">
        <f t="shared" si="105"/>
        <v>0</v>
      </c>
      <c r="P217" s="2">
        <f t="shared" si="103"/>
        <v>0</v>
      </c>
      <c r="Q217" s="24">
        <f t="shared" si="100"/>
        <v>0</v>
      </c>
      <c r="R217" s="25"/>
      <c r="S217" s="24">
        <f>ROUND(1206.92,2)</f>
        <v>1206.92</v>
      </c>
      <c r="T217" s="25"/>
      <c r="U217" s="26"/>
    </row>
    <row r="218" spans="1:21">
      <c r="A218" s="22" t="s">
        <v>396</v>
      </c>
      <c r="B218" s="23"/>
      <c r="C218" s="22" t="s">
        <v>397</v>
      </c>
      <c r="D218" s="23"/>
      <c r="E218" s="23"/>
      <c r="F218" s="23"/>
      <c r="G218" s="23"/>
      <c r="H218" s="2">
        <f t="shared" si="104"/>
        <v>0</v>
      </c>
      <c r="I218" s="2">
        <f t="shared" si="99"/>
        <v>0</v>
      </c>
      <c r="J218" s="2">
        <f t="shared" si="106"/>
        <v>0</v>
      </c>
      <c r="K218" s="2">
        <f t="shared" si="101"/>
        <v>0</v>
      </c>
      <c r="L218" s="24">
        <f t="shared" si="107"/>
        <v>0</v>
      </c>
      <c r="M218" s="25"/>
      <c r="N218" s="2">
        <f>ROUND(10416.32,2)</f>
        <v>10416.32</v>
      </c>
      <c r="O218" s="2">
        <f t="shared" si="105"/>
        <v>0</v>
      </c>
      <c r="P218" s="2">
        <f t="shared" si="103"/>
        <v>0</v>
      </c>
      <c r="Q218" s="24">
        <f t="shared" si="100"/>
        <v>0</v>
      </c>
      <c r="R218" s="25"/>
      <c r="S218" s="24">
        <f>ROUND(10416.32,2)</f>
        <v>10416.32</v>
      </c>
      <c r="T218" s="25"/>
      <c r="U218" s="26"/>
    </row>
    <row r="219" spans="1:21">
      <c r="A219" s="22" t="s">
        <v>398</v>
      </c>
      <c r="B219" s="23"/>
      <c r="C219" s="22" t="s">
        <v>399</v>
      </c>
      <c r="D219" s="23"/>
      <c r="E219" s="23"/>
      <c r="F219" s="23"/>
      <c r="G219" s="23"/>
      <c r="H219" s="2">
        <f t="shared" si="104"/>
        <v>0</v>
      </c>
      <c r="I219" s="2">
        <f t="shared" si="99"/>
        <v>0</v>
      </c>
      <c r="J219" s="2">
        <f t="shared" si="106"/>
        <v>0</v>
      </c>
      <c r="K219" s="2">
        <f>ROUND(9674.63,2)</f>
        <v>9674.6299999999992</v>
      </c>
      <c r="L219" s="24">
        <f t="shared" si="107"/>
        <v>0</v>
      </c>
      <c r="M219" s="25"/>
      <c r="N219" s="2">
        <f t="shared" ref="N219:N225" si="108">ROUND(0,2)</f>
        <v>0</v>
      </c>
      <c r="O219" s="2">
        <f>ROUND(5537.79,2)</f>
        <v>5537.79</v>
      </c>
      <c r="P219" s="2">
        <f t="shared" si="103"/>
        <v>0</v>
      </c>
      <c r="Q219" s="24">
        <f t="shared" si="100"/>
        <v>0</v>
      </c>
      <c r="R219" s="25"/>
      <c r="S219" s="24">
        <f>ROUND(15212.42,2)</f>
        <v>15212.42</v>
      </c>
      <c r="T219" s="25"/>
      <c r="U219" s="26"/>
    </row>
    <row r="220" spans="1:21">
      <c r="A220" s="22" t="s">
        <v>400</v>
      </c>
      <c r="B220" s="23"/>
      <c r="C220" s="22" t="s">
        <v>401</v>
      </c>
      <c r="D220" s="23"/>
      <c r="E220" s="23"/>
      <c r="F220" s="23"/>
      <c r="G220" s="23"/>
      <c r="H220" s="2">
        <f t="shared" si="104"/>
        <v>0</v>
      </c>
      <c r="I220" s="2">
        <f t="shared" si="99"/>
        <v>0</v>
      </c>
      <c r="J220" s="2">
        <f t="shared" si="106"/>
        <v>0</v>
      </c>
      <c r="K220" s="2">
        <f>ROUND(0,2)</f>
        <v>0</v>
      </c>
      <c r="L220" s="24">
        <f t="shared" si="107"/>
        <v>0</v>
      </c>
      <c r="M220" s="25"/>
      <c r="N220" s="2">
        <f t="shared" si="108"/>
        <v>0</v>
      </c>
      <c r="O220" s="2">
        <f>ROUND(552.22,2)</f>
        <v>552.22</v>
      </c>
      <c r="P220" s="2">
        <f t="shared" si="103"/>
        <v>0</v>
      </c>
      <c r="Q220" s="24">
        <f t="shared" si="100"/>
        <v>0</v>
      </c>
      <c r="R220" s="25"/>
      <c r="S220" s="24">
        <f>ROUND(552.22,2)</f>
        <v>552.22</v>
      </c>
      <c r="T220" s="25"/>
      <c r="U220" s="26"/>
    </row>
    <row r="221" spans="1:21">
      <c r="A221" s="22" t="s">
        <v>402</v>
      </c>
      <c r="B221" s="23"/>
      <c r="C221" s="22" t="s">
        <v>403</v>
      </c>
      <c r="D221" s="23"/>
      <c r="E221" s="23"/>
      <c r="F221" s="23"/>
      <c r="G221" s="23"/>
      <c r="H221" s="2">
        <f t="shared" si="104"/>
        <v>0</v>
      </c>
      <c r="I221" s="2">
        <f t="shared" si="99"/>
        <v>0</v>
      </c>
      <c r="J221" s="2">
        <f t="shared" si="106"/>
        <v>0</v>
      </c>
      <c r="K221" s="2">
        <f>ROUND(0,2)</f>
        <v>0</v>
      </c>
      <c r="L221" s="24">
        <f t="shared" si="107"/>
        <v>0</v>
      </c>
      <c r="M221" s="25"/>
      <c r="N221" s="2">
        <f t="shared" si="108"/>
        <v>0</v>
      </c>
      <c r="O221" s="2">
        <f>ROUND(6613.28,2)</f>
        <v>6613.28</v>
      </c>
      <c r="P221" s="2">
        <f t="shared" si="103"/>
        <v>0</v>
      </c>
      <c r="Q221" s="24">
        <f t="shared" si="100"/>
        <v>0</v>
      </c>
      <c r="R221" s="25"/>
      <c r="S221" s="24">
        <f>ROUND(6613.28,2)</f>
        <v>6613.28</v>
      </c>
      <c r="T221" s="25"/>
      <c r="U221" s="26"/>
    </row>
    <row r="222" spans="1:21">
      <c r="A222" s="22" t="s">
        <v>404</v>
      </c>
      <c r="B222" s="23"/>
      <c r="C222" s="22" t="s">
        <v>405</v>
      </c>
      <c r="D222" s="23"/>
      <c r="E222" s="23"/>
      <c r="F222" s="23"/>
      <c r="G222" s="23"/>
      <c r="H222" s="2">
        <f t="shared" si="104"/>
        <v>0</v>
      </c>
      <c r="I222" s="2">
        <f t="shared" ref="I222:I227" si="109">ROUND(0,2)</f>
        <v>0</v>
      </c>
      <c r="J222" s="2">
        <f t="shared" si="106"/>
        <v>0</v>
      </c>
      <c r="K222" s="2">
        <f>ROUND(0,2)</f>
        <v>0</v>
      </c>
      <c r="L222" s="24">
        <f t="shared" si="107"/>
        <v>0</v>
      </c>
      <c r="M222" s="25"/>
      <c r="N222" s="2">
        <f t="shared" si="108"/>
        <v>0</v>
      </c>
      <c r="O222" s="2">
        <f>ROUND(14604.89,2)</f>
        <v>14604.89</v>
      </c>
      <c r="P222" s="2">
        <f t="shared" si="103"/>
        <v>0</v>
      </c>
      <c r="Q222" s="24">
        <f t="shared" si="100"/>
        <v>0</v>
      </c>
      <c r="R222" s="25"/>
      <c r="S222" s="24">
        <f>ROUND(14604.89,2)</f>
        <v>14604.89</v>
      </c>
      <c r="T222" s="25"/>
      <c r="U222" s="26"/>
    </row>
    <row r="223" spans="1:21">
      <c r="A223" s="22" t="s">
        <v>406</v>
      </c>
      <c r="B223" s="23"/>
      <c r="C223" s="22" t="s">
        <v>407</v>
      </c>
      <c r="D223" s="23"/>
      <c r="E223" s="23"/>
      <c r="F223" s="23"/>
      <c r="G223" s="23"/>
      <c r="H223" s="2">
        <f t="shared" si="104"/>
        <v>0</v>
      </c>
      <c r="I223" s="2">
        <f t="shared" si="109"/>
        <v>0</v>
      </c>
      <c r="J223" s="2">
        <f t="shared" si="106"/>
        <v>0</v>
      </c>
      <c r="K223" s="2">
        <f>ROUND(0,2)</f>
        <v>0</v>
      </c>
      <c r="L223" s="24">
        <f t="shared" si="107"/>
        <v>0</v>
      </c>
      <c r="M223" s="25"/>
      <c r="N223" s="2">
        <f t="shared" si="108"/>
        <v>0</v>
      </c>
      <c r="O223" s="2">
        <f>ROUND(1944.75,2)</f>
        <v>1944.75</v>
      </c>
      <c r="P223" s="2">
        <f t="shared" si="103"/>
        <v>0</v>
      </c>
      <c r="Q223" s="24">
        <f t="shared" ref="Q223:Q238" si="110">ROUND(0,2)</f>
        <v>0</v>
      </c>
      <c r="R223" s="25"/>
      <c r="S223" s="24">
        <f>ROUND(1944.75,2)</f>
        <v>1944.75</v>
      </c>
      <c r="T223" s="25"/>
      <c r="U223" s="26"/>
    </row>
    <row r="224" spans="1:21">
      <c r="A224" s="22" t="s">
        <v>408</v>
      </c>
      <c r="B224" s="23"/>
      <c r="C224" s="22" t="s">
        <v>409</v>
      </c>
      <c r="D224" s="23"/>
      <c r="E224" s="23"/>
      <c r="F224" s="23"/>
      <c r="G224" s="23"/>
      <c r="H224" s="2">
        <f t="shared" si="104"/>
        <v>0</v>
      </c>
      <c r="I224" s="2">
        <f t="shared" si="109"/>
        <v>0</v>
      </c>
      <c r="J224" s="2">
        <f t="shared" si="106"/>
        <v>0</v>
      </c>
      <c r="K224" s="2">
        <f>ROUND(3624.19,2)</f>
        <v>3624.19</v>
      </c>
      <c r="L224" s="24">
        <f t="shared" si="107"/>
        <v>0</v>
      </c>
      <c r="M224" s="25"/>
      <c r="N224" s="2">
        <f t="shared" si="108"/>
        <v>0</v>
      </c>
      <c r="O224" s="2">
        <f>ROUND(8746.99,2)</f>
        <v>8746.99</v>
      </c>
      <c r="P224" s="2">
        <f t="shared" si="103"/>
        <v>0</v>
      </c>
      <c r="Q224" s="24">
        <f t="shared" si="110"/>
        <v>0</v>
      </c>
      <c r="R224" s="25"/>
      <c r="S224" s="24">
        <f>ROUND(12371.18,2)</f>
        <v>12371.18</v>
      </c>
      <c r="T224" s="25"/>
      <c r="U224" s="26"/>
    </row>
    <row r="225" spans="1:21">
      <c r="A225" s="22" t="s">
        <v>410</v>
      </c>
      <c r="B225" s="23"/>
      <c r="C225" s="22" t="s">
        <v>240</v>
      </c>
      <c r="D225" s="23"/>
      <c r="E225" s="23"/>
      <c r="F225" s="23"/>
      <c r="G225" s="23"/>
      <c r="H225" s="2">
        <f t="shared" si="104"/>
        <v>0</v>
      </c>
      <c r="I225" s="2">
        <f t="shared" si="109"/>
        <v>0</v>
      </c>
      <c r="J225" s="2">
        <f t="shared" si="106"/>
        <v>0</v>
      </c>
      <c r="K225" s="2">
        <f t="shared" ref="K225:K240" si="111">ROUND(0,2)</f>
        <v>0</v>
      </c>
      <c r="L225" s="24">
        <f t="shared" si="107"/>
        <v>0</v>
      </c>
      <c r="M225" s="25"/>
      <c r="N225" s="2">
        <f t="shared" si="108"/>
        <v>0</v>
      </c>
      <c r="O225" s="2">
        <f>ROUND(9000,2)</f>
        <v>9000</v>
      </c>
      <c r="P225" s="2">
        <f>ROUND(0,2)</f>
        <v>0</v>
      </c>
      <c r="Q225" s="24">
        <f t="shared" si="110"/>
        <v>0</v>
      </c>
      <c r="R225" s="25"/>
      <c r="S225" s="24">
        <f>ROUND(9000,2)</f>
        <v>9000</v>
      </c>
      <c r="T225" s="25"/>
      <c r="U225" s="26"/>
    </row>
    <row r="226" spans="1:21">
      <c r="A226" s="22" t="s">
        <v>411</v>
      </c>
      <c r="B226" s="23"/>
      <c r="C226" s="22" t="s">
        <v>412</v>
      </c>
      <c r="D226" s="23"/>
      <c r="E226" s="23"/>
      <c r="F226" s="23"/>
      <c r="G226" s="23"/>
      <c r="H226" s="2">
        <f>ROUND(41971.97,2)</f>
        <v>41971.97</v>
      </c>
      <c r="I226" s="2">
        <f t="shared" si="109"/>
        <v>0</v>
      </c>
      <c r="J226" s="2">
        <f t="shared" si="106"/>
        <v>0</v>
      </c>
      <c r="K226" s="2">
        <f t="shared" si="111"/>
        <v>0</v>
      </c>
      <c r="L226" s="24">
        <f t="shared" si="107"/>
        <v>0</v>
      </c>
      <c r="M226" s="25"/>
      <c r="N226" s="2">
        <f>ROUND(58028.03,2)</f>
        <v>58028.03</v>
      </c>
      <c r="O226" s="2">
        <f>ROUND(0,2)</f>
        <v>0</v>
      </c>
      <c r="P226" s="2">
        <f>ROUND(0,2)</f>
        <v>0</v>
      </c>
      <c r="Q226" s="24">
        <f t="shared" si="110"/>
        <v>0</v>
      </c>
      <c r="R226" s="25"/>
      <c r="S226" s="24">
        <f>ROUND(100000,2)</f>
        <v>100000</v>
      </c>
      <c r="T226" s="25"/>
      <c r="U226" s="26"/>
    </row>
    <row r="227" spans="1:21">
      <c r="A227" s="22" t="s">
        <v>413</v>
      </c>
      <c r="B227" s="23"/>
      <c r="C227" s="22" t="s">
        <v>414</v>
      </c>
      <c r="D227" s="23"/>
      <c r="E227" s="23"/>
      <c r="F227" s="23"/>
      <c r="G227" s="23"/>
      <c r="H227" s="2">
        <f>ROUND(0,2)</f>
        <v>0</v>
      </c>
      <c r="I227" s="2">
        <f t="shared" si="109"/>
        <v>0</v>
      </c>
      <c r="J227" s="2">
        <f t="shared" si="106"/>
        <v>0</v>
      </c>
      <c r="K227" s="2">
        <f t="shared" si="111"/>
        <v>0</v>
      </c>
      <c r="L227" s="24">
        <f t="shared" si="107"/>
        <v>0</v>
      </c>
      <c r="M227" s="25"/>
      <c r="N227" s="2">
        <f>ROUND(0,2)</f>
        <v>0</v>
      </c>
      <c r="O227" s="2">
        <f>ROUND(0,2)</f>
        <v>0</v>
      </c>
      <c r="P227" s="2">
        <f>ROUND(3235.11,2)</f>
        <v>3235.11</v>
      </c>
      <c r="Q227" s="24">
        <f t="shared" si="110"/>
        <v>0</v>
      </c>
      <c r="R227" s="25"/>
      <c r="S227" s="24">
        <f>ROUND(-3235.11,2)</f>
        <v>-3235.11</v>
      </c>
      <c r="T227" s="25"/>
      <c r="U227" s="26"/>
    </row>
    <row r="228" spans="1:21">
      <c r="A228" s="22" t="s">
        <v>415</v>
      </c>
      <c r="B228" s="23"/>
      <c r="C228" s="22" t="s">
        <v>244</v>
      </c>
      <c r="D228" s="23"/>
      <c r="E228" s="23"/>
      <c r="F228" s="23"/>
      <c r="G228" s="23"/>
      <c r="H228" s="2">
        <f t="shared" ref="H228:H243" si="112">ROUND(0,2)</f>
        <v>0</v>
      </c>
      <c r="I228" s="2">
        <f>ROUND(30000,2)</f>
        <v>30000</v>
      </c>
      <c r="J228" s="2">
        <f t="shared" si="106"/>
        <v>0</v>
      </c>
      <c r="K228" s="2">
        <f t="shared" si="111"/>
        <v>0</v>
      </c>
      <c r="L228" s="24">
        <f t="shared" si="107"/>
        <v>0</v>
      </c>
      <c r="M228" s="25"/>
      <c r="N228" s="2">
        <f t="shared" ref="N228:N243" si="113">ROUND(0,2)</f>
        <v>0</v>
      </c>
      <c r="O228" s="2">
        <f>ROUND(65653.6,2)</f>
        <v>65653.600000000006</v>
      </c>
      <c r="P228" s="2">
        <f>ROUND(0,2)</f>
        <v>0</v>
      </c>
      <c r="Q228" s="24">
        <f t="shared" si="110"/>
        <v>0</v>
      </c>
      <c r="R228" s="25"/>
      <c r="S228" s="24">
        <f>ROUND(95653.6,2)</f>
        <v>95653.6</v>
      </c>
      <c r="T228" s="25"/>
      <c r="U228" s="26"/>
    </row>
    <row r="229" spans="1:21">
      <c r="A229" s="22" t="s">
        <v>416</v>
      </c>
      <c r="B229" s="23"/>
      <c r="C229" s="22" t="s">
        <v>417</v>
      </c>
      <c r="D229" s="23"/>
      <c r="E229" s="23"/>
      <c r="F229" s="23"/>
      <c r="G229" s="23"/>
      <c r="H229" s="2">
        <f t="shared" si="112"/>
        <v>0</v>
      </c>
      <c r="I229" s="2">
        <f t="shared" ref="I229:J232" si="114">ROUND(0,2)</f>
        <v>0</v>
      </c>
      <c r="J229" s="2">
        <f t="shared" si="114"/>
        <v>0</v>
      </c>
      <c r="K229" s="2">
        <f t="shared" si="111"/>
        <v>0</v>
      </c>
      <c r="L229" s="24">
        <f t="shared" si="107"/>
        <v>0</v>
      </c>
      <c r="M229" s="25"/>
      <c r="N229" s="2">
        <f t="shared" si="113"/>
        <v>0</v>
      </c>
      <c r="O229" s="2">
        <f>ROUND(18150,2)</f>
        <v>18150</v>
      </c>
      <c r="P229" s="2">
        <f>ROUND(0,2)</f>
        <v>0</v>
      </c>
      <c r="Q229" s="24">
        <f t="shared" si="110"/>
        <v>0</v>
      </c>
      <c r="R229" s="25"/>
      <c r="S229" s="24">
        <f>ROUND(18150,2)</f>
        <v>18150</v>
      </c>
      <c r="T229" s="25"/>
      <c r="U229" s="26"/>
    </row>
    <row r="230" spans="1:21">
      <c r="A230" s="22" t="s">
        <v>418</v>
      </c>
      <c r="B230" s="23"/>
      <c r="C230" s="22" t="s">
        <v>419</v>
      </c>
      <c r="D230" s="23"/>
      <c r="E230" s="23"/>
      <c r="F230" s="23"/>
      <c r="G230" s="23"/>
      <c r="H230" s="2">
        <f t="shared" si="112"/>
        <v>0</v>
      </c>
      <c r="I230" s="2">
        <f t="shared" si="114"/>
        <v>0</v>
      </c>
      <c r="J230" s="2">
        <f t="shared" si="114"/>
        <v>0</v>
      </c>
      <c r="K230" s="2">
        <f t="shared" si="111"/>
        <v>0</v>
      </c>
      <c r="L230" s="24">
        <f t="shared" ref="L230:L245" si="115">ROUND(0,2)</f>
        <v>0</v>
      </c>
      <c r="M230" s="25"/>
      <c r="N230" s="2">
        <f t="shared" si="113"/>
        <v>0</v>
      </c>
      <c r="O230" s="2">
        <f>ROUND(235675,2)</f>
        <v>235675</v>
      </c>
      <c r="P230" s="2">
        <f>ROUND(0,2)</f>
        <v>0</v>
      </c>
      <c r="Q230" s="24">
        <f t="shared" si="110"/>
        <v>0</v>
      </c>
      <c r="R230" s="25"/>
      <c r="S230" s="24">
        <f>ROUND(235675,2)</f>
        <v>235675</v>
      </c>
      <c r="T230" s="25"/>
      <c r="U230" s="26"/>
    </row>
    <row r="231" spans="1:21">
      <c r="A231" s="22" t="s">
        <v>420</v>
      </c>
      <c r="B231" s="23"/>
      <c r="C231" s="22" t="s">
        <v>421</v>
      </c>
      <c r="D231" s="23"/>
      <c r="E231" s="23"/>
      <c r="F231" s="23"/>
      <c r="G231" s="23"/>
      <c r="H231" s="2">
        <f t="shared" si="112"/>
        <v>0</v>
      </c>
      <c r="I231" s="2">
        <f t="shared" si="114"/>
        <v>0</v>
      </c>
      <c r="J231" s="2">
        <f t="shared" si="114"/>
        <v>0</v>
      </c>
      <c r="K231" s="2">
        <f t="shared" si="111"/>
        <v>0</v>
      </c>
      <c r="L231" s="24">
        <f t="shared" si="115"/>
        <v>0</v>
      </c>
      <c r="M231" s="25"/>
      <c r="N231" s="2">
        <f t="shared" si="113"/>
        <v>0</v>
      </c>
      <c r="O231" s="2">
        <f>ROUND(0,2)</f>
        <v>0</v>
      </c>
      <c r="P231" s="2">
        <f>ROUND(30000,2)</f>
        <v>30000</v>
      </c>
      <c r="Q231" s="24">
        <f t="shared" si="110"/>
        <v>0</v>
      </c>
      <c r="R231" s="25"/>
      <c r="S231" s="24">
        <f>ROUND(-30000,2)</f>
        <v>-30000</v>
      </c>
      <c r="T231" s="25"/>
      <c r="U231" s="26"/>
    </row>
    <row r="232" spans="1:21">
      <c r="A232" s="22" t="s">
        <v>422</v>
      </c>
      <c r="B232" s="23"/>
      <c r="C232" s="22" t="s">
        <v>423</v>
      </c>
      <c r="D232" s="23"/>
      <c r="E232" s="23"/>
      <c r="F232" s="23"/>
      <c r="G232" s="23"/>
      <c r="H232" s="2">
        <f t="shared" si="112"/>
        <v>0</v>
      </c>
      <c r="I232" s="2">
        <f t="shared" si="114"/>
        <v>0</v>
      </c>
      <c r="J232" s="2">
        <f t="shared" si="114"/>
        <v>0</v>
      </c>
      <c r="K232" s="2">
        <f t="shared" si="111"/>
        <v>0</v>
      </c>
      <c r="L232" s="24">
        <f t="shared" si="115"/>
        <v>0</v>
      </c>
      <c r="M232" s="25"/>
      <c r="N232" s="2">
        <f t="shared" si="113"/>
        <v>0</v>
      </c>
      <c r="O232" s="2">
        <f>ROUND(102000,2)</f>
        <v>102000</v>
      </c>
      <c r="P232" s="2">
        <f t="shared" ref="P232:P239" si="116">ROUND(0,2)</f>
        <v>0</v>
      </c>
      <c r="Q232" s="24">
        <f t="shared" si="110"/>
        <v>0</v>
      </c>
      <c r="R232" s="25"/>
      <c r="S232" s="24">
        <f>ROUND(102000,2)</f>
        <v>102000</v>
      </c>
      <c r="T232" s="25"/>
      <c r="U232" s="26"/>
    </row>
    <row r="233" spans="1:21">
      <c r="A233" s="22" t="s">
        <v>424</v>
      </c>
      <c r="B233" s="23"/>
      <c r="C233" s="22" t="s">
        <v>425</v>
      </c>
      <c r="D233" s="23"/>
      <c r="E233" s="23"/>
      <c r="F233" s="23"/>
      <c r="G233" s="23"/>
      <c r="H233" s="2">
        <f t="shared" si="112"/>
        <v>0</v>
      </c>
      <c r="I233" s="2">
        <f>ROUND(30250,2)</f>
        <v>30250</v>
      </c>
      <c r="J233" s="2">
        <f t="shared" ref="J233:J248" si="117">ROUND(0,2)</f>
        <v>0</v>
      </c>
      <c r="K233" s="2">
        <f t="shared" si="111"/>
        <v>0</v>
      </c>
      <c r="L233" s="24">
        <f t="shared" si="115"/>
        <v>0</v>
      </c>
      <c r="M233" s="25"/>
      <c r="N233" s="2">
        <f t="shared" si="113"/>
        <v>0</v>
      </c>
      <c r="O233" s="2">
        <f>ROUND(4000.5,2)</f>
        <v>4000.5</v>
      </c>
      <c r="P233" s="2">
        <f t="shared" si="116"/>
        <v>0</v>
      </c>
      <c r="Q233" s="24">
        <f t="shared" si="110"/>
        <v>0</v>
      </c>
      <c r="R233" s="25"/>
      <c r="S233" s="24">
        <f>ROUND(34250.5,2)</f>
        <v>34250.5</v>
      </c>
      <c r="T233" s="25"/>
      <c r="U233" s="26"/>
    </row>
    <row r="234" spans="1:21">
      <c r="A234" s="22" t="s">
        <v>426</v>
      </c>
      <c r="B234" s="23"/>
      <c r="C234" s="22" t="s">
        <v>427</v>
      </c>
      <c r="D234" s="23"/>
      <c r="E234" s="23"/>
      <c r="F234" s="23"/>
      <c r="G234" s="23"/>
      <c r="H234" s="2">
        <f t="shared" si="112"/>
        <v>0</v>
      </c>
      <c r="I234" s="2">
        <f t="shared" ref="I234:I249" si="118">ROUND(0,2)</f>
        <v>0</v>
      </c>
      <c r="J234" s="2">
        <f t="shared" si="117"/>
        <v>0</v>
      </c>
      <c r="K234" s="2">
        <f t="shared" si="111"/>
        <v>0</v>
      </c>
      <c r="L234" s="24">
        <f t="shared" si="115"/>
        <v>0</v>
      </c>
      <c r="M234" s="25"/>
      <c r="N234" s="2">
        <f t="shared" si="113"/>
        <v>0</v>
      </c>
      <c r="O234" s="2">
        <f>ROUND(6409.8,2)</f>
        <v>6409.8</v>
      </c>
      <c r="P234" s="2">
        <f t="shared" si="116"/>
        <v>0</v>
      </c>
      <c r="Q234" s="24">
        <f t="shared" si="110"/>
        <v>0</v>
      </c>
      <c r="R234" s="25"/>
      <c r="S234" s="24">
        <f>ROUND(6409.8,2)</f>
        <v>6409.8</v>
      </c>
      <c r="T234" s="25"/>
      <c r="U234" s="26"/>
    </row>
    <row r="235" spans="1:21">
      <c r="A235" s="22" t="s">
        <v>428</v>
      </c>
      <c r="B235" s="23"/>
      <c r="C235" s="22" t="s">
        <v>429</v>
      </c>
      <c r="D235" s="23"/>
      <c r="E235" s="23"/>
      <c r="F235" s="23"/>
      <c r="G235" s="23"/>
      <c r="H235" s="2">
        <f t="shared" si="112"/>
        <v>0</v>
      </c>
      <c r="I235" s="2">
        <f t="shared" si="118"/>
        <v>0</v>
      </c>
      <c r="J235" s="2">
        <f t="shared" si="117"/>
        <v>0</v>
      </c>
      <c r="K235" s="2">
        <f t="shared" si="111"/>
        <v>0</v>
      </c>
      <c r="L235" s="24">
        <f t="shared" si="115"/>
        <v>0</v>
      </c>
      <c r="M235" s="25"/>
      <c r="N235" s="2">
        <f t="shared" si="113"/>
        <v>0</v>
      </c>
      <c r="O235" s="2">
        <f>ROUND(204.75,2)</f>
        <v>204.75</v>
      </c>
      <c r="P235" s="2">
        <f t="shared" si="116"/>
        <v>0</v>
      </c>
      <c r="Q235" s="24">
        <f t="shared" si="110"/>
        <v>0</v>
      </c>
      <c r="R235" s="25"/>
      <c r="S235" s="24">
        <f>ROUND(204.75,2)</f>
        <v>204.75</v>
      </c>
      <c r="T235" s="25"/>
      <c r="U235" s="26"/>
    </row>
    <row r="236" spans="1:21">
      <c r="A236" s="22" t="s">
        <v>430</v>
      </c>
      <c r="B236" s="23"/>
      <c r="C236" s="22" t="s">
        <v>431</v>
      </c>
      <c r="D236" s="23"/>
      <c r="E236" s="23"/>
      <c r="F236" s="23"/>
      <c r="G236" s="23"/>
      <c r="H236" s="2">
        <f t="shared" si="112"/>
        <v>0</v>
      </c>
      <c r="I236" s="2">
        <f t="shared" si="118"/>
        <v>0</v>
      </c>
      <c r="J236" s="2">
        <f t="shared" si="117"/>
        <v>0</v>
      </c>
      <c r="K236" s="2">
        <f t="shared" si="111"/>
        <v>0</v>
      </c>
      <c r="L236" s="24">
        <f t="shared" si="115"/>
        <v>0</v>
      </c>
      <c r="M236" s="25"/>
      <c r="N236" s="2">
        <f t="shared" si="113"/>
        <v>0</v>
      </c>
      <c r="O236" s="2">
        <f>ROUND(2745.15,2)</f>
        <v>2745.15</v>
      </c>
      <c r="P236" s="2">
        <f t="shared" si="116"/>
        <v>0</v>
      </c>
      <c r="Q236" s="24">
        <f t="shared" si="110"/>
        <v>0</v>
      </c>
      <c r="R236" s="25"/>
      <c r="S236" s="24">
        <f>ROUND(2745.15,2)</f>
        <v>2745.15</v>
      </c>
      <c r="T236" s="25"/>
      <c r="U236" s="26"/>
    </row>
    <row r="237" spans="1:21">
      <c r="A237" s="22" t="s">
        <v>432</v>
      </c>
      <c r="B237" s="23"/>
      <c r="C237" s="22" t="s">
        <v>433</v>
      </c>
      <c r="D237" s="23"/>
      <c r="E237" s="23"/>
      <c r="F237" s="23"/>
      <c r="G237" s="23"/>
      <c r="H237" s="2">
        <f t="shared" si="112"/>
        <v>0</v>
      </c>
      <c r="I237" s="2">
        <f t="shared" si="118"/>
        <v>0</v>
      </c>
      <c r="J237" s="2">
        <f t="shared" si="117"/>
        <v>0</v>
      </c>
      <c r="K237" s="2">
        <f t="shared" si="111"/>
        <v>0</v>
      </c>
      <c r="L237" s="24">
        <f t="shared" si="115"/>
        <v>0</v>
      </c>
      <c r="M237" s="25"/>
      <c r="N237" s="2">
        <f t="shared" si="113"/>
        <v>0</v>
      </c>
      <c r="O237" s="2">
        <f>ROUND(6062.44,2)</f>
        <v>6062.44</v>
      </c>
      <c r="P237" s="2">
        <f t="shared" si="116"/>
        <v>0</v>
      </c>
      <c r="Q237" s="24">
        <f t="shared" si="110"/>
        <v>0</v>
      </c>
      <c r="R237" s="25"/>
      <c r="S237" s="24">
        <f>ROUND(6062.44,2)</f>
        <v>6062.44</v>
      </c>
      <c r="T237" s="25"/>
      <c r="U237" s="26"/>
    </row>
    <row r="238" spans="1:21">
      <c r="A238" s="22" t="s">
        <v>434</v>
      </c>
      <c r="B238" s="23"/>
      <c r="C238" s="22" t="s">
        <v>435</v>
      </c>
      <c r="D238" s="23"/>
      <c r="E238" s="23"/>
      <c r="F238" s="23"/>
      <c r="G238" s="23"/>
      <c r="H238" s="2">
        <f t="shared" si="112"/>
        <v>0</v>
      </c>
      <c r="I238" s="2">
        <f t="shared" si="118"/>
        <v>0</v>
      </c>
      <c r="J238" s="2">
        <f t="shared" si="117"/>
        <v>0</v>
      </c>
      <c r="K238" s="2">
        <f t="shared" si="111"/>
        <v>0</v>
      </c>
      <c r="L238" s="24">
        <f t="shared" si="115"/>
        <v>0</v>
      </c>
      <c r="M238" s="25"/>
      <c r="N238" s="2">
        <f t="shared" si="113"/>
        <v>0</v>
      </c>
      <c r="O238" s="2">
        <f>ROUND(795.53,2)</f>
        <v>795.53</v>
      </c>
      <c r="P238" s="2">
        <f t="shared" si="116"/>
        <v>0</v>
      </c>
      <c r="Q238" s="24">
        <f t="shared" si="110"/>
        <v>0</v>
      </c>
      <c r="R238" s="25"/>
      <c r="S238" s="24">
        <f>ROUND(795.53,2)</f>
        <v>795.53</v>
      </c>
      <c r="T238" s="25"/>
      <c r="U238" s="26"/>
    </row>
    <row r="239" spans="1:21">
      <c r="A239" s="22" t="s">
        <v>436</v>
      </c>
      <c r="B239" s="23"/>
      <c r="C239" s="22" t="s">
        <v>437</v>
      </c>
      <c r="D239" s="23"/>
      <c r="E239" s="23"/>
      <c r="F239" s="23"/>
      <c r="G239" s="23"/>
      <c r="H239" s="2">
        <f t="shared" si="112"/>
        <v>0</v>
      </c>
      <c r="I239" s="2">
        <f t="shared" si="118"/>
        <v>0</v>
      </c>
      <c r="J239" s="2">
        <f t="shared" si="117"/>
        <v>0</v>
      </c>
      <c r="K239" s="2">
        <f t="shared" si="111"/>
        <v>0</v>
      </c>
      <c r="L239" s="24">
        <f t="shared" si="115"/>
        <v>0</v>
      </c>
      <c r="M239" s="25"/>
      <c r="N239" s="2">
        <f t="shared" si="113"/>
        <v>0</v>
      </c>
      <c r="O239" s="2">
        <f>ROUND(5078.67,2)</f>
        <v>5078.67</v>
      </c>
      <c r="P239" s="2">
        <f t="shared" si="116"/>
        <v>0</v>
      </c>
      <c r="Q239" s="24">
        <f t="shared" ref="Q239:Q254" si="119">ROUND(0,2)</f>
        <v>0</v>
      </c>
      <c r="R239" s="25"/>
      <c r="S239" s="24">
        <f>ROUND(5078.67,2)</f>
        <v>5078.67</v>
      </c>
      <c r="T239" s="25"/>
      <c r="U239" s="26"/>
    </row>
    <row r="240" spans="1:21">
      <c r="A240" s="22" t="s">
        <v>438</v>
      </c>
      <c r="B240" s="23"/>
      <c r="C240" s="22" t="s">
        <v>439</v>
      </c>
      <c r="D240" s="23"/>
      <c r="E240" s="23"/>
      <c r="F240" s="23"/>
      <c r="G240" s="23"/>
      <c r="H240" s="2">
        <f t="shared" si="112"/>
        <v>0</v>
      </c>
      <c r="I240" s="2">
        <f t="shared" si="118"/>
        <v>0</v>
      </c>
      <c r="J240" s="2">
        <f t="shared" si="117"/>
        <v>0</v>
      </c>
      <c r="K240" s="2">
        <f t="shared" si="111"/>
        <v>0</v>
      </c>
      <c r="L240" s="24">
        <f t="shared" si="115"/>
        <v>0</v>
      </c>
      <c r="M240" s="25"/>
      <c r="N240" s="2">
        <f t="shared" si="113"/>
        <v>0</v>
      </c>
      <c r="O240" s="2">
        <f>ROUND(0,2)</f>
        <v>0</v>
      </c>
      <c r="P240" s="2">
        <f>ROUND(24000,2)</f>
        <v>24000</v>
      </c>
      <c r="Q240" s="24">
        <f t="shared" si="119"/>
        <v>0</v>
      </c>
      <c r="R240" s="25"/>
      <c r="S240" s="24">
        <f>ROUND(-24000,2)</f>
        <v>-24000</v>
      </c>
      <c r="T240" s="25"/>
      <c r="U240" s="26"/>
    </row>
    <row r="241" spans="1:21">
      <c r="A241" s="22" t="s">
        <v>440</v>
      </c>
      <c r="B241" s="23"/>
      <c r="C241" s="22" t="s">
        <v>441</v>
      </c>
      <c r="D241" s="23"/>
      <c r="E241" s="23"/>
      <c r="F241" s="23"/>
      <c r="G241" s="23"/>
      <c r="H241" s="2">
        <f t="shared" si="112"/>
        <v>0</v>
      </c>
      <c r="I241" s="2">
        <f t="shared" si="118"/>
        <v>0</v>
      </c>
      <c r="J241" s="2">
        <f t="shared" si="117"/>
        <v>0</v>
      </c>
      <c r="K241" s="2">
        <f t="shared" ref="K241:K251" si="120">ROUND(0,2)</f>
        <v>0</v>
      </c>
      <c r="L241" s="24">
        <f t="shared" si="115"/>
        <v>0</v>
      </c>
      <c r="M241" s="25"/>
      <c r="N241" s="2">
        <f t="shared" si="113"/>
        <v>0</v>
      </c>
      <c r="O241" s="2">
        <f>ROUND(75060,2)</f>
        <v>75060</v>
      </c>
      <c r="P241" s="2">
        <f t="shared" ref="P241:P249" si="121">ROUND(0,2)</f>
        <v>0</v>
      </c>
      <c r="Q241" s="24">
        <f t="shared" si="119"/>
        <v>0</v>
      </c>
      <c r="R241" s="25"/>
      <c r="S241" s="24">
        <f>ROUND(75060,2)</f>
        <v>75060</v>
      </c>
      <c r="T241" s="25"/>
      <c r="U241" s="26"/>
    </row>
    <row r="242" spans="1:21">
      <c r="A242" s="22" t="s">
        <v>442</v>
      </c>
      <c r="B242" s="23"/>
      <c r="C242" s="22" t="s">
        <v>443</v>
      </c>
      <c r="D242" s="23"/>
      <c r="E242" s="23"/>
      <c r="F242" s="23"/>
      <c r="G242" s="23"/>
      <c r="H242" s="2">
        <f t="shared" si="112"/>
        <v>0</v>
      </c>
      <c r="I242" s="2">
        <f t="shared" si="118"/>
        <v>0</v>
      </c>
      <c r="J242" s="2">
        <f t="shared" si="117"/>
        <v>0</v>
      </c>
      <c r="K242" s="2">
        <f t="shared" si="120"/>
        <v>0</v>
      </c>
      <c r="L242" s="24">
        <f t="shared" si="115"/>
        <v>0</v>
      </c>
      <c r="M242" s="25"/>
      <c r="N242" s="2">
        <f t="shared" si="113"/>
        <v>0</v>
      </c>
      <c r="O242" s="2">
        <f>ROUND(1605,2)</f>
        <v>1605</v>
      </c>
      <c r="P242" s="2">
        <f t="shared" si="121"/>
        <v>0</v>
      </c>
      <c r="Q242" s="24">
        <f t="shared" si="119"/>
        <v>0</v>
      </c>
      <c r="R242" s="25"/>
      <c r="S242" s="24">
        <f>ROUND(1605,2)</f>
        <v>1605</v>
      </c>
      <c r="T242" s="25"/>
      <c r="U242" s="26"/>
    </row>
    <row r="243" spans="1:21">
      <c r="A243" s="22" t="s">
        <v>444</v>
      </c>
      <c r="B243" s="23"/>
      <c r="C243" s="22" t="s">
        <v>445</v>
      </c>
      <c r="D243" s="23"/>
      <c r="E243" s="23"/>
      <c r="F243" s="23"/>
      <c r="G243" s="23"/>
      <c r="H243" s="2">
        <f t="shared" si="112"/>
        <v>0</v>
      </c>
      <c r="I243" s="2">
        <f t="shared" si="118"/>
        <v>0</v>
      </c>
      <c r="J243" s="2">
        <f t="shared" si="117"/>
        <v>0</v>
      </c>
      <c r="K243" s="2">
        <f t="shared" si="120"/>
        <v>0</v>
      </c>
      <c r="L243" s="24">
        <f t="shared" si="115"/>
        <v>0</v>
      </c>
      <c r="M243" s="25"/>
      <c r="N243" s="2">
        <f t="shared" si="113"/>
        <v>0</v>
      </c>
      <c r="O243" s="2">
        <f>ROUND(40475,2)</f>
        <v>40475</v>
      </c>
      <c r="P243" s="2">
        <f t="shared" si="121"/>
        <v>0</v>
      </c>
      <c r="Q243" s="24">
        <f t="shared" si="119"/>
        <v>0</v>
      </c>
      <c r="R243" s="25"/>
      <c r="S243" s="24">
        <f>ROUND(40475,2)</f>
        <v>40475</v>
      </c>
      <c r="T243" s="25"/>
      <c r="U243" s="26"/>
    </row>
    <row r="244" spans="1:21">
      <c r="A244" s="22" t="s">
        <v>446</v>
      </c>
      <c r="B244" s="23"/>
      <c r="C244" s="22" t="s">
        <v>447</v>
      </c>
      <c r="D244" s="23"/>
      <c r="E244" s="23"/>
      <c r="F244" s="23"/>
      <c r="G244" s="23"/>
      <c r="H244" s="2">
        <f t="shared" ref="H244:H259" si="122">ROUND(0,2)</f>
        <v>0</v>
      </c>
      <c r="I244" s="2">
        <f t="shared" si="118"/>
        <v>0</v>
      </c>
      <c r="J244" s="2">
        <f t="shared" si="117"/>
        <v>0</v>
      </c>
      <c r="K244" s="2">
        <f t="shared" si="120"/>
        <v>0</v>
      </c>
      <c r="L244" s="24">
        <f t="shared" si="115"/>
        <v>0</v>
      </c>
      <c r="M244" s="25"/>
      <c r="N244" s="2">
        <f>ROUND(30734.96,2)</f>
        <v>30734.959999999999</v>
      </c>
      <c r="O244" s="2">
        <f t="shared" ref="O244:O259" si="123">ROUND(0,2)</f>
        <v>0</v>
      </c>
      <c r="P244" s="2">
        <f t="shared" si="121"/>
        <v>0</v>
      </c>
      <c r="Q244" s="24">
        <f t="shared" si="119"/>
        <v>0</v>
      </c>
      <c r="R244" s="25"/>
      <c r="S244" s="24">
        <f>ROUND(30734.96,2)</f>
        <v>30734.959999999999</v>
      </c>
      <c r="T244" s="25"/>
      <c r="U244" s="26"/>
    </row>
    <row r="245" spans="1:21">
      <c r="A245" s="22" t="s">
        <v>448</v>
      </c>
      <c r="B245" s="23"/>
      <c r="C245" s="22" t="s">
        <v>449</v>
      </c>
      <c r="D245" s="23"/>
      <c r="E245" s="23"/>
      <c r="F245" s="23"/>
      <c r="G245" s="23"/>
      <c r="H245" s="2">
        <f t="shared" si="122"/>
        <v>0</v>
      </c>
      <c r="I245" s="2">
        <f t="shared" si="118"/>
        <v>0</v>
      </c>
      <c r="J245" s="2">
        <f t="shared" si="117"/>
        <v>0</v>
      </c>
      <c r="K245" s="2">
        <f t="shared" si="120"/>
        <v>0</v>
      </c>
      <c r="L245" s="24">
        <f t="shared" si="115"/>
        <v>0</v>
      </c>
      <c r="M245" s="25"/>
      <c r="N245" s="2">
        <f>ROUND(1835.26,2)</f>
        <v>1835.26</v>
      </c>
      <c r="O245" s="2">
        <f t="shared" si="123"/>
        <v>0</v>
      </c>
      <c r="P245" s="2">
        <f t="shared" si="121"/>
        <v>0</v>
      </c>
      <c r="Q245" s="24">
        <f t="shared" si="119"/>
        <v>0</v>
      </c>
      <c r="R245" s="25"/>
      <c r="S245" s="24">
        <f>ROUND(1835.26,2)</f>
        <v>1835.26</v>
      </c>
      <c r="T245" s="25"/>
      <c r="U245" s="26"/>
    </row>
    <row r="246" spans="1:21">
      <c r="A246" s="22" t="s">
        <v>450</v>
      </c>
      <c r="B246" s="23"/>
      <c r="C246" s="22" t="s">
        <v>451</v>
      </c>
      <c r="D246" s="23"/>
      <c r="E246" s="23"/>
      <c r="F246" s="23"/>
      <c r="G246" s="23"/>
      <c r="H246" s="2">
        <f t="shared" si="122"/>
        <v>0</v>
      </c>
      <c r="I246" s="2">
        <f t="shared" si="118"/>
        <v>0</v>
      </c>
      <c r="J246" s="2">
        <f t="shared" si="117"/>
        <v>0</v>
      </c>
      <c r="K246" s="2">
        <f t="shared" si="120"/>
        <v>0</v>
      </c>
      <c r="L246" s="24">
        <f t="shared" ref="L246:L261" si="124">ROUND(0,2)</f>
        <v>0</v>
      </c>
      <c r="M246" s="25"/>
      <c r="N246" s="2">
        <f>ROUND(13162.96,2)</f>
        <v>13162.96</v>
      </c>
      <c r="O246" s="2">
        <f t="shared" si="123"/>
        <v>0</v>
      </c>
      <c r="P246" s="2">
        <f t="shared" si="121"/>
        <v>0</v>
      </c>
      <c r="Q246" s="24">
        <f t="shared" si="119"/>
        <v>0</v>
      </c>
      <c r="R246" s="25"/>
      <c r="S246" s="24">
        <f>ROUND(13162.96,2)</f>
        <v>13162.96</v>
      </c>
      <c r="T246" s="25"/>
      <c r="U246" s="26"/>
    </row>
    <row r="247" spans="1:21">
      <c r="A247" s="22" t="s">
        <v>452</v>
      </c>
      <c r="B247" s="23"/>
      <c r="C247" s="22" t="s">
        <v>453</v>
      </c>
      <c r="D247" s="23"/>
      <c r="E247" s="23"/>
      <c r="F247" s="23"/>
      <c r="G247" s="23"/>
      <c r="H247" s="2">
        <f t="shared" si="122"/>
        <v>0</v>
      </c>
      <c r="I247" s="2">
        <f t="shared" si="118"/>
        <v>0</v>
      </c>
      <c r="J247" s="2">
        <f t="shared" si="117"/>
        <v>0</v>
      </c>
      <c r="K247" s="2">
        <f t="shared" si="120"/>
        <v>0</v>
      </c>
      <c r="L247" s="24">
        <f t="shared" si="124"/>
        <v>0</v>
      </c>
      <c r="M247" s="25"/>
      <c r="N247" s="2">
        <f>ROUND(29069.36,2)</f>
        <v>29069.360000000001</v>
      </c>
      <c r="O247" s="2">
        <f t="shared" si="123"/>
        <v>0</v>
      </c>
      <c r="P247" s="2">
        <f t="shared" si="121"/>
        <v>0</v>
      </c>
      <c r="Q247" s="24">
        <f t="shared" si="119"/>
        <v>0</v>
      </c>
      <c r="R247" s="25"/>
      <c r="S247" s="24">
        <f>ROUND(29069.36,2)</f>
        <v>29069.360000000001</v>
      </c>
      <c r="T247" s="25"/>
      <c r="U247" s="26"/>
    </row>
    <row r="248" spans="1:21">
      <c r="A248" s="22" t="s">
        <v>454</v>
      </c>
      <c r="B248" s="23"/>
      <c r="C248" s="22" t="s">
        <v>455</v>
      </c>
      <c r="D248" s="23"/>
      <c r="E248" s="23"/>
      <c r="F248" s="23"/>
      <c r="G248" s="23"/>
      <c r="H248" s="2">
        <f t="shared" si="122"/>
        <v>0</v>
      </c>
      <c r="I248" s="2">
        <f t="shared" si="118"/>
        <v>0</v>
      </c>
      <c r="J248" s="2">
        <f t="shared" si="117"/>
        <v>0</v>
      </c>
      <c r="K248" s="2">
        <f t="shared" si="120"/>
        <v>0</v>
      </c>
      <c r="L248" s="24">
        <f t="shared" si="124"/>
        <v>0</v>
      </c>
      <c r="M248" s="25"/>
      <c r="N248" s="2">
        <f>ROUND(3804.7,2)</f>
        <v>3804.7</v>
      </c>
      <c r="O248" s="2">
        <f t="shared" si="123"/>
        <v>0</v>
      </c>
      <c r="P248" s="2">
        <f t="shared" si="121"/>
        <v>0</v>
      </c>
      <c r="Q248" s="24">
        <f t="shared" si="119"/>
        <v>0</v>
      </c>
      <c r="R248" s="25"/>
      <c r="S248" s="24">
        <f>ROUND(3804.7,2)</f>
        <v>3804.7</v>
      </c>
      <c r="T248" s="25"/>
      <c r="U248" s="26"/>
    </row>
    <row r="249" spans="1:21">
      <c r="A249" s="22" t="s">
        <v>456</v>
      </c>
      <c r="B249" s="23"/>
      <c r="C249" s="22" t="s">
        <v>457</v>
      </c>
      <c r="D249" s="23"/>
      <c r="E249" s="23"/>
      <c r="F249" s="23"/>
      <c r="G249" s="23"/>
      <c r="H249" s="2">
        <f t="shared" si="122"/>
        <v>0</v>
      </c>
      <c r="I249" s="2">
        <f t="shared" si="118"/>
        <v>0</v>
      </c>
      <c r="J249" s="2">
        <f t="shared" ref="J249:J264" si="125">ROUND(0,2)</f>
        <v>0</v>
      </c>
      <c r="K249" s="2">
        <f t="shared" si="120"/>
        <v>0</v>
      </c>
      <c r="L249" s="24">
        <f t="shared" si="124"/>
        <v>0</v>
      </c>
      <c r="M249" s="25"/>
      <c r="N249" s="2">
        <f>ROUND(25104.44,2)</f>
        <v>25104.44</v>
      </c>
      <c r="O249" s="2">
        <f t="shared" si="123"/>
        <v>0</v>
      </c>
      <c r="P249" s="2">
        <f t="shared" si="121"/>
        <v>0</v>
      </c>
      <c r="Q249" s="24">
        <f t="shared" si="119"/>
        <v>0</v>
      </c>
      <c r="R249" s="25"/>
      <c r="S249" s="24">
        <f>ROUND(25104.44,2)</f>
        <v>25104.44</v>
      </c>
      <c r="T249" s="25"/>
      <c r="U249" s="26"/>
    </row>
    <row r="250" spans="1:21">
      <c r="A250" s="22" t="s">
        <v>458</v>
      </c>
      <c r="B250" s="23"/>
      <c r="C250" s="22" t="s">
        <v>459</v>
      </c>
      <c r="D250" s="23"/>
      <c r="E250" s="23"/>
      <c r="F250" s="23"/>
      <c r="G250" s="23"/>
      <c r="H250" s="2">
        <f t="shared" si="122"/>
        <v>0</v>
      </c>
      <c r="I250" s="2">
        <f t="shared" ref="I250:I265" si="126">ROUND(0,2)</f>
        <v>0</v>
      </c>
      <c r="J250" s="2">
        <f t="shared" si="125"/>
        <v>0</v>
      </c>
      <c r="K250" s="2">
        <f t="shared" si="120"/>
        <v>0</v>
      </c>
      <c r="L250" s="24">
        <f t="shared" si="124"/>
        <v>0</v>
      </c>
      <c r="M250" s="25"/>
      <c r="N250" s="2">
        <f>ROUND(0,2)</f>
        <v>0</v>
      </c>
      <c r="O250" s="2">
        <f t="shared" si="123"/>
        <v>0</v>
      </c>
      <c r="P250" s="2">
        <f>ROUND(14736.86,2)</f>
        <v>14736.86</v>
      </c>
      <c r="Q250" s="24">
        <f t="shared" si="119"/>
        <v>0</v>
      </c>
      <c r="R250" s="25"/>
      <c r="S250" s="24">
        <f>ROUND(-14736.86,2)</f>
        <v>-14736.86</v>
      </c>
      <c r="T250" s="25"/>
      <c r="U250" s="26"/>
    </row>
    <row r="251" spans="1:21">
      <c r="A251" s="22" t="s">
        <v>460</v>
      </c>
      <c r="B251" s="23"/>
      <c r="C251" s="22" t="s">
        <v>461</v>
      </c>
      <c r="D251" s="23"/>
      <c r="E251" s="23"/>
      <c r="F251" s="23"/>
      <c r="G251" s="23"/>
      <c r="H251" s="2">
        <f t="shared" si="122"/>
        <v>0</v>
      </c>
      <c r="I251" s="2">
        <f t="shared" si="126"/>
        <v>0</v>
      </c>
      <c r="J251" s="2">
        <f t="shared" si="125"/>
        <v>0</v>
      </c>
      <c r="K251" s="2">
        <f t="shared" si="120"/>
        <v>0</v>
      </c>
      <c r="L251" s="24">
        <f t="shared" si="124"/>
        <v>0</v>
      </c>
      <c r="M251" s="25"/>
      <c r="N251" s="2">
        <f>ROUND(3180.7,2)</f>
        <v>3180.7</v>
      </c>
      <c r="O251" s="2">
        <f t="shared" si="123"/>
        <v>0</v>
      </c>
      <c r="P251" s="2">
        <f t="shared" ref="P251:P266" si="127">ROUND(0,2)</f>
        <v>0</v>
      </c>
      <c r="Q251" s="24">
        <f t="shared" si="119"/>
        <v>0</v>
      </c>
      <c r="R251" s="25"/>
      <c r="S251" s="24">
        <f>ROUND(3180.7,2)</f>
        <v>3180.7</v>
      </c>
      <c r="T251" s="25"/>
      <c r="U251" s="26"/>
    </row>
    <row r="252" spans="1:21">
      <c r="A252" s="22" t="s">
        <v>462</v>
      </c>
      <c r="B252" s="23"/>
      <c r="C252" s="22" t="s">
        <v>463</v>
      </c>
      <c r="D252" s="23"/>
      <c r="E252" s="23"/>
      <c r="F252" s="23"/>
      <c r="G252" s="23"/>
      <c r="H252" s="2">
        <f t="shared" si="122"/>
        <v>0</v>
      </c>
      <c r="I252" s="2">
        <f t="shared" si="126"/>
        <v>0</v>
      </c>
      <c r="J252" s="2">
        <f t="shared" si="125"/>
        <v>0</v>
      </c>
      <c r="K252" s="2">
        <f>ROUND(1437.43,2)</f>
        <v>1437.43</v>
      </c>
      <c r="L252" s="24">
        <f t="shared" si="124"/>
        <v>0</v>
      </c>
      <c r="M252" s="25"/>
      <c r="N252" s="2">
        <f>ROUND(0,2)</f>
        <v>0</v>
      </c>
      <c r="O252" s="2">
        <f t="shared" si="123"/>
        <v>0</v>
      </c>
      <c r="P252" s="2">
        <f t="shared" si="127"/>
        <v>0</v>
      </c>
      <c r="Q252" s="24">
        <f t="shared" si="119"/>
        <v>0</v>
      </c>
      <c r="R252" s="25"/>
      <c r="S252" s="24">
        <f>ROUND(1437.43,2)</f>
        <v>1437.43</v>
      </c>
      <c r="T252" s="25"/>
      <c r="U252" s="26"/>
    </row>
    <row r="253" spans="1:21">
      <c r="A253" s="22" t="s">
        <v>464</v>
      </c>
      <c r="B253" s="23"/>
      <c r="C253" s="22" t="s">
        <v>465</v>
      </c>
      <c r="D253" s="23"/>
      <c r="E253" s="23"/>
      <c r="F253" s="23"/>
      <c r="G253" s="23"/>
      <c r="H253" s="2">
        <f t="shared" si="122"/>
        <v>0</v>
      </c>
      <c r="I253" s="2">
        <f t="shared" si="126"/>
        <v>0</v>
      </c>
      <c r="J253" s="2">
        <f t="shared" si="125"/>
        <v>0</v>
      </c>
      <c r="K253" s="2">
        <f>ROUND(0,2)</f>
        <v>0</v>
      </c>
      <c r="L253" s="24">
        <f t="shared" si="124"/>
        <v>0</v>
      </c>
      <c r="M253" s="25"/>
      <c r="N253" s="2">
        <f>ROUND(5527.85,2)</f>
        <v>5527.85</v>
      </c>
      <c r="O253" s="2">
        <f t="shared" si="123"/>
        <v>0</v>
      </c>
      <c r="P253" s="2">
        <f t="shared" si="127"/>
        <v>0</v>
      </c>
      <c r="Q253" s="24">
        <f t="shared" si="119"/>
        <v>0</v>
      </c>
      <c r="R253" s="25"/>
      <c r="S253" s="24">
        <f>ROUND(5527.85,2)</f>
        <v>5527.85</v>
      </c>
      <c r="T253" s="25"/>
      <c r="U253" s="26"/>
    </row>
    <row r="254" spans="1:21">
      <c r="A254" s="22" t="s">
        <v>466</v>
      </c>
      <c r="B254" s="23"/>
      <c r="C254" s="22" t="s">
        <v>467</v>
      </c>
      <c r="D254" s="23"/>
      <c r="E254" s="23"/>
      <c r="F254" s="23"/>
      <c r="G254" s="23"/>
      <c r="H254" s="2">
        <f t="shared" si="122"/>
        <v>0</v>
      </c>
      <c r="I254" s="2">
        <f t="shared" si="126"/>
        <v>0</v>
      </c>
      <c r="J254" s="2">
        <f t="shared" si="125"/>
        <v>0</v>
      </c>
      <c r="K254" s="2">
        <f>ROUND(3728.84,2)</f>
        <v>3728.84</v>
      </c>
      <c r="L254" s="24">
        <f t="shared" si="124"/>
        <v>0</v>
      </c>
      <c r="M254" s="25"/>
      <c r="N254" s="2">
        <f>ROUND(9083.67,2)</f>
        <v>9083.67</v>
      </c>
      <c r="O254" s="2">
        <f t="shared" si="123"/>
        <v>0</v>
      </c>
      <c r="P254" s="2">
        <f t="shared" si="127"/>
        <v>0</v>
      </c>
      <c r="Q254" s="24">
        <f t="shared" si="119"/>
        <v>0</v>
      </c>
      <c r="R254" s="25"/>
      <c r="S254" s="24">
        <f>ROUND(12812.51,2)</f>
        <v>12812.51</v>
      </c>
      <c r="T254" s="25"/>
      <c r="U254" s="26"/>
    </row>
    <row r="255" spans="1:21">
      <c r="A255" s="22" t="s">
        <v>468</v>
      </c>
      <c r="B255" s="23"/>
      <c r="C255" s="22" t="s">
        <v>469</v>
      </c>
      <c r="D255" s="23"/>
      <c r="E255" s="23"/>
      <c r="F255" s="23"/>
      <c r="G255" s="23"/>
      <c r="H255" s="2">
        <f t="shared" si="122"/>
        <v>0</v>
      </c>
      <c r="I255" s="2">
        <f t="shared" si="126"/>
        <v>0</v>
      </c>
      <c r="J255" s="2">
        <f t="shared" si="125"/>
        <v>0</v>
      </c>
      <c r="K255" s="2">
        <f>ROUND(242.76,2)</f>
        <v>242.76</v>
      </c>
      <c r="L255" s="24">
        <f t="shared" si="124"/>
        <v>0</v>
      </c>
      <c r="M255" s="25"/>
      <c r="N255" s="2">
        <f>ROUND(1291.84,2)</f>
        <v>1291.8399999999999</v>
      </c>
      <c r="O255" s="2">
        <f t="shared" si="123"/>
        <v>0</v>
      </c>
      <c r="P255" s="2">
        <f t="shared" si="127"/>
        <v>0</v>
      </c>
      <c r="Q255" s="24">
        <f t="shared" ref="Q255:Q270" si="128">ROUND(0,2)</f>
        <v>0</v>
      </c>
      <c r="R255" s="25"/>
      <c r="S255" s="24">
        <f>ROUND(1534.6,2)</f>
        <v>1534.6</v>
      </c>
      <c r="T255" s="25"/>
      <c r="U255" s="26"/>
    </row>
    <row r="256" spans="1:21">
      <c r="A256" s="22" t="s">
        <v>470</v>
      </c>
      <c r="B256" s="23"/>
      <c r="C256" s="22" t="s">
        <v>471</v>
      </c>
      <c r="D256" s="23"/>
      <c r="E256" s="23"/>
      <c r="F256" s="23"/>
      <c r="G256" s="23"/>
      <c r="H256" s="2">
        <f t="shared" si="122"/>
        <v>0</v>
      </c>
      <c r="I256" s="2">
        <f t="shared" si="126"/>
        <v>0</v>
      </c>
      <c r="J256" s="2">
        <f t="shared" si="125"/>
        <v>0</v>
      </c>
      <c r="K256" s="2">
        <f>ROUND(6673.03,2)</f>
        <v>6673.03</v>
      </c>
      <c r="L256" s="24">
        <f t="shared" si="124"/>
        <v>0</v>
      </c>
      <c r="M256" s="25"/>
      <c r="N256" s="2">
        <f>ROUND(5915.94,2)</f>
        <v>5915.94</v>
      </c>
      <c r="O256" s="2">
        <f t="shared" si="123"/>
        <v>0</v>
      </c>
      <c r="P256" s="2">
        <f t="shared" si="127"/>
        <v>0</v>
      </c>
      <c r="Q256" s="24">
        <f t="shared" si="128"/>
        <v>0</v>
      </c>
      <c r="R256" s="25"/>
      <c r="S256" s="24">
        <f>ROUND(12588.97,2)</f>
        <v>12588.97</v>
      </c>
      <c r="T256" s="25"/>
      <c r="U256" s="26"/>
    </row>
    <row r="257" spans="1:21">
      <c r="A257" s="22" t="s">
        <v>472</v>
      </c>
      <c r="B257" s="23"/>
      <c r="C257" s="22" t="s">
        <v>473</v>
      </c>
      <c r="D257" s="23"/>
      <c r="E257" s="23"/>
      <c r="F257" s="23"/>
      <c r="G257" s="23"/>
      <c r="H257" s="2">
        <f t="shared" si="122"/>
        <v>0</v>
      </c>
      <c r="I257" s="2">
        <f t="shared" si="126"/>
        <v>0</v>
      </c>
      <c r="J257" s="2">
        <f t="shared" si="125"/>
        <v>0</v>
      </c>
      <c r="K257" s="2">
        <f t="shared" ref="K257:K272" si="129">ROUND(0,2)</f>
        <v>0</v>
      </c>
      <c r="L257" s="24">
        <f t="shared" si="124"/>
        <v>0</v>
      </c>
      <c r="M257" s="25"/>
      <c r="N257" s="2">
        <f>ROUND(19399.02,2)</f>
        <v>19399.02</v>
      </c>
      <c r="O257" s="2">
        <f t="shared" si="123"/>
        <v>0</v>
      </c>
      <c r="P257" s="2">
        <f t="shared" si="127"/>
        <v>0</v>
      </c>
      <c r="Q257" s="24">
        <f t="shared" si="128"/>
        <v>0</v>
      </c>
      <c r="R257" s="25"/>
      <c r="S257" s="24">
        <f>ROUND(19399.02,2)</f>
        <v>19399.02</v>
      </c>
      <c r="T257" s="25"/>
      <c r="U257" s="26"/>
    </row>
    <row r="258" spans="1:21">
      <c r="A258" s="22" t="s">
        <v>474</v>
      </c>
      <c r="B258" s="23"/>
      <c r="C258" s="22" t="s">
        <v>475</v>
      </c>
      <c r="D258" s="23"/>
      <c r="E258" s="23"/>
      <c r="F258" s="23"/>
      <c r="G258" s="23"/>
      <c r="H258" s="2">
        <f t="shared" si="122"/>
        <v>0</v>
      </c>
      <c r="I258" s="2">
        <f t="shared" si="126"/>
        <v>0</v>
      </c>
      <c r="J258" s="2">
        <f t="shared" si="125"/>
        <v>0</v>
      </c>
      <c r="K258" s="2">
        <f t="shared" si="129"/>
        <v>0</v>
      </c>
      <c r="L258" s="24">
        <f t="shared" si="124"/>
        <v>0</v>
      </c>
      <c r="M258" s="25"/>
      <c r="N258" s="2">
        <f>ROUND(6581.48,2)</f>
        <v>6581.48</v>
      </c>
      <c r="O258" s="2">
        <f t="shared" si="123"/>
        <v>0</v>
      </c>
      <c r="P258" s="2">
        <f t="shared" si="127"/>
        <v>0</v>
      </c>
      <c r="Q258" s="24">
        <f t="shared" si="128"/>
        <v>0</v>
      </c>
      <c r="R258" s="25"/>
      <c r="S258" s="24">
        <f>ROUND(6581.48,2)</f>
        <v>6581.48</v>
      </c>
      <c r="T258" s="25"/>
      <c r="U258" s="26"/>
    </row>
    <row r="259" spans="1:21">
      <c r="A259" s="22" t="s">
        <v>476</v>
      </c>
      <c r="B259" s="23"/>
      <c r="C259" s="22" t="s">
        <v>477</v>
      </c>
      <c r="D259" s="23"/>
      <c r="E259" s="23"/>
      <c r="F259" s="23"/>
      <c r="G259" s="23"/>
      <c r="H259" s="2">
        <f t="shared" si="122"/>
        <v>0</v>
      </c>
      <c r="I259" s="2">
        <f t="shared" si="126"/>
        <v>0</v>
      </c>
      <c r="J259" s="2">
        <f t="shared" si="125"/>
        <v>0</v>
      </c>
      <c r="K259" s="2">
        <f t="shared" si="129"/>
        <v>0</v>
      </c>
      <c r="L259" s="24">
        <f t="shared" si="124"/>
        <v>0</v>
      </c>
      <c r="M259" s="25"/>
      <c r="N259" s="2">
        <f>ROUND(14534.68,2)</f>
        <v>14534.68</v>
      </c>
      <c r="O259" s="2">
        <f t="shared" si="123"/>
        <v>0</v>
      </c>
      <c r="P259" s="2">
        <f t="shared" si="127"/>
        <v>0</v>
      </c>
      <c r="Q259" s="24">
        <f t="shared" si="128"/>
        <v>0</v>
      </c>
      <c r="R259" s="25"/>
      <c r="S259" s="24">
        <f>ROUND(14534.68,2)</f>
        <v>14534.68</v>
      </c>
      <c r="T259" s="25"/>
      <c r="U259" s="26"/>
    </row>
    <row r="260" spans="1:21">
      <c r="A260" s="22" t="s">
        <v>478</v>
      </c>
      <c r="B260" s="23"/>
      <c r="C260" s="22" t="s">
        <v>479</v>
      </c>
      <c r="D260" s="23"/>
      <c r="E260" s="23"/>
      <c r="F260" s="23"/>
      <c r="G260" s="23"/>
      <c r="H260" s="2">
        <f t="shared" ref="H260:H275" si="130">ROUND(0,2)</f>
        <v>0</v>
      </c>
      <c r="I260" s="2">
        <f t="shared" si="126"/>
        <v>0</v>
      </c>
      <c r="J260" s="2">
        <f t="shared" si="125"/>
        <v>0</v>
      </c>
      <c r="K260" s="2">
        <f t="shared" si="129"/>
        <v>0</v>
      </c>
      <c r="L260" s="24">
        <f t="shared" si="124"/>
        <v>0</v>
      </c>
      <c r="M260" s="25"/>
      <c r="N260" s="2">
        <f>ROUND(1902.35,2)</f>
        <v>1902.35</v>
      </c>
      <c r="O260" s="2">
        <f>ROUND(0,2)</f>
        <v>0</v>
      </c>
      <c r="P260" s="2">
        <f t="shared" si="127"/>
        <v>0</v>
      </c>
      <c r="Q260" s="24">
        <f t="shared" si="128"/>
        <v>0</v>
      </c>
      <c r="R260" s="25"/>
      <c r="S260" s="24">
        <f>ROUND(1902.35,2)</f>
        <v>1902.35</v>
      </c>
      <c r="T260" s="25"/>
      <c r="U260" s="26"/>
    </row>
    <row r="261" spans="1:21">
      <c r="A261" s="22" t="s">
        <v>480</v>
      </c>
      <c r="B261" s="23"/>
      <c r="C261" s="22" t="s">
        <v>481</v>
      </c>
      <c r="D261" s="23"/>
      <c r="E261" s="23"/>
      <c r="F261" s="23"/>
      <c r="G261" s="23"/>
      <c r="H261" s="2">
        <f t="shared" si="130"/>
        <v>0</v>
      </c>
      <c r="I261" s="2">
        <f t="shared" si="126"/>
        <v>0</v>
      </c>
      <c r="J261" s="2">
        <f t="shared" si="125"/>
        <v>0</v>
      </c>
      <c r="K261" s="2">
        <f t="shared" si="129"/>
        <v>0</v>
      </c>
      <c r="L261" s="24">
        <f t="shared" si="124"/>
        <v>0</v>
      </c>
      <c r="M261" s="25"/>
      <c r="N261" s="2">
        <f>ROUND(8520.68,2)</f>
        <v>8520.68</v>
      </c>
      <c r="O261" s="2">
        <f>ROUND(0,2)</f>
        <v>0</v>
      </c>
      <c r="P261" s="2">
        <f t="shared" si="127"/>
        <v>0</v>
      </c>
      <c r="Q261" s="24">
        <f t="shared" si="128"/>
        <v>0</v>
      </c>
      <c r="R261" s="25"/>
      <c r="S261" s="24">
        <f>ROUND(8520.68,2)</f>
        <v>8520.68</v>
      </c>
      <c r="T261" s="25"/>
      <c r="U261" s="26"/>
    </row>
    <row r="262" spans="1:21">
      <c r="A262" s="22" t="s">
        <v>482</v>
      </c>
      <c r="B262" s="23"/>
      <c r="C262" s="22" t="s">
        <v>483</v>
      </c>
      <c r="D262" s="23"/>
      <c r="E262" s="23"/>
      <c r="F262" s="23"/>
      <c r="G262" s="23"/>
      <c r="H262" s="2">
        <f t="shared" si="130"/>
        <v>0</v>
      </c>
      <c r="I262" s="2">
        <f t="shared" si="126"/>
        <v>0</v>
      </c>
      <c r="J262" s="2">
        <f t="shared" si="125"/>
        <v>0</v>
      </c>
      <c r="K262" s="2">
        <f t="shared" si="129"/>
        <v>0</v>
      </c>
      <c r="L262" s="24">
        <f t="shared" ref="L262:L277" si="131">ROUND(0,2)</f>
        <v>0</v>
      </c>
      <c r="M262" s="25"/>
      <c r="N262" s="2">
        <f t="shared" ref="N262:N277" si="132">ROUND(0,2)</f>
        <v>0</v>
      </c>
      <c r="O262" s="2">
        <f>ROUND(39703.49,2)</f>
        <v>39703.49</v>
      </c>
      <c r="P262" s="2">
        <f t="shared" si="127"/>
        <v>0</v>
      </c>
      <c r="Q262" s="24">
        <f t="shared" si="128"/>
        <v>0</v>
      </c>
      <c r="R262" s="25"/>
      <c r="S262" s="24">
        <f>ROUND(39703.49,2)</f>
        <v>39703.49</v>
      </c>
      <c r="T262" s="25"/>
      <c r="U262" s="26"/>
    </row>
    <row r="263" spans="1:21">
      <c r="A263" s="22" t="s">
        <v>484</v>
      </c>
      <c r="B263" s="23"/>
      <c r="C263" s="22" t="s">
        <v>485</v>
      </c>
      <c r="D263" s="23"/>
      <c r="E263" s="23"/>
      <c r="F263" s="23"/>
      <c r="G263" s="23"/>
      <c r="H263" s="2">
        <f t="shared" si="130"/>
        <v>0</v>
      </c>
      <c r="I263" s="2">
        <f t="shared" si="126"/>
        <v>0</v>
      </c>
      <c r="J263" s="2">
        <f t="shared" si="125"/>
        <v>0</v>
      </c>
      <c r="K263" s="2">
        <f t="shared" si="129"/>
        <v>0</v>
      </c>
      <c r="L263" s="24">
        <f t="shared" si="131"/>
        <v>0</v>
      </c>
      <c r="M263" s="25"/>
      <c r="N263" s="2">
        <f t="shared" si="132"/>
        <v>0</v>
      </c>
      <c r="O263" s="2">
        <f>ROUND(1441.25,2)</f>
        <v>1441.25</v>
      </c>
      <c r="P263" s="2">
        <f t="shared" si="127"/>
        <v>0</v>
      </c>
      <c r="Q263" s="24">
        <f t="shared" si="128"/>
        <v>0</v>
      </c>
      <c r="R263" s="25"/>
      <c r="S263" s="24">
        <f>ROUND(1441.25,2)</f>
        <v>1441.25</v>
      </c>
      <c r="T263" s="25"/>
      <c r="U263" s="26"/>
    </row>
    <row r="264" spans="1:21">
      <c r="A264" s="22" t="s">
        <v>486</v>
      </c>
      <c r="B264" s="23"/>
      <c r="C264" s="22" t="s">
        <v>487</v>
      </c>
      <c r="D264" s="23"/>
      <c r="E264" s="23"/>
      <c r="F264" s="23"/>
      <c r="G264" s="23"/>
      <c r="H264" s="2">
        <f t="shared" si="130"/>
        <v>0</v>
      </c>
      <c r="I264" s="2">
        <f t="shared" si="126"/>
        <v>0</v>
      </c>
      <c r="J264" s="2">
        <f t="shared" si="125"/>
        <v>0</v>
      </c>
      <c r="K264" s="2">
        <f t="shared" si="129"/>
        <v>0</v>
      </c>
      <c r="L264" s="24">
        <f t="shared" si="131"/>
        <v>0</v>
      </c>
      <c r="M264" s="25"/>
      <c r="N264" s="2">
        <f t="shared" si="132"/>
        <v>0</v>
      </c>
      <c r="O264" s="2">
        <f>ROUND(17003.96,2)</f>
        <v>17003.96</v>
      </c>
      <c r="P264" s="2">
        <f t="shared" si="127"/>
        <v>0</v>
      </c>
      <c r="Q264" s="24">
        <f t="shared" si="128"/>
        <v>0</v>
      </c>
      <c r="R264" s="25"/>
      <c r="S264" s="24">
        <f>ROUND(17003.96,2)</f>
        <v>17003.96</v>
      </c>
      <c r="T264" s="25"/>
      <c r="U264" s="26"/>
    </row>
    <row r="265" spans="1:21">
      <c r="A265" s="22" t="s">
        <v>488</v>
      </c>
      <c r="B265" s="23"/>
      <c r="C265" s="22" t="s">
        <v>489</v>
      </c>
      <c r="D265" s="23"/>
      <c r="E265" s="23"/>
      <c r="F265" s="23"/>
      <c r="G265" s="23"/>
      <c r="H265" s="2">
        <f t="shared" si="130"/>
        <v>0</v>
      </c>
      <c r="I265" s="2">
        <f t="shared" si="126"/>
        <v>0</v>
      </c>
      <c r="J265" s="2">
        <f t="shared" ref="J265:J280" si="133">ROUND(0,2)</f>
        <v>0</v>
      </c>
      <c r="K265" s="2">
        <f t="shared" si="129"/>
        <v>0</v>
      </c>
      <c r="L265" s="24">
        <f t="shared" si="131"/>
        <v>0</v>
      </c>
      <c r="M265" s="25"/>
      <c r="N265" s="2">
        <f t="shared" si="132"/>
        <v>0</v>
      </c>
      <c r="O265" s="2">
        <f>ROUND(37551.89,2)</f>
        <v>37551.89</v>
      </c>
      <c r="P265" s="2">
        <f t="shared" si="127"/>
        <v>0</v>
      </c>
      <c r="Q265" s="24">
        <f t="shared" si="128"/>
        <v>0</v>
      </c>
      <c r="R265" s="25"/>
      <c r="S265" s="24">
        <f>ROUND(37551.89,2)</f>
        <v>37551.89</v>
      </c>
      <c r="T265" s="25"/>
      <c r="U265" s="26"/>
    </row>
    <row r="266" spans="1:21">
      <c r="A266" s="22" t="s">
        <v>490</v>
      </c>
      <c r="B266" s="23"/>
      <c r="C266" s="22" t="s">
        <v>491</v>
      </c>
      <c r="D266" s="23"/>
      <c r="E266" s="23"/>
      <c r="F266" s="23"/>
      <c r="G266" s="23"/>
      <c r="H266" s="2">
        <f t="shared" si="130"/>
        <v>0</v>
      </c>
      <c r="I266" s="2">
        <f t="shared" ref="I266:I281" si="134">ROUND(0,2)</f>
        <v>0</v>
      </c>
      <c r="J266" s="2">
        <f t="shared" si="133"/>
        <v>0</v>
      </c>
      <c r="K266" s="2">
        <f t="shared" si="129"/>
        <v>0</v>
      </c>
      <c r="L266" s="24">
        <f t="shared" si="131"/>
        <v>0</v>
      </c>
      <c r="M266" s="25"/>
      <c r="N266" s="2">
        <f t="shared" si="132"/>
        <v>0</v>
      </c>
      <c r="O266" s="2">
        <f>ROUND(5000.32,2)</f>
        <v>5000.32</v>
      </c>
      <c r="P266" s="2">
        <f t="shared" si="127"/>
        <v>0</v>
      </c>
      <c r="Q266" s="24">
        <f t="shared" si="128"/>
        <v>0</v>
      </c>
      <c r="R266" s="25"/>
      <c r="S266" s="24">
        <f>ROUND(5000.32,2)</f>
        <v>5000.32</v>
      </c>
      <c r="T266" s="25"/>
      <c r="U266" s="26"/>
    </row>
    <row r="267" spans="1:21">
      <c r="A267" s="22" t="s">
        <v>492</v>
      </c>
      <c r="B267" s="23"/>
      <c r="C267" s="22" t="s">
        <v>493</v>
      </c>
      <c r="D267" s="23"/>
      <c r="E267" s="23"/>
      <c r="F267" s="23"/>
      <c r="G267" s="23"/>
      <c r="H267" s="2">
        <f t="shared" si="130"/>
        <v>0</v>
      </c>
      <c r="I267" s="2">
        <f t="shared" si="134"/>
        <v>0</v>
      </c>
      <c r="J267" s="2">
        <f t="shared" si="133"/>
        <v>0</v>
      </c>
      <c r="K267" s="2">
        <f t="shared" si="129"/>
        <v>0</v>
      </c>
      <c r="L267" s="24">
        <f t="shared" si="131"/>
        <v>0</v>
      </c>
      <c r="M267" s="25"/>
      <c r="N267" s="2">
        <f t="shared" si="132"/>
        <v>0</v>
      </c>
      <c r="O267" s="2">
        <f>ROUND(32002.75,2)</f>
        <v>32002.75</v>
      </c>
      <c r="P267" s="2">
        <f t="shared" ref="P267:P282" si="135">ROUND(0,2)</f>
        <v>0</v>
      </c>
      <c r="Q267" s="24">
        <f t="shared" si="128"/>
        <v>0</v>
      </c>
      <c r="R267" s="25"/>
      <c r="S267" s="24">
        <f>ROUND(32002.75,2)</f>
        <v>32002.75</v>
      </c>
      <c r="T267" s="25"/>
      <c r="U267" s="26"/>
    </row>
    <row r="268" spans="1:21">
      <c r="A268" s="22" t="s">
        <v>494</v>
      </c>
      <c r="B268" s="23"/>
      <c r="C268" s="22" t="s">
        <v>495</v>
      </c>
      <c r="D268" s="23"/>
      <c r="E268" s="23"/>
      <c r="F268" s="23"/>
      <c r="G268" s="23"/>
      <c r="H268" s="2">
        <f t="shared" si="130"/>
        <v>0</v>
      </c>
      <c r="I268" s="2">
        <f t="shared" si="134"/>
        <v>0</v>
      </c>
      <c r="J268" s="2">
        <f t="shared" si="133"/>
        <v>0</v>
      </c>
      <c r="K268" s="2">
        <f t="shared" si="129"/>
        <v>0</v>
      </c>
      <c r="L268" s="24">
        <f t="shared" si="131"/>
        <v>0</v>
      </c>
      <c r="M268" s="25"/>
      <c r="N268" s="2">
        <f t="shared" si="132"/>
        <v>0</v>
      </c>
      <c r="O268" s="2">
        <f>ROUND(152000,2)</f>
        <v>152000</v>
      </c>
      <c r="P268" s="2">
        <f t="shared" si="135"/>
        <v>0</v>
      </c>
      <c r="Q268" s="24">
        <f t="shared" si="128"/>
        <v>0</v>
      </c>
      <c r="R268" s="25"/>
      <c r="S268" s="24">
        <f>ROUND(152000,2)</f>
        <v>152000</v>
      </c>
      <c r="T268" s="25"/>
      <c r="U268" s="26"/>
    </row>
    <row r="269" spans="1:21">
      <c r="A269" s="22" t="s">
        <v>496</v>
      </c>
      <c r="B269" s="23"/>
      <c r="C269" s="22" t="s">
        <v>497</v>
      </c>
      <c r="D269" s="23"/>
      <c r="E269" s="23"/>
      <c r="F269" s="23"/>
      <c r="G269" s="23"/>
      <c r="H269" s="2">
        <f t="shared" si="130"/>
        <v>0</v>
      </c>
      <c r="I269" s="2">
        <f t="shared" si="134"/>
        <v>0</v>
      </c>
      <c r="J269" s="2">
        <f t="shared" si="133"/>
        <v>0</v>
      </c>
      <c r="K269" s="2">
        <f t="shared" si="129"/>
        <v>0</v>
      </c>
      <c r="L269" s="24">
        <f t="shared" si="131"/>
        <v>0</v>
      </c>
      <c r="M269" s="25"/>
      <c r="N269" s="2">
        <f t="shared" si="132"/>
        <v>0</v>
      </c>
      <c r="O269" s="2">
        <f>ROUND(459000,2)</f>
        <v>459000</v>
      </c>
      <c r="P269" s="2">
        <f t="shared" si="135"/>
        <v>0</v>
      </c>
      <c r="Q269" s="24">
        <f t="shared" si="128"/>
        <v>0</v>
      </c>
      <c r="R269" s="25"/>
      <c r="S269" s="24">
        <f>ROUND(459000,2)</f>
        <v>459000</v>
      </c>
      <c r="T269" s="25"/>
      <c r="U269" s="26"/>
    </row>
    <row r="270" spans="1:21">
      <c r="A270" s="22" t="s">
        <v>498</v>
      </c>
      <c r="B270" s="23"/>
      <c r="C270" s="22" t="s">
        <v>499</v>
      </c>
      <c r="D270" s="23"/>
      <c r="E270" s="23"/>
      <c r="F270" s="23"/>
      <c r="G270" s="23"/>
      <c r="H270" s="2">
        <f t="shared" si="130"/>
        <v>0</v>
      </c>
      <c r="I270" s="2">
        <f t="shared" si="134"/>
        <v>0</v>
      </c>
      <c r="J270" s="2">
        <f t="shared" si="133"/>
        <v>0</v>
      </c>
      <c r="K270" s="2">
        <f t="shared" si="129"/>
        <v>0</v>
      </c>
      <c r="L270" s="24">
        <f t="shared" si="131"/>
        <v>0</v>
      </c>
      <c r="M270" s="25"/>
      <c r="N270" s="2">
        <f t="shared" si="132"/>
        <v>0</v>
      </c>
      <c r="O270" s="2">
        <f>ROUND(30600.08,2)</f>
        <v>30600.080000000002</v>
      </c>
      <c r="P270" s="2">
        <f t="shared" si="135"/>
        <v>0</v>
      </c>
      <c r="Q270" s="24">
        <f t="shared" si="128"/>
        <v>0</v>
      </c>
      <c r="R270" s="25"/>
      <c r="S270" s="24">
        <f>ROUND(30600.08,2)</f>
        <v>30600.080000000002</v>
      </c>
      <c r="T270" s="25"/>
      <c r="U270" s="26"/>
    </row>
    <row r="271" spans="1:21">
      <c r="A271" s="22" t="s">
        <v>500</v>
      </c>
      <c r="B271" s="23"/>
      <c r="C271" s="22" t="s">
        <v>501</v>
      </c>
      <c r="D271" s="23"/>
      <c r="E271" s="23"/>
      <c r="F271" s="23"/>
      <c r="G271" s="23"/>
      <c r="H271" s="2">
        <f t="shared" si="130"/>
        <v>0</v>
      </c>
      <c r="I271" s="2">
        <f t="shared" si="134"/>
        <v>0</v>
      </c>
      <c r="J271" s="2">
        <f t="shared" si="133"/>
        <v>0</v>
      </c>
      <c r="K271" s="2">
        <f t="shared" si="129"/>
        <v>0</v>
      </c>
      <c r="L271" s="24">
        <f t="shared" si="131"/>
        <v>0</v>
      </c>
      <c r="M271" s="25"/>
      <c r="N271" s="2">
        <f t="shared" si="132"/>
        <v>0</v>
      </c>
      <c r="O271" s="2">
        <f>ROUND(122400.28,2)</f>
        <v>122400.28</v>
      </c>
      <c r="P271" s="2">
        <f t="shared" si="135"/>
        <v>0</v>
      </c>
      <c r="Q271" s="24">
        <f t="shared" ref="Q271:Q286" si="136">ROUND(0,2)</f>
        <v>0</v>
      </c>
      <c r="R271" s="25"/>
      <c r="S271" s="24">
        <f>ROUND(122400.28,2)</f>
        <v>122400.28</v>
      </c>
      <c r="T271" s="25"/>
      <c r="U271" s="26"/>
    </row>
    <row r="272" spans="1:21">
      <c r="A272" s="22" t="s">
        <v>502</v>
      </c>
      <c r="B272" s="23"/>
      <c r="C272" s="22" t="s">
        <v>503</v>
      </c>
      <c r="D272" s="23"/>
      <c r="E272" s="23"/>
      <c r="F272" s="23"/>
      <c r="G272" s="23"/>
      <c r="H272" s="2">
        <f t="shared" si="130"/>
        <v>0</v>
      </c>
      <c r="I272" s="2">
        <f t="shared" si="134"/>
        <v>0</v>
      </c>
      <c r="J272" s="2">
        <f t="shared" si="133"/>
        <v>0</v>
      </c>
      <c r="K272" s="2">
        <f t="shared" si="129"/>
        <v>0</v>
      </c>
      <c r="L272" s="24">
        <f t="shared" si="131"/>
        <v>0</v>
      </c>
      <c r="M272" s="25"/>
      <c r="N272" s="2">
        <f t="shared" si="132"/>
        <v>0</v>
      </c>
      <c r="O272" s="2">
        <f>ROUND(9007.66,2)</f>
        <v>9007.66</v>
      </c>
      <c r="P272" s="2">
        <f t="shared" si="135"/>
        <v>0</v>
      </c>
      <c r="Q272" s="24">
        <f t="shared" si="136"/>
        <v>0</v>
      </c>
      <c r="R272" s="25"/>
      <c r="S272" s="24">
        <f>ROUND(9007.66,2)</f>
        <v>9007.66</v>
      </c>
      <c r="T272" s="25"/>
      <c r="U272" s="26"/>
    </row>
    <row r="273" spans="1:21">
      <c r="A273" s="22" t="s">
        <v>504</v>
      </c>
      <c r="B273" s="23"/>
      <c r="C273" s="22" t="s">
        <v>505</v>
      </c>
      <c r="D273" s="23"/>
      <c r="E273" s="23"/>
      <c r="F273" s="23"/>
      <c r="G273" s="23"/>
      <c r="H273" s="2">
        <f t="shared" si="130"/>
        <v>0</v>
      </c>
      <c r="I273" s="2">
        <f t="shared" si="134"/>
        <v>0</v>
      </c>
      <c r="J273" s="2">
        <f t="shared" si="133"/>
        <v>0</v>
      </c>
      <c r="K273" s="2">
        <f>ROUND(0,2)</f>
        <v>0</v>
      </c>
      <c r="L273" s="24">
        <f t="shared" si="131"/>
        <v>0</v>
      </c>
      <c r="M273" s="25"/>
      <c r="N273" s="2">
        <f t="shared" si="132"/>
        <v>0</v>
      </c>
      <c r="O273" s="2">
        <f>ROUND(3857.74,2)</f>
        <v>3857.74</v>
      </c>
      <c r="P273" s="2">
        <f t="shared" si="135"/>
        <v>0</v>
      </c>
      <c r="Q273" s="24">
        <f t="shared" si="136"/>
        <v>0</v>
      </c>
      <c r="R273" s="25"/>
      <c r="S273" s="24">
        <f>ROUND(3857.74,2)</f>
        <v>3857.74</v>
      </c>
      <c r="T273" s="25"/>
      <c r="U273" s="26"/>
    </row>
    <row r="274" spans="1:21">
      <c r="A274" s="22" t="s">
        <v>506</v>
      </c>
      <c r="B274" s="23"/>
      <c r="C274" s="22" t="s">
        <v>507</v>
      </c>
      <c r="D274" s="23"/>
      <c r="E274" s="23"/>
      <c r="F274" s="23"/>
      <c r="G274" s="23"/>
      <c r="H274" s="2">
        <f t="shared" si="130"/>
        <v>0</v>
      </c>
      <c r="I274" s="2">
        <f t="shared" si="134"/>
        <v>0</v>
      </c>
      <c r="J274" s="2">
        <f t="shared" si="133"/>
        <v>0</v>
      </c>
      <c r="K274" s="2">
        <f>ROUND(0,2)</f>
        <v>0</v>
      </c>
      <c r="L274" s="24">
        <f t="shared" si="131"/>
        <v>0</v>
      </c>
      <c r="M274" s="25"/>
      <c r="N274" s="2">
        <f t="shared" si="132"/>
        <v>0</v>
      </c>
      <c r="O274" s="2">
        <f>ROUND(8519.52,2)</f>
        <v>8519.52</v>
      </c>
      <c r="P274" s="2">
        <f t="shared" si="135"/>
        <v>0</v>
      </c>
      <c r="Q274" s="24">
        <f t="shared" si="136"/>
        <v>0</v>
      </c>
      <c r="R274" s="25"/>
      <c r="S274" s="24">
        <f>ROUND(8519.52,2)</f>
        <v>8519.52</v>
      </c>
      <c r="T274" s="25"/>
      <c r="U274" s="26"/>
    </row>
    <row r="275" spans="1:21">
      <c r="A275" s="22" t="s">
        <v>508</v>
      </c>
      <c r="B275" s="23"/>
      <c r="C275" s="22" t="s">
        <v>509</v>
      </c>
      <c r="D275" s="23"/>
      <c r="E275" s="23"/>
      <c r="F275" s="23"/>
      <c r="G275" s="23"/>
      <c r="H275" s="2">
        <f t="shared" si="130"/>
        <v>0</v>
      </c>
      <c r="I275" s="2">
        <f t="shared" si="134"/>
        <v>0</v>
      </c>
      <c r="J275" s="2">
        <f t="shared" si="133"/>
        <v>0</v>
      </c>
      <c r="K275" s="2">
        <f>ROUND(0,2)</f>
        <v>0</v>
      </c>
      <c r="L275" s="24">
        <f t="shared" si="131"/>
        <v>0</v>
      </c>
      <c r="M275" s="25"/>
      <c r="N275" s="2">
        <f t="shared" si="132"/>
        <v>0</v>
      </c>
      <c r="O275" s="2">
        <f>ROUND(1134.44,2)</f>
        <v>1134.44</v>
      </c>
      <c r="P275" s="2">
        <f t="shared" si="135"/>
        <v>0</v>
      </c>
      <c r="Q275" s="24">
        <f t="shared" si="136"/>
        <v>0</v>
      </c>
      <c r="R275" s="25"/>
      <c r="S275" s="24">
        <f>ROUND(1134.44,2)</f>
        <v>1134.44</v>
      </c>
      <c r="T275" s="25"/>
      <c r="U275" s="26"/>
    </row>
    <row r="276" spans="1:21">
      <c r="A276" s="22" t="s">
        <v>510</v>
      </c>
      <c r="B276" s="23"/>
      <c r="C276" s="22" t="s">
        <v>511</v>
      </c>
      <c r="D276" s="23"/>
      <c r="E276" s="23"/>
      <c r="F276" s="23"/>
      <c r="G276" s="23"/>
      <c r="H276" s="2">
        <f t="shared" ref="H276:H291" si="137">ROUND(0,2)</f>
        <v>0</v>
      </c>
      <c r="I276" s="2">
        <f t="shared" si="134"/>
        <v>0</v>
      </c>
      <c r="J276" s="2">
        <f t="shared" si="133"/>
        <v>0</v>
      </c>
      <c r="K276" s="2">
        <f>ROUND(0,2)</f>
        <v>0</v>
      </c>
      <c r="L276" s="24">
        <f t="shared" si="131"/>
        <v>0</v>
      </c>
      <c r="M276" s="25"/>
      <c r="N276" s="2">
        <f t="shared" si="132"/>
        <v>0</v>
      </c>
      <c r="O276" s="2">
        <f>ROUND(7156.66,2)</f>
        <v>7156.66</v>
      </c>
      <c r="P276" s="2">
        <f t="shared" si="135"/>
        <v>0</v>
      </c>
      <c r="Q276" s="24">
        <f t="shared" si="136"/>
        <v>0</v>
      </c>
      <c r="R276" s="25"/>
      <c r="S276" s="24">
        <f>ROUND(7156.66,2)</f>
        <v>7156.66</v>
      </c>
      <c r="T276" s="25"/>
      <c r="U276" s="26"/>
    </row>
    <row r="277" spans="1:21">
      <c r="A277" s="22" t="s">
        <v>512</v>
      </c>
      <c r="B277" s="23"/>
      <c r="C277" s="22" t="s">
        <v>513</v>
      </c>
      <c r="D277" s="23"/>
      <c r="E277" s="23"/>
      <c r="F277" s="23"/>
      <c r="G277" s="23"/>
      <c r="H277" s="2">
        <f t="shared" si="137"/>
        <v>0</v>
      </c>
      <c r="I277" s="2">
        <f t="shared" si="134"/>
        <v>0</v>
      </c>
      <c r="J277" s="2">
        <f t="shared" si="133"/>
        <v>0</v>
      </c>
      <c r="K277" s="2">
        <f>ROUND(0,2)</f>
        <v>0</v>
      </c>
      <c r="L277" s="24">
        <f t="shared" si="131"/>
        <v>0</v>
      </c>
      <c r="M277" s="25"/>
      <c r="N277" s="2">
        <f t="shared" si="132"/>
        <v>0</v>
      </c>
      <c r="O277" s="2">
        <f>ROUND(45323.98,2)</f>
        <v>45323.98</v>
      </c>
      <c r="P277" s="2">
        <f t="shared" si="135"/>
        <v>0</v>
      </c>
      <c r="Q277" s="24">
        <f t="shared" si="136"/>
        <v>0</v>
      </c>
      <c r="R277" s="25"/>
      <c r="S277" s="24">
        <f>ROUND(45323.98,2)</f>
        <v>45323.98</v>
      </c>
      <c r="T277" s="25"/>
      <c r="U277" s="26"/>
    </row>
    <row r="278" spans="1:21">
      <c r="A278" s="22" t="s">
        <v>514</v>
      </c>
      <c r="B278" s="23"/>
      <c r="C278" s="22" t="s">
        <v>515</v>
      </c>
      <c r="D278" s="23"/>
      <c r="E278" s="23"/>
      <c r="F278" s="23"/>
      <c r="G278" s="23"/>
      <c r="H278" s="2">
        <f t="shared" si="137"/>
        <v>0</v>
      </c>
      <c r="I278" s="2">
        <f t="shared" si="134"/>
        <v>0</v>
      </c>
      <c r="J278" s="2">
        <f t="shared" si="133"/>
        <v>0</v>
      </c>
      <c r="K278" s="2">
        <f>ROUND(30578.44,2)</f>
        <v>30578.44</v>
      </c>
      <c r="L278" s="24">
        <f t="shared" ref="L278:L290" si="138">ROUND(0,2)</f>
        <v>0</v>
      </c>
      <c r="M278" s="25"/>
      <c r="N278" s="2">
        <f t="shared" ref="N278:N289" si="139">ROUND(0,2)</f>
        <v>0</v>
      </c>
      <c r="O278" s="2">
        <f>ROUND(15746.69,2)</f>
        <v>15746.69</v>
      </c>
      <c r="P278" s="2">
        <f t="shared" si="135"/>
        <v>0</v>
      </c>
      <c r="Q278" s="24">
        <f t="shared" si="136"/>
        <v>0</v>
      </c>
      <c r="R278" s="25"/>
      <c r="S278" s="24">
        <f>ROUND(46325.13,2)</f>
        <v>46325.13</v>
      </c>
      <c r="T278" s="25"/>
      <c r="U278" s="26"/>
    </row>
    <row r="279" spans="1:21">
      <c r="A279" s="22" t="s">
        <v>516</v>
      </c>
      <c r="B279" s="23"/>
      <c r="C279" s="22" t="s">
        <v>517</v>
      </c>
      <c r="D279" s="23"/>
      <c r="E279" s="23"/>
      <c r="F279" s="23"/>
      <c r="G279" s="23"/>
      <c r="H279" s="2">
        <f t="shared" si="137"/>
        <v>0</v>
      </c>
      <c r="I279" s="2">
        <f t="shared" si="134"/>
        <v>0</v>
      </c>
      <c r="J279" s="2">
        <f t="shared" si="133"/>
        <v>0</v>
      </c>
      <c r="K279" s="2">
        <f>ROUND(0,2)</f>
        <v>0</v>
      </c>
      <c r="L279" s="24">
        <f t="shared" si="138"/>
        <v>0</v>
      </c>
      <c r="M279" s="25"/>
      <c r="N279" s="2">
        <f t="shared" si="139"/>
        <v>0</v>
      </c>
      <c r="O279" s="2">
        <f>ROUND(1632.63,2)</f>
        <v>1632.63</v>
      </c>
      <c r="P279" s="2">
        <f t="shared" si="135"/>
        <v>0</v>
      </c>
      <c r="Q279" s="24">
        <f t="shared" si="136"/>
        <v>0</v>
      </c>
      <c r="R279" s="25"/>
      <c r="S279" s="24">
        <f>ROUND(1632.63,2)</f>
        <v>1632.63</v>
      </c>
      <c r="T279" s="25"/>
      <c r="U279" s="26"/>
    </row>
    <row r="280" spans="1:21">
      <c r="A280" s="22" t="s">
        <v>518</v>
      </c>
      <c r="B280" s="23"/>
      <c r="C280" s="22" t="s">
        <v>519</v>
      </c>
      <c r="D280" s="23"/>
      <c r="E280" s="23"/>
      <c r="F280" s="23"/>
      <c r="G280" s="23"/>
      <c r="H280" s="2">
        <f t="shared" si="137"/>
        <v>0</v>
      </c>
      <c r="I280" s="2">
        <f t="shared" si="134"/>
        <v>0</v>
      </c>
      <c r="J280" s="2">
        <f t="shared" si="133"/>
        <v>0</v>
      </c>
      <c r="K280" s="2">
        <f>ROUND(0,2)</f>
        <v>0</v>
      </c>
      <c r="L280" s="24">
        <f t="shared" si="138"/>
        <v>0</v>
      </c>
      <c r="M280" s="25"/>
      <c r="N280" s="2">
        <f t="shared" si="139"/>
        <v>0</v>
      </c>
      <c r="O280" s="2">
        <f>ROUND(19839.84,2)</f>
        <v>19839.84</v>
      </c>
      <c r="P280" s="2">
        <f t="shared" si="135"/>
        <v>0</v>
      </c>
      <c r="Q280" s="24">
        <f t="shared" si="136"/>
        <v>0</v>
      </c>
      <c r="R280" s="25"/>
      <c r="S280" s="24">
        <f>ROUND(19839.84,2)</f>
        <v>19839.84</v>
      </c>
      <c r="T280" s="25"/>
      <c r="U280" s="26"/>
    </row>
    <row r="281" spans="1:21">
      <c r="A281" s="22" t="s">
        <v>520</v>
      </c>
      <c r="B281" s="23"/>
      <c r="C281" s="22" t="s">
        <v>521</v>
      </c>
      <c r="D281" s="23"/>
      <c r="E281" s="23"/>
      <c r="F281" s="23"/>
      <c r="G281" s="23"/>
      <c r="H281" s="2">
        <f t="shared" si="137"/>
        <v>0</v>
      </c>
      <c r="I281" s="2">
        <f t="shared" si="134"/>
        <v>0</v>
      </c>
      <c r="J281" s="2">
        <f>ROUND(0,2)</f>
        <v>0</v>
      </c>
      <c r="K281" s="2">
        <f>ROUND(0,2)</f>
        <v>0</v>
      </c>
      <c r="L281" s="24">
        <f t="shared" si="138"/>
        <v>0</v>
      </c>
      <c r="M281" s="25"/>
      <c r="N281" s="2">
        <f t="shared" si="139"/>
        <v>0</v>
      </c>
      <c r="O281" s="2">
        <f>ROUND(43814.67,2)</f>
        <v>43814.67</v>
      </c>
      <c r="P281" s="2">
        <f t="shared" si="135"/>
        <v>0</v>
      </c>
      <c r="Q281" s="24">
        <f t="shared" si="136"/>
        <v>0</v>
      </c>
      <c r="R281" s="25"/>
      <c r="S281" s="24">
        <f>ROUND(43814.67,2)</f>
        <v>43814.67</v>
      </c>
      <c r="T281" s="25"/>
      <c r="U281" s="26"/>
    </row>
    <row r="282" spans="1:21">
      <c r="A282" s="22" t="s">
        <v>522</v>
      </c>
      <c r="B282" s="23"/>
      <c r="C282" s="22" t="s">
        <v>523</v>
      </c>
      <c r="D282" s="23"/>
      <c r="E282" s="23"/>
      <c r="F282" s="23"/>
      <c r="G282" s="23"/>
      <c r="H282" s="2">
        <f t="shared" si="137"/>
        <v>0</v>
      </c>
      <c r="I282" s="2">
        <f>ROUND(0,2)</f>
        <v>0</v>
      </c>
      <c r="J282" s="2">
        <f>ROUND(0,2)</f>
        <v>0</v>
      </c>
      <c r="K282" s="2">
        <f>ROUND(0,2)</f>
        <v>0</v>
      </c>
      <c r="L282" s="24">
        <f t="shared" si="138"/>
        <v>0</v>
      </c>
      <c r="M282" s="25"/>
      <c r="N282" s="2">
        <f t="shared" si="139"/>
        <v>0</v>
      </c>
      <c r="O282" s="2">
        <f>ROUND(5834.25,2)</f>
        <v>5834.25</v>
      </c>
      <c r="P282" s="2">
        <f t="shared" si="135"/>
        <v>0</v>
      </c>
      <c r="Q282" s="24">
        <f t="shared" si="136"/>
        <v>0</v>
      </c>
      <c r="R282" s="25"/>
      <c r="S282" s="24">
        <f>ROUND(5834.25,2)</f>
        <v>5834.25</v>
      </c>
      <c r="T282" s="25"/>
      <c r="U282" s="26"/>
    </row>
    <row r="283" spans="1:21">
      <c r="A283" s="22" t="s">
        <v>524</v>
      </c>
      <c r="B283" s="23"/>
      <c r="C283" s="22" t="s">
        <v>525</v>
      </c>
      <c r="D283" s="23"/>
      <c r="E283" s="23"/>
      <c r="F283" s="23"/>
      <c r="G283" s="23"/>
      <c r="H283" s="2">
        <f t="shared" si="137"/>
        <v>0</v>
      </c>
      <c r="I283" s="2">
        <f t="shared" ref="I283:J298" si="140">ROUND(0,2)</f>
        <v>0</v>
      </c>
      <c r="J283" s="2">
        <f t="shared" si="140"/>
        <v>0</v>
      </c>
      <c r="K283" s="2">
        <f>ROUND(10192.82,2)</f>
        <v>10192.82</v>
      </c>
      <c r="L283" s="24">
        <f t="shared" si="138"/>
        <v>0</v>
      </c>
      <c r="M283" s="25"/>
      <c r="N283" s="2">
        <f t="shared" si="139"/>
        <v>0</v>
      </c>
      <c r="O283" s="2">
        <f>ROUND(27131.68,2)</f>
        <v>27131.68</v>
      </c>
      <c r="P283" s="2">
        <f t="shared" ref="P283:P298" si="141">ROUND(0,2)</f>
        <v>0</v>
      </c>
      <c r="Q283" s="24">
        <f t="shared" si="136"/>
        <v>0</v>
      </c>
      <c r="R283" s="25"/>
      <c r="S283" s="24">
        <f>ROUND(37324.5,2)</f>
        <v>37324.5</v>
      </c>
      <c r="T283" s="25"/>
      <c r="U283" s="26"/>
    </row>
    <row r="284" spans="1:21">
      <c r="A284" s="22" t="s">
        <v>526</v>
      </c>
      <c r="B284" s="23"/>
      <c r="C284" s="22" t="s">
        <v>527</v>
      </c>
      <c r="D284" s="23"/>
      <c r="E284" s="23"/>
      <c r="F284" s="23"/>
      <c r="G284" s="23"/>
      <c r="H284" s="2">
        <f t="shared" si="137"/>
        <v>0</v>
      </c>
      <c r="I284" s="2">
        <f t="shared" si="140"/>
        <v>0</v>
      </c>
      <c r="J284" s="2">
        <f t="shared" si="140"/>
        <v>0</v>
      </c>
      <c r="K284" s="2">
        <f t="shared" ref="K284:K289" si="142">ROUND(0,2)</f>
        <v>0</v>
      </c>
      <c r="L284" s="24">
        <f t="shared" si="138"/>
        <v>0</v>
      </c>
      <c r="M284" s="25"/>
      <c r="N284" s="2">
        <f t="shared" si="139"/>
        <v>0</v>
      </c>
      <c r="O284" s="2">
        <f>ROUND(15568.93,2)</f>
        <v>15568.93</v>
      </c>
      <c r="P284" s="2">
        <f t="shared" si="141"/>
        <v>0</v>
      </c>
      <c r="Q284" s="24">
        <f t="shared" si="136"/>
        <v>0</v>
      </c>
      <c r="R284" s="25"/>
      <c r="S284" s="24">
        <f>ROUND(15568.93,2)</f>
        <v>15568.93</v>
      </c>
      <c r="T284" s="25"/>
      <c r="U284" s="26"/>
    </row>
    <row r="285" spans="1:21">
      <c r="A285" s="22" t="s">
        <v>528</v>
      </c>
      <c r="B285" s="23"/>
      <c r="C285" s="22" t="s">
        <v>529</v>
      </c>
      <c r="D285" s="23"/>
      <c r="E285" s="23"/>
      <c r="F285" s="23"/>
      <c r="G285" s="23"/>
      <c r="H285" s="2">
        <f t="shared" si="137"/>
        <v>0</v>
      </c>
      <c r="I285" s="2">
        <f t="shared" si="140"/>
        <v>0</v>
      </c>
      <c r="J285" s="2">
        <f t="shared" si="140"/>
        <v>0</v>
      </c>
      <c r="K285" s="2">
        <f t="shared" si="142"/>
        <v>0</v>
      </c>
      <c r="L285" s="24">
        <f t="shared" si="138"/>
        <v>0</v>
      </c>
      <c r="M285" s="25"/>
      <c r="N285" s="2">
        <f t="shared" si="139"/>
        <v>0</v>
      </c>
      <c r="O285" s="2">
        <f>ROUND(6613.28,2)</f>
        <v>6613.28</v>
      </c>
      <c r="P285" s="2">
        <f t="shared" si="141"/>
        <v>0</v>
      </c>
      <c r="Q285" s="24">
        <f t="shared" si="136"/>
        <v>0</v>
      </c>
      <c r="R285" s="25"/>
      <c r="S285" s="24">
        <f>ROUND(6613.28,2)</f>
        <v>6613.28</v>
      </c>
      <c r="T285" s="25"/>
      <c r="U285" s="26"/>
    </row>
    <row r="286" spans="1:21">
      <c r="A286" s="22" t="s">
        <v>530</v>
      </c>
      <c r="B286" s="23"/>
      <c r="C286" s="22" t="s">
        <v>531</v>
      </c>
      <c r="D286" s="23"/>
      <c r="E286" s="23"/>
      <c r="F286" s="23"/>
      <c r="G286" s="23"/>
      <c r="H286" s="2">
        <f t="shared" si="137"/>
        <v>0</v>
      </c>
      <c r="I286" s="2">
        <f t="shared" si="140"/>
        <v>0</v>
      </c>
      <c r="J286" s="2">
        <f t="shared" si="140"/>
        <v>0</v>
      </c>
      <c r="K286" s="2">
        <f t="shared" si="142"/>
        <v>0</v>
      </c>
      <c r="L286" s="24">
        <f t="shared" si="138"/>
        <v>0</v>
      </c>
      <c r="M286" s="25"/>
      <c r="N286" s="2">
        <f t="shared" si="139"/>
        <v>0</v>
      </c>
      <c r="O286" s="2">
        <f>ROUND(14604.89,2)</f>
        <v>14604.89</v>
      </c>
      <c r="P286" s="2">
        <f t="shared" si="141"/>
        <v>0</v>
      </c>
      <c r="Q286" s="24">
        <f t="shared" si="136"/>
        <v>0</v>
      </c>
      <c r="R286" s="25"/>
      <c r="S286" s="24">
        <f>ROUND(14604.89,2)</f>
        <v>14604.89</v>
      </c>
      <c r="T286" s="25"/>
      <c r="U286" s="26"/>
    </row>
    <row r="287" spans="1:21">
      <c r="A287" s="22" t="s">
        <v>532</v>
      </c>
      <c r="B287" s="23"/>
      <c r="C287" s="22" t="s">
        <v>533</v>
      </c>
      <c r="D287" s="23"/>
      <c r="E287" s="23"/>
      <c r="F287" s="23"/>
      <c r="G287" s="23"/>
      <c r="H287" s="2">
        <f t="shared" si="137"/>
        <v>0</v>
      </c>
      <c r="I287" s="2">
        <f t="shared" si="140"/>
        <v>0</v>
      </c>
      <c r="J287" s="2">
        <f t="shared" si="140"/>
        <v>0</v>
      </c>
      <c r="K287" s="2">
        <f t="shared" si="142"/>
        <v>0</v>
      </c>
      <c r="L287" s="24">
        <f t="shared" si="138"/>
        <v>0</v>
      </c>
      <c r="M287" s="25"/>
      <c r="N287" s="2">
        <f t="shared" si="139"/>
        <v>0</v>
      </c>
      <c r="O287" s="2">
        <f>ROUND(1944.75,2)</f>
        <v>1944.75</v>
      </c>
      <c r="P287" s="2">
        <f t="shared" si="141"/>
        <v>0</v>
      </c>
      <c r="Q287" s="24">
        <f t="shared" ref="Q287:Q302" si="143">ROUND(0,2)</f>
        <v>0</v>
      </c>
      <c r="R287" s="25"/>
      <c r="S287" s="24">
        <f>ROUND(1944.75,2)</f>
        <v>1944.75</v>
      </c>
      <c r="T287" s="25"/>
      <c r="U287" s="26"/>
    </row>
    <row r="288" spans="1:21">
      <c r="A288" s="22" t="s">
        <v>534</v>
      </c>
      <c r="B288" s="23"/>
      <c r="C288" s="22" t="s">
        <v>535</v>
      </c>
      <c r="D288" s="23"/>
      <c r="E288" s="23"/>
      <c r="F288" s="23"/>
      <c r="G288" s="23"/>
      <c r="H288" s="2">
        <f t="shared" si="137"/>
        <v>0</v>
      </c>
      <c r="I288" s="2">
        <f t="shared" si="140"/>
        <v>0</v>
      </c>
      <c r="J288" s="2">
        <f t="shared" si="140"/>
        <v>0</v>
      </c>
      <c r="K288" s="2">
        <f t="shared" si="142"/>
        <v>0</v>
      </c>
      <c r="L288" s="24">
        <f t="shared" si="138"/>
        <v>0</v>
      </c>
      <c r="M288" s="25"/>
      <c r="N288" s="2">
        <f t="shared" si="139"/>
        <v>0</v>
      </c>
      <c r="O288" s="2">
        <f>ROUND(12268.15,2)</f>
        <v>12268.15</v>
      </c>
      <c r="P288" s="2">
        <f t="shared" si="141"/>
        <v>0</v>
      </c>
      <c r="Q288" s="24">
        <f t="shared" si="143"/>
        <v>0</v>
      </c>
      <c r="R288" s="25"/>
      <c r="S288" s="24">
        <f>ROUND(12268.15,2)</f>
        <v>12268.15</v>
      </c>
      <c r="T288" s="25"/>
      <c r="U288" s="26"/>
    </row>
    <row r="289" spans="1:21">
      <c r="A289" s="22" t="s">
        <v>536</v>
      </c>
      <c r="B289" s="23"/>
      <c r="C289" s="22" t="s">
        <v>537</v>
      </c>
      <c r="D289" s="23"/>
      <c r="E289" s="23"/>
      <c r="F289" s="23"/>
      <c r="G289" s="23"/>
      <c r="H289" s="2">
        <f t="shared" si="137"/>
        <v>0</v>
      </c>
      <c r="I289" s="2">
        <f t="shared" si="140"/>
        <v>0</v>
      </c>
      <c r="J289" s="2">
        <f t="shared" si="140"/>
        <v>0</v>
      </c>
      <c r="K289" s="2">
        <f t="shared" si="142"/>
        <v>0</v>
      </c>
      <c r="L289" s="24">
        <f t="shared" si="138"/>
        <v>0</v>
      </c>
      <c r="M289" s="25"/>
      <c r="N289" s="2">
        <f t="shared" si="139"/>
        <v>0</v>
      </c>
      <c r="O289" s="2">
        <f>ROUND(9000,2)</f>
        <v>9000</v>
      </c>
      <c r="P289" s="2">
        <f t="shared" si="141"/>
        <v>0</v>
      </c>
      <c r="Q289" s="24">
        <f t="shared" si="143"/>
        <v>0</v>
      </c>
      <c r="R289" s="25"/>
      <c r="S289" s="24">
        <f>ROUND(9000,2)</f>
        <v>9000</v>
      </c>
      <c r="T289" s="25"/>
      <c r="U289" s="26"/>
    </row>
    <row r="290" spans="1:21">
      <c r="A290" s="22" t="s">
        <v>538</v>
      </c>
      <c r="B290" s="23"/>
      <c r="C290" s="22" t="s">
        <v>539</v>
      </c>
      <c r="D290" s="23"/>
      <c r="E290" s="23"/>
      <c r="F290" s="23"/>
      <c r="G290" s="23"/>
      <c r="H290" s="2">
        <f t="shared" si="137"/>
        <v>0</v>
      </c>
      <c r="I290" s="2">
        <f t="shared" si="140"/>
        <v>0</v>
      </c>
      <c r="J290" s="2">
        <f t="shared" si="140"/>
        <v>0</v>
      </c>
      <c r="K290" s="2">
        <f>ROUND(9999.73,2)</f>
        <v>9999.73</v>
      </c>
      <c r="L290" s="24">
        <f t="shared" si="138"/>
        <v>0</v>
      </c>
      <c r="M290" s="25"/>
      <c r="N290" s="2">
        <f>ROUND(50195.32,2)</f>
        <v>50195.32</v>
      </c>
      <c r="O290" s="2">
        <f>ROUND(0,2)</f>
        <v>0</v>
      </c>
      <c r="P290" s="2">
        <f t="shared" si="141"/>
        <v>0</v>
      </c>
      <c r="Q290" s="24">
        <f t="shared" si="143"/>
        <v>0</v>
      </c>
      <c r="R290" s="25"/>
      <c r="S290" s="24">
        <f>ROUND(60195.05,2)</f>
        <v>60195.05</v>
      </c>
      <c r="T290" s="25"/>
      <c r="U290" s="26"/>
    </row>
    <row r="291" spans="1:21">
      <c r="A291" s="22" t="s">
        <v>540</v>
      </c>
      <c r="B291" s="23"/>
      <c r="C291" s="22" t="s">
        <v>541</v>
      </c>
      <c r="D291" s="23"/>
      <c r="E291" s="23"/>
      <c r="F291" s="23"/>
      <c r="G291" s="23"/>
      <c r="H291" s="2">
        <f t="shared" si="137"/>
        <v>0</v>
      </c>
      <c r="I291" s="2">
        <f t="shared" si="140"/>
        <v>0</v>
      </c>
      <c r="J291" s="2">
        <f t="shared" si="140"/>
        <v>0</v>
      </c>
      <c r="K291" s="2">
        <f>ROUND(0,2)</f>
        <v>0</v>
      </c>
      <c r="L291" s="24">
        <f>ROUND(1855.24,2)</f>
        <v>1855.24</v>
      </c>
      <c r="M291" s="25"/>
      <c r="N291" s="2">
        <f>ROUND(0,2)</f>
        <v>0</v>
      </c>
      <c r="O291" s="2">
        <f>ROUND(0,2)</f>
        <v>0</v>
      </c>
      <c r="P291" s="2">
        <f t="shared" si="141"/>
        <v>0</v>
      </c>
      <c r="Q291" s="24">
        <f t="shared" si="143"/>
        <v>0</v>
      </c>
      <c r="R291" s="25"/>
      <c r="S291" s="24">
        <f>ROUND(-1855.24,2)</f>
        <v>-1855.24</v>
      </c>
      <c r="T291" s="25"/>
      <c r="U291" s="26"/>
    </row>
    <row r="292" spans="1:21">
      <c r="A292" s="22" t="s">
        <v>542</v>
      </c>
      <c r="B292" s="23"/>
      <c r="C292" s="22" t="s">
        <v>543</v>
      </c>
      <c r="D292" s="23"/>
      <c r="E292" s="23"/>
      <c r="F292" s="23"/>
      <c r="G292" s="23"/>
      <c r="H292" s="2">
        <f t="shared" ref="H292:H307" si="144">ROUND(0,2)</f>
        <v>0</v>
      </c>
      <c r="I292" s="2">
        <f t="shared" si="140"/>
        <v>0</v>
      </c>
      <c r="J292" s="2">
        <f t="shared" si="140"/>
        <v>0</v>
      </c>
      <c r="K292" s="2">
        <f>ROUND(3146.97,2)</f>
        <v>3146.97</v>
      </c>
      <c r="L292" s="24">
        <f t="shared" ref="L292:L307" si="145">ROUND(0,2)</f>
        <v>0</v>
      </c>
      <c r="M292" s="25"/>
      <c r="N292" s="2">
        <f t="shared" ref="N292:N307" si="146">ROUND(0,2)</f>
        <v>0</v>
      </c>
      <c r="O292" s="2">
        <f>ROUND(14868.36,2)</f>
        <v>14868.36</v>
      </c>
      <c r="P292" s="2">
        <f t="shared" si="141"/>
        <v>0</v>
      </c>
      <c r="Q292" s="24">
        <f t="shared" si="143"/>
        <v>0</v>
      </c>
      <c r="R292" s="25"/>
      <c r="S292" s="24">
        <f>ROUND(18015.33,2)</f>
        <v>18015.330000000002</v>
      </c>
      <c r="T292" s="25"/>
      <c r="U292" s="26"/>
    </row>
    <row r="293" spans="1:21">
      <c r="A293" s="22" t="s">
        <v>544</v>
      </c>
      <c r="B293" s="23"/>
      <c r="C293" s="22" t="s">
        <v>545</v>
      </c>
      <c r="D293" s="23"/>
      <c r="E293" s="23"/>
      <c r="F293" s="23"/>
      <c r="G293" s="23"/>
      <c r="H293" s="2">
        <f t="shared" si="144"/>
        <v>0</v>
      </c>
      <c r="I293" s="2">
        <f t="shared" si="140"/>
        <v>0</v>
      </c>
      <c r="J293" s="2">
        <f t="shared" si="140"/>
        <v>0</v>
      </c>
      <c r="K293" s="2">
        <f>ROUND(7715.49,2)</f>
        <v>7715.49</v>
      </c>
      <c r="L293" s="24">
        <f t="shared" si="145"/>
        <v>0</v>
      </c>
      <c r="M293" s="25"/>
      <c r="N293" s="2">
        <f t="shared" si="146"/>
        <v>0</v>
      </c>
      <c r="O293" s="2">
        <f>ROUND(0,2)</f>
        <v>0</v>
      </c>
      <c r="P293" s="2">
        <f t="shared" si="141"/>
        <v>0</v>
      </c>
      <c r="Q293" s="24">
        <f t="shared" si="143"/>
        <v>0</v>
      </c>
      <c r="R293" s="25"/>
      <c r="S293" s="24">
        <f>ROUND(7715.49,2)</f>
        <v>7715.49</v>
      </c>
      <c r="T293" s="25"/>
      <c r="U293" s="26"/>
    </row>
    <row r="294" spans="1:21">
      <c r="A294" s="22" t="s">
        <v>546</v>
      </c>
      <c r="B294" s="23"/>
      <c r="C294" s="22" t="s">
        <v>547</v>
      </c>
      <c r="D294" s="23"/>
      <c r="E294" s="23"/>
      <c r="F294" s="23"/>
      <c r="G294" s="23"/>
      <c r="H294" s="2">
        <f t="shared" si="144"/>
        <v>0</v>
      </c>
      <c r="I294" s="2">
        <f t="shared" si="140"/>
        <v>0</v>
      </c>
      <c r="J294" s="2">
        <f t="shared" si="140"/>
        <v>0</v>
      </c>
      <c r="K294" s="2">
        <f>ROUND(17039.04,2)</f>
        <v>17039.04</v>
      </c>
      <c r="L294" s="24">
        <f t="shared" si="145"/>
        <v>0</v>
      </c>
      <c r="M294" s="25"/>
      <c r="N294" s="2">
        <f t="shared" si="146"/>
        <v>0</v>
      </c>
      <c r="O294" s="2">
        <f>ROUND(0,2)</f>
        <v>0</v>
      </c>
      <c r="P294" s="2">
        <f t="shared" si="141"/>
        <v>0</v>
      </c>
      <c r="Q294" s="24">
        <f t="shared" si="143"/>
        <v>0</v>
      </c>
      <c r="R294" s="25"/>
      <c r="S294" s="24">
        <f>ROUND(17039.04,2)</f>
        <v>17039.04</v>
      </c>
      <c r="T294" s="25"/>
      <c r="U294" s="26"/>
    </row>
    <row r="295" spans="1:21">
      <c r="A295" s="22" t="s">
        <v>548</v>
      </c>
      <c r="B295" s="23"/>
      <c r="C295" s="22" t="s">
        <v>549</v>
      </c>
      <c r="D295" s="23"/>
      <c r="E295" s="23"/>
      <c r="F295" s="23"/>
      <c r="G295" s="23"/>
      <c r="H295" s="2">
        <f t="shared" si="144"/>
        <v>0</v>
      </c>
      <c r="I295" s="2">
        <f t="shared" si="140"/>
        <v>0</v>
      </c>
      <c r="J295" s="2">
        <f t="shared" si="140"/>
        <v>0</v>
      </c>
      <c r="K295" s="2">
        <f>ROUND(2268.88,2)</f>
        <v>2268.88</v>
      </c>
      <c r="L295" s="24">
        <f t="shared" si="145"/>
        <v>0</v>
      </c>
      <c r="M295" s="25"/>
      <c r="N295" s="2">
        <f t="shared" si="146"/>
        <v>0</v>
      </c>
      <c r="O295" s="2">
        <f>ROUND(0,2)</f>
        <v>0</v>
      </c>
      <c r="P295" s="2">
        <f t="shared" si="141"/>
        <v>0</v>
      </c>
      <c r="Q295" s="24">
        <f t="shared" si="143"/>
        <v>0</v>
      </c>
      <c r="R295" s="25"/>
      <c r="S295" s="24">
        <f>ROUND(2268.88,2)</f>
        <v>2268.88</v>
      </c>
      <c r="T295" s="25"/>
      <c r="U295" s="26"/>
    </row>
    <row r="296" spans="1:21">
      <c r="A296" s="22" t="s">
        <v>550</v>
      </c>
      <c r="B296" s="23"/>
      <c r="C296" s="22" t="s">
        <v>551</v>
      </c>
      <c r="D296" s="23"/>
      <c r="E296" s="23"/>
      <c r="F296" s="23"/>
      <c r="G296" s="23"/>
      <c r="H296" s="2">
        <f t="shared" si="144"/>
        <v>0</v>
      </c>
      <c r="I296" s="2">
        <f t="shared" si="140"/>
        <v>0</v>
      </c>
      <c r="J296" s="2">
        <f t="shared" si="140"/>
        <v>0</v>
      </c>
      <c r="K296" s="2">
        <f>ROUND(10056.8,2)</f>
        <v>10056.799999999999</v>
      </c>
      <c r="L296" s="24">
        <f t="shared" si="145"/>
        <v>0</v>
      </c>
      <c r="M296" s="25"/>
      <c r="N296" s="2">
        <f t="shared" si="146"/>
        <v>0</v>
      </c>
      <c r="O296" s="2">
        <f>ROUND(4256.51,2)</f>
        <v>4256.51</v>
      </c>
      <c r="P296" s="2">
        <f t="shared" si="141"/>
        <v>0</v>
      </c>
      <c r="Q296" s="24">
        <f t="shared" si="143"/>
        <v>0</v>
      </c>
      <c r="R296" s="25"/>
      <c r="S296" s="24">
        <f>ROUND(14313.31,2)</f>
        <v>14313.31</v>
      </c>
      <c r="T296" s="25"/>
      <c r="U296" s="26"/>
    </row>
    <row r="297" spans="1:21">
      <c r="A297" s="22" t="s">
        <v>552</v>
      </c>
      <c r="B297" s="23"/>
      <c r="C297" s="22" t="s">
        <v>553</v>
      </c>
      <c r="D297" s="23"/>
      <c r="E297" s="23"/>
      <c r="F297" s="23"/>
      <c r="G297" s="23"/>
      <c r="H297" s="2">
        <f t="shared" si="144"/>
        <v>0</v>
      </c>
      <c r="I297" s="2">
        <f t="shared" si="140"/>
        <v>0</v>
      </c>
      <c r="J297" s="2">
        <f t="shared" si="140"/>
        <v>0</v>
      </c>
      <c r="K297" s="2">
        <f t="shared" ref="K297:K312" si="147">ROUND(0,2)</f>
        <v>0</v>
      </c>
      <c r="L297" s="24">
        <f t="shared" si="145"/>
        <v>0</v>
      </c>
      <c r="M297" s="25"/>
      <c r="N297" s="2">
        <f t="shared" si="146"/>
        <v>0</v>
      </c>
      <c r="O297" s="2">
        <f>ROUND(23114.13,2)</f>
        <v>23114.13</v>
      </c>
      <c r="P297" s="2">
        <f t="shared" si="141"/>
        <v>0</v>
      </c>
      <c r="Q297" s="24">
        <f t="shared" si="143"/>
        <v>0</v>
      </c>
      <c r="R297" s="25"/>
      <c r="S297" s="24">
        <f>ROUND(23114.13,2)</f>
        <v>23114.13</v>
      </c>
      <c r="T297" s="25"/>
      <c r="U297" s="26"/>
    </row>
    <row r="298" spans="1:21">
      <c r="A298" s="22" t="s">
        <v>554</v>
      </c>
      <c r="B298" s="23"/>
      <c r="C298" s="22" t="s">
        <v>555</v>
      </c>
      <c r="D298" s="23"/>
      <c r="E298" s="23"/>
      <c r="F298" s="23"/>
      <c r="G298" s="23"/>
      <c r="H298" s="2">
        <f t="shared" si="144"/>
        <v>0</v>
      </c>
      <c r="I298" s="2">
        <f t="shared" si="140"/>
        <v>0</v>
      </c>
      <c r="J298" s="2">
        <f t="shared" si="140"/>
        <v>0</v>
      </c>
      <c r="K298" s="2">
        <f t="shared" si="147"/>
        <v>0</v>
      </c>
      <c r="L298" s="24">
        <f t="shared" si="145"/>
        <v>0</v>
      </c>
      <c r="M298" s="25"/>
      <c r="N298" s="2">
        <f t="shared" si="146"/>
        <v>0</v>
      </c>
      <c r="O298" s="2">
        <f>ROUND(27022.99,2)</f>
        <v>27022.99</v>
      </c>
      <c r="P298" s="2">
        <f t="shared" si="141"/>
        <v>0</v>
      </c>
      <c r="Q298" s="24">
        <f t="shared" si="143"/>
        <v>0</v>
      </c>
      <c r="R298" s="25"/>
      <c r="S298" s="24">
        <f>ROUND(27022.99,2)</f>
        <v>27022.99</v>
      </c>
      <c r="T298" s="25"/>
      <c r="U298" s="26"/>
    </row>
    <row r="299" spans="1:21">
      <c r="A299" s="22" t="s">
        <v>556</v>
      </c>
      <c r="B299" s="23"/>
      <c r="C299" s="22" t="s">
        <v>557</v>
      </c>
      <c r="D299" s="23"/>
      <c r="E299" s="23"/>
      <c r="F299" s="23"/>
      <c r="G299" s="23"/>
      <c r="H299" s="2">
        <f t="shared" si="144"/>
        <v>0</v>
      </c>
      <c r="I299" s="2">
        <f t="shared" ref="I299:J314" si="148">ROUND(0,2)</f>
        <v>0</v>
      </c>
      <c r="J299" s="2">
        <f t="shared" si="148"/>
        <v>0</v>
      </c>
      <c r="K299" s="2">
        <f t="shared" si="147"/>
        <v>0</v>
      </c>
      <c r="L299" s="24">
        <f t="shared" si="145"/>
        <v>0</v>
      </c>
      <c r="M299" s="25"/>
      <c r="N299" s="2">
        <f t="shared" si="146"/>
        <v>0</v>
      </c>
      <c r="O299" s="2">
        <f>ROUND(733.37,2)</f>
        <v>733.37</v>
      </c>
      <c r="P299" s="2">
        <f t="shared" ref="P299:P314" si="149">ROUND(0,2)</f>
        <v>0</v>
      </c>
      <c r="Q299" s="24">
        <f t="shared" si="143"/>
        <v>0</v>
      </c>
      <c r="R299" s="25"/>
      <c r="S299" s="24">
        <f>ROUND(733.37,2)</f>
        <v>733.37</v>
      </c>
      <c r="T299" s="25"/>
      <c r="U299" s="26"/>
    </row>
    <row r="300" spans="1:21">
      <c r="A300" s="22" t="s">
        <v>558</v>
      </c>
      <c r="B300" s="23"/>
      <c r="C300" s="22" t="s">
        <v>559</v>
      </c>
      <c r="D300" s="23"/>
      <c r="E300" s="23"/>
      <c r="F300" s="23"/>
      <c r="G300" s="23"/>
      <c r="H300" s="2">
        <f t="shared" si="144"/>
        <v>0</v>
      </c>
      <c r="I300" s="2">
        <f t="shared" si="148"/>
        <v>0</v>
      </c>
      <c r="J300" s="2">
        <f t="shared" si="148"/>
        <v>0</v>
      </c>
      <c r="K300" s="2">
        <f t="shared" si="147"/>
        <v>0</v>
      </c>
      <c r="L300" s="24">
        <f t="shared" si="145"/>
        <v>0</v>
      </c>
      <c r="M300" s="25"/>
      <c r="N300" s="2">
        <f t="shared" si="146"/>
        <v>0</v>
      </c>
      <c r="O300" s="2">
        <f>ROUND(11573.24,2)</f>
        <v>11573.24</v>
      </c>
      <c r="P300" s="2">
        <f t="shared" si="149"/>
        <v>0</v>
      </c>
      <c r="Q300" s="24">
        <f t="shared" si="143"/>
        <v>0</v>
      </c>
      <c r="R300" s="25"/>
      <c r="S300" s="24">
        <f>ROUND(11573.24,2)</f>
        <v>11573.24</v>
      </c>
      <c r="T300" s="25"/>
      <c r="U300" s="26"/>
    </row>
    <row r="301" spans="1:21">
      <c r="A301" s="22" t="s">
        <v>560</v>
      </c>
      <c r="B301" s="23"/>
      <c r="C301" s="22" t="s">
        <v>561</v>
      </c>
      <c r="D301" s="23"/>
      <c r="E301" s="23"/>
      <c r="F301" s="23"/>
      <c r="G301" s="23"/>
      <c r="H301" s="2">
        <f t="shared" si="144"/>
        <v>0</v>
      </c>
      <c r="I301" s="2">
        <f t="shared" si="148"/>
        <v>0</v>
      </c>
      <c r="J301" s="2">
        <f t="shared" si="148"/>
        <v>0</v>
      </c>
      <c r="K301" s="2">
        <f t="shared" si="147"/>
        <v>0</v>
      </c>
      <c r="L301" s="24">
        <f t="shared" si="145"/>
        <v>0</v>
      </c>
      <c r="M301" s="25"/>
      <c r="N301" s="2">
        <f t="shared" si="146"/>
        <v>0</v>
      </c>
      <c r="O301" s="2">
        <f>ROUND(25558.56,2)</f>
        <v>25558.560000000001</v>
      </c>
      <c r="P301" s="2">
        <f t="shared" si="149"/>
        <v>0</v>
      </c>
      <c r="Q301" s="24">
        <f t="shared" si="143"/>
        <v>0</v>
      </c>
      <c r="R301" s="25"/>
      <c r="S301" s="24">
        <f>ROUND(25558.56,2)</f>
        <v>25558.560000000001</v>
      </c>
      <c r="T301" s="25"/>
      <c r="U301" s="26"/>
    </row>
    <row r="302" spans="1:21">
      <c r="A302" s="22" t="s">
        <v>562</v>
      </c>
      <c r="B302" s="23"/>
      <c r="C302" s="22" t="s">
        <v>563</v>
      </c>
      <c r="D302" s="23"/>
      <c r="E302" s="23"/>
      <c r="F302" s="23"/>
      <c r="G302" s="23"/>
      <c r="H302" s="2">
        <f t="shared" si="144"/>
        <v>0</v>
      </c>
      <c r="I302" s="2">
        <f t="shared" si="148"/>
        <v>0</v>
      </c>
      <c r="J302" s="2">
        <f t="shared" si="148"/>
        <v>0</v>
      </c>
      <c r="K302" s="2">
        <f t="shared" si="147"/>
        <v>0</v>
      </c>
      <c r="L302" s="24">
        <f t="shared" si="145"/>
        <v>0</v>
      </c>
      <c r="M302" s="25"/>
      <c r="N302" s="2">
        <f t="shared" si="146"/>
        <v>0</v>
      </c>
      <c r="O302" s="2">
        <f>ROUND(3403.31,2)</f>
        <v>3403.31</v>
      </c>
      <c r="P302" s="2">
        <f t="shared" si="149"/>
        <v>0</v>
      </c>
      <c r="Q302" s="24">
        <f t="shared" si="143"/>
        <v>0</v>
      </c>
      <c r="R302" s="25"/>
      <c r="S302" s="24">
        <f>ROUND(3403.31,2)</f>
        <v>3403.31</v>
      </c>
      <c r="T302" s="25"/>
      <c r="U302" s="26"/>
    </row>
    <row r="303" spans="1:21">
      <c r="A303" s="22" t="s">
        <v>564</v>
      </c>
      <c r="B303" s="23"/>
      <c r="C303" s="22" t="s">
        <v>565</v>
      </c>
      <c r="D303" s="23"/>
      <c r="E303" s="23"/>
      <c r="F303" s="23"/>
      <c r="G303" s="23"/>
      <c r="H303" s="2">
        <f t="shared" si="144"/>
        <v>0</v>
      </c>
      <c r="I303" s="2">
        <f t="shared" si="148"/>
        <v>0</v>
      </c>
      <c r="J303" s="2">
        <f t="shared" si="148"/>
        <v>0</v>
      </c>
      <c r="K303" s="2">
        <f t="shared" si="147"/>
        <v>0</v>
      </c>
      <c r="L303" s="24">
        <f t="shared" si="145"/>
        <v>0</v>
      </c>
      <c r="M303" s="25"/>
      <c r="N303" s="2">
        <f t="shared" si="146"/>
        <v>0</v>
      </c>
      <c r="O303" s="2">
        <f>ROUND(21469.96,2)</f>
        <v>21469.96</v>
      </c>
      <c r="P303" s="2">
        <f t="shared" si="149"/>
        <v>0</v>
      </c>
      <c r="Q303" s="24">
        <f t="shared" ref="Q303:Q318" si="150">ROUND(0,2)</f>
        <v>0</v>
      </c>
      <c r="R303" s="25"/>
      <c r="S303" s="24">
        <f>ROUND(21469.96,2)</f>
        <v>21469.96</v>
      </c>
      <c r="T303" s="25"/>
      <c r="U303" s="26"/>
    </row>
    <row r="304" spans="1:21">
      <c r="A304" s="22" t="s">
        <v>566</v>
      </c>
      <c r="B304" s="23"/>
      <c r="C304" s="22" t="s">
        <v>567</v>
      </c>
      <c r="D304" s="23"/>
      <c r="E304" s="23"/>
      <c r="F304" s="23"/>
      <c r="G304" s="23"/>
      <c r="H304" s="2">
        <f t="shared" si="144"/>
        <v>0</v>
      </c>
      <c r="I304" s="2">
        <f t="shared" si="148"/>
        <v>0</v>
      </c>
      <c r="J304" s="2">
        <f t="shared" si="148"/>
        <v>0</v>
      </c>
      <c r="K304" s="2">
        <f t="shared" si="147"/>
        <v>0</v>
      </c>
      <c r="L304" s="24">
        <f t="shared" si="145"/>
        <v>0</v>
      </c>
      <c r="M304" s="25"/>
      <c r="N304" s="2">
        <f t="shared" si="146"/>
        <v>0</v>
      </c>
      <c r="O304" s="2">
        <f>ROUND(10108.78,2)</f>
        <v>10108.780000000001</v>
      </c>
      <c r="P304" s="2">
        <f t="shared" si="149"/>
        <v>0</v>
      </c>
      <c r="Q304" s="24">
        <f t="shared" si="150"/>
        <v>0</v>
      </c>
      <c r="R304" s="25"/>
      <c r="S304" s="24">
        <f>ROUND(10108.78,2)</f>
        <v>10108.780000000001</v>
      </c>
      <c r="T304" s="25"/>
      <c r="U304" s="26"/>
    </row>
    <row r="305" spans="1:21">
      <c r="A305" s="22" t="s">
        <v>568</v>
      </c>
      <c r="B305" s="23"/>
      <c r="C305" s="22" t="s">
        <v>569</v>
      </c>
      <c r="D305" s="23"/>
      <c r="E305" s="23"/>
      <c r="F305" s="23"/>
      <c r="G305" s="23"/>
      <c r="H305" s="2">
        <f t="shared" si="144"/>
        <v>0</v>
      </c>
      <c r="I305" s="2">
        <f t="shared" si="148"/>
        <v>0</v>
      </c>
      <c r="J305" s="2">
        <f t="shared" si="148"/>
        <v>0</v>
      </c>
      <c r="K305" s="2">
        <f t="shared" si="147"/>
        <v>0</v>
      </c>
      <c r="L305" s="24">
        <f t="shared" si="145"/>
        <v>0</v>
      </c>
      <c r="M305" s="25"/>
      <c r="N305" s="2">
        <f t="shared" si="146"/>
        <v>0</v>
      </c>
      <c r="O305" s="2">
        <f>ROUND(100208.39,2)</f>
        <v>100208.39</v>
      </c>
      <c r="P305" s="2">
        <f t="shared" si="149"/>
        <v>0</v>
      </c>
      <c r="Q305" s="24">
        <f t="shared" si="150"/>
        <v>0</v>
      </c>
      <c r="R305" s="25"/>
      <c r="S305" s="24">
        <f>ROUND(100208.39,2)</f>
        <v>100208.39</v>
      </c>
      <c r="T305" s="25"/>
      <c r="U305" s="26"/>
    </row>
    <row r="306" spans="1:21">
      <c r="A306" s="22" t="s">
        <v>570</v>
      </c>
      <c r="B306" s="23"/>
      <c r="C306" s="22" t="s">
        <v>571</v>
      </c>
      <c r="D306" s="23"/>
      <c r="E306" s="23"/>
      <c r="F306" s="23"/>
      <c r="G306" s="23"/>
      <c r="H306" s="2">
        <f t="shared" si="144"/>
        <v>0</v>
      </c>
      <c r="I306" s="2">
        <f t="shared" si="148"/>
        <v>0</v>
      </c>
      <c r="J306" s="2">
        <f t="shared" si="148"/>
        <v>0</v>
      </c>
      <c r="K306" s="2">
        <f t="shared" si="147"/>
        <v>0</v>
      </c>
      <c r="L306" s="24">
        <f t="shared" si="145"/>
        <v>0</v>
      </c>
      <c r="M306" s="25"/>
      <c r="N306" s="2">
        <f t="shared" si="146"/>
        <v>0</v>
      </c>
      <c r="O306" s="2">
        <f>ROUND(30424.84,2)</f>
        <v>30424.84</v>
      </c>
      <c r="P306" s="2">
        <f t="shared" si="149"/>
        <v>0</v>
      </c>
      <c r="Q306" s="24">
        <f t="shared" si="150"/>
        <v>0</v>
      </c>
      <c r="R306" s="25"/>
      <c r="S306" s="24">
        <f>ROUND(30424.84,2)</f>
        <v>30424.84</v>
      </c>
      <c r="T306" s="25"/>
      <c r="U306" s="26"/>
    </row>
    <row r="307" spans="1:21">
      <c r="A307" s="22" t="s">
        <v>572</v>
      </c>
      <c r="B307" s="23"/>
      <c r="C307" s="22" t="s">
        <v>573</v>
      </c>
      <c r="D307" s="23"/>
      <c r="E307" s="23"/>
      <c r="F307" s="23"/>
      <c r="G307" s="23"/>
      <c r="H307" s="2">
        <f t="shared" si="144"/>
        <v>0</v>
      </c>
      <c r="I307" s="2">
        <f t="shared" si="148"/>
        <v>0</v>
      </c>
      <c r="J307" s="2">
        <f t="shared" si="148"/>
        <v>0</v>
      </c>
      <c r="K307" s="2">
        <f t="shared" si="147"/>
        <v>0</v>
      </c>
      <c r="L307" s="24">
        <f t="shared" si="145"/>
        <v>0</v>
      </c>
      <c r="M307" s="25"/>
      <c r="N307" s="2">
        <f t="shared" si="146"/>
        <v>0</v>
      </c>
      <c r="O307" s="2">
        <f>ROUND(552.22,2)</f>
        <v>552.22</v>
      </c>
      <c r="P307" s="2">
        <f t="shared" si="149"/>
        <v>0</v>
      </c>
      <c r="Q307" s="24">
        <f t="shared" si="150"/>
        <v>0</v>
      </c>
      <c r="R307" s="25"/>
      <c r="S307" s="24">
        <f>ROUND(552.22,2)</f>
        <v>552.22</v>
      </c>
      <c r="T307" s="25"/>
      <c r="U307" s="26"/>
    </row>
    <row r="308" spans="1:21">
      <c r="A308" s="22" t="s">
        <v>574</v>
      </c>
      <c r="B308" s="23"/>
      <c r="C308" s="22" t="s">
        <v>575</v>
      </c>
      <c r="D308" s="23"/>
      <c r="E308" s="23"/>
      <c r="F308" s="23"/>
      <c r="G308" s="23"/>
      <c r="H308" s="2">
        <f t="shared" ref="H308:H323" si="151">ROUND(0,2)</f>
        <v>0</v>
      </c>
      <c r="I308" s="2">
        <f t="shared" si="148"/>
        <v>0</v>
      </c>
      <c r="J308" s="2">
        <f t="shared" si="148"/>
        <v>0</v>
      </c>
      <c r="K308" s="2">
        <f t="shared" si="147"/>
        <v>0</v>
      </c>
      <c r="L308" s="24">
        <f t="shared" ref="L308:L323" si="152">ROUND(0,2)</f>
        <v>0</v>
      </c>
      <c r="M308" s="25"/>
      <c r="N308" s="2">
        <f>ROUND(0,2)</f>
        <v>0</v>
      </c>
      <c r="O308" s="2">
        <f>ROUND(13226.56,2)</f>
        <v>13226.56</v>
      </c>
      <c r="P308" s="2">
        <f t="shared" si="149"/>
        <v>0</v>
      </c>
      <c r="Q308" s="24">
        <f t="shared" si="150"/>
        <v>0</v>
      </c>
      <c r="R308" s="25"/>
      <c r="S308" s="24">
        <f>ROUND(13226.56,2)</f>
        <v>13226.56</v>
      </c>
      <c r="T308" s="25"/>
      <c r="U308" s="26"/>
    </row>
    <row r="309" spans="1:21">
      <c r="A309" s="22" t="s">
        <v>576</v>
      </c>
      <c r="B309" s="23"/>
      <c r="C309" s="22" t="s">
        <v>577</v>
      </c>
      <c r="D309" s="23"/>
      <c r="E309" s="23"/>
      <c r="F309" s="23"/>
      <c r="G309" s="23"/>
      <c r="H309" s="2">
        <f t="shared" si="151"/>
        <v>0</v>
      </c>
      <c r="I309" s="2">
        <f t="shared" si="148"/>
        <v>0</v>
      </c>
      <c r="J309" s="2">
        <f t="shared" si="148"/>
        <v>0</v>
      </c>
      <c r="K309" s="2">
        <f t="shared" si="147"/>
        <v>0</v>
      </c>
      <c r="L309" s="24">
        <f t="shared" si="152"/>
        <v>0</v>
      </c>
      <c r="M309" s="25"/>
      <c r="N309" s="2">
        <f>ROUND(0,2)</f>
        <v>0</v>
      </c>
      <c r="O309" s="2">
        <f>ROUND(29209.78,2)</f>
        <v>29209.78</v>
      </c>
      <c r="P309" s="2">
        <f t="shared" si="149"/>
        <v>0</v>
      </c>
      <c r="Q309" s="24">
        <f t="shared" si="150"/>
        <v>0</v>
      </c>
      <c r="R309" s="25"/>
      <c r="S309" s="24">
        <f>ROUND(29209.78,2)</f>
        <v>29209.78</v>
      </c>
      <c r="T309" s="25"/>
      <c r="U309" s="26"/>
    </row>
    <row r="310" spans="1:21">
      <c r="A310" s="22" t="s">
        <v>578</v>
      </c>
      <c r="B310" s="23"/>
      <c r="C310" s="22" t="s">
        <v>579</v>
      </c>
      <c r="D310" s="23"/>
      <c r="E310" s="23"/>
      <c r="F310" s="23"/>
      <c r="G310" s="23"/>
      <c r="H310" s="2">
        <f t="shared" si="151"/>
        <v>0</v>
      </c>
      <c r="I310" s="2">
        <f t="shared" si="148"/>
        <v>0</v>
      </c>
      <c r="J310" s="2">
        <f t="shared" si="148"/>
        <v>0</v>
      </c>
      <c r="K310" s="2">
        <f t="shared" si="147"/>
        <v>0</v>
      </c>
      <c r="L310" s="24">
        <f t="shared" si="152"/>
        <v>0</v>
      </c>
      <c r="M310" s="25"/>
      <c r="N310" s="2">
        <f>ROUND(0,2)</f>
        <v>0</v>
      </c>
      <c r="O310" s="2">
        <f>ROUND(5889.5,2)</f>
        <v>5889.5</v>
      </c>
      <c r="P310" s="2">
        <f t="shared" si="149"/>
        <v>0</v>
      </c>
      <c r="Q310" s="24">
        <f t="shared" si="150"/>
        <v>0</v>
      </c>
      <c r="R310" s="25"/>
      <c r="S310" s="24">
        <f>ROUND(5889.5,2)</f>
        <v>5889.5</v>
      </c>
      <c r="T310" s="25"/>
      <c r="U310" s="26"/>
    </row>
    <row r="311" spans="1:21">
      <c r="A311" s="22" t="s">
        <v>580</v>
      </c>
      <c r="B311" s="23"/>
      <c r="C311" s="22" t="s">
        <v>581</v>
      </c>
      <c r="D311" s="23"/>
      <c r="E311" s="23"/>
      <c r="F311" s="23"/>
      <c r="G311" s="23"/>
      <c r="H311" s="2">
        <f t="shared" si="151"/>
        <v>0</v>
      </c>
      <c r="I311" s="2">
        <f t="shared" si="148"/>
        <v>0</v>
      </c>
      <c r="J311" s="2">
        <f t="shared" si="148"/>
        <v>0</v>
      </c>
      <c r="K311" s="2">
        <f t="shared" si="147"/>
        <v>0</v>
      </c>
      <c r="L311" s="24">
        <f t="shared" si="152"/>
        <v>0</v>
      </c>
      <c r="M311" s="25"/>
      <c r="N311" s="2">
        <f>ROUND(0,2)</f>
        <v>0</v>
      </c>
      <c r="O311" s="2">
        <f>ROUND(24566.86,2)</f>
        <v>24566.86</v>
      </c>
      <c r="P311" s="2">
        <f t="shared" si="149"/>
        <v>0</v>
      </c>
      <c r="Q311" s="24">
        <f t="shared" si="150"/>
        <v>0</v>
      </c>
      <c r="R311" s="25"/>
      <c r="S311" s="24">
        <f>ROUND(24566.86,2)</f>
        <v>24566.86</v>
      </c>
      <c r="T311" s="25"/>
      <c r="U311" s="26"/>
    </row>
    <row r="312" spans="1:21">
      <c r="A312" s="22" t="s">
        <v>582</v>
      </c>
      <c r="B312" s="23"/>
      <c r="C312" s="22" t="s">
        <v>583</v>
      </c>
      <c r="D312" s="23"/>
      <c r="E312" s="23"/>
      <c r="F312" s="23"/>
      <c r="G312" s="23"/>
      <c r="H312" s="2">
        <f t="shared" si="151"/>
        <v>0</v>
      </c>
      <c r="I312" s="2">
        <f t="shared" si="148"/>
        <v>0</v>
      </c>
      <c r="J312" s="2">
        <f t="shared" si="148"/>
        <v>0</v>
      </c>
      <c r="K312" s="2">
        <f t="shared" si="147"/>
        <v>0</v>
      </c>
      <c r="L312" s="24">
        <f t="shared" si="152"/>
        <v>0</v>
      </c>
      <c r="M312" s="25"/>
      <c r="N312" s="2">
        <f>ROUND(0,2)</f>
        <v>0</v>
      </c>
      <c r="O312" s="2">
        <f>ROUND(28281.81,2)</f>
        <v>28281.81</v>
      </c>
      <c r="P312" s="2">
        <f t="shared" si="149"/>
        <v>0</v>
      </c>
      <c r="Q312" s="24">
        <f t="shared" si="150"/>
        <v>0</v>
      </c>
      <c r="R312" s="25"/>
      <c r="S312" s="24">
        <f>ROUND(28281.81,2)</f>
        <v>28281.81</v>
      </c>
      <c r="T312" s="25"/>
      <c r="U312" s="26"/>
    </row>
    <row r="313" spans="1:21">
      <c r="A313" s="22" t="s">
        <v>584</v>
      </c>
      <c r="B313" s="23"/>
      <c r="C313" s="22" t="s">
        <v>585</v>
      </c>
      <c r="D313" s="23"/>
      <c r="E313" s="23"/>
      <c r="F313" s="23"/>
      <c r="G313" s="23"/>
      <c r="H313" s="2">
        <f t="shared" si="151"/>
        <v>0</v>
      </c>
      <c r="I313" s="2">
        <f t="shared" si="148"/>
        <v>0</v>
      </c>
      <c r="J313" s="2">
        <f t="shared" si="148"/>
        <v>0</v>
      </c>
      <c r="K313" s="2">
        <f>ROUND(0,2)</f>
        <v>0</v>
      </c>
      <c r="L313" s="24">
        <f t="shared" si="152"/>
        <v>0</v>
      </c>
      <c r="M313" s="25"/>
      <c r="N313" s="2">
        <f>ROUND(10317.2,2)</f>
        <v>10317.200000000001</v>
      </c>
      <c r="O313" s="2">
        <f>ROUND(0,2)</f>
        <v>0</v>
      </c>
      <c r="P313" s="2">
        <f t="shared" si="149"/>
        <v>0</v>
      </c>
      <c r="Q313" s="24">
        <f t="shared" si="150"/>
        <v>0</v>
      </c>
      <c r="R313" s="25"/>
      <c r="S313" s="24">
        <f>ROUND(10317.2,2)</f>
        <v>10317.200000000001</v>
      </c>
      <c r="T313" s="25"/>
      <c r="U313" s="26"/>
    </row>
    <row r="314" spans="1:21">
      <c r="A314" s="22" t="s">
        <v>586</v>
      </c>
      <c r="B314" s="23"/>
      <c r="C314" s="22" t="s">
        <v>587</v>
      </c>
      <c r="D314" s="23"/>
      <c r="E314" s="23"/>
      <c r="F314" s="23"/>
      <c r="G314" s="23"/>
      <c r="H314" s="2">
        <f t="shared" si="151"/>
        <v>0</v>
      </c>
      <c r="I314" s="2">
        <f t="shared" si="148"/>
        <v>0</v>
      </c>
      <c r="J314" s="2">
        <f t="shared" si="148"/>
        <v>0</v>
      </c>
      <c r="K314" s="2">
        <f>ROUND(0,2)</f>
        <v>0</v>
      </c>
      <c r="L314" s="24">
        <f t="shared" si="152"/>
        <v>0</v>
      </c>
      <c r="M314" s="25"/>
      <c r="N314" s="2">
        <f>ROUND(4374.75,2)</f>
        <v>4374.75</v>
      </c>
      <c r="O314" s="2">
        <f>ROUND(0,2)</f>
        <v>0</v>
      </c>
      <c r="P314" s="2">
        <f t="shared" si="149"/>
        <v>0</v>
      </c>
      <c r="Q314" s="24">
        <f t="shared" si="150"/>
        <v>0</v>
      </c>
      <c r="R314" s="25"/>
      <c r="S314" s="24">
        <f>ROUND(4374.75,2)</f>
        <v>4374.75</v>
      </c>
      <c r="T314" s="25"/>
      <c r="U314" s="26"/>
    </row>
    <row r="315" spans="1:21">
      <c r="A315" s="22" t="s">
        <v>588</v>
      </c>
      <c r="B315" s="23"/>
      <c r="C315" s="22" t="s">
        <v>589</v>
      </c>
      <c r="D315" s="23"/>
      <c r="E315" s="23"/>
      <c r="F315" s="23"/>
      <c r="G315" s="23"/>
      <c r="H315" s="2">
        <f t="shared" si="151"/>
        <v>0</v>
      </c>
      <c r="I315" s="2">
        <f t="shared" ref="I315:K317" si="153">ROUND(0,2)</f>
        <v>0</v>
      </c>
      <c r="J315" s="2">
        <f t="shared" si="153"/>
        <v>0</v>
      </c>
      <c r="K315" s="2">
        <f t="shared" si="153"/>
        <v>0</v>
      </c>
      <c r="L315" s="24">
        <f t="shared" si="152"/>
        <v>0</v>
      </c>
      <c r="M315" s="25"/>
      <c r="N315" s="2">
        <f>ROUND(9661.13,2)</f>
        <v>9661.1299999999992</v>
      </c>
      <c r="O315" s="2">
        <f>ROUND(0,2)</f>
        <v>0</v>
      </c>
      <c r="P315" s="2">
        <f t="shared" ref="P315:P330" si="154">ROUND(0,2)</f>
        <v>0</v>
      </c>
      <c r="Q315" s="24">
        <f t="shared" si="150"/>
        <v>0</v>
      </c>
      <c r="R315" s="25"/>
      <c r="S315" s="24">
        <f>ROUND(9661.13,2)</f>
        <v>9661.1299999999992</v>
      </c>
      <c r="T315" s="25"/>
      <c r="U315" s="26"/>
    </row>
    <row r="316" spans="1:21">
      <c r="A316" s="22" t="s">
        <v>590</v>
      </c>
      <c r="B316" s="23"/>
      <c r="C316" s="22" t="s">
        <v>591</v>
      </c>
      <c r="D316" s="23"/>
      <c r="E316" s="23"/>
      <c r="F316" s="23"/>
      <c r="G316" s="23"/>
      <c r="H316" s="2">
        <f t="shared" si="151"/>
        <v>0</v>
      </c>
      <c r="I316" s="2">
        <f t="shared" si="153"/>
        <v>0</v>
      </c>
      <c r="J316" s="2">
        <f t="shared" si="153"/>
        <v>0</v>
      </c>
      <c r="K316" s="2">
        <f t="shared" si="153"/>
        <v>0</v>
      </c>
      <c r="L316" s="24">
        <f t="shared" si="152"/>
        <v>0</v>
      </c>
      <c r="M316" s="25"/>
      <c r="N316" s="2">
        <f>ROUND(1701.85,2)</f>
        <v>1701.85</v>
      </c>
      <c r="O316" s="2">
        <f>ROUND(0,2)</f>
        <v>0</v>
      </c>
      <c r="P316" s="2">
        <f t="shared" si="154"/>
        <v>0</v>
      </c>
      <c r="Q316" s="24">
        <f t="shared" si="150"/>
        <v>0</v>
      </c>
      <c r="R316" s="25"/>
      <c r="S316" s="24">
        <f>ROUND(1701.85,2)</f>
        <v>1701.85</v>
      </c>
      <c r="T316" s="25"/>
      <c r="U316" s="26"/>
    </row>
    <row r="317" spans="1:21">
      <c r="A317" s="22" t="s">
        <v>592</v>
      </c>
      <c r="B317" s="23"/>
      <c r="C317" s="22" t="s">
        <v>593</v>
      </c>
      <c r="D317" s="23"/>
      <c r="E317" s="23"/>
      <c r="F317" s="23"/>
      <c r="G317" s="23"/>
      <c r="H317" s="2">
        <f t="shared" si="151"/>
        <v>0</v>
      </c>
      <c r="I317" s="2">
        <f t="shared" si="153"/>
        <v>0</v>
      </c>
      <c r="J317" s="2">
        <f t="shared" si="153"/>
        <v>0</v>
      </c>
      <c r="K317" s="2">
        <f t="shared" si="153"/>
        <v>0</v>
      </c>
      <c r="L317" s="24">
        <f t="shared" si="152"/>
        <v>0</v>
      </c>
      <c r="M317" s="25"/>
      <c r="N317" s="2">
        <f>ROUND(8413.1,2)</f>
        <v>8413.1</v>
      </c>
      <c r="O317" s="2">
        <f>ROUND(0,2)</f>
        <v>0</v>
      </c>
      <c r="P317" s="2">
        <f t="shared" si="154"/>
        <v>0</v>
      </c>
      <c r="Q317" s="24">
        <f t="shared" si="150"/>
        <v>0</v>
      </c>
      <c r="R317" s="25"/>
      <c r="S317" s="24">
        <f>ROUND(8413.1,2)</f>
        <v>8413.1</v>
      </c>
      <c r="T317" s="25"/>
      <c r="U317" s="26"/>
    </row>
    <row r="318" spans="1:21">
      <c r="A318" s="22" t="s">
        <v>594</v>
      </c>
      <c r="B318" s="23"/>
      <c r="C318" s="22" t="s">
        <v>595</v>
      </c>
      <c r="D318" s="23"/>
      <c r="E318" s="23"/>
      <c r="F318" s="23"/>
      <c r="G318" s="23"/>
      <c r="H318" s="2">
        <f t="shared" si="151"/>
        <v>0</v>
      </c>
      <c r="I318" s="2">
        <f t="shared" ref="I318:J333" si="155">ROUND(0,2)</f>
        <v>0</v>
      </c>
      <c r="J318" s="2">
        <f t="shared" si="155"/>
        <v>0</v>
      </c>
      <c r="K318" s="2">
        <f>ROUND(2294.68,2)</f>
        <v>2294.6799999999998</v>
      </c>
      <c r="L318" s="24">
        <f t="shared" si="152"/>
        <v>0</v>
      </c>
      <c r="M318" s="25"/>
      <c r="N318" s="2">
        <f t="shared" ref="N318:N333" si="156">ROUND(0,2)</f>
        <v>0</v>
      </c>
      <c r="O318" s="2">
        <f>ROUND(13147.03,2)</f>
        <v>13147.03</v>
      </c>
      <c r="P318" s="2">
        <f t="shared" si="154"/>
        <v>0</v>
      </c>
      <c r="Q318" s="24">
        <f t="shared" si="150"/>
        <v>0</v>
      </c>
      <c r="R318" s="25"/>
      <c r="S318" s="24">
        <f>ROUND(15441.71,2)</f>
        <v>15441.71</v>
      </c>
      <c r="T318" s="25"/>
      <c r="U318" s="26"/>
    </row>
    <row r="319" spans="1:21">
      <c r="A319" s="22" t="s">
        <v>596</v>
      </c>
      <c r="B319" s="23"/>
      <c r="C319" s="22" t="s">
        <v>597</v>
      </c>
      <c r="D319" s="23"/>
      <c r="E319" s="23"/>
      <c r="F319" s="23"/>
      <c r="G319" s="23"/>
      <c r="H319" s="2">
        <f t="shared" si="151"/>
        <v>0</v>
      </c>
      <c r="I319" s="2">
        <f t="shared" si="155"/>
        <v>0</v>
      </c>
      <c r="J319" s="2">
        <f t="shared" si="155"/>
        <v>0</v>
      </c>
      <c r="K319" s="2">
        <f>ROUND(6613.28,2)</f>
        <v>6613.28</v>
      </c>
      <c r="L319" s="24">
        <f t="shared" si="152"/>
        <v>0</v>
      </c>
      <c r="M319" s="25"/>
      <c r="N319" s="2">
        <f t="shared" si="156"/>
        <v>0</v>
      </c>
      <c r="O319" s="2">
        <f>ROUND(0,2)</f>
        <v>0</v>
      </c>
      <c r="P319" s="2">
        <f t="shared" si="154"/>
        <v>0</v>
      </c>
      <c r="Q319" s="24">
        <f t="shared" ref="Q319:Q334" si="157">ROUND(0,2)</f>
        <v>0</v>
      </c>
      <c r="R319" s="25"/>
      <c r="S319" s="24">
        <f>ROUND(6613.28,2)</f>
        <v>6613.28</v>
      </c>
      <c r="T319" s="25"/>
      <c r="U319" s="26"/>
    </row>
    <row r="320" spans="1:21">
      <c r="A320" s="22" t="s">
        <v>598</v>
      </c>
      <c r="B320" s="23"/>
      <c r="C320" s="22" t="s">
        <v>599</v>
      </c>
      <c r="D320" s="23"/>
      <c r="E320" s="23"/>
      <c r="F320" s="23"/>
      <c r="G320" s="23"/>
      <c r="H320" s="2">
        <f t="shared" si="151"/>
        <v>0</v>
      </c>
      <c r="I320" s="2">
        <f t="shared" si="155"/>
        <v>0</v>
      </c>
      <c r="J320" s="2">
        <f t="shared" si="155"/>
        <v>0</v>
      </c>
      <c r="K320" s="2">
        <f>ROUND(14604.89,2)</f>
        <v>14604.89</v>
      </c>
      <c r="L320" s="24">
        <f t="shared" si="152"/>
        <v>0</v>
      </c>
      <c r="M320" s="25"/>
      <c r="N320" s="2">
        <f t="shared" si="156"/>
        <v>0</v>
      </c>
      <c r="O320" s="2">
        <f>ROUND(0,2)</f>
        <v>0</v>
      </c>
      <c r="P320" s="2">
        <f t="shared" si="154"/>
        <v>0</v>
      </c>
      <c r="Q320" s="24">
        <f t="shared" si="157"/>
        <v>0</v>
      </c>
      <c r="R320" s="25"/>
      <c r="S320" s="24">
        <f>ROUND(14604.89,2)</f>
        <v>14604.89</v>
      </c>
      <c r="T320" s="25"/>
      <c r="U320" s="26"/>
    </row>
    <row r="321" spans="1:21">
      <c r="A321" s="22" t="s">
        <v>600</v>
      </c>
      <c r="B321" s="23"/>
      <c r="C321" s="22" t="s">
        <v>601</v>
      </c>
      <c r="D321" s="23"/>
      <c r="E321" s="23"/>
      <c r="F321" s="23"/>
      <c r="G321" s="23"/>
      <c r="H321" s="2">
        <f t="shared" si="151"/>
        <v>0</v>
      </c>
      <c r="I321" s="2">
        <f t="shared" si="155"/>
        <v>0</v>
      </c>
      <c r="J321" s="2">
        <f t="shared" si="155"/>
        <v>0</v>
      </c>
      <c r="K321" s="2">
        <f>ROUND(1944.75,2)</f>
        <v>1944.75</v>
      </c>
      <c r="L321" s="24">
        <f t="shared" si="152"/>
        <v>0</v>
      </c>
      <c r="M321" s="25"/>
      <c r="N321" s="2">
        <f t="shared" si="156"/>
        <v>0</v>
      </c>
      <c r="O321" s="2">
        <f>ROUND(0,2)</f>
        <v>0</v>
      </c>
      <c r="P321" s="2">
        <f t="shared" si="154"/>
        <v>0</v>
      </c>
      <c r="Q321" s="24">
        <f t="shared" si="157"/>
        <v>0</v>
      </c>
      <c r="R321" s="25"/>
      <c r="S321" s="24">
        <f>ROUND(1944.75,2)</f>
        <v>1944.75</v>
      </c>
      <c r="T321" s="25"/>
      <c r="U321" s="26"/>
    </row>
    <row r="322" spans="1:21">
      <c r="A322" s="22" t="s">
        <v>602</v>
      </c>
      <c r="B322" s="23"/>
      <c r="C322" s="22" t="s">
        <v>603</v>
      </c>
      <c r="D322" s="23"/>
      <c r="E322" s="23"/>
      <c r="F322" s="23"/>
      <c r="G322" s="23"/>
      <c r="H322" s="2">
        <f t="shared" si="151"/>
        <v>0</v>
      </c>
      <c r="I322" s="2">
        <f t="shared" si="155"/>
        <v>0</v>
      </c>
      <c r="J322" s="2">
        <f t="shared" si="155"/>
        <v>0</v>
      </c>
      <c r="K322" s="2">
        <f>ROUND(8485.86,2)</f>
        <v>8485.86</v>
      </c>
      <c r="L322" s="24">
        <f t="shared" si="152"/>
        <v>0</v>
      </c>
      <c r="M322" s="25"/>
      <c r="N322" s="2">
        <f t="shared" si="156"/>
        <v>0</v>
      </c>
      <c r="O322" s="2">
        <f>ROUND(3782.69,2)</f>
        <v>3782.69</v>
      </c>
      <c r="P322" s="2">
        <f t="shared" si="154"/>
        <v>0</v>
      </c>
      <c r="Q322" s="24">
        <f t="shared" si="157"/>
        <v>0</v>
      </c>
      <c r="R322" s="25"/>
      <c r="S322" s="24">
        <f>ROUND(12268.55,2)</f>
        <v>12268.55</v>
      </c>
      <c r="T322" s="25"/>
      <c r="U322" s="26"/>
    </row>
    <row r="323" spans="1:21">
      <c r="A323" s="22" t="s">
        <v>604</v>
      </c>
      <c r="B323" s="23"/>
      <c r="C323" s="22" t="s">
        <v>605</v>
      </c>
      <c r="D323" s="23"/>
      <c r="E323" s="23"/>
      <c r="F323" s="23"/>
      <c r="G323" s="23"/>
      <c r="H323" s="2">
        <f t="shared" si="151"/>
        <v>0</v>
      </c>
      <c r="I323" s="2">
        <f t="shared" si="155"/>
        <v>0</v>
      </c>
      <c r="J323" s="2">
        <f t="shared" si="155"/>
        <v>0</v>
      </c>
      <c r="K323" s="2">
        <f>ROUND(0,2)</f>
        <v>0</v>
      </c>
      <c r="L323" s="24">
        <f t="shared" si="152"/>
        <v>0</v>
      </c>
      <c r="M323" s="25"/>
      <c r="N323" s="2">
        <f t="shared" si="156"/>
        <v>0</v>
      </c>
      <c r="O323" s="2">
        <f>ROUND(23802.28,2)</f>
        <v>23802.28</v>
      </c>
      <c r="P323" s="2">
        <f t="shared" si="154"/>
        <v>0</v>
      </c>
      <c r="Q323" s="24">
        <f t="shared" si="157"/>
        <v>0</v>
      </c>
      <c r="R323" s="25"/>
      <c r="S323" s="24">
        <f>ROUND(23802.28,2)</f>
        <v>23802.28</v>
      </c>
      <c r="T323" s="25"/>
      <c r="U323" s="26"/>
    </row>
    <row r="324" spans="1:21">
      <c r="A324" s="22" t="s">
        <v>606</v>
      </c>
      <c r="B324" s="23"/>
      <c r="C324" s="22" t="s">
        <v>607</v>
      </c>
      <c r="D324" s="23"/>
      <c r="E324" s="23"/>
      <c r="F324" s="23"/>
      <c r="G324" s="23"/>
      <c r="H324" s="2">
        <f t="shared" ref="H324:H339" si="158">ROUND(0,2)</f>
        <v>0</v>
      </c>
      <c r="I324" s="2">
        <f t="shared" si="155"/>
        <v>0</v>
      </c>
      <c r="J324" s="2">
        <f t="shared" si="155"/>
        <v>0</v>
      </c>
      <c r="K324" s="2">
        <f>ROUND(0,2)</f>
        <v>0</v>
      </c>
      <c r="L324" s="24">
        <f t="shared" ref="L324:L331" si="159">ROUND(0,2)</f>
        <v>0</v>
      </c>
      <c r="M324" s="25"/>
      <c r="N324" s="2">
        <f t="shared" si="156"/>
        <v>0</v>
      </c>
      <c r="O324" s="2">
        <f>ROUND(15600,2)</f>
        <v>15600</v>
      </c>
      <c r="P324" s="2">
        <f t="shared" si="154"/>
        <v>0</v>
      </c>
      <c r="Q324" s="24">
        <f t="shared" si="157"/>
        <v>0</v>
      </c>
      <c r="R324" s="25"/>
      <c r="S324" s="24">
        <f>ROUND(15600,2)</f>
        <v>15600</v>
      </c>
      <c r="T324" s="25"/>
      <c r="U324" s="26"/>
    </row>
    <row r="325" spans="1:21">
      <c r="A325" s="22" t="s">
        <v>608</v>
      </c>
      <c r="B325" s="23"/>
      <c r="C325" s="22" t="s">
        <v>609</v>
      </c>
      <c r="D325" s="23"/>
      <c r="E325" s="23"/>
      <c r="F325" s="23"/>
      <c r="G325" s="23"/>
      <c r="H325" s="2">
        <f t="shared" si="158"/>
        <v>0</v>
      </c>
      <c r="I325" s="2">
        <f t="shared" si="155"/>
        <v>0</v>
      </c>
      <c r="J325" s="2">
        <f t="shared" si="155"/>
        <v>0</v>
      </c>
      <c r="K325" s="2">
        <f>ROUND(15357.98,2)</f>
        <v>15357.98</v>
      </c>
      <c r="L325" s="24">
        <f t="shared" si="159"/>
        <v>0</v>
      </c>
      <c r="M325" s="25"/>
      <c r="N325" s="2">
        <f t="shared" si="156"/>
        <v>0</v>
      </c>
      <c r="O325" s="2">
        <f>ROUND(0,2)</f>
        <v>0</v>
      </c>
      <c r="P325" s="2">
        <f t="shared" si="154"/>
        <v>0</v>
      </c>
      <c r="Q325" s="24">
        <f t="shared" si="157"/>
        <v>0</v>
      </c>
      <c r="R325" s="25"/>
      <c r="S325" s="24">
        <f>ROUND(15357.98,2)</f>
        <v>15357.98</v>
      </c>
      <c r="T325" s="25"/>
      <c r="U325" s="26"/>
    </row>
    <row r="326" spans="1:21">
      <c r="A326" s="22" t="s">
        <v>610</v>
      </c>
      <c r="B326" s="23"/>
      <c r="C326" s="22" t="s">
        <v>611</v>
      </c>
      <c r="D326" s="23"/>
      <c r="E326" s="23"/>
      <c r="F326" s="23"/>
      <c r="G326" s="23"/>
      <c r="H326" s="2">
        <f t="shared" si="158"/>
        <v>0</v>
      </c>
      <c r="I326" s="2">
        <f t="shared" si="155"/>
        <v>0</v>
      </c>
      <c r="J326" s="2">
        <f t="shared" si="155"/>
        <v>0</v>
      </c>
      <c r="K326" s="2">
        <f>ROUND(6577.45,2)</f>
        <v>6577.45</v>
      </c>
      <c r="L326" s="24">
        <f t="shared" si="159"/>
        <v>0</v>
      </c>
      <c r="M326" s="25"/>
      <c r="N326" s="2">
        <f t="shared" si="156"/>
        <v>0</v>
      </c>
      <c r="O326" s="2">
        <f>ROUND(0,2)</f>
        <v>0</v>
      </c>
      <c r="P326" s="2">
        <f t="shared" si="154"/>
        <v>0</v>
      </c>
      <c r="Q326" s="24">
        <f t="shared" si="157"/>
        <v>0</v>
      </c>
      <c r="R326" s="25"/>
      <c r="S326" s="24">
        <f>ROUND(6577.45,2)</f>
        <v>6577.45</v>
      </c>
      <c r="T326" s="25"/>
      <c r="U326" s="26"/>
    </row>
    <row r="327" spans="1:21">
      <c r="A327" s="22" t="s">
        <v>612</v>
      </c>
      <c r="B327" s="23"/>
      <c r="C327" s="22" t="s">
        <v>613</v>
      </c>
      <c r="D327" s="23"/>
      <c r="E327" s="23"/>
      <c r="F327" s="23"/>
      <c r="G327" s="23"/>
      <c r="H327" s="2">
        <f t="shared" si="158"/>
        <v>0</v>
      </c>
      <c r="I327" s="2">
        <f t="shared" si="155"/>
        <v>0</v>
      </c>
      <c r="J327" s="2">
        <f t="shared" si="155"/>
        <v>0</v>
      </c>
      <c r="K327" s="2">
        <f>ROUND(14525.66,2)</f>
        <v>14525.66</v>
      </c>
      <c r="L327" s="24">
        <f t="shared" si="159"/>
        <v>0</v>
      </c>
      <c r="M327" s="25"/>
      <c r="N327" s="2">
        <f t="shared" si="156"/>
        <v>0</v>
      </c>
      <c r="O327" s="2">
        <f>ROUND(0,2)</f>
        <v>0</v>
      </c>
      <c r="P327" s="2">
        <f t="shared" si="154"/>
        <v>0</v>
      </c>
      <c r="Q327" s="24">
        <f t="shared" si="157"/>
        <v>0</v>
      </c>
      <c r="R327" s="25"/>
      <c r="S327" s="24">
        <f>ROUND(14525.66,2)</f>
        <v>14525.66</v>
      </c>
      <c r="T327" s="25"/>
      <c r="U327" s="26"/>
    </row>
    <row r="328" spans="1:21">
      <c r="A328" s="22" t="s">
        <v>614</v>
      </c>
      <c r="B328" s="23"/>
      <c r="C328" s="22" t="s">
        <v>615</v>
      </c>
      <c r="D328" s="23"/>
      <c r="E328" s="23"/>
      <c r="F328" s="23"/>
      <c r="G328" s="23"/>
      <c r="H328" s="2">
        <f t="shared" si="158"/>
        <v>0</v>
      </c>
      <c r="I328" s="2">
        <f t="shared" si="155"/>
        <v>0</v>
      </c>
      <c r="J328" s="2">
        <f t="shared" si="155"/>
        <v>0</v>
      </c>
      <c r="K328" s="2">
        <f>ROUND(3319.83,2)</f>
        <v>3319.83</v>
      </c>
      <c r="L328" s="24">
        <f t="shared" si="159"/>
        <v>0</v>
      </c>
      <c r="M328" s="25"/>
      <c r="N328" s="2">
        <f t="shared" si="156"/>
        <v>0</v>
      </c>
      <c r="O328" s="2">
        <f>ROUND(0,2)</f>
        <v>0</v>
      </c>
      <c r="P328" s="2">
        <f t="shared" si="154"/>
        <v>0</v>
      </c>
      <c r="Q328" s="24">
        <f t="shared" si="157"/>
        <v>0</v>
      </c>
      <c r="R328" s="25"/>
      <c r="S328" s="24">
        <f>ROUND(3319.83,2)</f>
        <v>3319.83</v>
      </c>
      <c r="T328" s="25"/>
      <c r="U328" s="26"/>
    </row>
    <row r="329" spans="1:21">
      <c r="A329" s="22" t="s">
        <v>616</v>
      </c>
      <c r="B329" s="23"/>
      <c r="C329" s="22" t="s">
        <v>617</v>
      </c>
      <c r="D329" s="23"/>
      <c r="E329" s="23"/>
      <c r="F329" s="23"/>
      <c r="G329" s="23"/>
      <c r="H329" s="2">
        <f t="shared" si="158"/>
        <v>0</v>
      </c>
      <c r="I329" s="2">
        <f t="shared" si="155"/>
        <v>0</v>
      </c>
      <c r="J329" s="2">
        <f t="shared" si="155"/>
        <v>0</v>
      </c>
      <c r="K329" s="2">
        <f>ROUND(12409.25,2)</f>
        <v>12409.25</v>
      </c>
      <c r="L329" s="24">
        <f t="shared" si="159"/>
        <v>0</v>
      </c>
      <c r="M329" s="25"/>
      <c r="N329" s="2">
        <f t="shared" si="156"/>
        <v>0</v>
      </c>
      <c r="O329" s="2">
        <f>ROUND(0,2)</f>
        <v>0</v>
      </c>
      <c r="P329" s="2">
        <f t="shared" si="154"/>
        <v>0</v>
      </c>
      <c r="Q329" s="24">
        <f t="shared" si="157"/>
        <v>0</v>
      </c>
      <c r="R329" s="25"/>
      <c r="S329" s="24">
        <f>ROUND(12409.25,2)</f>
        <v>12409.25</v>
      </c>
      <c r="T329" s="25"/>
      <c r="U329" s="26"/>
    </row>
    <row r="330" spans="1:21">
      <c r="A330" s="22" t="s">
        <v>618</v>
      </c>
      <c r="B330" s="23"/>
      <c r="C330" s="22" t="s">
        <v>619</v>
      </c>
      <c r="D330" s="23"/>
      <c r="E330" s="23"/>
      <c r="F330" s="23"/>
      <c r="G330" s="23"/>
      <c r="H330" s="2">
        <f t="shared" si="158"/>
        <v>0</v>
      </c>
      <c r="I330" s="2">
        <f t="shared" si="155"/>
        <v>0</v>
      </c>
      <c r="J330" s="2">
        <f t="shared" si="155"/>
        <v>0</v>
      </c>
      <c r="K330" s="2">
        <f t="shared" ref="K330:K345" si="160">ROUND(0,2)</f>
        <v>0</v>
      </c>
      <c r="L330" s="24">
        <f t="shared" si="159"/>
        <v>0</v>
      </c>
      <c r="M330" s="25"/>
      <c r="N330" s="2">
        <f t="shared" si="156"/>
        <v>0</v>
      </c>
      <c r="O330" s="2">
        <f>ROUND(35503.69,2)</f>
        <v>35503.69</v>
      </c>
      <c r="P330" s="2">
        <f t="shared" si="154"/>
        <v>0</v>
      </c>
      <c r="Q330" s="24">
        <f t="shared" si="157"/>
        <v>0</v>
      </c>
      <c r="R330" s="25"/>
      <c r="S330" s="24">
        <f>ROUND(35503.69,2)</f>
        <v>35503.69</v>
      </c>
      <c r="T330" s="25"/>
      <c r="U330" s="26"/>
    </row>
    <row r="331" spans="1:21">
      <c r="A331" s="22" t="s">
        <v>620</v>
      </c>
      <c r="B331" s="23"/>
      <c r="C331" s="22" t="s">
        <v>180</v>
      </c>
      <c r="D331" s="23"/>
      <c r="E331" s="23"/>
      <c r="F331" s="23"/>
      <c r="G331" s="23"/>
      <c r="H331" s="2">
        <f t="shared" si="158"/>
        <v>0</v>
      </c>
      <c r="I331" s="2">
        <f t="shared" si="155"/>
        <v>0</v>
      </c>
      <c r="J331" s="2">
        <f t="shared" si="155"/>
        <v>0</v>
      </c>
      <c r="K331" s="2">
        <f t="shared" si="160"/>
        <v>0</v>
      </c>
      <c r="L331" s="24">
        <f t="shared" si="159"/>
        <v>0</v>
      </c>
      <c r="M331" s="25"/>
      <c r="N331" s="2">
        <f t="shared" si="156"/>
        <v>0</v>
      </c>
      <c r="O331" s="2">
        <f>ROUND(2500,2)</f>
        <v>2500</v>
      </c>
      <c r="P331" s="2">
        <f t="shared" ref="P331:P346" si="161">ROUND(0,2)</f>
        <v>0</v>
      </c>
      <c r="Q331" s="24">
        <f t="shared" si="157"/>
        <v>0</v>
      </c>
      <c r="R331" s="25"/>
      <c r="S331" s="24">
        <f>ROUND(2500,2)</f>
        <v>2500</v>
      </c>
      <c r="T331" s="25"/>
      <c r="U331" s="26"/>
    </row>
    <row r="332" spans="1:21">
      <c r="A332" s="22" t="s">
        <v>621</v>
      </c>
      <c r="B332" s="23"/>
      <c r="C332" s="22" t="s">
        <v>182</v>
      </c>
      <c r="D332" s="23"/>
      <c r="E332" s="23"/>
      <c r="F332" s="23"/>
      <c r="G332" s="23"/>
      <c r="H332" s="2">
        <f t="shared" si="158"/>
        <v>0</v>
      </c>
      <c r="I332" s="2">
        <f t="shared" si="155"/>
        <v>0</v>
      </c>
      <c r="J332" s="2">
        <f t="shared" si="155"/>
        <v>0</v>
      </c>
      <c r="K332" s="2">
        <f t="shared" si="160"/>
        <v>0</v>
      </c>
      <c r="L332" s="24">
        <f>ROUND(8144.49,2)</f>
        <v>8144.49</v>
      </c>
      <c r="M332" s="25"/>
      <c r="N332" s="2">
        <f t="shared" si="156"/>
        <v>0</v>
      </c>
      <c r="O332" s="2">
        <f>ROUND(5829,2)</f>
        <v>5829</v>
      </c>
      <c r="P332" s="2">
        <f t="shared" si="161"/>
        <v>0</v>
      </c>
      <c r="Q332" s="24">
        <f t="shared" si="157"/>
        <v>0</v>
      </c>
      <c r="R332" s="25"/>
      <c r="S332" s="24">
        <f>ROUND(-2315.49,2)</f>
        <v>-2315.4899999999998</v>
      </c>
      <c r="T332" s="25"/>
      <c r="U332" s="26"/>
    </row>
    <row r="333" spans="1:21">
      <c r="A333" s="22" t="s">
        <v>622</v>
      </c>
      <c r="B333" s="23"/>
      <c r="C333" s="22" t="s">
        <v>623</v>
      </c>
      <c r="D333" s="23"/>
      <c r="E333" s="23"/>
      <c r="F333" s="23"/>
      <c r="G333" s="23"/>
      <c r="H333" s="2">
        <f t="shared" si="158"/>
        <v>0</v>
      </c>
      <c r="I333" s="2">
        <f t="shared" si="155"/>
        <v>0</v>
      </c>
      <c r="J333" s="2">
        <f t="shared" si="155"/>
        <v>0</v>
      </c>
      <c r="K333" s="2">
        <f t="shared" si="160"/>
        <v>0</v>
      </c>
      <c r="L333" s="24">
        <f>ROUND(71192.83,2)</f>
        <v>71192.83</v>
      </c>
      <c r="M333" s="25"/>
      <c r="N333" s="2">
        <f t="shared" si="156"/>
        <v>0</v>
      </c>
      <c r="O333" s="2">
        <f>ROUND(40596.94,2)</f>
        <v>40596.94</v>
      </c>
      <c r="P333" s="2">
        <f t="shared" si="161"/>
        <v>0</v>
      </c>
      <c r="Q333" s="24">
        <f t="shared" si="157"/>
        <v>0</v>
      </c>
      <c r="R333" s="25"/>
      <c r="S333" s="24">
        <f>ROUND(-30595.89,2)</f>
        <v>-30595.89</v>
      </c>
      <c r="T333" s="25"/>
      <c r="U333" s="26"/>
    </row>
    <row r="334" spans="1:21">
      <c r="A334" s="22" t="s">
        <v>624</v>
      </c>
      <c r="B334" s="23"/>
      <c r="C334" s="22" t="s">
        <v>625</v>
      </c>
      <c r="D334" s="23"/>
      <c r="E334" s="23"/>
      <c r="F334" s="23"/>
      <c r="G334" s="23"/>
      <c r="H334" s="2">
        <f t="shared" si="158"/>
        <v>0</v>
      </c>
      <c r="I334" s="2">
        <f t="shared" ref="I334:J349" si="162">ROUND(0,2)</f>
        <v>0</v>
      </c>
      <c r="J334" s="2">
        <f t="shared" si="162"/>
        <v>0</v>
      </c>
      <c r="K334" s="2">
        <f t="shared" si="160"/>
        <v>0</v>
      </c>
      <c r="L334" s="24">
        <f>ROUND(23818.27,2)</f>
        <v>23818.27</v>
      </c>
      <c r="M334" s="25"/>
      <c r="N334" s="2">
        <f>ROUND(0,2)</f>
        <v>0</v>
      </c>
      <c r="O334" s="2">
        <f>ROUND(13532.31,2)</f>
        <v>13532.31</v>
      </c>
      <c r="P334" s="2">
        <f t="shared" si="161"/>
        <v>0</v>
      </c>
      <c r="Q334" s="24">
        <f t="shared" si="157"/>
        <v>0</v>
      </c>
      <c r="R334" s="25"/>
      <c r="S334" s="24">
        <f>ROUND(-10285.96,2)</f>
        <v>-10285.959999999999</v>
      </c>
      <c r="T334" s="25"/>
      <c r="U334" s="26"/>
    </row>
    <row r="335" spans="1:21">
      <c r="A335" s="22" t="s">
        <v>626</v>
      </c>
      <c r="B335" s="23"/>
      <c r="C335" s="22" t="s">
        <v>627</v>
      </c>
      <c r="D335" s="23"/>
      <c r="E335" s="23"/>
      <c r="F335" s="23"/>
      <c r="G335" s="23"/>
      <c r="H335" s="2">
        <f t="shared" si="158"/>
        <v>0</v>
      </c>
      <c r="I335" s="2">
        <f t="shared" si="162"/>
        <v>0</v>
      </c>
      <c r="J335" s="2">
        <f t="shared" si="162"/>
        <v>0</v>
      </c>
      <c r="K335" s="2">
        <f t="shared" si="160"/>
        <v>0</v>
      </c>
      <c r="L335" s="24">
        <f t="shared" ref="L335:L350" si="163">ROUND(0,2)</f>
        <v>0</v>
      </c>
      <c r="M335" s="25"/>
      <c r="N335" s="2">
        <f>ROUND(12858.01,2)</f>
        <v>12858.01</v>
      </c>
      <c r="O335" s="2">
        <f t="shared" ref="O335:O348" si="164">ROUND(0,2)</f>
        <v>0</v>
      </c>
      <c r="P335" s="2">
        <f t="shared" si="161"/>
        <v>0</v>
      </c>
      <c r="Q335" s="24">
        <f t="shared" ref="Q335:Q350" si="165">ROUND(0,2)</f>
        <v>0</v>
      </c>
      <c r="R335" s="25"/>
      <c r="S335" s="24">
        <f>ROUND(12858.01,2)</f>
        <v>12858.01</v>
      </c>
      <c r="T335" s="25"/>
      <c r="U335" s="26"/>
    </row>
    <row r="336" spans="1:21">
      <c r="A336" s="22" t="s">
        <v>628</v>
      </c>
      <c r="B336" s="23"/>
      <c r="C336" s="22" t="s">
        <v>629</v>
      </c>
      <c r="D336" s="23"/>
      <c r="E336" s="23"/>
      <c r="F336" s="23"/>
      <c r="G336" s="23"/>
      <c r="H336" s="2">
        <f t="shared" si="158"/>
        <v>0</v>
      </c>
      <c r="I336" s="2">
        <f t="shared" si="162"/>
        <v>0</v>
      </c>
      <c r="J336" s="2">
        <f t="shared" si="162"/>
        <v>0</v>
      </c>
      <c r="K336" s="2">
        <f t="shared" si="160"/>
        <v>0</v>
      </c>
      <c r="L336" s="24">
        <f t="shared" si="163"/>
        <v>0</v>
      </c>
      <c r="M336" s="25"/>
      <c r="N336" s="2">
        <f>ROUND(26818.8,2)</f>
        <v>26818.799999999999</v>
      </c>
      <c r="O336" s="2">
        <f t="shared" si="164"/>
        <v>0</v>
      </c>
      <c r="P336" s="2">
        <f t="shared" si="161"/>
        <v>0</v>
      </c>
      <c r="Q336" s="24">
        <f t="shared" si="165"/>
        <v>0</v>
      </c>
      <c r="R336" s="25"/>
      <c r="S336" s="24">
        <f>ROUND(26818.8,2)</f>
        <v>26818.799999999999</v>
      </c>
      <c r="T336" s="25"/>
      <c r="U336" s="26"/>
    </row>
    <row r="337" spans="1:21">
      <c r="A337" s="22" t="s">
        <v>630</v>
      </c>
      <c r="B337" s="23"/>
      <c r="C337" s="22" t="s">
        <v>631</v>
      </c>
      <c r="D337" s="23"/>
      <c r="E337" s="23"/>
      <c r="F337" s="23"/>
      <c r="G337" s="23"/>
      <c r="H337" s="2">
        <f t="shared" si="158"/>
        <v>0</v>
      </c>
      <c r="I337" s="2">
        <f t="shared" si="162"/>
        <v>0</v>
      </c>
      <c r="J337" s="2">
        <f t="shared" si="162"/>
        <v>0</v>
      </c>
      <c r="K337" s="2">
        <f t="shared" si="160"/>
        <v>0</v>
      </c>
      <c r="L337" s="24">
        <f t="shared" si="163"/>
        <v>0</v>
      </c>
      <c r="M337" s="25"/>
      <c r="N337" s="2">
        <f>ROUND(2100.67,2)</f>
        <v>2100.67</v>
      </c>
      <c r="O337" s="2">
        <f t="shared" si="164"/>
        <v>0</v>
      </c>
      <c r="P337" s="2">
        <f t="shared" si="161"/>
        <v>0</v>
      </c>
      <c r="Q337" s="24">
        <f t="shared" si="165"/>
        <v>0</v>
      </c>
      <c r="R337" s="25"/>
      <c r="S337" s="24">
        <f>ROUND(2100.67,2)</f>
        <v>2100.67</v>
      </c>
      <c r="T337" s="25"/>
      <c r="U337" s="26"/>
    </row>
    <row r="338" spans="1:21">
      <c r="A338" s="22" t="s">
        <v>632</v>
      </c>
      <c r="B338" s="23"/>
      <c r="C338" s="22" t="s">
        <v>633</v>
      </c>
      <c r="D338" s="23"/>
      <c r="E338" s="23"/>
      <c r="F338" s="23"/>
      <c r="G338" s="23"/>
      <c r="H338" s="2">
        <f t="shared" si="158"/>
        <v>0</v>
      </c>
      <c r="I338" s="2">
        <f t="shared" si="162"/>
        <v>0</v>
      </c>
      <c r="J338" s="2">
        <f t="shared" si="162"/>
        <v>0</v>
      </c>
      <c r="K338" s="2">
        <f t="shared" si="160"/>
        <v>0</v>
      </c>
      <c r="L338" s="24">
        <f t="shared" si="163"/>
        <v>0</v>
      </c>
      <c r="M338" s="25"/>
      <c r="N338" s="2">
        <f>ROUND(19554.85,2)</f>
        <v>19554.849999999999</v>
      </c>
      <c r="O338" s="2">
        <f t="shared" si="164"/>
        <v>0</v>
      </c>
      <c r="P338" s="2">
        <f t="shared" si="161"/>
        <v>0</v>
      </c>
      <c r="Q338" s="24">
        <f t="shared" si="165"/>
        <v>0</v>
      </c>
      <c r="R338" s="25"/>
      <c r="S338" s="24">
        <f>ROUND(19554.85,2)</f>
        <v>19554.849999999999</v>
      </c>
      <c r="T338" s="25"/>
      <c r="U338" s="26"/>
    </row>
    <row r="339" spans="1:21">
      <c r="A339" s="22" t="s">
        <v>634</v>
      </c>
      <c r="B339" s="23"/>
      <c r="C339" s="22" t="s">
        <v>635</v>
      </c>
      <c r="D339" s="23"/>
      <c r="E339" s="23"/>
      <c r="F339" s="23"/>
      <c r="G339" s="23"/>
      <c r="H339" s="2">
        <f t="shared" si="158"/>
        <v>0</v>
      </c>
      <c r="I339" s="2">
        <f t="shared" si="162"/>
        <v>0</v>
      </c>
      <c r="J339" s="2">
        <f t="shared" si="162"/>
        <v>0</v>
      </c>
      <c r="K339" s="2">
        <f t="shared" si="160"/>
        <v>0</v>
      </c>
      <c r="L339" s="24">
        <f t="shared" si="163"/>
        <v>0</v>
      </c>
      <c r="M339" s="25"/>
      <c r="N339" s="2">
        <f>ROUND(45935.61,2)</f>
        <v>45935.61</v>
      </c>
      <c r="O339" s="2">
        <f t="shared" si="164"/>
        <v>0</v>
      </c>
      <c r="P339" s="2">
        <f t="shared" si="161"/>
        <v>0</v>
      </c>
      <c r="Q339" s="24">
        <f t="shared" si="165"/>
        <v>0</v>
      </c>
      <c r="R339" s="25"/>
      <c r="S339" s="24">
        <f>ROUND(45935.61,2)</f>
        <v>45935.61</v>
      </c>
      <c r="T339" s="25"/>
      <c r="U339" s="26"/>
    </row>
    <row r="340" spans="1:21">
      <c r="A340" s="22" t="s">
        <v>636</v>
      </c>
      <c r="B340" s="23"/>
      <c r="C340" s="22" t="s">
        <v>637</v>
      </c>
      <c r="D340" s="23"/>
      <c r="E340" s="23"/>
      <c r="F340" s="23"/>
      <c r="G340" s="23"/>
      <c r="H340" s="2">
        <f t="shared" ref="H340:H355" si="166">ROUND(0,2)</f>
        <v>0</v>
      </c>
      <c r="I340" s="2">
        <f t="shared" si="162"/>
        <v>0</v>
      </c>
      <c r="J340" s="2">
        <f t="shared" si="162"/>
        <v>0</v>
      </c>
      <c r="K340" s="2">
        <f t="shared" si="160"/>
        <v>0</v>
      </c>
      <c r="L340" s="24">
        <f t="shared" si="163"/>
        <v>0</v>
      </c>
      <c r="M340" s="25"/>
      <c r="N340" s="2">
        <f>ROUND(322323.03,2)</f>
        <v>322323.03000000003</v>
      </c>
      <c r="O340" s="2">
        <f t="shared" si="164"/>
        <v>0</v>
      </c>
      <c r="P340" s="2">
        <f t="shared" si="161"/>
        <v>0</v>
      </c>
      <c r="Q340" s="24">
        <f t="shared" si="165"/>
        <v>0</v>
      </c>
      <c r="R340" s="25"/>
      <c r="S340" s="24">
        <f>ROUND(322323.03,2)</f>
        <v>322323.03000000003</v>
      </c>
      <c r="T340" s="25"/>
      <c r="U340" s="26"/>
    </row>
    <row r="341" spans="1:21">
      <c r="A341" s="22" t="s">
        <v>638</v>
      </c>
      <c r="B341" s="23"/>
      <c r="C341" s="22" t="s">
        <v>639</v>
      </c>
      <c r="D341" s="23"/>
      <c r="E341" s="23"/>
      <c r="F341" s="23"/>
      <c r="G341" s="23"/>
      <c r="H341" s="2">
        <f t="shared" si="166"/>
        <v>0</v>
      </c>
      <c r="I341" s="2">
        <f t="shared" si="162"/>
        <v>0</v>
      </c>
      <c r="J341" s="2">
        <f t="shared" si="162"/>
        <v>0</v>
      </c>
      <c r="K341" s="2">
        <f t="shared" si="160"/>
        <v>0</v>
      </c>
      <c r="L341" s="24">
        <f t="shared" si="163"/>
        <v>0</v>
      </c>
      <c r="M341" s="25"/>
      <c r="N341" s="2">
        <f>ROUND(7113.62,2)</f>
        <v>7113.62</v>
      </c>
      <c r="O341" s="2">
        <f t="shared" si="164"/>
        <v>0</v>
      </c>
      <c r="P341" s="2">
        <f t="shared" si="161"/>
        <v>0</v>
      </c>
      <c r="Q341" s="24">
        <f t="shared" si="165"/>
        <v>0</v>
      </c>
      <c r="R341" s="25"/>
      <c r="S341" s="24">
        <f>ROUND(7113.62,2)</f>
        <v>7113.62</v>
      </c>
      <c r="T341" s="25"/>
      <c r="U341" s="26"/>
    </row>
    <row r="342" spans="1:21">
      <c r="A342" s="22" t="s">
        <v>640</v>
      </c>
      <c r="B342" s="23"/>
      <c r="C342" s="22" t="s">
        <v>641</v>
      </c>
      <c r="D342" s="23"/>
      <c r="E342" s="23"/>
      <c r="F342" s="23"/>
      <c r="G342" s="23"/>
      <c r="H342" s="2">
        <f t="shared" si="166"/>
        <v>0</v>
      </c>
      <c r="I342" s="2">
        <f t="shared" si="162"/>
        <v>0</v>
      </c>
      <c r="J342" s="2">
        <f t="shared" si="162"/>
        <v>0</v>
      </c>
      <c r="K342" s="2">
        <f t="shared" si="160"/>
        <v>0</v>
      </c>
      <c r="L342" s="24">
        <f t="shared" si="163"/>
        <v>0</v>
      </c>
      <c r="M342" s="25"/>
      <c r="N342" s="2">
        <f>ROUND(123467.16,2)</f>
        <v>123467.16</v>
      </c>
      <c r="O342" s="2">
        <f t="shared" si="164"/>
        <v>0</v>
      </c>
      <c r="P342" s="2">
        <f t="shared" si="161"/>
        <v>0</v>
      </c>
      <c r="Q342" s="24">
        <f t="shared" si="165"/>
        <v>0</v>
      </c>
      <c r="R342" s="25"/>
      <c r="S342" s="24">
        <f>ROUND(123467.16,2)</f>
        <v>123467.16</v>
      </c>
      <c r="T342" s="25"/>
      <c r="U342" s="26"/>
    </row>
    <row r="343" spans="1:21">
      <c r="A343" s="22" t="s">
        <v>642</v>
      </c>
      <c r="B343" s="23"/>
      <c r="C343" s="22" t="s">
        <v>643</v>
      </c>
      <c r="D343" s="23"/>
      <c r="E343" s="23"/>
      <c r="F343" s="23"/>
      <c r="G343" s="23"/>
      <c r="H343" s="2">
        <f t="shared" si="166"/>
        <v>0</v>
      </c>
      <c r="I343" s="2">
        <f t="shared" si="162"/>
        <v>0</v>
      </c>
      <c r="J343" s="2">
        <f t="shared" si="162"/>
        <v>0</v>
      </c>
      <c r="K343" s="2">
        <f t="shared" si="160"/>
        <v>0</v>
      </c>
      <c r="L343" s="24">
        <f t="shared" si="163"/>
        <v>0</v>
      </c>
      <c r="M343" s="25"/>
      <c r="N343" s="2">
        <f>ROUND(7600.41,2)</f>
        <v>7600.41</v>
      </c>
      <c r="O343" s="2">
        <f t="shared" si="164"/>
        <v>0</v>
      </c>
      <c r="P343" s="2">
        <f t="shared" si="161"/>
        <v>0</v>
      </c>
      <c r="Q343" s="24">
        <f t="shared" si="165"/>
        <v>0</v>
      </c>
      <c r="R343" s="25"/>
      <c r="S343" s="24">
        <f>ROUND(7600.41,2)</f>
        <v>7600.41</v>
      </c>
      <c r="T343" s="25"/>
      <c r="U343" s="26"/>
    </row>
    <row r="344" spans="1:21">
      <c r="A344" s="22" t="s">
        <v>644</v>
      </c>
      <c r="B344" s="23"/>
      <c r="C344" s="22" t="s">
        <v>645</v>
      </c>
      <c r="D344" s="23"/>
      <c r="E344" s="23"/>
      <c r="F344" s="23"/>
      <c r="G344" s="23"/>
      <c r="H344" s="2">
        <f t="shared" si="166"/>
        <v>0</v>
      </c>
      <c r="I344" s="2">
        <f t="shared" si="162"/>
        <v>0</v>
      </c>
      <c r="J344" s="2">
        <f t="shared" si="162"/>
        <v>0</v>
      </c>
      <c r="K344" s="2">
        <f t="shared" si="160"/>
        <v>0</v>
      </c>
      <c r="L344" s="24">
        <f t="shared" si="163"/>
        <v>0</v>
      </c>
      <c r="M344" s="25"/>
      <c r="N344" s="2">
        <f>ROUND(3255.05,2)</f>
        <v>3255.05</v>
      </c>
      <c r="O344" s="2">
        <f t="shared" si="164"/>
        <v>0</v>
      </c>
      <c r="P344" s="2">
        <f t="shared" si="161"/>
        <v>0</v>
      </c>
      <c r="Q344" s="24">
        <f t="shared" si="165"/>
        <v>0</v>
      </c>
      <c r="R344" s="25"/>
      <c r="S344" s="24">
        <f>ROUND(3255.05,2)</f>
        <v>3255.05</v>
      </c>
      <c r="T344" s="25"/>
      <c r="U344" s="26"/>
    </row>
    <row r="345" spans="1:21">
      <c r="A345" s="22" t="s">
        <v>646</v>
      </c>
      <c r="B345" s="23"/>
      <c r="C345" s="22" t="s">
        <v>647</v>
      </c>
      <c r="D345" s="23"/>
      <c r="E345" s="23"/>
      <c r="F345" s="23"/>
      <c r="G345" s="23"/>
      <c r="H345" s="2">
        <f t="shared" si="166"/>
        <v>0</v>
      </c>
      <c r="I345" s="2">
        <f t="shared" si="162"/>
        <v>0</v>
      </c>
      <c r="J345" s="2">
        <f t="shared" si="162"/>
        <v>0</v>
      </c>
      <c r="K345" s="2">
        <f t="shared" si="160"/>
        <v>0</v>
      </c>
      <c r="L345" s="24">
        <f t="shared" si="163"/>
        <v>0</v>
      </c>
      <c r="M345" s="25"/>
      <c r="N345" s="2">
        <f>ROUND(7188.53,2)</f>
        <v>7188.53</v>
      </c>
      <c r="O345" s="2">
        <f t="shared" si="164"/>
        <v>0</v>
      </c>
      <c r="P345" s="2">
        <f t="shared" si="161"/>
        <v>0</v>
      </c>
      <c r="Q345" s="24">
        <f t="shared" si="165"/>
        <v>0</v>
      </c>
      <c r="R345" s="25"/>
      <c r="S345" s="24">
        <f>ROUND(7188.53,2)</f>
        <v>7188.53</v>
      </c>
      <c r="T345" s="25"/>
      <c r="U345" s="26"/>
    </row>
    <row r="346" spans="1:21">
      <c r="A346" s="22" t="s">
        <v>648</v>
      </c>
      <c r="B346" s="23"/>
      <c r="C346" s="22" t="s">
        <v>649</v>
      </c>
      <c r="D346" s="23"/>
      <c r="E346" s="23"/>
      <c r="F346" s="23"/>
      <c r="G346" s="23"/>
      <c r="H346" s="2">
        <f t="shared" si="166"/>
        <v>0</v>
      </c>
      <c r="I346" s="2">
        <f t="shared" si="162"/>
        <v>0</v>
      </c>
      <c r="J346" s="2">
        <f t="shared" si="162"/>
        <v>0</v>
      </c>
      <c r="K346" s="2">
        <f t="shared" ref="K346:K361" si="167">ROUND(0,2)</f>
        <v>0</v>
      </c>
      <c r="L346" s="24">
        <f t="shared" si="163"/>
        <v>0</v>
      </c>
      <c r="M346" s="25"/>
      <c r="N346" s="2">
        <f>ROUND(72960.33,2)</f>
        <v>72960.33</v>
      </c>
      <c r="O346" s="2">
        <f t="shared" si="164"/>
        <v>0</v>
      </c>
      <c r="P346" s="2">
        <f t="shared" si="161"/>
        <v>0</v>
      </c>
      <c r="Q346" s="24">
        <f t="shared" si="165"/>
        <v>0</v>
      </c>
      <c r="R346" s="25"/>
      <c r="S346" s="24">
        <f>ROUND(72960.33,2)</f>
        <v>72960.33</v>
      </c>
      <c r="T346" s="25"/>
      <c r="U346" s="26"/>
    </row>
    <row r="347" spans="1:21">
      <c r="A347" s="22" t="s">
        <v>650</v>
      </c>
      <c r="B347" s="23"/>
      <c r="C347" s="22" t="s">
        <v>651</v>
      </c>
      <c r="D347" s="23"/>
      <c r="E347" s="23"/>
      <c r="F347" s="23"/>
      <c r="G347" s="23"/>
      <c r="H347" s="2">
        <f t="shared" si="166"/>
        <v>0</v>
      </c>
      <c r="I347" s="2">
        <f t="shared" si="162"/>
        <v>0</v>
      </c>
      <c r="J347" s="2">
        <f t="shared" si="162"/>
        <v>0</v>
      </c>
      <c r="K347" s="2">
        <f t="shared" si="167"/>
        <v>0</v>
      </c>
      <c r="L347" s="24">
        <f t="shared" si="163"/>
        <v>0</v>
      </c>
      <c r="M347" s="25"/>
      <c r="N347" s="2">
        <f>ROUND(937,2)</f>
        <v>937</v>
      </c>
      <c r="O347" s="2">
        <f t="shared" si="164"/>
        <v>0</v>
      </c>
      <c r="P347" s="2">
        <f t="shared" ref="P347:P362" si="168">ROUND(0,2)</f>
        <v>0</v>
      </c>
      <c r="Q347" s="24">
        <f t="shared" si="165"/>
        <v>0</v>
      </c>
      <c r="R347" s="25"/>
      <c r="S347" s="24">
        <f>ROUND(937,2)</f>
        <v>937</v>
      </c>
      <c r="T347" s="25"/>
      <c r="U347" s="26"/>
    </row>
    <row r="348" spans="1:21">
      <c r="A348" s="22" t="s">
        <v>652</v>
      </c>
      <c r="B348" s="23"/>
      <c r="C348" s="22" t="s">
        <v>653</v>
      </c>
      <c r="D348" s="23"/>
      <c r="E348" s="23"/>
      <c r="F348" s="23"/>
      <c r="G348" s="23"/>
      <c r="H348" s="2">
        <f t="shared" si="166"/>
        <v>0</v>
      </c>
      <c r="I348" s="2">
        <f t="shared" si="162"/>
        <v>0</v>
      </c>
      <c r="J348" s="2">
        <f t="shared" si="162"/>
        <v>0</v>
      </c>
      <c r="K348" s="2">
        <f t="shared" si="167"/>
        <v>0</v>
      </c>
      <c r="L348" s="24">
        <f t="shared" si="163"/>
        <v>0</v>
      </c>
      <c r="M348" s="25"/>
      <c r="N348" s="2">
        <f>ROUND(30931.99,2)</f>
        <v>30931.99</v>
      </c>
      <c r="O348" s="2">
        <f t="shared" si="164"/>
        <v>0</v>
      </c>
      <c r="P348" s="2">
        <f t="shared" si="168"/>
        <v>0</v>
      </c>
      <c r="Q348" s="24">
        <f t="shared" si="165"/>
        <v>0</v>
      </c>
      <c r="R348" s="25"/>
      <c r="S348" s="24">
        <f>ROUND(30931.99,2)</f>
        <v>30931.99</v>
      </c>
      <c r="T348" s="25"/>
      <c r="U348" s="26"/>
    </row>
    <row r="349" spans="1:21">
      <c r="A349" s="22" t="s">
        <v>654</v>
      </c>
      <c r="B349" s="23"/>
      <c r="C349" s="22" t="s">
        <v>655</v>
      </c>
      <c r="D349" s="23"/>
      <c r="E349" s="23"/>
      <c r="F349" s="23"/>
      <c r="G349" s="23"/>
      <c r="H349" s="2">
        <f t="shared" si="166"/>
        <v>0</v>
      </c>
      <c r="I349" s="2">
        <f t="shared" si="162"/>
        <v>0</v>
      </c>
      <c r="J349" s="2">
        <f t="shared" si="162"/>
        <v>0</v>
      </c>
      <c r="K349" s="2">
        <f t="shared" si="167"/>
        <v>0</v>
      </c>
      <c r="L349" s="24">
        <f t="shared" si="163"/>
        <v>0</v>
      </c>
      <c r="M349" s="25"/>
      <c r="N349" s="2">
        <f t="shared" ref="N349:N364" si="169">ROUND(0,2)</f>
        <v>0</v>
      </c>
      <c r="O349" s="2">
        <f>ROUND(47611.94,2)</f>
        <v>47611.94</v>
      </c>
      <c r="P349" s="2">
        <f t="shared" si="168"/>
        <v>0</v>
      </c>
      <c r="Q349" s="24">
        <f t="shared" si="165"/>
        <v>0</v>
      </c>
      <c r="R349" s="25"/>
      <c r="S349" s="24">
        <f>ROUND(47611.94,2)</f>
        <v>47611.94</v>
      </c>
      <c r="T349" s="25"/>
      <c r="U349" s="26"/>
    </row>
    <row r="350" spans="1:21">
      <c r="A350" s="22" t="s">
        <v>656</v>
      </c>
      <c r="B350" s="23"/>
      <c r="C350" s="22" t="s">
        <v>657</v>
      </c>
      <c r="D350" s="23"/>
      <c r="E350" s="23"/>
      <c r="F350" s="23"/>
      <c r="G350" s="23"/>
      <c r="H350" s="2">
        <f t="shared" si="166"/>
        <v>0</v>
      </c>
      <c r="I350" s="2">
        <f t="shared" ref="I350:J365" si="170">ROUND(0,2)</f>
        <v>0</v>
      </c>
      <c r="J350" s="2">
        <f t="shared" si="170"/>
        <v>0</v>
      </c>
      <c r="K350" s="2">
        <f t="shared" si="167"/>
        <v>0</v>
      </c>
      <c r="L350" s="24">
        <f t="shared" si="163"/>
        <v>0</v>
      </c>
      <c r="M350" s="25"/>
      <c r="N350" s="2">
        <f t="shared" si="169"/>
        <v>0</v>
      </c>
      <c r="O350" s="2">
        <f>ROUND(4927.78,2)</f>
        <v>4927.78</v>
      </c>
      <c r="P350" s="2">
        <f t="shared" si="168"/>
        <v>0</v>
      </c>
      <c r="Q350" s="24">
        <f t="shared" si="165"/>
        <v>0</v>
      </c>
      <c r="R350" s="25"/>
      <c r="S350" s="24">
        <f>ROUND(4927.78,2)</f>
        <v>4927.78</v>
      </c>
      <c r="T350" s="25"/>
      <c r="U350" s="26"/>
    </row>
    <row r="351" spans="1:21">
      <c r="A351" s="22" t="s">
        <v>658</v>
      </c>
      <c r="B351" s="23"/>
      <c r="C351" s="22" t="s">
        <v>659</v>
      </c>
      <c r="D351" s="23"/>
      <c r="E351" s="23"/>
      <c r="F351" s="23"/>
      <c r="G351" s="23"/>
      <c r="H351" s="2">
        <f t="shared" si="166"/>
        <v>0</v>
      </c>
      <c r="I351" s="2">
        <f t="shared" si="170"/>
        <v>0</v>
      </c>
      <c r="J351" s="2">
        <f t="shared" si="170"/>
        <v>0</v>
      </c>
      <c r="K351" s="2">
        <f t="shared" si="167"/>
        <v>0</v>
      </c>
      <c r="L351" s="24">
        <f t="shared" ref="L351:L366" si="171">ROUND(0,2)</f>
        <v>0</v>
      </c>
      <c r="M351" s="25"/>
      <c r="N351" s="2">
        <f t="shared" si="169"/>
        <v>0</v>
      </c>
      <c r="O351" s="2">
        <f>ROUND(4359.54,2)</f>
        <v>4359.54</v>
      </c>
      <c r="P351" s="2">
        <f t="shared" si="168"/>
        <v>0</v>
      </c>
      <c r="Q351" s="24">
        <f t="shared" ref="Q351:Q366" si="172">ROUND(0,2)</f>
        <v>0</v>
      </c>
      <c r="R351" s="25"/>
      <c r="S351" s="24">
        <f>ROUND(4359.54,2)</f>
        <v>4359.54</v>
      </c>
      <c r="T351" s="25"/>
      <c r="U351" s="26"/>
    </row>
    <row r="352" spans="1:21">
      <c r="A352" s="22" t="s">
        <v>660</v>
      </c>
      <c r="B352" s="23"/>
      <c r="C352" s="22" t="s">
        <v>661</v>
      </c>
      <c r="D352" s="23"/>
      <c r="E352" s="23"/>
      <c r="F352" s="23"/>
      <c r="G352" s="23"/>
      <c r="H352" s="2">
        <f t="shared" si="166"/>
        <v>0</v>
      </c>
      <c r="I352" s="2">
        <f t="shared" si="170"/>
        <v>0</v>
      </c>
      <c r="J352" s="2">
        <f t="shared" si="170"/>
        <v>0</v>
      </c>
      <c r="K352" s="2">
        <f t="shared" si="167"/>
        <v>0</v>
      </c>
      <c r="L352" s="24">
        <f t="shared" si="171"/>
        <v>0</v>
      </c>
      <c r="M352" s="25"/>
      <c r="N352" s="2">
        <f t="shared" si="169"/>
        <v>0</v>
      </c>
      <c r="O352" s="2">
        <f>ROUND(21109.97,2)</f>
        <v>21109.97</v>
      </c>
      <c r="P352" s="2">
        <f t="shared" si="168"/>
        <v>0</v>
      </c>
      <c r="Q352" s="24">
        <f t="shared" si="172"/>
        <v>0</v>
      </c>
      <c r="R352" s="25"/>
      <c r="S352" s="24">
        <f>ROUND(21109.97,2)</f>
        <v>21109.97</v>
      </c>
      <c r="T352" s="25"/>
      <c r="U352" s="26"/>
    </row>
    <row r="353" spans="1:21">
      <c r="A353" s="22" t="s">
        <v>662</v>
      </c>
      <c r="B353" s="23"/>
      <c r="C353" s="22" t="s">
        <v>663</v>
      </c>
      <c r="D353" s="23"/>
      <c r="E353" s="23"/>
      <c r="F353" s="23"/>
      <c r="G353" s="23"/>
      <c r="H353" s="2">
        <f t="shared" si="166"/>
        <v>0</v>
      </c>
      <c r="I353" s="2">
        <f t="shared" si="170"/>
        <v>0</v>
      </c>
      <c r="J353" s="2">
        <f t="shared" si="170"/>
        <v>0</v>
      </c>
      <c r="K353" s="2">
        <f t="shared" si="167"/>
        <v>0</v>
      </c>
      <c r="L353" s="24">
        <f t="shared" si="171"/>
        <v>0</v>
      </c>
      <c r="M353" s="25"/>
      <c r="N353" s="2">
        <f t="shared" si="169"/>
        <v>0</v>
      </c>
      <c r="O353" s="2">
        <f>ROUND(39971.22,2)</f>
        <v>39971.22</v>
      </c>
      <c r="P353" s="2">
        <f t="shared" si="168"/>
        <v>0</v>
      </c>
      <c r="Q353" s="24">
        <f t="shared" si="172"/>
        <v>0</v>
      </c>
      <c r="R353" s="25"/>
      <c r="S353" s="24">
        <f>ROUND(39971.22,2)</f>
        <v>39971.22</v>
      </c>
      <c r="T353" s="25"/>
      <c r="U353" s="26"/>
    </row>
    <row r="354" spans="1:21">
      <c r="A354" s="22" t="s">
        <v>664</v>
      </c>
      <c r="B354" s="23"/>
      <c r="C354" s="22" t="s">
        <v>665</v>
      </c>
      <c r="D354" s="23"/>
      <c r="E354" s="23"/>
      <c r="F354" s="23"/>
      <c r="G354" s="23"/>
      <c r="H354" s="2">
        <f t="shared" si="166"/>
        <v>0</v>
      </c>
      <c r="I354" s="2">
        <f t="shared" si="170"/>
        <v>0</v>
      </c>
      <c r="J354" s="2">
        <f t="shared" si="170"/>
        <v>0</v>
      </c>
      <c r="K354" s="2">
        <f t="shared" si="167"/>
        <v>0</v>
      </c>
      <c r="L354" s="24">
        <f t="shared" si="171"/>
        <v>0</v>
      </c>
      <c r="M354" s="25"/>
      <c r="N354" s="2">
        <f t="shared" si="169"/>
        <v>0</v>
      </c>
      <c r="O354" s="2">
        <f>ROUND(617370.34,2)</f>
        <v>617370.34</v>
      </c>
      <c r="P354" s="2">
        <f t="shared" si="168"/>
        <v>0</v>
      </c>
      <c r="Q354" s="24">
        <f t="shared" si="172"/>
        <v>0</v>
      </c>
      <c r="R354" s="25"/>
      <c r="S354" s="24">
        <f>ROUND(617370.34,2)</f>
        <v>617370.34</v>
      </c>
      <c r="T354" s="25"/>
      <c r="U354" s="26"/>
    </row>
    <row r="355" spans="1:21">
      <c r="A355" s="22" t="s">
        <v>666</v>
      </c>
      <c r="B355" s="23"/>
      <c r="C355" s="22" t="s">
        <v>667</v>
      </c>
      <c r="D355" s="23"/>
      <c r="E355" s="23"/>
      <c r="F355" s="23"/>
      <c r="G355" s="23"/>
      <c r="H355" s="2">
        <f t="shared" si="166"/>
        <v>0</v>
      </c>
      <c r="I355" s="2">
        <f t="shared" si="170"/>
        <v>0</v>
      </c>
      <c r="J355" s="2">
        <f t="shared" si="170"/>
        <v>0</v>
      </c>
      <c r="K355" s="2">
        <f t="shared" si="167"/>
        <v>0</v>
      </c>
      <c r="L355" s="24">
        <f t="shared" si="171"/>
        <v>0</v>
      </c>
      <c r="M355" s="25"/>
      <c r="N355" s="2">
        <f t="shared" si="169"/>
        <v>0</v>
      </c>
      <c r="O355" s="2">
        <f>ROUND(6573.14,2)</f>
        <v>6573.14</v>
      </c>
      <c r="P355" s="2">
        <f t="shared" si="168"/>
        <v>0</v>
      </c>
      <c r="Q355" s="24">
        <f t="shared" si="172"/>
        <v>0</v>
      </c>
      <c r="R355" s="25"/>
      <c r="S355" s="24">
        <f>ROUND(6573.14,2)</f>
        <v>6573.14</v>
      </c>
      <c r="T355" s="25"/>
      <c r="U355" s="26"/>
    </row>
    <row r="356" spans="1:21">
      <c r="A356" s="22" t="s">
        <v>668</v>
      </c>
      <c r="B356" s="23"/>
      <c r="C356" s="22" t="s">
        <v>669</v>
      </c>
      <c r="D356" s="23"/>
      <c r="E356" s="23"/>
      <c r="F356" s="23"/>
      <c r="G356" s="23"/>
      <c r="H356" s="2">
        <f t="shared" ref="H356:H371" si="173">ROUND(0,2)</f>
        <v>0</v>
      </c>
      <c r="I356" s="2">
        <f t="shared" si="170"/>
        <v>0</v>
      </c>
      <c r="J356" s="2">
        <f t="shared" si="170"/>
        <v>0</v>
      </c>
      <c r="K356" s="2">
        <f t="shared" si="167"/>
        <v>0</v>
      </c>
      <c r="L356" s="24">
        <f t="shared" si="171"/>
        <v>0</v>
      </c>
      <c r="M356" s="25"/>
      <c r="N356" s="2">
        <f t="shared" si="169"/>
        <v>0</v>
      </c>
      <c r="O356" s="2">
        <f>ROUND(185621.09,2)</f>
        <v>185621.09</v>
      </c>
      <c r="P356" s="2">
        <f t="shared" si="168"/>
        <v>0</v>
      </c>
      <c r="Q356" s="24">
        <f t="shared" si="172"/>
        <v>0</v>
      </c>
      <c r="R356" s="25"/>
      <c r="S356" s="24">
        <f>ROUND(185621.09,2)</f>
        <v>185621.09</v>
      </c>
      <c r="T356" s="25"/>
      <c r="U356" s="26"/>
    </row>
    <row r="357" spans="1:21">
      <c r="A357" s="22" t="s">
        <v>670</v>
      </c>
      <c r="B357" s="23"/>
      <c r="C357" s="22" t="s">
        <v>671</v>
      </c>
      <c r="D357" s="23"/>
      <c r="E357" s="23"/>
      <c r="F357" s="23"/>
      <c r="G357" s="23"/>
      <c r="H357" s="2">
        <f t="shared" si="173"/>
        <v>0</v>
      </c>
      <c r="I357" s="2">
        <f t="shared" si="170"/>
        <v>0</v>
      </c>
      <c r="J357" s="2">
        <f t="shared" si="170"/>
        <v>0</v>
      </c>
      <c r="K357" s="2">
        <f t="shared" si="167"/>
        <v>0</v>
      </c>
      <c r="L357" s="24">
        <f t="shared" si="171"/>
        <v>0</v>
      </c>
      <c r="M357" s="25"/>
      <c r="N357" s="2">
        <f t="shared" si="169"/>
        <v>0</v>
      </c>
      <c r="O357" s="2">
        <f>ROUND(20590.74,2)</f>
        <v>20590.740000000002</v>
      </c>
      <c r="P357" s="2">
        <f t="shared" si="168"/>
        <v>0</v>
      </c>
      <c r="Q357" s="24">
        <f t="shared" si="172"/>
        <v>0</v>
      </c>
      <c r="R357" s="25"/>
      <c r="S357" s="24">
        <f>ROUND(20590.74,2)</f>
        <v>20590.740000000002</v>
      </c>
      <c r="T357" s="25"/>
      <c r="U357" s="26"/>
    </row>
    <row r="358" spans="1:21">
      <c r="A358" s="22" t="s">
        <v>672</v>
      </c>
      <c r="B358" s="23"/>
      <c r="C358" s="22" t="s">
        <v>673</v>
      </c>
      <c r="D358" s="23"/>
      <c r="E358" s="23"/>
      <c r="F358" s="23"/>
      <c r="G358" s="23"/>
      <c r="H358" s="2">
        <f t="shared" si="173"/>
        <v>0</v>
      </c>
      <c r="I358" s="2">
        <f t="shared" si="170"/>
        <v>0</v>
      </c>
      <c r="J358" s="2">
        <f t="shared" si="170"/>
        <v>0</v>
      </c>
      <c r="K358" s="2">
        <f t="shared" si="167"/>
        <v>0</v>
      </c>
      <c r="L358" s="24">
        <f t="shared" si="171"/>
        <v>0</v>
      </c>
      <c r="M358" s="25"/>
      <c r="N358" s="2">
        <f t="shared" si="169"/>
        <v>0</v>
      </c>
      <c r="O358" s="2">
        <f>ROUND(8699.6,2)</f>
        <v>8699.6</v>
      </c>
      <c r="P358" s="2">
        <f t="shared" si="168"/>
        <v>0</v>
      </c>
      <c r="Q358" s="24">
        <f t="shared" si="172"/>
        <v>0</v>
      </c>
      <c r="R358" s="25"/>
      <c r="S358" s="24">
        <f>ROUND(8699.6,2)</f>
        <v>8699.6</v>
      </c>
      <c r="T358" s="25"/>
      <c r="U358" s="26"/>
    </row>
    <row r="359" spans="1:21">
      <c r="A359" s="22" t="s">
        <v>674</v>
      </c>
      <c r="B359" s="23"/>
      <c r="C359" s="22" t="s">
        <v>675</v>
      </c>
      <c r="D359" s="23"/>
      <c r="E359" s="23"/>
      <c r="F359" s="23"/>
      <c r="G359" s="23"/>
      <c r="H359" s="2">
        <f t="shared" si="173"/>
        <v>0</v>
      </c>
      <c r="I359" s="2">
        <f t="shared" si="170"/>
        <v>0</v>
      </c>
      <c r="J359" s="2">
        <f t="shared" si="170"/>
        <v>0</v>
      </c>
      <c r="K359" s="2">
        <f t="shared" si="167"/>
        <v>0</v>
      </c>
      <c r="L359" s="24">
        <f t="shared" si="171"/>
        <v>0</v>
      </c>
      <c r="M359" s="25"/>
      <c r="N359" s="2">
        <f t="shared" si="169"/>
        <v>0</v>
      </c>
      <c r="O359" s="2">
        <f>ROUND(19212.39,2)</f>
        <v>19212.39</v>
      </c>
      <c r="P359" s="2">
        <f t="shared" si="168"/>
        <v>0</v>
      </c>
      <c r="Q359" s="24">
        <f t="shared" si="172"/>
        <v>0</v>
      </c>
      <c r="R359" s="25"/>
      <c r="S359" s="24">
        <f>ROUND(19212.39,2)</f>
        <v>19212.39</v>
      </c>
      <c r="T359" s="25"/>
      <c r="U359" s="26"/>
    </row>
    <row r="360" spans="1:21">
      <c r="A360" s="22" t="s">
        <v>676</v>
      </c>
      <c r="B360" s="23"/>
      <c r="C360" s="22" t="s">
        <v>677</v>
      </c>
      <c r="D360" s="23"/>
      <c r="E360" s="23"/>
      <c r="F360" s="23"/>
      <c r="G360" s="23"/>
      <c r="H360" s="2">
        <f t="shared" si="173"/>
        <v>0</v>
      </c>
      <c r="I360" s="2">
        <f t="shared" si="170"/>
        <v>0</v>
      </c>
      <c r="J360" s="2">
        <f t="shared" si="170"/>
        <v>0</v>
      </c>
      <c r="K360" s="2">
        <f t="shared" si="167"/>
        <v>0</v>
      </c>
      <c r="L360" s="24">
        <f t="shared" si="171"/>
        <v>0</v>
      </c>
      <c r="M360" s="25"/>
      <c r="N360" s="2">
        <f t="shared" si="169"/>
        <v>0</v>
      </c>
      <c r="O360" s="2">
        <f>ROUND(2558.28,2)</f>
        <v>2558.2800000000002</v>
      </c>
      <c r="P360" s="2">
        <f t="shared" si="168"/>
        <v>0</v>
      </c>
      <c r="Q360" s="24">
        <f t="shared" si="172"/>
        <v>0</v>
      </c>
      <c r="R360" s="25"/>
      <c r="S360" s="24">
        <f>ROUND(2558.28,2)</f>
        <v>2558.2800000000002</v>
      </c>
      <c r="T360" s="25"/>
      <c r="U360" s="26"/>
    </row>
    <row r="361" spans="1:21">
      <c r="A361" s="22" t="s">
        <v>678</v>
      </c>
      <c r="B361" s="23"/>
      <c r="C361" s="22" t="s">
        <v>679</v>
      </c>
      <c r="D361" s="23"/>
      <c r="E361" s="23"/>
      <c r="F361" s="23"/>
      <c r="G361" s="23"/>
      <c r="H361" s="2">
        <f t="shared" si="173"/>
        <v>0</v>
      </c>
      <c r="I361" s="2">
        <f t="shared" si="170"/>
        <v>0</v>
      </c>
      <c r="J361" s="2">
        <f t="shared" si="170"/>
        <v>0</v>
      </c>
      <c r="K361" s="2">
        <f t="shared" si="167"/>
        <v>0</v>
      </c>
      <c r="L361" s="24">
        <f t="shared" si="171"/>
        <v>0</v>
      </c>
      <c r="M361" s="25"/>
      <c r="N361" s="2">
        <f t="shared" si="169"/>
        <v>0</v>
      </c>
      <c r="O361" s="2">
        <f>ROUND(16138.99,2)</f>
        <v>16138.99</v>
      </c>
      <c r="P361" s="2">
        <f t="shared" si="168"/>
        <v>0</v>
      </c>
      <c r="Q361" s="24">
        <f t="shared" si="172"/>
        <v>0</v>
      </c>
      <c r="R361" s="25"/>
      <c r="S361" s="24">
        <f>ROUND(16138.99,2)</f>
        <v>16138.99</v>
      </c>
      <c r="T361" s="25"/>
      <c r="U361" s="26"/>
    </row>
    <row r="362" spans="1:21">
      <c r="A362" s="22" t="s">
        <v>680</v>
      </c>
      <c r="B362" s="23"/>
      <c r="C362" s="22" t="s">
        <v>681</v>
      </c>
      <c r="D362" s="23"/>
      <c r="E362" s="23"/>
      <c r="F362" s="23"/>
      <c r="G362" s="23"/>
      <c r="H362" s="2">
        <f t="shared" si="173"/>
        <v>0</v>
      </c>
      <c r="I362" s="2">
        <f t="shared" si="170"/>
        <v>0</v>
      </c>
      <c r="J362" s="2">
        <f t="shared" si="170"/>
        <v>0</v>
      </c>
      <c r="K362" s="2">
        <f>ROUND(4231.8,2)</f>
        <v>4231.8</v>
      </c>
      <c r="L362" s="24">
        <f t="shared" si="171"/>
        <v>0</v>
      </c>
      <c r="M362" s="25"/>
      <c r="N362" s="2">
        <f t="shared" si="169"/>
        <v>0</v>
      </c>
      <c r="O362" s="2">
        <f>ROUND(155796.35,2)</f>
        <v>155796.35</v>
      </c>
      <c r="P362" s="2">
        <f t="shared" si="168"/>
        <v>0</v>
      </c>
      <c r="Q362" s="24">
        <f t="shared" si="172"/>
        <v>0</v>
      </c>
      <c r="R362" s="25"/>
      <c r="S362" s="24">
        <f>ROUND(160028.15,2)</f>
        <v>160028.15</v>
      </c>
      <c r="T362" s="25"/>
      <c r="U362" s="26"/>
    </row>
    <row r="363" spans="1:21">
      <c r="A363" s="22" t="s">
        <v>682</v>
      </c>
      <c r="B363" s="23"/>
      <c r="C363" s="22" t="s">
        <v>683</v>
      </c>
      <c r="D363" s="23"/>
      <c r="E363" s="23"/>
      <c r="F363" s="23"/>
      <c r="G363" s="23"/>
      <c r="H363" s="2">
        <f t="shared" si="173"/>
        <v>0</v>
      </c>
      <c r="I363" s="2">
        <f t="shared" si="170"/>
        <v>0</v>
      </c>
      <c r="J363" s="2">
        <f t="shared" si="170"/>
        <v>0</v>
      </c>
      <c r="K363" s="2">
        <f>ROUND(0,2)</f>
        <v>0</v>
      </c>
      <c r="L363" s="24">
        <f t="shared" si="171"/>
        <v>0</v>
      </c>
      <c r="M363" s="25"/>
      <c r="N363" s="2">
        <f t="shared" si="169"/>
        <v>0</v>
      </c>
      <c r="O363" s="2">
        <f>ROUND(50938.65,2)</f>
        <v>50938.65</v>
      </c>
      <c r="P363" s="2">
        <f t="shared" ref="P363:P378" si="174">ROUND(0,2)</f>
        <v>0</v>
      </c>
      <c r="Q363" s="24">
        <f t="shared" si="172"/>
        <v>0</v>
      </c>
      <c r="R363" s="25"/>
      <c r="S363" s="24">
        <f>ROUND(50938.65,2)</f>
        <v>50938.65</v>
      </c>
      <c r="T363" s="25"/>
      <c r="U363" s="26"/>
    </row>
    <row r="364" spans="1:21">
      <c r="A364" s="22" t="s">
        <v>684</v>
      </c>
      <c r="B364" s="23"/>
      <c r="C364" s="22" t="s">
        <v>685</v>
      </c>
      <c r="D364" s="23"/>
      <c r="E364" s="23"/>
      <c r="F364" s="23"/>
      <c r="G364" s="23"/>
      <c r="H364" s="2">
        <f t="shared" si="173"/>
        <v>0</v>
      </c>
      <c r="I364" s="2">
        <f t="shared" si="170"/>
        <v>0</v>
      </c>
      <c r="J364" s="2">
        <f t="shared" si="170"/>
        <v>0</v>
      </c>
      <c r="K364" s="2">
        <f>ROUND(3166.23,2)</f>
        <v>3166.23</v>
      </c>
      <c r="L364" s="24">
        <f t="shared" si="171"/>
        <v>0</v>
      </c>
      <c r="M364" s="25"/>
      <c r="N364" s="2">
        <f t="shared" si="169"/>
        <v>0</v>
      </c>
      <c r="O364" s="2">
        <f>ROUND(16135.91,2)</f>
        <v>16135.91</v>
      </c>
      <c r="P364" s="2">
        <f t="shared" si="174"/>
        <v>0</v>
      </c>
      <c r="Q364" s="24">
        <f t="shared" si="172"/>
        <v>0</v>
      </c>
      <c r="R364" s="25"/>
      <c r="S364" s="24">
        <f>ROUND(19302.14,2)</f>
        <v>19302.14</v>
      </c>
      <c r="T364" s="25"/>
      <c r="U364" s="26"/>
    </row>
    <row r="365" spans="1:21">
      <c r="A365" s="22" t="s">
        <v>686</v>
      </c>
      <c r="B365" s="23"/>
      <c r="C365" s="22" t="s">
        <v>687</v>
      </c>
      <c r="D365" s="23"/>
      <c r="E365" s="23"/>
      <c r="F365" s="23"/>
      <c r="G365" s="23"/>
      <c r="H365" s="2">
        <f t="shared" si="173"/>
        <v>0</v>
      </c>
      <c r="I365" s="2">
        <f t="shared" si="170"/>
        <v>0</v>
      </c>
      <c r="J365" s="2">
        <f t="shared" si="170"/>
        <v>0</v>
      </c>
      <c r="K365" s="2">
        <f>ROUND(0,2)</f>
        <v>0</v>
      </c>
      <c r="L365" s="24">
        <f t="shared" si="171"/>
        <v>0</v>
      </c>
      <c r="M365" s="25"/>
      <c r="N365" s="2">
        <f t="shared" ref="N365:N380" si="175">ROUND(0,2)</f>
        <v>0</v>
      </c>
      <c r="O365" s="2">
        <f>ROUND(4927.78,2)</f>
        <v>4927.78</v>
      </c>
      <c r="P365" s="2">
        <f t="shared" si="174"/>
        <v>0</v>
      </c>
      <c r="Q365" s="24">
        <f t="shared" si="172"/>
        <v>0</v>
      </c>
      <c r="R365" s="25"/>
      <c r="S365" s="24">
        <f>ROUND(4927.78,2)</f>
        <v>4927.78</v>
      </c>
      <c r="T365" s="25"/>
      <c r="U365" s="26"/>
    </row>
    <row r="366" spans="1:21">
      <c r="A366" s="22" t="s">
        <v>688</v>
      </c>
      <c r="B366" s="23"/>
      <c r="C366" s="22" t="s">
        <v>689</v>
      </c>
      <c r="D366" s="23"/>
      <c r="E366" s="23"/>
      <c r="F366" s="23"/>
      <c r="G366" s="23"/>
      <c r="H366" s="2">
        <f t="shared" si="173"/>
        <v>0</v>
      </c>
      <c r="I366" s="2">
        <f t="shared" ref="I366:K369" si="176">ROUND(0,2)</f>
        <v>0</v>
      </c>
      <c r="J366" s="2">
        <f t="shared" si="176"/>
        <v>0</v>
      </c>
      <c r="K366" s="2">
        <f t="shared" si="176"/>
        <v>0</v>
      </c>
      <c r="L366" s="24">
        <f t="shared" si="171"/>
        <v>0</v>
      </c>
      <c r="M366" s="25"/>
      <c r="N366" s="2">
        <f t="shared" si="175"/>
        <v>0</v>
      </c>
      <c r="O366" s="2">
        <f>ROUND(920.36,2)</f>
        <v>920.36</v>
      </c>
      <c r="P366" s="2">
        <f t="shared" si="174"/>
        <v>0</v>
      </c>
      <c r="Q366" s="24">
        <f t="shared" si="172"/>
        <v>0</v>
      </c>
      <c r="R366" s="25"/>
      <c r="S366" s="24">
        <f>ROUND(920.36,2)</f>
        <v>920.36</v>
      </c>
      <c r="T366" s="25"/>
      <c r="U366" s="26"/>
    </row>
    <row r="367" spans="1:21">
      <c r="A367" s="22" t="s">
        <v>690</v>
      </c>
      <c r="B367" s="23"/>
      <c r="C367" s="22" t="s">
        <v>691</v>
      </c>
      <c r="D367" s="23"/>
      <c r="E367" s="23"/>
      <c r="F367" s="23"/>
      <c r="G367" s="23"/>
      <c r="H367" s="2">
        <f t="shared" si="173"/>
        <v>0</v>
      </c>
      <c r="I367" s="2">
        <f t="shared" si="176"/>
        <v>0</v>
      </c>
      <c r="J367" s="2">
        <f t="shared" si="176"/>
        <v>0</v>
      </c>
      <c r="K367" s="2">
        <f t="shared" si="176"/>
        <v>0</v>
      </c>
      <c r="L367" s="24">
        <f t="shared" ref="L367:L382" si="177">ROUND(0,2)</f>
        <v>0</v>
      </c>
      <c r="M367" s="25"/>
      <c r="N367" s="2">
        <f t="shared" si="175"/>
        <v>0</v>
      </c>
      <c r="O367" s="2">
        <f>ROUND(9925.05,2)</f>
        <v>9925.0499999999993</v>
      </c>
      <c r="P367" s="2">
        <f t="shared" si="174"/>
        <v>0</v>
      </c>
      <c r="Q367" s="24">
        <f t="shared" ref="Q367:Q382" si="178">ROUND(0,2)</f>
        <v>0</v>
      </c>
      <c r="R367" s="25"/>
      <c r="S367" s="24">
        <f>ROUND(9925.05,2)</f>
        <v>9925.0499999999993</v>
      </c>
      <c r="T367" s="25"/>
      <c r="U367" s="26"/>
    </row>
    <row r="368" spans="1:21">
      <c r="A368" s="22" t="s">
        <v>692</v>
      </c>
      <c r="B368" s="23"/>
      <c r="C368" s="22" t="s">
        <v>693</v>
      </c>
      <c r="D368" s="23"/>
      <c r="E368" s="23"/>
      <c r="F368" s="23"/>
      <c r="G368" s="23"/>
      <c r="H368" s="2">
        <f t="shared" si="173"/>
        <v>0</v>
      </c>
      <c r="I368" s="2">
        <f t="shared" si="176"/>
        <v>0</v>
      </c>
      <c r="J368" s="2">
        <f t="shared" si="176"/>
        <v>0</v>
      </c>
      <c r="K368" s="2">
        <f t="shared" si="176"/>
        <v>0</v>
      </c>
      <c r="L368" s="24">
        <f t="shared" si="177"/>
        <v>0</v>
      </c>
      <c r="M368" s="25"/>
      <c r="N368" s="2">
        <f t="shared" si="175"/>
        <v>0</v>
      </c>
      <c r="O368" s="2">
        <f>ROUND(21162.98,2)</f>
        <v>21162.98</v>
      </c>
      <c r="P368" s="2">
        <f t="shared" si="174"/>
        <v>0</v>
      </c>
      <c r="Q368" s="24">
        <f t="shared" si="178"/>
        <v>0</v>
      </c>
      <c r="R368" s="25"/>
      <c r="S368" s="24">
        <f>ROUND(21162.98,2)</f>
        <v>21162.98</v>
      </c>
      <c r="T368" s="25"/>
      <c r="U368" s="26"/>
    </row>
    <row r="369" spans="1:21">
      <c r="A369" s="22" t="s">
        <v>694</v>
      </c>
      <c r="B369" s="23"/>
      <c r="C369" s="22" t="s">
        <v>695</v>
      </c>
      <c r="D369" s="23"/>
      <c r="E369" s="23"/>
      <c r="F369" s="23"/>
      <c r="G369" s="23"/>
      <c r="H369" s="2">
        <f t="shared" si="173"/>
        <v>0</v>
      </c>
      <c r="I369" s="2">
        <f t="shared" si="176"/>
        <v>0</v>
      </c>
      <c r="J369" s="2">
        <f t="shared" si="176"/>
        <v>0</v>
      </c>
      <c r="K369" s="2">
        <f t="shared" si="176"/>
        <v>0</v>
      </c>
      <c r="L369" s="24">
        <f t="shared" si="177"/>
        <v>0</v>
      </c>
      <c r="M369" s="25"/>
      <c r="N369" s="2">
        <f t="shared" si="175"/>
        <v>0</v>
      </c>
      <c r="O369" s="2">
        <f>ROUND(3149.43,2)</f>
        <v>3149.43</v>
      </c>
      <c r="P369" s="2">
        <f t="shared" si="174"/>
        <v>0</v>
      </c>
      <c r="Q369" s="24">
        <f t="shared" si="178"/>
        <v>0</v>
      </c>
      <c r="R369" s="25"/>
      <c r="S369" s="24">
        <f>ROUND(3149.43,2)</f>
        <v>3149.43</v>
      </c>
      <c r="T369" s="25"/>
      <c r="U369" s="26"/>
    </row>
    <row r="370" spans="1:21">
      <c r="A370" s="22" t="s">
        <v>696</v>
      </c>
      <c r="B370" s="23"/>
      <c r="C370" s="22" t="s">
        <v>697</v>
      </c>
      <c r="D370" s="23"/>
      <c r="E370" s="23"/>
      <c r="F370" s="23"/>
      <c r="G370" s="23"/>
      <c r="H370" s="2">
        <f t="shared" si="173"/>
        <v>0</v>
      </c>
      <c r="I370" s="2">
        <f t="shared" ref="I370:J385" si="179">ROUND(0,2)</f>
        <v>0</v>
      </c>
      <c r="J370" s="2">
        <f t="shared" si="179"/>
        <v>0</v>
      </c>
      <c r="K370" s="2">
        <f>ROUND(2553.34,2)</f>
        <v>2553.34</v>
      </c>
      <c r="L370" s="24">
        <f t="shared" si="177"/>
        <v>0</v>
      </c>
      <c r="M370" s="25"/>
      <c r="N370" s="2">
        <f t="shared" si="175"/>
        <v>0</v>
      </c>
      <c r="O370" s="2">
        <f>ROUND(16320.09,2)</f>
        <v>16320.09</v>
      </c>
      <c r="P370" s="2">
        <f t="shared" si="174"/>
        <v>0</v>
      </c>
      <c r="Q370" s="24">
        <f t="shared" si="178"/>
        <v>0</v>
      </c>
      <c r="R370" s="25"/>
      <c r="S370" s="24">
        <f>ROUND(18873.43,2)</f>
        <v>18873.43</v>
      </c>
      <c r="T370" s="25"/>
      <c r="U370" s="26"/>
    </row>
    <row r="371" spans="1:21">
      <c r="A371" s="22" t="s">
        <v>698</v>
      </c>
      <c r="B371" s="23"/>
      <c r="C371" s="22" t="s">
        <v>699</v>
      </c>
      <c r="D371" s="23"/>
      <c r="E371" s="23"/>
      <c r="F371" s="23"/>
      <c r="G371" s="23"/>
      <c r="H371" s="2">
        <f t="shared" si="173"/>
        <v>0</v>
      </c>
      <c r="I371" s="2">
        <f t="shared" si="179"/>
        <v>0</v>
      </c>
      <c r="J371" s="2">
        <f t="shared" si="179"/>
        <v>0</v>
      </c>
      <c r="K371" s="2">
        <f>ROUND(8166.82,2)</f>
        <v>8166.82</v>
      </c>
      <c r="L371" s="24">
        <f t="shared" si="177"/>
        <v>0</v>
      </c>
      <c r="M371" s="25"/>
      <c r="N371" s="2">
        <f t="shared" si="175"/>
        <v>0</v>
      </c>
      <c r="O371" s="2">
        <f>ROUND(242.48,2)</f>
        <v>242.48</v>
      </c>
      <c r="P371" s="2">
        <f t="shared" si="174"/>
        <v>0</v>
      </c>
      <c r="Q371" s="24">
        <f t="shared" si="178"/>
        <v>0</v>
      </c>
      <c r="R371" s="25"/>
      <c r="S371" s="24">
        <f>ROUND(8409.3,2)</f>
        <v>8409.2999999999993</v>
      </c>
      <c r="T371" s="25"/>
      <c r="U371" s="26"/>
    </row>
    <row r="372" spans="1:21">
      <c r="A372" s="22" t="s">
        <v>700</v>
      </c>
      <c r="B372" s="23"/>
      <c r="C372" s="22" t="s">
        <v>701</v>
      </c>
      <c r="D372" s="23"/>
      <c r="E372" s="23"/>
      <c r="F372" s="23"/>
      <c r="G372" s="23"/>
      <c r="H372" s="2">
        <f t="shared" ref="H372:H387" si="180">ROUND(0,2)</f>
        <v>0</v>
      </c>
      <c r="I372" s="2">
        <f t="shared" si="179"/>
        <v>0</v>
      </c>
      <c r="J372" s="2">
        <f t="shared" si="179"/>
        <v>0</v>
      </c>
      <c r="K372" s="2">
        <f>ROUND(0,2)</f>
        <v>0</v>
      </c>
      <c r="L372" s="24">
        <f t="shared" si="177"/>
        <v>0</v>
      </c>
      <c r="M372" s="25"/>
      <c r="N372" s="2">
        <f t="shared" si="175"/>
        <v>0</v>
      </c>
      <c r="O372" s="2">
        <f>ROUND(3601.48,2)</f>
        <v>3601.48</v>
      </c>
      <c r="P372" s="2">
        <f t="shared" si="174"/>
        <v>0</v>
      </c>
      <c r="Q372" s="24">
        <f t="shared" si="178"/>
        <v>0</v>
      </c>
      <c r="R372" s="25"/>
      <c r="S372" s="24">
        <f>ROUND(3601.48,2)</f>
        <v>3601.48</v>
      </c>
      <c r="T372" s="25"/>
      <c r="U372" s="26"/>
    </row>
    <row r="373" spans="1:21">
      <c r="A373" s="22" t="s">
        <v>702</v>
      </c>
      <c r="B373" s="23"/>
      <c r="C373" s="22" t="s">
        <v>703</v>
      </c>
      <c r="D373" s="23"/>
      <c r="E373" s="23"/>
      <c r="F373" s="23"/>
      <c r="G373" s="23"/>
      <c r="H373" s="2">
        <f t="shared" si="180"/>
        <v>0</v>
      </c>
      <c r="I373" s="2">
        <f t="shared" si="179"/>
        <v>0</v>
      </c>
      <c r="J373" s="2">
        <f t="shared" si="179"/>
        <v>0</v>
      </c>
      <c r="K373" s="2">
        <f>ROUND(0,2)</f>
        <v>0</v>
      </c>
      <c r="L373" s="24">
        <f t="shared" si="177"/>
        <v>0</v>
      </c>
      <c r="M373" s="25"/>
      <c r="N373" s="2">
        <f t="shared" si="175"/>
        <v>0</v>
      </c>
      <c r="O373" s="2">
        <f>ROUND(7953.58,2)</f>
        <v>7953.58</v>
      </c>
      <c r="P373" s="2">
        <f t="shared" si="174"/>
        <v>0</v>
      </c>
      <c r="Q373" s="24">
        <f t="shared" si="178"/>
        <v>0</v>
      </c>
      <c r="R373" s="25"/>
      <c r="S373" s="24">
        <f>ROUND(7953.58,2)</f>
        <v>7953.58</v>
      </c>
      <c r="T373" s="25"/>
      <c r="U373" s="26"/>
    </row>
    <row r="374" spans="1:21">
      <c r="A374" s="22" t="s">
        <v>704</v>
      </c>
      <c r="B374" s="23"/>
      <c r="C374" s="22" t="s">
        <v>705</v>
      </c>
      <c r="D374" s="23"/>
      <c r="E374" s="23"/>
      <c r="F374" s="23"/>
      <c r="G374" s="23"/>
      <c r="H374" s="2">
        <f t="shared" si="180"/>
        <v>0</v>
      </c>
      <c r="I374" s="2">
        <f t="shared" si="179"/>
        <v>0</v>
      </c>
      <c r="J374" s="2">
        <f t="shared" si="179"/>
        <v>0</v>
      </c>
      <c r="K374" s="2">
        <f>ROUND(0,2)</f>
        <v>0</v>
      </c>
      <c r="L374" s="24">
        <f t="shared" si="177"/>
        <v>0</v>
      </c>
      <c r="M374" s="25"/>
      <c r="N374" s="2">
        <f t="shared" si="175"/>
        <v>0</v>
      </c>
      <c r="O374" s="2">
        <f>ROUND(54827.82,2)</f>
        <v>54827.82</v>
      </c>
      <c r="P374" s="2">
        <f t="shared" si="174"/>
        <v>0</v>
      </c>
      <c r="Q374" s="24">
        <f t="shared" si="178"/>
        <v>0</v>
      </c>
      <c r="R374" s="25"/>
      <c r="S374" s="24">
        <f>ROUND(54827.82,2)</f>
        <v>54827.82</v>
      </c>
      <c r="T374" s="25"/>
      <c r="U374" s="26"/>
    </row>
    <row r="375" spans="1:21">
      <c r="A375" s="22" t="s">
        <v>706</v>
      </c>
      <c r="B375" s="23"/>
      <c r="C375" s="22" t="s">
        <v>707</v>
      </c>
      <c r="D375" s="23"/>
      <c r="E375" s="23"/>
      <c r="F375" s="23"/>
      <c r="G375" s="23"/>
      <c r="H375" s="2">
        <f t="shared" si="180"/>
        <v>0</v>
      </c>
      <c r="I375" s="2">
        <f t="shared" si="179"/>
        <v>0</v>
      </c>
      <c r="J375" s="2">
        <f t="shared" si="179"/>
        <v>0</v>
      </c>
      <c r="K375" s="2">
        <f>ROUND(0,2)</f>
        <v>0</v>
      </c>
      <c r="L375" s="24">
        <f t="shared" si="177"/>
        <v>0</v>
      </c>
      <c r="M375" s="25"/>
      <c r="N375" s="2">
        <f t="shared" si="175"/>
        <v>0</v>
      </c>
      <c r="O375" s="2">
        <f>ROUND(1059.08,2)</f>
        <v>1059.08</v>
      </c>
      <c r="P375" s="2">
        <f t="shared" si="174"/>
        <v>0</v>
      </c>
      <c r="Q375" s="24">
        <f t="shared" si="178"/>
        <v>0</v>
      </c>
      <c r="R375" s="25"/>
      <c r="S375" s="24">
        <f>ROUND(1059.08,2)</f>
        <v>1059.08</v>
      </c>
      <c r="T375" s="25"/>
      <c r="U375" s="26"/>
    </row>
    <row r="376" spans="1:21">
      <c r="A376" s="22" t="s">
        <v>708</v>
      </c>
      <c r="B376" s="23"/>
      <c r="C376" s="22" t="s">
        <v>709</v>
      </c>
      <c r="D376" s="23"/>
      <c r="E376" s="23"/>
      <c r="F376" s="23"/>
      <c r="G376" s="23"/>
      <c r="H376" s="2">
        <f t="shared" si="180"/>
        <v>0</v>
      </c>
      <c r="I376" s="2">
        <f t="shared" si="179"/>
        <v>0</v>
      </c>
      <c r="J376" s="2">
        <f t="shared" si="179"/>
        <v>0</v>
      </c>
      <c r="K376" s="2">
        <f>ROUND(2722.27,2)</f>
        <v>2722.27</v>
      </c>
      <c r="L376" s="24">
        <f t="shared" si="177"/>
        <v>0</v>
      </c>
      <c r="M376" s="25"/>
      <c r="N376" s="2">
        <f t="shared" si="175"/>
        <v>0</v>
      </c>
      <c r="O376" s="2">
        <f>ROUND(21773.58,2)</f>
        <v>21773.58</v>
      </c>
      <c r="P376" s="2">
        <f t="shared" si="174"/>
        <v>0</v>
      </c>
      <c r="Q376" s="24">
        <f t="shared" si="178"/>
        <v>0</v>
      </c>
      <c r="R376" s="25"/>
      <c r="S376" s="24">
        <f>ROUND(24495.85,2)</f>
        <v>24495.85</v>
      </c>
      <c r="T376" s="25"/>
      <c r="U376" s="26"/>
    </row>
    <row r="377" spans="1:21">
      <c r="A377" s="22" t="s">
        <v>710</v>
      </c>
      <c r="B377" s="23"/>
      <c r="C377" s="22" t="s">
        <v>711</v>
      </c>
      <c r="D377" s="23"/>
      <c r="E377" s="23"/>
      <c r="F377" s="23"/>
      <c r="G377" s="23"/>
      <c r="H377" s="2">
        <f t="shared" si="180"/>
        <v>0</v>
      </c>
      <c r="I377" s="2">
        <f t="shared" si="179"/>
        <v>0</v>
      </c>
      <c r="J377" s="2">
        <f t="shared" si="179"/>
        <v>0</v>
      </c>
      <c r="K377" s="2">
        <f t="shared" ref="K377:K384" si="181">ROUND(0,2)</f>
        <v>0</v>
      </c>
      <c r="L377" s="24">
        <f t="shared" si="177"/>
        <v>0</v>
      </c>
      <c r="M377" s="25"/>
      <c r="N377" s="2">
        <f t="shared" si="175"/>
        <v>0</v>
      </c>
      <c r="O377" s="2">
        <f>ROUND(2893.8,2)</f>
        <v>2893.8</v>
      </c>
      <c r="P377" s="2">
        <f t="shared" si="174"/>
        <v>0</v>
      </c>
      <c r="Q377" s="24">
        <f t="shared" si="178"/>
        <v>0</v>
      </c>
      <c r="R377" s="25"/>
      <c r="S377" s="24">
        <f>ROUND(2893.8,2)</f>
        <v>2893.8</v>
      </c>
      <c r="T377" s="25"/>
      <c r="U377" s="26"/>
    </row>
    <row r="378" spans="1:21">
      <c r="A378" s="22" t="s">
        <v>712</v>
      </c>
      <c r="B378" s="23"/>
      <c r="C378" s="22" t="s">
        <v>713</v>
      </c>
      <c r="D378" s="23"/>
      <c r="E378" s="23"/>
      <c r="F378" s="23"/>
      <c r="G378" s="23"/>
      <c r="H378" s="2">
        <f t="shared" si="180"/>
        <v>0</v>
      </c>
      <c r="I378" s="2">
        <f t="shared" si="179"/>
        <v>0</v>
      </c>
      <c r="J378" s="2">
        <f t="shared" si="179"/>
        <v>0</v>
      </c>
      <c r="K378" s="2">
        <f t="shared" si="181"/>
        <v>0</v>
      </c>
      <c r="L378" s="24">
        <f t="shared" si="177"/>
        <v>0</v>
      </c>
      <c r="M378" s="25"/>
      <c r="N378" s="2">
        <f t="shared" si="175"/>
        <v>0</v>
      </c>
      <c r="O378" s="2">
        <f>ROUND(32418.75,2)</f>
        <v>32418.75</v>
      </c>
      <c r="P378" s="2">
        <f t="shared" si="174"/>
        <v>0</v>
      </c>
      <c r="Q378" s="24">
        <f t="shared" si="178"/>
        <v>0</v>
      </c>
      <c r="R378" s="25"/>
      <c r="S378" s="24">
        <f>ROUND(32418.75,2)</f>
        <v>32418.75</v>
      </c>
      <c r="T378" s="25"/>
      <c r="U378" s="26"/>
    </row>
    <row r="379" spans="1:21">
      <c r="A379" s="22" t="s">
        <v>714</v>
      </c>
      <c r="B379" s="23"/>
      <c r="C379" s="22" t="s">
        <v>715</v>
      </c>
      <c r="D379" s="23"/>
      <c r="E379" s="23"/>
      <c r="F379" s="23"/>
      <c r="G379" s="23"/>
      <c r="H379" s="2">
        <f t="shared" si="180"/>
        <v>0</v>
      </c>
      <c r="I379" s="2">
        <f t="shared" si="179"/>
        <v>0</v>
      </c>
      <c r="J379" s="2">
        <f t="shared" si="179"/>
        <v>0</v>
      </c>
      <c r="K379" s="2">
        <f t="shared" si="181"/>
        <v>0</v>
      </c>
      <c r="L379" s="24">
        <f t="shared" si="177"/>
        <v>0</v>
      </c>
      <c r="M379" s="25"/>
      <c r="N379" s="2">
        <f t="shared" si="175"/>
        <v>0</v>
      </c>
      <c r="O379" s="2">
        <f>ROUND(10806.25,2)</f>
        <v>10806.25</v>
      </c>
      <c r="P379" s="2">
        <f t="shared" ref="P379:P394" si="182">ROUND(0,2)</f>
        <v>0</v>
      </c>
      <c r="Q379" s="24">
        <f t="shared" si="178"/>
        <v>0</v>
      </c>
      <c r="R379" s="25"/>
      <c r="S379" s="24">
        <f>ROUND(10806.25,2)</f>
        <v>10806.25</v>
      </c>
      <c r="T379" s="25"/>
      <c r="U379" s="26"/>
    </row>
    <row r="380" spans="1:21">
      <c r="A380" s="22" t="s">
        <v>716</v>
      </c>
      <c r="B380" s="23"/>
      <c r="C380" s="22" t="s">
        <v>717</v>
      </c>
      <c r="D380" s="23"/>
      <c r="E380" s="23"/>
      <c r="F380" s="23"/>
      <c r="G380" s="23"/>
      <c r="H380" s="2">
        <f t="shared" si="180"/>
        <v>0</v>
      </c>
      <c r="I380" s="2">
        <f t="shared" si="179"/>
        <v>0</v>
      </c>
      <c r="J380" s="2">
        <f t="shared" si="179"/>
        <v>0</v>
      </c>
      <c r="K380" s="2">
        <f t="shared" si="181"/>
        <v>0</v>
      </c>
      <c r="L380" s="24">
        <f t="shared" si="177"/>
        <v>0</v>
      </c>
      <c r="M380" s="25"/>
      <c r="N380" s="2">
        <f t="shared" si="175"/>
        <v>0</v>
      </c>
      <c r="O380" s="2">
        <f>ROUND(23625.83,2)</f>
        <v>23625.83</v>
      </c>
      <c r="P380" s="2">
        <f t="shared" si="182"/>
        <v>0</v>
      </c>
      <c r="Q380" s="24">
        <f t="shared" si="178"/>
        <v>0</v>
      </c>
      <c r="R380" s="25"/>
      <c r="S380" s="24">
        <f>ROUND(23625.83,2)</f>
        <v>23625.83</v>
      </c>
      <c r="T380" s="25"/>
      <c r="U380" s="26"/>
    </row>
    <row r="381" spans="1:21">
      <c r="A381" s="22" t="s">
        <v>718</v>
      </c>
      <c r="B381" s="23"/>
      <c r="C381" s="22" t="s">
        <v>719</v>
      </c>
      <c r="D381" s="23"/>
      <c r="E381" s="23"/>
      <c r="F381" s="23"/>
      <c r="G381" s="23"/>
      <c r="H381" s="2">
        <f t="shared" si="180"/>
        <v>0</v>
      </c>
      <c r="I381" s="2">
        <f t="shared" si="179"/>
        <v>0</v>
      </c>
      <c r="J381" s="2">
        <f t="shared" si="179"/>
        <v>0</v>
      </c>
      <c r="K381" s="2">
        <f t="shared" si="181"/>
        <v>0</v>
      </c>
      <c r="L381" s="24">
        <f t="shared" si="177"/>
        <v>0</v>
      </c>
      <c r="M381" s="25"/>
      <c r="N381" s="2">
        <f t="shared" ref="N381:N386" si="183">ROUND(0,2)</f>
        <v>0</v>
      </c>
      <c r="O381" s="2">
        <f>ROUND(571.7,2)</f>
        <v>571.70000000000005</v>
      </c>
      <c r="P381" s="2">
        <f t="shared" si="182"/>
        <v>0</v>
      </c>
      <c r="Q381" s="24">
        <f t="shared" si="178"/>
        <v>0</v>
      </c>
      <c r="R381" s="25"/>
      <c r="S381" s="24">
        <f>ROUND(571.7,2)</f>
        <v>571.70000000000005</v>
      </c>
      <c r="T381" s="25"/>
      <c r="U381" s="26"/>
    </row>
    <row r="382" spans="1:21">
      <c r="A382" s="22" t="s">
        <v>720</v>
      </c>
      <c r="B382" s="23"/>
      <c r="C382" s="22" t="s">
        <v>721</v>
      </c>
      <c r="D382" s="23"/>
      <c r="E382" s="23"/>
      <c r="F382" s="23"/>
      <c r="G382" s="23"/>
      <c r="H382" s="2">
        <f t="shared" si="180"/>
        <v>0</v>
      </c>
      <c r="I382" s="2">
        <f t="shared" si="179"/>
        <v>0</v>
      </c>
      <c r="J382" s="2">
        <f t="shared" si="179"/>
        <v>0</v>
      </c>
      <c r="K382" s="2">
        <f t="shared" si="181"/>
        <v>0</v>
      </c>
      <c r="L382" s="24">
        <f t="shared" si="177"/>
        <v>0</v>
      </c>
      <c r="M382" s="25"/>
      <c r="N382" s="2">
        <f t="shared" si="183"/>
        <v>0</v>
      </c>
      <c r="O382" s="2">
        <f>ROUND(32463.88,2)</f>
        <v>32463.88</v>
      </c>
      <c r="P382" s="2">
        <f t="shared" si="182"/>
        <v>0</v>
      </c>
      <c r="Q382" s="24">
        <f t="shared" si="178"/>
        <v>0</v>
      </c>
      <c r="R382" s="25"/>
      <c r="S382" s="24">
        <f>ROUND(32463.88,2)</f>
        <v>32463.88</v>
      </c>
      <c r="T382" s="25"/>
      <c r="U382" s="26"/>
    </row>
    <row r="383" spans="1:21">
      <c r="A383" s="22" t="s">
        <v>722</v>
      </c>
      <c r="B383" s="23"/>
      <c r="C383" s="22" t="s">
        <v>723</v>
      </c>
      <c r="D383" s="23"/>
      <c r="E383" s="23"/>
      <c r="F383" s="23"/>
      <c r="G383" s="23"/>
      <c r="H383" s="2">
        <f t="shared" si="180"/>
        <v>0</v>
      </c>
      <c r="I383" s="2">
        <f t="shared" si="179"/>
        <v>0</v>
      </c>
      <c r="J383" s="2">
        <f t="shared" si="179"/>
        <v>0</v>
      </c>
      <c r="K383" s="2">
        <f t="shared" si="181"/>
        <v>0</v>
      </c>
      <c r="L383" s="24">
        <f t="shared" ref="L383:L398" si="184">ROUND(0,2)</f>
        <v>0</v>
      </c>
      <c r="M383" s="25"/>
      <c r="N383" s="2">
        <f t="shared" si="183"/>
        <v>0</v>
      </c>
      <c r="O383" s="2">
        <f>ROUND(386756.42,2)</f>
        <v>386756.42</v>
      </c>
      <c r="P383" s="2">
        <f t="shared" si="182"/>
        <v>0</v>
      </c>
      <c r="Q383" s="24">
        <f t="shared" ref="Q383:Q398" si="185">ROUND(0,2)</f>
        <v>0</v>
      </c>
      <c r="R383" s="25"/>
      <c r="S383" s="24">
        <f>ROUND(386756.42,2)</f>
        <v>386756.42</v>
      </c>
      <c r="T383" s="25"/>
      <c r="U383" s="26"/>
    </row>
    <row r="384" spans="1:21">
      <c r="A384" s="22" t="s">
        <v>724</v>
      </c>
      <c r="B384" s="23"/>
      <c r="C384" s="22" t="s">
        <v>725</v>
      </c>
      <c r="D384" s="23"/>
      <c r="E384" s="23"/>
      <c r="F384" s="23"/>
      <c r="G384" s="23"/>
      <c r="H384" s="2">
        <f t="shared" si="180"/>
        <v>0</v>
      </c>
      <c r="I384" s="2">
        <f t="shared" si="179"/>
        <v>0</v>
      </c>
      <c r="J384" s="2">
        <f t="shared" si="179"/>
        <v>0</v>
      </c>
      <c r="K384" s="2">
        <f t="shared" si="181"/>
        <v>0</v>
      </c>
      <c r="L384" s="24">
        <f t="shared" si="184"/>
        <v>0</v>
      </c>
      <c r="M384" s="25"/>
      <c r="N384" s="2">
        <f t="shared" si="183"/>
        <v>0</v>
      </c>
      <c r="O384" s="2">
        <f>ROUND(3012.65,2)</f>
        <v>3012.65</v>
      </c>
      <c r="P384" s="2">
        <f t="shared" si="182"/>
        <v>0</v>
      </c>
      <c r="Q384" s="24">
        <f t="shared" si="185"/>
        <v>0</v>
      </c>
      <c r="R384" s="25"/>
      <c r="S384" s="24">
        <f>ROUND(3012.65,2)</f>
        <v>3012.65</v>
      </c>
      <c r="T384" s="25"/>
      <c r="U384" s="26"/>
    </row>
    <row r="385" spans="1:21">
      <c r="A385" s="22" t="s">
        <v>726</v>
      </c>
      <c r="B385" s="23"/>
      <c r="C385" s="22" t="s">
        <v>727</v>
      </c>
      <c r="D385" s="23"/>
      <c r="E385" s="23"/>
      <c r="F385" s="23"/>
      <c r="G385" s="23"/>
      <c r="H385" s="2">
        <f t="shared" si="180"/>
        <v>0</v>
      </c>
      <c r="I385" s="2">
        <f t="shared" si="179"/>
        <v>0</v>
      </c>
      <c r="J385" s="2">
        <f t="shared" si="179"/>
        <v>0</v>
      </c>
      <c r="K385" s="2">
        <f>ROUND(18000,2)</f>
        <v>18000</v>
      </c>
      <c r="L385" s="24">
        <f t="shared" si="184"/>
        <v>0</v>
      </c>
      <c r="M385" s="25"/>
      <c r="N385" s="2">
        <f t="shared" si="183"/>
        <v>0</v>
      </c>
      <c r="O385" s="2">
        <f>ROUND(149165.2,2)</f>
        <v>149165.20000000001</v>
      </c>
      <c r="P385" s="2">
        <f t="shared" si="182"/>
        <v>0</v>
      </c>
      <c r="Q385" s="24">
        <f t="shared" si="185"/>
        <v>0</v>
      </c>
      <c r="R385" s="25"/>
      <c r="S385" s="24">
        <f>ROUND(167165.2,2)</f>
        <v>167165.20000000001</v>
      </c>
      <c r="T385" s="25"/>
      <c r="U385" s="26"/>
    </row>
    <row r="386" spans="1:21">
      <c r="A386" s="22" t="s">
        <v>728</v>
      </c>
      <c r="B386" s="23"/>
      <c r="C386" s="22" t="s">
        <v>729</v>
      </c>
      <c r="D386" s="23"/>
      <c r="E386" s="23"/>
      <c r="F386" s="23"/>
      <c r="G386" s="23"/>
      <c r="H386" s="2">
        <f t="shared" si="180"/>
        <v>0</v>
      </c>
      <c r="I386" s="2">
        <f t="shared" ref="I386:K401" si="186">ROUND(0,2)</f>
        <v>0</v>
      </c>
      <c r="J386" s="2">
        <f t="shared" si="186"/>
        <v>0</v>
      </c>
      <c r="K386" s="2">
        <f t="shared" si="186"/>
        <v>0</v>
      </c>
      <c r="L386" s="24">
        <f t="shared" si="184"/>
        <v>0</v>
      </c>
      <c r="M386" s="25"/>
      <c r="N386" s="2">
        <f t="shared" si="183"/>
        <v>0</v>
      </c>
      <c r="O386" s="2">
        <f>ROUND(8108.1,2)</f>
        <v>8108.1</v>
      </c>
      <c r="P386" s="2">
        <f t="shared" si="182"/>
        <v>0</v>
      </c>
      <c r="Q386" s="24">
        <f t="shared" si="185"/>
        <v>0</v>
      </c>
      <c r="R386" s="25"/>
      <c r="S386" s="24">
        <f>ROUND(8108.1,2)</f>
        <v>8108.1</v>
      </c>
      <c r="T386" s="25"/>
      <c r="U386" s="26"/>
    </row>
    <row r="387" spans="1:21">
      <c r="A387" s="22" t="s">
        <v>730</v>
      </c>
      <c r="B387" s="23"/>
      <c r="C387" s="22" t="s">
        <v>731</v>
      </c>
      <c r="D387" s="23"/>
      <c r="E387" s="23"/>
      <c r="F387" s="23"/>
      <c r="G387" s="23"/>
      <c r="H387" s="2">
        <f t="shared" si="180"/>
        <v>0</v>
      </c>
      <c r="I387" s="2">
        <f t="shared" si="186"/>
        <v>0</v>
      </c>
      <c r="J387" s="2">
        <f t="shared" si="186"/>
        <v>0</v>
      </c>
      <c r="K387" s="2">
        <f t="shared" si="186"/>
        <v>0</v>
      </c>
      <c r="L387" s="24">
        <f t="shared" si="184"/>
        <v>0</v>
      </c>
      <c r="M387" s="25"/>
      <c r="N387" s="2">
        <f>ROUND(18425.41,2)</f>
        <v>18425.41</v>
      </c>
      <c r="O387" s="2">
        <f t="shared" ref="O387:O402" si="187">ROUND(0,2)</f>
        <v>0</v>
      </c>
      <c r="P387" s="2">
        <f t="shared" si="182"/>
        <v>0</v>
      </c>
      <c r="Q387" s="24">
        <f t="shared" si="185"/>
        <v>0</v>
      </c>
      <c r="R387" s="25"/>
      <c r="S387" s="24">
        <f>ROUND(18425.41,2)</f>
        <v>18425.41</v>
      </c>
      <c r="T387" s="25"/>
      <c r="U387" s="26"/>
    </row>
    <row r="388" spans="1:21">
      <c r="A388" s="22" t="s">
        <v>732</v>
      </c>
      <c r="B388" s="23"/>
      <c r="C388" s="22" t="s">
        <v>733</v>
      </c>
      <c r="D388" s="23"/>
      <c r="E388" s="23"/>
      <c r="F388" s="23"/>
      <c r="G388" s="23"/>
      <c r="H388" s="2">
        <f t="shared" ref="H388:H403" si="188">ROUND(0,2)</f>
        <v>0</v>
      </c>
      <c r="I388" s="2">
        <f t="shared" si="186"/>
        <v>0</v>
      </c>
      <c r="J388" s="2">
        <f t="shared" si="186"/>
        <v>0</v>
      </c>
      <c r="K388" s="2">
        <f t="shared" si="186"/>
        <v>0</v>
      </c>
      <c r="L388" s="24">
        <f t="shared" si="184"/>
        <v>0</v>
      </c>
      <c r="M388" s="25"/>
      <c r="N388" s="2">
        <f>ROUND(7887.81,2)</f>
        <v>7887.81</v>
      </c>
      <c r="O388" s="2">
        <f t="shared" si="187"/>
        <v>0</v>
      </c>
      <c r="P388" s="2">
        <f t="shared" si="182"/>
        <v>0</v>
      </c>
      <c r="Q388" s="24">
        <f t="shared" si="185"/>
        <v>0</v>
      </c>
      <c r="R388" s="25"/>
      <c r="S388" s="24">
        <f>ROUND(7887.81,2)</f>
        <v>7887.81</v>
      </c>
      <c r="T388" s="25"/>
      <c r="U388" s="26"/>
    </row>
    <row r="389" spans="1:21">
      <c r="A389" s="22" t="s">
        <v>734</v>
      </c>
      <c r="B389" s="23"/>
      <c r="C389" s="22" t="s">
        <v>735</v>
      </c>
      <c r="D389" s="23"/>
      <c r="E389" s="23"/>
      <c r="F389" s="23"/>
      <c r="G389" s="23"/>
      <c r="H389" s="2">
        <f t="shared" si="188"/>
        <v>0</v>
      </c>
      <c r="I389" s="2">
        <f t="shared" si="186"/>
        <v>0</v>
      </c>
      <c r="J389" s="2">
        <f t="shared" si="186"/>
        <v>0</v>
      </c>
      <c r="K389" s="2">
        <f t="shared" si="186"/>
        <v>0</v>
      </c>
      <c r="L389" s="24">
        <f t="shared" si="184"/>
        <v>0</v>
      </c>
      <c r="M389" s="25"/>
      <c r="N389" s="2">
        <f>ROUND(17419.56,2)</f>
        <v>17419.560000000001</v>
      </c>
      <c r="O389" s="2">
        <f t="shared" si="187"/>
        <v>0</v>
      </c>
      <c r="P389" s="2">
        <f t="shared" si="182"/>
        <v>0</v>
      </c>
      <c r="Q389" s="24">
        <f t="shared" si="185"/>
        <v>0</v>
      </c>
      <c r="R389" s="25"/>
      <c r="S389" s="24">
        <f>ROUND(17419.56,2)</f>
        <v>17419.560000000001</v>
      </c>
      <c r="T389" s="25"/>
      <c r="U389" s="26"/>
    </row>
    <row r="390" spans="1:21">
      <c r="A390" s="22" t="s">
        <v>736</v>
      </c>
      <c r="B390" s="23"/>
      <c r="C390" s="22" t="s">
        <v>737</v>
      </c>
      <c r="D390" s="23"/>
      <c r="E390" s="23"/>
      <c r="F390" s="23"/>
      <c r="G390" s="23"/>
      <c r="H390" s="2">
        <f t="shared" si="188"/>
        <v>0</v>
      </c>
      <c r="I390" s="2">
        <f t="shared" si="186"/>
        <v>0</v>
      </c>
      <c r="J390" s="2">
        <f t="shared" si="186"/>
        <v>0</v>
      </c>
      <c r="K390" s="2">
        <f t="shared" si="186"/>
        <v>0</v>
      </c>
      <c r="L390" s="24">
        <f t="shared" si="184"/>
        <v>0</v>
      </c>
      <c r="M390" s="25"/>
      <c r="N390" s="2">
        <f>ROUND(322154.2,2)</f>
        <v>322154.2</v>
      </c>
      <c r="O390" s="2">
        <f t="shared" si="187"/>
        <v>0</v>
      </c>
      <c r="P390" s="2">
        <f t="shared" si="182"/>
        <v>0</v>
      </c>
      <c r="Q390" s="24">
        <f t="shared" si="185"/>
        <v>0</v>
      </c>
      <c r="R390" s="25"/>
      <c r="S390" s="24">
        <f>ROUND(322154.2,2)</f>
        <v>322154.2</v>
      </c>
      <c r="T390" s="25"/>
      <c r="U390" s="26"/>
    </row>
    <row r="391" spans="1:21">
      <c r="A391" s="22" t="s">
        <v>738</v>
      </c>
      <c r="B391" s="23"/>
      <c r="C391" s="22" t="s">
        <v>739</v>
      </c>
      <c r="D391" s="23"/>
      <c r="E391" s="23"/>
      <c r="F391" s="23"/>
      <c r="G391" s="23"/>
      <c r="H391" s="2">
        <f t="shared" si="188"/>
        <v>0</v>
      </c>
      <c r="I391" s="2">
        <f t="shared" si="186"/>
        <v>0</v>
      </c>
      <c r="J391" s="2">
        <f t="shared" si="186"/>
        <v>0</v>
      </c>
      <c r="K391" s="2">
        <f t="shared" si="186"/>
        <v>0</v>
      </c>
      <c r="L391" s="24">
        <f t="shared" si="184"/>
        <v>0</v>
      </c>
      <c r="M391" s="25"/>
      <c r="N391" s="2">
        <f>ROUND(2718.53,2)</f>
        <v>2718.53</v>
      </c>
      <c r="O391" s="2">
        <f t="shared" si="187"/>
        <v>0</v>
      </c>
      <c r="P391" s="2">
        <f t="shared" si="182"/>
        <v>0</v>
      </c>
      <c r="Q391" s="24">
        <f t="shared" si="185"/>
        <v>0</v>
      </c>
      <c r="R391" s="25"/>
      <c r="S391" s="24">
        <f>ROUND(2718.53,2)</f>
        <v>2718.53</v>
      </c>
      <c r="T391" s="25"/>
      <c r="U391" s="26"/>
    </row>
    <row r="392" spans="1:21">
      <c r="A392" s="22" t="s">
        <v>740</v>
      </c>
      <c r="B392" s="23"/>
      <c r="C392" s="22" t="s">
        <v>741</v>
      </c>
      <c r="D392" s="23"/>
      <c r="E392" s="23"/>
      <c r="F392" s="23"/>
      <c r="G392" s="23"/>
      <c r="H392" s="2">
        <f t="shared" si="188"/>
        <v>0</v>
      </c>
      <c r="I392" s="2">
        <f t="shared" si="186"/>
        <v>0</v>
      </c>
      <c r="J392" s="2">
        <f t="shared" si="186"/>
        <v>0</v>
      </c>
      <c r="K392" s="2">
        <f t="shared" si="186"/>
        <v>0</v>
      </c>
      <c r="L392" s="24">
        <f t="shared" si="184"/>
        <v>0</v>
      </c>
      <c r="M392" s="25"/>
      <c r="N392" s="2">
        <f>ROUND(122014.41,2)</f>
        <v>122014.41</v>
      </c>
      <c r="O392" s="2">
        <f t="shared" si="187"/>
        <v>0</v>
      </c>
      <c r="P392" s="2">
        <f t="shared" si="182"/>
        <v>0</v>
      </c>
      <c r="Q392" s="24">
        <f t="shared" si="185"/>
        <v>0</v>
      </c>
      <c r="R392" s="25"/>
      <c r="S392" s="24">
        <f>ROUND(122014.41,2)</f>
        <v>122014.41</v>
      </c>
      <c r="T392" s="25"/>
      <c r="U392" s="26"/>
    </row>
    <row r="393" spans="1:21">
      <c r="A393" s="22" t="s">
        <v>742</v>
      </c>
      <c r="B393" s="23"/>
      <c r="C393" s="22" t="s">
        <v>743</v>
      </c>
      <c r="D393" s="23"/>
      <c r="E393" s="23"/>
      <c r="F393" s="23"/>
      <c r="G393" s="23"/>
      <c r="H393" s="2">
        <f t="shared" si="188"/>
        <v>0</v>
      </c>
      <c r="I393" s="2">
        <f t="shared" si="186"/>
        <v>0</v>
      </c>
      <c r="J393" s="2">
        <f t="shared" si="186"/>
        <v>0</v>
      </c>
      <c r="K393" s="2">
        <f t="shared" si="186"/>
        <v>0</v>
      </c>
      <c r="L393" s="24">
        <f t="shared" si="184"/>
        <v>0</v>
      </c>
      <c r="M393" s="25"/>
      <c r="N393" s="2">
        <f>ROUND(2024.67,2)</f>
        <v>2024.67</v>
      </c>
      <c r="O393" s="2">
        <f t="shared" si="187"/>
        <v>0</v>
      </c>
      <c r="P393" s="2">
        <f t="shared" si="182"/>
        <v>0</v>
      </c>
      <c r="Q393" s="24">
        <f t="shared" si="185"/>
        <v>0</v>
      </c>
      <c r="R393" s="25"/>
      <c r="S393" s="24">
        <f>ROUND(2024.67,2)</f>
        <v>2024.67</v>
      </c>
      <c r="T393" s="25"/>
      <c r="U393" s="26"/>
    </row>
    <row r="394" spans="1:21">
      <c r="A394" s="22" t="s">
        <v>744</v>
      </c>
      <c r="B394" s="23"/>
      <c r="C394" s="22" t="s">
        <v>745</v>
      </c>
      <c r="D394" s="23"/>
      <c r="E394" s="23"/>
      <c r="F394" s="23"/>
      <c r="G394" s="23"/>
      <c r="H394" s="2">
        <f t="shared" si="188"/>
        <v>0</v>
      </c>
      <c r="I394" s="2">
        <f t="shared" si="186"/>
        <v>0</v>
      </c>
      <c r="J394" s="2">
        <f t="shared" si="186"/>
        <v>0</v>
      </c>
      <c r="K394" s="2">
        <f t="shared" si="186"/>
        <v>0</v>
      </c>
      <c r="L394" s="24">
        <f t="shared" si="184"/>
        <v>0</v>
      </c>
      <c r="M394" s="25"/>
      <c r="N394" s="2">
        <f>ROUND(867.23,2)</f>
        <v>867.23</v>
      </c>
      <c r="O394" s="2">
        <f t="shared" si="187"/>
        <v>0</v>
      </c>
      <c r="P394" s="2">
        <f t="shared" si="182"/>
        <v>0</v>
      </c>
      <c r="Q394" s="24">
        <f t="shared" si="185"/>
        <v>0</v>
      </c>
      <c r="R394" s="25"/>
      <c r="S394" s="24">
        <f>ROUND(867.23,2)</f>
        <v>867.23</v>
      </c>
      <c r="T394" s="25"/>
      <c r="U394" s="26"/>
    </row>
    <row r="395" spans="1:21">
      <c r="A395" s="22" t="s">
        <v>746</v>
      </c>
      <c r="B395" s="23"/>
      <c r="C395" s="22" t="s">
        <v>747</v>
      </c>
      <c r="D395" s="23"/>
      <c r="E395" s="23"/>
      <c r="F395" s="23"/>
      <c r="G395" s="23"/>
      <c r="H395" s="2">
        <f t="shared" si="188"/>
        <v>0</v>
      </c>
      <c r="I395" s="2">
        <f t="shared" si="186"/>
        <v>0</v>
      </c>
      <c r="J395" s="2">
        <f t="shared" si="186"/>
        <v>0</v>
      </c>
      <c r="K395" s="2">
        <f t="shared" si="186"/>
        <v>0</v>
      </c>
      <c r="L395" s="24">
        <f t="shared" si="184"/>
        <v>0</v>
      </c>
      <c r="M395" s="25"/>
      <c r="N395" s="2">
        <f>ROUND(1914.83,2)</f>
        <v>1914.83</v>
      </c>
      <c r="O395" s="2">
        <f t="shared" si="187"/>
        <v>0</v>
      </c>
      <c r="P395" s="2">
        <f t="shared" ref="P395:P410" si="189">ROUND(0,2)</f>
        <v>0</v>
      </c>
      <c r="Q395" s="24">
        <f t="shared" si="185"/>
        <v>0</v>
      </c>
      <c r="R395" s="25"/>
      <c r="S395" s="24">
        <f>ROUND(1914.83,2)</f>
        <v>1914.83</v>
      </c>
      <c r="T395" s="25"/>
      <c r="U395" s="26"/>
    </row>
    <row r="396" spans="1:21">
      <c r="A396" s="22" t="s">
        <v>748</v>
      </c>
      <c r="B396" s="23"/>
      <c r="C396" s="22" t="s">
        <v>749</v>
      </c>
      <c r="D396" s="23"/>
      <c r="E396" s="23"/>
      <c r="F396" s="23"/>
      <c r="G396" s="23"/>
      <c r="H396" s="2">
        <f t="shared" si="188"/>
        <v>0</v>
      </c>
      <c r="I396" s="2">
        <f t="shared" si="186"/>
        <v>0</v>
      </c>
      <c r="J396" s="2">
        <f t="shared" si="186"/>
        <v>0</v>
      </c>
      <c r="K396" s="2">
        <f t="shared" si="186"/>
        <v>0</v>
      </c>
      <c r="L396" s="24">
        <f t="shared" si="184"/>
        <v>0</v>
      </c>
      <c r="M396" s="25"/>
      <c r="N396" s="2">
        <f>ROUND(1503.66,2)</f>
        <v>1503.66</v>
      </c>
      <c r="O396" s="2">
        <f t="shared" si="187"/>
        <v>0</v>
      </c>
      <c r="P396" s="2">
        <f t="shared" si="189"/>
        <v>0</v>
      </c>
      <c r="Q396" s="24">
        <f t="shared" si="185"/>
        <v>0</v>
      </c>
      <c r="R396" s="25"/>
      <c r="S396" s="24">
        <f>ROUND(1503.66,2)</f>
        <v>1503.66</v>
      </c>
      <c r="T396" s="25"/>
      <c r="U396" s="26"/>
    </row>
    <row r="397" spans="1:21">
      <c r="A397" s="22" t="s">
        <v>750</v>
      </c>
      <c r="B397" s="23"/>
      <c r="C397" s="22" t="s">
        <v>751</v>
      </c>
      <c r="D397" s="23"/>
      <c r="E397" s="23"/>
      <c r="F397" s="23"/>
      <c r="G397" s="23"/>
      <c r="H397" s="2">
        <f t="shared" si="188"/>
        <v>0</v>
      </c>
      <c r="I397" s="2">
        <f t="shared" si="186"/>
        <v>0</v>
      </c>
      <c r="J397" s="2">
        <f t="shared" si="186"/>
        <v>0</v>
      </c>
      <c r="K397" s="2">
        <f t="shared" si="186"/>
        <v>0</v>
      </c>
      <c r="L397" s="24">
        <f t="shared" si="184"/>
        <v>0</v>
      </c>
      <c r="M397" s="25"/>
      <c r="N397" s="2">
        <f>ROUND(1391.94,2)</f>
        <v>1391.94</v>
      </c>
      <c r="O397" s="2">
        <f t="shared" si="187"/>
        <v>0</v>
      </c>
      <c r="P397" s="2">
        <f t="shared" si="189"/>
        <v>0</v>
      </c>
      <c r="Q397" s="24">
        <f t="shared" si="185"/>
        <v>0</v>
      </c>
      <c r="R397" s="25"/>
      <c r="S397" s="24">
        <f>ROUND(1391.94,2)</f>
        <v>1391.94</v>
      </c>
      <c r="T397" s="25"/>
      <c r="U397" s="26"/>
    </row>
    <row r="398" spans="1:21">
      <c r="A398" s="22" t="s">
        <v>752</v>
      </c>
      <c r="B398" s="23"/>
      <c r="C398" s="22" t="s">
        <v>753</v>
      </c>
      <c r="D398" s="23"/>
      <c r="E398" s="23"/>
      <c r="F398" s="23"/>
      <c r="G398" s="23"/>
      <c r="H398" s="2">
        <f t="shared" si="188"/>
        <v>0</v>
      </c>
      <c r="I398" s="2">
        <f t="shared" si="186"/>
        <v>0</v>
      </c>
      <c r="J398" s="2">
        <f t="shared" si="186"/>
        <v>0</v>
      </c>
      <c r="K398" s="2">
        <f t="shared" si="186"/>
        <v>0</v>
      </c>
      <c r="L398" s="24">
        <f t="shared" si="184"/>
        <v>0</v>
      </c>
      <c r="M398" s="25"/>
      <c r="N398" s="2">
        <f>ROUND(6700.21,2)</f>
        <v>6700.21</v>
      </c>
      <c r="O398" s="2">
        <f t="shared" si="187"/>
        <v>0</v>
      </c>
      <c r="P398" s="2">
        <f t="shared" si="189"/>
        <v>0</v>
      </c>
      <c r="Q398" s="24">
        <f t="shared" si="185"/>
        <v>0</v>
      </c>
      <c r="R398" s="25"/>
      <c r="S398" s="24">
        <f>ROUND(6700.21,2)</f>
        <v>6700.21</v>
      </c>
      <c r="T398" s="25"/>
      <c r="U398" s="26"/>
    </row>
    <row r="399" spans="1:21">
      <c r="A399" s="22" t="s">
        <v>754</v>
      </c>
      <c r="B399" s="23"/>
      <c r="C399" s="22" t="s">
        <v>755</v>
      </c>
      <c r="D399" s="23"/>
      <c r="E399" s="23"/>
      <c r="F399" s="23"/>
      <c r="G399" s="23"/>
      <c r="H399" s="2">
        <f t="shared" si="188"/>
        <v>0</v>
      </c>
      <c r="I399" s="2">
        <f t="shared" si="186"/>
        <v>0</v>
      </c>
      <c r="J399" s="2">
        <f t="shared" si="186"/>
        <v>0</v>
      </c>
      <c r="K399" s="2">
        <f t="shared" si="186"/>
        <v>0</v>
      </c>
      <c r="L399" s="24">
        <f t="shared" ref="L399:L414" si="190">ROUND(0,2)</f>
        <v>0</v>
      </c>
      <c r="M399" s="25"/>
      <c r="N399" s="2">
        <f>ROUND(4029.48,2)</f>
        <v>4029.48</v>
      </c>
      <c r="O399" s="2">
        <f t="shared" si="187"/>
        <v>0</v>
      </c>
      <c r="P399" s="2">
        <f t="shared" si="189"/>
        <v>0</v>
      </c>
      <c r="Q399" s="24">
        <f t="shared" ref="Q399:Q414" si="191">ROUND(0,2)</f>
        <v>0</v>
      </c>
      <c r="R399" s="25"/>
      <c r="S399" s="24">
        <f>ROUND(4029.48,2)</f>
        <v>4029.48</v>
      </c>
      <c r="T399" s="25"/>
      <c r="U399" s="26"/>
    </row>
    <row r="400" spans="1:21">
      <c r="A400" s="22" t="s">
        <v>756</v>
      </c>
      <c r="B400" s="23"/>
      <c r="C400" s="22" t="s">
        <v>757</v>
      </c>
      <c r="D400" s="23"/>
      <c r="E400" s="23"/>
      <c r="F400" s="23"/>
      <c r="G400" s="23"/>
      <c r="H400" s="2">
        <f t="shared" si="188"/>
        <v>0</v>
      </c>
      <c r="I400" s="2">
        <f t="shared" si="186"/>
        <v>0</v>
      </c>
      <c r="J400" s="2">
        <f t="shared" si="186"/>
        <v>0</v>
      </c>
      <c r="K400" s="2">
        <f t="shared" si="186"/>
        <v>0</v>
      </c>
      <c r="L400" s="24">
        <f t="shared" si="190"/>
        <v>0</v>
      </c>
      <c r="M400" s="25"/>
      <c r="N400" s="2">
        <f>ROUND(1751.52,2)</f>
        <v>1751.52</v>
      </c>
      <c r="O400" s="2">
        <f t="shared" si="187"/>
        <v>0</v>
      </c>
      <c r="P400" s="2">
        <f t="shared" si="189"/>
        <v>0</v>
      </c>
      <c r="Q400" s="24">
        <f t="shared" si="191"/>
        <v>0</v>
      </c>
      <c r="R400" s="25"/>
      <c r="S400" s="24">
        <f>ROUND(1751.52,2)</f>
        <v>1751.52</v>
      </c>
      <c r="T400" s="25"/>
      <c r="U400" s="26"/>
    </row>
    <row r="401" spans="1:21">
      <c r="A401" s="22" t="s">
        <v>758</v>
      </c>
      <c r="B401" s="23"/>
      <c r="C401" s="22" t="s">
        <v>759</v>
      </c>
      <c r="D401" s="23"/>
      <c r="E401" s="23"/>
      <c r="F401" s="23"/>
      <c r="G401" s="23"/>
      <c r="H401" s="2">
        <f t="shared" si="188"/>
        <v>0</v>
      </c>
      <c r="I401" s="2">
        <f t="shared" si="186"/>
        <v>0</v>
      </c>
      <c r="J401" s="2">
        <f t="shared" si="186"/>
        <v>0</v>
      </c>
      <c r="K401" s="2">
        <f t="shared" si="186"/>
        <v>0</v>
      </c>
      <c r="L401" s="24">
        <f t="shared" si="190"/>
        <v>0</v>
      </c>
      <c r="M401" s="25"/>
      <c r="N401" s="2">
        <f>ROUND(1389.83,2)</f>
        <v>1389.83</v>
      </c>
      <c r="O401" s="2">
        <f t="shared" si="187"/>
        <v>0</v>
      </c>
      <c r="P401" s="2">
        <f t="shared" si="189"/>
        <v>0</v>
      </c>
      <c r="Q401" s="24">
        <f t="shared" si="191"/>
        <v>0</v>
      </c>
      <c r="R401" s="25"/>
      <c r="S401" s="24">
        <f>ROUND(1389.83,2)</f>
        <v>1389.83</v>
      </c>
      <c r="T401" s="25"/>
      <c r="U401" s="26"/>
    </row>
    <row r="402" spans="1:21">
      <c r="A402" s="22" t="s">
        <v>760</v>
      </c>
      <c r="B402" s="23"/>
      <c r="C402" s="22" t="s">
        <v>761</v>
      </c>
      <c r="D402" s="23"/>
      <c r="E402" s="23"/>
      <c r="F402" s="23"/>
      <c r="G402" s="23"/>
      <c r="H402" s="2">
        <f t="shared" si="188"/>
        <v>0</v>
      </c>
      <c r="I402" s="2">
        <f t="shared" ref="I402:K417" si="192">ROUND(0,2)</f>
        <v>0</v>
      </c>
      <c r="J402" s="2">
        <f t="shared" si="192"/>
        <v>0</v>
      </c>
      <c r="K402" s="2">
        <f t="shared" si="192"/>
        <v>0</v>
      </c>
      <c r="L402" s="24">
        <f t="shared" si="190"/>
        <v>0</v>
      </c>
      <c r="M402" s="25"/>
      <c r="N402" s="2">
        <f>ROUND(20156.19,2)</f>
        <v>20156.189999999999</v>
      </c>
      <c r="O402" s="2">
        <f t="shared" si="187"/>
        <v>0</v>
      </c>
      <c r="P402" s="2">
        <f t="shared" si="189"/>
        <v>0</v>
      </c>
      <c r="Q402" s="24">
        <f t="shared" si="191"/>
        <v>0</v>
      </c>
      <c r="R402" s="25"/>
      <c r="S402" s="24">
        <f>ROUND(20156.19,2)</f>
        <v>20156.189999999999</v>
      </c>
      <c r="T402" s="25"/>
      <c r="U402" s="26"/>
    </row>
    <row r="403" spans="1:21">
      <c r="A403" s="22" t="s">
        <v>762</v>
      </c>
      <c r="B403" s="23"/>
      <c r="C403" s="22" t="s">
        <v>763</v>
      </c>
      <c r="D403" s="23"/>
      <c r="E403" s="23"/>
      <c r="F403" s="23"/>
      <c r="G403" s="23"/>
      <c r="H403" s="2">
        <f t="shared" si="188"/>
        <v>0</v>
      </c>
      <c r="I403" s="2">
        <f t="shared" si="192"/>
        <v>0</v>
      </c>
      <c r="J403" s="2">
        <f t="shared" si="192"/>
        <v>0</v>
      </c>
      <c r="K403" s="2">
        <f t="shared" si="192"/>
        <v>0</v>
      </c>
      <c r="L403" s="24">
        <f t="shared" si="190"/>
        <v>0</v>
      </c>
      <c r="M403" s="25"/>
      <c r="N403" s="2">
        <f>ROUND(6779.79,2)</f>
        <v>6779.79</v>
      </c>
      <c r="O403" s="2">
        <f t="shared" ref="O403:O418" si="193">ROUND(0,2)</f>
        <v>0</v>
      </c>
      <c r="P403" s="2">
        <f t="shared" si="189"/>
        <v>0</v>
      </c>
      <c r="Q403" s="24">
        <f t="shared" si="191"/>
        <v>0</v>
      </c>
      <c r="R403" s="25"/>
      <c r="S403" s="24">
        <f>ROUND(6779.79,2)</f>
        <v>6779.79</v>
      </c>
      <c r="T403" s="25"/>
      <c r="U403" s="26"/>
    </row>
    <row r="404" spans="1:21">
      <c r="A404" s="22" t="s">
        <v>764</v>
      </c>
      <c r="B404" s="23"/>
      <c r="C404" s="22" t="s">
        <v>765</v>
      </c>
      <c r="D404" s="23"/>
      <c r="E404" s="23"/>
      <c r="F404" s="23"/>
      <c r="G404" s="23"/>
      <c r="H404" s="2">
        <f t="shared" ref="H404:H419" si="194">ROUND(0,2)</f>
        <v>0</v>
      </c>
      <c r="I404" s="2">
        <f t="shared" si="192"/>
        <v>0</v>
      </c>
      <c r="J404" s="2">
        <f t="shared" si="192"/>
        <v>0</v>
      </c>
      <c r="K404" s="2">
        <f t="shared" si="192"/>
        <v>0</v>
      </c>
      <c r="L404" s="24">
        <f t="shared" si="190"/>
        <v>0</v>
      </c>
      <c r="M404" s="25"/>
      <c r="N404" s="2">
        <f>ROUND(18747.04,2)</f>
        <v>18747.04</v>
      </c>
      <c r="O404" s="2">
        <f t="shared" si="193"/>
        <v>0</v>
      </c>
      <c r="P404" s="2">
        <f t="shared" si="189"/>
        <v>0</v>
      </c>
      <c r="Q404" s="24">
        <f t="shared" si="191"/>
        <v>0</v>
      </c>
      <c r="R404" s="25"/>
      <c r="S404" s="24">
        <f>ROUND(18747.04,2)</f>
        <v>18747.04</v>
      </c>
      <c r="T404" s="25"/>
      <c r="U404" s="26"/>
    </row>
    <row r="405" spans="1:21">
      <c r="A405" s="22" t="s">
        <v>766</v>
      </c>
      <c r="B405" s="23"/>
      <c r="C405" s="22" t="s">
        <v>767</v>
      </c>
      <c r="D405" s="23"/>
      <c r="E405" s="23"/>
      <c r="F405" s="23"/>
      <c r="G405" s="23"/>
      <c r="H405" s="2">
        <f t="shared" si="194"/>
        <v>0</v>
      </c>
      <c r="I405" s="2">
        <f t="shared" si="192"/>
        <v>0</v>
      </c>
      <c r="J405" s="2">
        <f t="shared" si="192"/>
        <v>0</v>
      </c>
      <c r="K405" s="2">
        <f t="shared" si="192"/>
        <v>0</v>
      </c>
      <c r="L405" s="24">
        <f t="shared" si="190"/>
        <v>0</v>
      </c>
      <c r="M405" s="25"/>
      <c r="N405" s="2">
        <f>ROUND(6182.03,2)</f>
        <v>6182.03</v>
      </c>
      <c r="O405" s="2">
        <f t="shared" si="193"/>
        <v>0</v>
      </c>
      <c r="P405" s="2">
        <f t="shared" si="189"/>
        <v>0</v>
      </c>
      <c r="Q405" s="24">
        <f t="shared" si="191"/>
        <v>0</v>
      </c>
      <c r="R405" s="25"/>
      <c r="S405" s="24">
        <f>ROUND(6182.03,2)</f>
        <v>6182.03</v>
      </c>
      <c r="T405" s="25"/>
      <c r="U405" s="26"/>
    </row>
    <row r="406" spans="1:21">
      <c r="A406" s="22" t="s">
        <v>768</v>
      </c>
      <c r="B406" s="23"/>
      <c r="C406" s="22" t="s">
        <v>769</v>
      </c>
      <c r="D406" s="23"/>
      <c r="E406" s="23"/>
      <c r="F406" s="23"/>
      <c r="G406" s="23"/>
      <c r="H406" s="2">
        <f t="shared" si="194"/>
        <v>0</v>
      </c>
      <c r="I406" s="2">
        <f t="shared" si="192"/>
        <v>0</v>
      </c>
      <c r="J406" s="2">
        <f t="shared" si="192"/>
        <v>0</v>
      </c>
      <c r="K406" s="2">
        <f t="shared" si="192"/>
        <v>0</v>
      </c>
      <c r="L406" s="24">
        <f t="shared" si="190"/>
        <v>0</v>
      </c>
      <c r="M406" s="25"/>
      <c r="N406" s="2">
        <f>ROUND(12807.34,2)</f>
        <v>12807.34</v>
      </c>
      <c r="O406" s="2">
        <f t="shared" si="193"/>
        <v>0</v>
      </c>
      <c r="P406" s="2">
        <f t="shared" si="189"/>
        <v>0</v>
      </c>
      <c r="Q406" s="24">
        <f t="shared" si="191"/>
        <v>0</v>
      </c>
      <c r="R406" s="25"/>
      <c r="S406" s="24">
        <f>ROUND(12807.34,2)</f>
        <v>12807.34</v>
      </c>
      <c r="T406" s="25"/>
      <c r="U406" s="26"/>
    </row>
    <row r="407" spans="1:21">
      <c r="A407" s="22" t="s">
        <v>770</v>
      </c>
      <c r="B407" s="23"/>
      <c r="C407" s="22" t="s">
        <v>771</v>
      </c>
      <c r="D407" s="23"/>
      <c r="E407" s="23"/>
      <c r="F407" s="23"/>
      <c r="G407" s="23"/>
      <c r="H407" s="2">
        <f t="shared" si="194"/>
        <v>0</v>
      </c>
      <c r="I407" s="2">
        <f t="shared" si="192"/>
        <v>0</v>
      </c>
      <c r="J407" s="2">
        <f t="shared" si="192"/>
        <v>0</v>
      </c>
      <c r="K407" s="2">
        <f t="shared" si="192"/>
        <v>0</v>
      </c>
      <c r="L407" s="24">
        <f t="shared" si="190"/>
        <v>0</v>
      </c>
      <c r="M407" s="25"/>
      <c r="N407" s="2">
        <f>ROUND(3992.33,2)</f>
        <v>3992.33</v>
      </c>
      <c r="O407" s="2">
        <f t="shared" si="193"/>
        <v>0</v>
      </c>
      <c r="P407" s="2">
        <f t="shared" si="189"/>
        <v>0</v>
      </c>
      <c r="Q407" s="24">
        <f t="shared" si="191"/>
        <v>0</v>
      </c>
      <c r="R407" s="25"/>
      <c r="S407" s="24">
        <f>ROUND(3992.33,2)</f>
        <v>3992.33</v>
      </c>
      <c r="T407" s="25"/>
      <c r="U407" s="26"/>
    </row>
    <row r="408" spans="1:21">
      <c r="A408" s="22" t="s">
        <v>772</v>
      </c>
      <c r="B408" s="23"/>
      <c r="C408" s="22" t="s">
        <v>773</v>
      </c>
      <c r="D408" s="23"/>
      <c r="E408" s="23"/>
      <c r="F408" s="23"/>
      <c r="G408" s="23"/>
      <c r="H408" s="2">
        <f t="shared" si="194"/>
        <v>0</v>
      </c>
      <c r="I408" s="2">
        <f t="shared" si="192"/>
        <v>0</v>
      </c>
      <c r="J408" s="2">
        <f t="shared" si="192"/>
        <v>0</v>
      </c>
      <c r="K408" s="2">
        <f t="shared" si="192"/>
        <v>0</v>
      </c>
      <c r="L408" s="24">
        <f t="shared" si="190"/>
        <v>0</v>
      </c>
      <c r="M408" s="25"/>
      <c r="N408" s="2">
        <f>ROUND(20776.34,2)</f>
        <v>20776.34</v>
      </c>
      <c r="O408" s="2">
        <f t="shared" si="193"/>
        <v>0</v>
      </c>
      <c r="P408" s="2">
        <f t="shared" si="189"/>
        <v>0</v>
      </c>
      <c r="Q408" s="24">
        <f t="shared" si="191"/>
        <v>0</v>
      </c>
      <c r="R408" s="25"/>
      <c r="S408" s="24">
        <f>ROUND(20776.34,2)</f>
        <v>20776.34</v>
      </c>
      <c r="T408" s="25"/>
      <c r="U408" s="26"/>
    </row>
    <row r="409" spans="1:21">
      <c r="A409" s="22" t="s">
        <v>774</v>
      </c>
      <c r="B409" s="23"/>
      <c r="C409" s="22" t="s">
        <v>775</v>
      </c>
      <c r="D409" s="23"/>
      <c r="E409" s="23"/>
      <c r="F409" s="23"/>
      <c r="G409" s="23"/>
      <c r="H409" s="2">
        <f t="shared" si="194"/>
        <v>0</v>
      </c>
      <c r="I409" s="2">
        <f t="shared" si="192"/>
        <v>0</v>
      </c>
      <c r="J409" s="2">
        <f t="shared" si="192"/>
        <v>0</v>
      </c>
      <c r="K409" s="2">
        <f t="shared" si="192"/>
        <v>0</v>
      </c>
      <c r="L409" s="24">
        <f t="shared" si="190"/>
        <v>0</v>
      </c>
      <c r="M409" s="25"/>
      <c r="N409" s="2">
        <f>ROUND(400.87,2)</f>
        <v>400.87</v>
      </c>
      <c r="O409" s="2">
        <f t="shared" si="193"/>
        <v>0</v>
      </c>
      <c r="P409" s="2">
        <f t="shared" si="189"/>
        <v>0</v>
      </c>
      <c r="Q409" s="24">
        <f t="shared" si="191"/>
        <v>0</v>
      </c>
      <c r="R409" s="25"/>
      <c r="S409" s="24">
        <f>ROUND(400.87,2)</f>
        <v>400.87</v>
      </c>
      <c r="T409" s="25"/>
      <c r="U409" s="26"/>
    </row>
    <row r="410" spans="1:21">
      <c r="A410" s="22" t="s">
        <v>776</v>
      </c>
      <c r="B410" s="23"/>
      <c r="C410" s="22" t="s">
        <v>777</v>
      </c>
      <c r="D410" s="23"/>
      <c r="E410" s="23"/>
      <c r="F410" s="23"/>
      <c r="G410" s="23"/>
      <c r="H410" s="2">
        <f t="shared" si="194"/>
        <v>0</v>
      </c>
      <c r="I410" s="2">
        <f t="shared" si="192"/>
        <v>0</v>
      </c>
      <c r="J410" s="2">
        <f t="shared" si="192"/>
        <v>0</v>
      </c>
      <c r="K410" s="2">
        <f t="shared" si="192"/>
        <v>0</v>
      </c>
      <c r="L410" s="24">
        <f t="shared" si="190"/>
        <v>0</v>
      </c>
      <c r="M410" s="25"/>
      <c r="N410" s="2">
        <f>ROUND(8842.39,2)</f>
        <v>8842.39</v>
      </c>
      <c r="O410" s="2">
        <f t="shared" si="193"/>
        <v>0</v>
      </c>
      <c r="P410" s="2">
        <f t="shared" si="189"/>
        <v>0</v>
      </c>
      <c r="Q410" s="24">
        <f t="shared" si="191"/>
        <v>0</v>
      </c>
      <c r="R410" s="25"/>
      <c r="S410" s="24">
        <f>ROUND(8842.39,2)</f>
        <v>8842.39</v>
      </c>
      <c r="T410" s="25"/>
      <c r="U410" s="26"/>
    </row>
    <row r="411" spans="1:21">
      <c r="A411" s="22" t="s">
        <v>778</v>
      </c>
      <c r="B411" s="23"/>
      <c r="C411" s="22" t="s">
        <v>779</v>
      </c>
      <c r="D411" s="23"/>
      <c r="E411" s="23"/>
      <c r="F411" s="23"/>
      <c r="G411" s="23"/>
      <c r="H411" s="2">
        <f t="shared" si="194"/>
        <v>0</v>
      </c>
      <c r="I411" s="2">
        <f t="shared" si="192"/>
        <v>0</v>
      </c>
      <c r="J411" s="2">
        <f t="shared" si="192"/>
        <v>0</v>
      </c>
      <c r="K411" s="2">
        <f t="shared" si="192"/>
        <v>0</v>
      </c>
      <c r="L411" s="24">
        <f t="shared" si="190"/>
        <v>0</v>
      </c>
      <c r="M411" s="25"/>
      <c r="N411" s="2">
        <f>ROUND(19527.52,2)</f>
        <v>19527.52</v>
      </c>
      <c r="O411" s="2">
        <f t="shared" si="193"/>
        <v>0</v>
      </c>
      <c r="P411" s="2">
        <f t="shared" ref="P411:P426" si="195">ROUND(0,2)</f>
        <v>0</v>
      </c>
      <c r="Q411" s="24">
        <f t="shared" si="191"/>
        <v>0</v>
      </c>
      <c r="R411" s="25"/>
      <c r="S411" s="24">
        <f>ROUND(19527.52,2)</f>
        <v>19527.52</v>
      </c>
      <c r="T411" s="25"/>
      <c r="U411" s="26"/>
    </row>
    <row r="412" spans="1:21">
      <c r="A412" s="22" t="s">
        <v>780</v>
      </c>
      <c r="B412" s="23"/>
      <c r="C412" s="22" t="s">
        <v>781</v>
      </c>
      <c r="D412" s="23"/>
      <c r="E412" s="23"/>
      <c r="F412" s="23"/>
      <c r="G412" s="23"/>
      <c r="H412" s="2">
        <f t="shared" si="194"/>
        <v>0</v>
      </c>
      <c r="I412" s="2">
        <f t="shared" si="192"/>
        <v>0</v>
      </c>
      <c r="J412" s="2">
        <f t="shared" si="192"/>
        <v>0</v>
      </c>
      <c r="K412" s="2">
        <f t="shared" si="192"/>
        <v>0</v>
      </c>
      <c r="L412" s="24">
        <f t="shared" si="190"/>
        <v>0</v>
      </c>
      <c r="M412" s="25"/>
      <c r="N412" s="2">
        <f>ROUND(4302.16,2)</f>
        <v>4302.16</v>
      </c>
      <c r="O412" s="2">
        <f t="shared" si="193"/>
        <v>0</v>
      </c>
      <c r="P412" s="2">
        <f t="shared" si="195"/>
        <v>0</v>
      </c>
      <c r="Q412" s="24">
        <f t="shared" si="191"/>
        <v>0</v>
      </c>
      <c r="R412" s="25"/>
      <c r="S412" s="24">
        <f>ROUND(4302.16,2)</f>
        <v>4302.16</v>
      </c>
      <c r="T412" s="25"/>
      <c r="U412" s="26"/>
    </row>
    <row r="413" spans="1:21">
      <c r="A413" s="22" t="s">
        <v>782</v>
      </c>
      <c r="B413" s="23"/>
      <c r="C413" s="22" t="s">
        <v>783</v>
      </c>
      <c r="D413" s="23"/>
      <c r="E413" s="23"/>
      <c r="F413" s="23"/>
      <c r="G413" s="23"/>
      <c r="H413" s="2">
        <f t="shared" si="194"/>
        <v>0</v>
      </c>
      <c r="I413" s="2">
        <f t="shared" si="192"/>
        <v>0</v>
      </c>
      <c r="J413" s="2">
        <f t="shared" si="192"/>
        <v>0</v>
      </c>
      <c r="K413" s="2">
        <f t="shared" si="192"/>
        <v>0</v>
      </c>
      <c r="L413" s="24">
        <f t="shared" si="190"/>
        <v>0</v>
      </c>
      <c r="M413" s="25"/>
      <c r="N413" s="2">
        <f>ROUND(17182.35,2)</f>
        <v>17182.349999999999</v>
      </c>
      <c r="O413" s="2">
        <f t="shared" si="193"/>
        <v>0</v>
      </c>
      <c r="P413" s="2">
        <f t="shared" si="195"/>
        <v>0</v>
      </c>
      <c r="Q413" s="24">
        <f t="shared" si="191"/>
        <v>0</v>
      </c>
      <c r="R413" s="25"/>
      <c r="S413" s="24">
        <f>ROUND(17182.35,2)</f>
        <v>17182.349999999999</v>
      </c>
      <c r="T413" s="25"/>
      <c r="U413" s="26"/>
    </row>
    <row r="414" spans="1:21">
      <c r="A414" s="22" t="s">
        <v>784</v>
      </c>
      <c r="B414" s="23"/>
      <c r="C414" s="22" t="s">
        <v>785</v>
      </c>
      <c r="D414" s="23"/>
      <c r="E414" s="23"/>
      <c r="F414" s="23"/>
      <c r="G414" s="23"/>
      <c r="H414" s="2">
        <f t="shared" si="194"/>
        <v>0</v>
      </c>
      <c r="I414" s="2">
        <f t="shared" si="192"/>
        <v>0</v>
      </c>
      <c r="J414" s="2">
        <f t="shared" si="192"/>
        <v>0</v>
      </c>
      <c r="K414" s="2">
        <f t="shared" si="192"/>
        <v>0</v>
      </c>
      <c r="L414" s="24">
        <f t="shared" si="190"/>
        <v>0</v>
      </c>
      <c r="M414" s="25"/>
      <c r="N414" s="2">
        <f>ROUND(76255.17,2)</f>
        <v>76255.17</v>
      </c>
      <c r="O414" s="2">
        <f t="shared" si="193"/>
        <v>0</v>
      </c>
      <c r="P414" s="2">
        <f t="shared" si="195"/>
        <v>0</v>
      </c>
      <c r="Q414" s="24">
        <f t="shared" si="191"/>
        <v>0</v>
      </c>
      <c r="R414" s="25"/>
      <c r="S414" s="24">
        <f>ROUND(76255.17,2)</f>
        <v>76255.17</v>
      </c>
      <c r="T414" s="25"/>
      <c r="U414" s="26"/>
    </row>
    <row r="415" spans="1:21">
      <c r="A415" s="22" t="s">
        <v>786</v>
      </c>
      <c r="B415" s="23"/>
      <c r="C415" s="22" t="s">
        <v>787</v>
      </c>
      <c r="D415" s="23"/>
      <c r="E415" s="23"/>
      <c r="F415" s="23"/>
      <c r="G415" s="23"/>
      <c r="H415" s="2">
        <f t="shared" si="194"/>
        <v>0</v>
      </c>
      <c r="I415" s="2">
        <f t="shared" si="192"/>
        <v>0</v>
      </c>
      <c r="J415" s="2">
        <f t="shared" si="192"/>
        <v>0</v>
      </c>
      <c r="K415" s="2">
        <f t="shared" si="192"/>
        <v>0</v>
      </c>
      <c r="L415" s="24">
        <f t="shared" ref="L415:L430" si="196">ROUND(0,2)</f>
        <v>0</v>
      </c>
      <c r="M415" s="25"/>
      <c r="N415" s="2">
        <f>ROUND(19744.44,2)</f>
        <v>19744.439999999999</v>
      </c>
      <c r="O415" s="2">
        <f t="shared" si="193"/>
        <v>0</v>
      </c>
      <c r="P415" s="2">
        <f t="shared" si="195"/>
        <v>0</v>
      </c>
      <c r="Q415" s="24">
        <f t="shared" ref="Q415:Q430" si="197">ROUND(0,2)</f>
        <v>0</v>
      </c>
      <c r="R415" s="25"/>
      <c r="S415" s="24">
        <f>ROUND(19744.44,2)</f>
        <v>19744.439999999999</v>
      </c>
      <c r="T415" s="25"/>
      <c r="U415" s="26"/>
    </row>
    <row r="416" spans="1:21">
      <c r="A416" s="22" t="s">
        <v>788</v>
      </c>
      <c r="B416" s="23"/>
      <c r="C416" s="22" t="s">
        <v>789</v>
      </c>
      <c r="D416" s="23"/>
      <c r="E416" s="23"/>
      <c r="F416" s="23"/>
      <c r="G416" s="23"/>
      <c r="H416" s="2">
        <f t="shared" si="194"/>
        <v>0</v>
      </c>
      <c r="I416" s="2">
        <f t="shared" si="192"/>
        <v>0</v>
      </c>
      <c r="J416" s="2">
        <f t="shared" si="192"/>
        <v>0</v>
      </c>
      <c r="K416" s="2">
        <f t="shared" si="192"/>
        <v>0</v>
      </c>
      <c r="L416" s="24">
        <f t="shared" si="196"/>
        <v>0</v>
      </c>
      <c r="M416" s="25"/>
      <c r="N416" s="2">
        <f>ROUND(43604.04,2)</f>
        <v>43604.04</v>
      </c>
      <c r="O416" s="2">
        <f t="shared" si="193"/>
        <v>0</v>
      </c>
      <c r="P416" s="2">
        <f t="shared" si="195"/>
        <v>0</v>
      </c>
      <c r="Q416" s="24">
        <f t="shared" si="197"/>
        <v>0</v>
      </c>
      <c r="R416" s="25"/>
      <c r="S416" s="24">
        <f>ROUND(43604.04,2)</f>
        <v>43604.04</v>
      </c>
      <c r="T416" s="25"/>
      <c r="U416" s="26"/>
    </row>
    <row r="417" spans="1:21">
      <c r="A417" s="22" t="s">
        <v>790</v>
      </c>
      <c r="B417" s="23"/>
      <c r="C417" s="22" t="s">
        <v>791</v>
      </c>
      <c r="D417" s="23"/>
      <c r="E417" s="23"/>
      <c r="F417" s="23"/>
      <c r="G417" s="23"/>
      <c r="H417" s="2">
        <f t="shared" si="194"/>
        <v>0</v>
      </c>
      <c r="I417" s="2">
        <f t="shared" si="192"/>
        <v>0</v>
      </c>
      <c r="J417" s="2">
        <f t="shared" si="192"/>
        <v>0</v>
      </c>
      <c r="K417" s="2">
        <f t="shared" si="192"/>
        <v>0</v>
      </c>
      <c r="L417" s="24">
        <f t="shared" si="196"/>
        <v>0</v>
      </c>
      <c r="M417" s="25"/>
      <c r="N417" s="2">
        <f>ROUND(5707.05,2)</f>
        <v>5707.05</v>
      </c>
      <c r="O417" s="2">
        <f t="shared" si="193"/>
        <v>0</v>
      </c>
      <c r="P417" s="2">
        <f t="shared" si="195"/>
        <v>0</v>
      </c>
      <c r="Q417" s="24">
        <f t="shared" si="197"/>
        <v>0</v>
      </c>
      <c r="R417" s="25"/>
      <c r="S417" s="24">
        <f>ROUND(5707.05,2)</f>
        <v>5707.05</v>
      </c>
      <c r="T417" s="25"/>
      <c r="U417" s="26"/>
    </row>
    <row r="418" spans="1:21">
      <c r="A418" s="22" t="s">
        <v>792</v>
      </c>
      <c r="B418" s="23"/>
      <c r="C418" s="22" t="s">
        <v>793</v>
      </c>
      <c r="D418" s="23"/>
      <c r="E418" s="23"/>
      <c r="F418" s="23"/>
      <c r="G418" s="23"/>
      <c r="H418" s="2">
        <f t="shared" si="194"/>
        <v>0</v>
      </c>
      <c r="I418" s="2">
        <f t="shared" ref="I418:K428" si="198">ROUND(0,2)</f>
        <v>0</v>
      </c>
      <c r="J418" s="2">
        <f t="shared" si="198"/>
        <v>0</v>
      </c>
      <c r="K418" s="2">
        <f t="shared" si="198"/>
        <v>0</v>
      </c>
      <c r="L418" s="24">
        <f t="shared" si="196"/>
        <v>0</v>
      </c>
      <c r="M418" s="25"/>
      <c r="N418" s="2">
        <f>ROUND(16776.06,2)</f>
        <v>16776.060000000001</v>
      </c>
      <c r="O418" s="2">
        <f t="shared" si="193"/>
        <v>0</v>
      </c>
      <c r="P418" s="2">
        <f t="shared" si="195"/>
        <v>0</v>
      </c>
      <c r="Q418" s="24">
        <f t="shared" si="197"/>
        <v>0</v>
      </c>
      <c r="R418" s="25"/>
      <c r="S418" s="24">
        <f>ROUND(16776.06,2)</f>
        <v>16776.060000000001</v>
      </c>
      <c r="T418" s="25"/>
      <c r="U418" s="26"/>
    </row>
    <row r="419" spans="1:21">
      <c r="A419" s="22" t="s">
        <v>794</v>
      </c>
      <c r="B419" s="23"/>
      <c r="C419" s="22" t="s">
        <v>795</v>
      </c>
      <c r="D419" s="23"/>
      <c r="E419" s="23"/>
      <c r="F419" s="23"/>
      <c r="G419" s="23"/>
      <c r="H419" s="2">
        <f t="shared" si="194"/>
        <v>0</v>
      </c>
      <c r="I419" s="2">
        <f t="shared" si="198"/>
        <v>0</v>
      </c>
      <c r="J419" s="2">
        <f t="shared" si="198"/>
        <v>0</v>
      </c>
      <c r="K419" s="2">
        <f t="shared" si="198"/>
        <v>0</v>
      </c>
      <c r="L419" s="24">
        <f t="shared" si="196"/>
        <v>0</v>
      </c>
      <c r="M419" s="25"/>
      <c r="N419" s="2">
        <f>ROUND(23051.22,2)</f>
        <v>23051.22</v>
      </c>
      <c r="O419" s="2">
        <f t="shared" ref="O419:O428" si="199">ROUND(0,2)</f>
        <v>0</v>
      </c>
      <c r="P419" s="2">
        <f t="shared" si="195"/>
        <v>0</v>
      </c>
      <c r="Q419" s="24">
        <f t="shared" si="197"/>
        <v>0</v>
      </c>
      <c r="R419" s="25"/>
      <c r="S419" s="24">
        <f>ROUND(23051.22,2)</f>
        <v>23051.22</v>
      </c>
      <c r="T419" s="25"/>
      <c r="U419" s="26"/>
    </row>
    <row r="420" spans="1:21">
      <c r="A420" s="22" t="s">
        <v>796</v>
      </c>
      <c r="B420" s="23"/>
      <c r="C420" s="22" t="s">
        <v>797</v>
      </c>
      <c r="D420" s="23"/>
      <c r="E420" s="23"/>
      <c r="F420" s="23"/>
      <c r="G420" s="23"/>
      <c r="H420" s="2">
        <f t="shared" ref="H420:H435" si="200">ROUND(0,2)</f>
        <v>0</v>
      </c>
      <c r="I420" s="2">
        <f t="shared" si="198"/>
        <v>0</v>
      </c>
      <c r="J420" s="2">
        <f t="shared" si="198"/>
        <v>0</v>
      </c>
      <c r="K420" s="2">
        <f t="shared" si="198"/>
        <v>0</v>
      </c>
      <c r="L420" s="24">
        <f t="shared" si="196"/>
        <v>0</v>
      </c>
      <c r="M420" s="25"/>
      <c r="N420" s="2">
        <f>ROUND(5884.91,2)</f>
        <v>5884.91</v>
      </c>
      <c r="O420" s="2">
        <f t="shared" si="199"/>
        <v>0</v>
      </c>
      <c r="P420" s="2">
        <f t="shared" si="195"/>
        <v>0</v>
      </c>
      <c r="Q420" s="24">
        <f t="shared" si="197"/>
        <v>0</v>
      </c>
      <c r="R420" s="25"/>
      <c r="S420" s="24">
        <f>ROUND(5884.91,2)</f>
        <v>5884.91</v>
      </c>
      <c r="T420" s="25"/>
      <c r="U420" s="26"/>
    </row>
    <row r="421" spans="1:21">
      <c r="A421" s="22" t="s">
        <v>798</v>
      </c>
      <c r="B421" s="23"/>
      <c r="C421" s="22" t="s">
        <v>799</v>
      </c>
      <c r="D421" s="23"/>
      <c r="E421" s="23"/>
      <c r="F421" s="23"/>
      <c r="G421" s="23"/>
      <c r="H421" s="2">
        <f t="shared" si="200"/>
        <v>0</v>
      </c>
      <c r="I421" s="2">
        <f t="shared" si="198"/>
        <v>0</v>
      </c>
      <c r="J421" s="2">
        <f t="shared" si="198"/>
        <v>0</v>
      </c>
      <c r="K421" s="2">
        <f t="shared" si="198"/>
        <v>0</v>
      </c>
      <c r="L421" s="24">
        <f t="shared" si="196"/>
        <v>0</v>
      </c>
      <c r="M421" s="25"/>
      <c r="N421" s="2">
        <f>ROUND(11852.81,2)</f>
        <v>11852.81</v>
      </c>
      <c r="O421" s="2">
        <f t="shared" si="199"/>
        <v>0</v>
      </c>
      <c r="P421" s="2">
        <f t="shared" si="195"/>
        <v>0</v>
      </c>
      <c r="Q421" s="24">
        <f t="shared" si="197"/>
        <v>0</v>
      </c>
      <c r="R421" s="25"/>
      <c r="S421" s="24">
        <f>ROUND(11852.81,2)</f>
        <v>11852.81</v>
      </c>
      <c r="T421" s="25"/>
      <c r="U421" s="26"/>
    </row>
    <row r="422" spans="1:21">
      <c r="A422" s="22" t="s">
        <v>800</v>
      </c>
      <c r="B422" s="23"/>
      <c r="C422" s="22" t="s">
        <v>801</v>
      </c>
      <c r="D422" s="23"/>
      <c r="E422" s="23"/>
      <c r="F422" s="23"/>
      <c r="G422" s="23"/>
      <c r="H422" s="2">
        <f t="shared" si="200"/>
        <v>0</v>
      </c>
      <c r="I422" s="2">
        <f t="shared" si="198"/>
        <v>0</v>
      </c>
      <c r="J422" s="2">
        <f t="shared" si="198"/>
        <v>0</v>
      </c>
      <c r="K422" s="2">
        <f t="shared" si="198"/>
        <v>0</v>
      </c>
      <c r="L422" s="24">
        <f t="shared" si="196"/>
        <v>0</v>
      </c>
      <c r="M422" s="25"/>
      <c r="N422" s="2">
        <f>ROUND(25273.51,2)</f>
        <v>25273.51</v>
      </c>
      <c r="O422" s="2">
        <f t="shared" si="199"/>
        <v>0</v>
      </c>
      <c r="P422" s="2">
        <f t="shared" si="195"/>
        <v>0</v>
      </c>
      <c r="Q422" s="24">
        <f t="shared" si="197"/>
        <v>0</v>
      </c>
      <c r="R422" s="25"/>
      <c r="S422" s="24">
        <f>ROUND(25273.51,2)</f>
        <v>25273.51</v>
      </c>
      <c r="T422" s="25"/>
      <c r="U422" s="26"/>
    </row>
    <row r="423" spans="1:21">
      <c r="A423" s="22" t="s">
        <v>802</v>
      </c>
      <c r="B423" s="23"/>
      <c r="C423" s="22" t="s">
        <v>803</v>
      </c>
      <c r="D423" s="23"/>
      <c r="E423" s="23"/>
      <c r="F423" s="23"/>
      <c r="G423" s="23"/>
      <c r="H423" s="2">
        <f t="shared" si="200"/>
        <v>0</v>
      </c>
      <c r="I423" s="2">
        <f t="shared" si="198"/>
        <v>0</v>
      </c>
      <c r="J423" s="2">
        <f t="shared" si="198"/>
        <v>0</v>
      </c>
      <c r="K423" s="2">
        <f t="shared" si="198"/>
        <v>0</v>
      </c>
      <c r="L423" s="24">
        <f t="shared" si="196"/>
        <v>0</v>
      </c>
      <c r="M423" s="25"/>
      <c r="N423" s="2">
        <f>ROUND(3711.58,2)</f>
        <v>3711.58</v>
      </c>
      <c r="O423" s="2">
        <f t="shared" si="199"/>
        <v>0</v>
      </c>
      <c r="P423" s="2">
        <f t="shared" si="195"/>
        <v>0</v>
      </c>
      <c r="Q423" s="24">
        <f t="shared" si="197"/>
        <v>0</v>
      </c>
      <c r="R423" s="25"/>
      <c r="S423" s="24">
        <f>ROUND(3711.58,2)</f>
        <v>3711.58</v>
      </c>
      <c r="T423" s="25"/>
      <c r="U423" s="26"/>
    </row>
    <row r="424" spans="1:21">
      <c r="A424" s="22" t="s">
        <v>804</v>
      </c>
      <c r="B424" s="23"/>
      <c r="C424" s="22" t="s">
        <v>805</v>
      </c>
      <c r="D424" s="23"/>
      <c r="E424" s="23"/>
      <c r="F424" s="23"/>
      <c r="G424" s="23"/>
      <c r="H424" s="2">
        <f t="shared" si="200"/>
        <v>0</v>
      </c>
      <c r="I424" s="2">
        <f t="shared" si="198"/>
        <v>0</v>
      </c>
      <c r="J424" s="2">
        <f t="shared" si="198"/>
        <v>0</v>
      </c>
      <c r="K424" s="2">
        <f t="shared" si="198"/>
        <v>0</v>
      </c>
      <c r="L424" s="24">
        <f t="shared" si="196"/>
        <v>0</v>
      </c>
      <c r="M424" s="25"/>
      <c r="N424" s="2">
        <f>ROUND(22816.09,2)</f>
        <v>22816.09</v>
      </c>
      <c r="O424" s="2">
        <f t="shared" si="199"/>
        <v>0</v>
      </c>
      <c r="P424" s="2">
        <f t="shared" si="195"/>
        <v>0</v>
      </c>
      <c r="Q424" s="24">
        <f t="shared" si="197"/>
        <v>0</v>
      </c>
      <c r="R424" s="25"/>
      <c r="S424" s="24">
        <f>ROUND(22816.09,2)</f>
        <v>22816.09</v>
      </c>
      <c r="T424" s="25"/>
      <c r="U424" s="26"/>
    </row>
    <row r="425" spans="1:21">
      <c r="A425" s="22" t="s">
        <v>806</v>
      </c>
      <c r="B425" s="23"/>
      <c r="C425" s="22" t="s">
        <v>807</v>
      </c>
      <c r="D425" s="23"/>
      <c r="E425" s="23"/>
      <c r="F425" s="23"/>
      <c r="G425" s="23"/>
      <c r="H425" s="2">
        <f t="shared" si="200"/>
        <v>0</v>
      </c>
      <c r="I425" s="2">
        <f t="shared" si="198"/>
        <v>0</v>
      </c>
      <c r="J425" s="2">
        <f t="shared" si="198"/>
        <v>0</v>
      </c>
      <c r="K425" s="2">
        <f t="shared" si="198"/>
        <v>0</v>
      </c>
      <c r="L425" s="24">
        <f t="shared" si="196"/>
        <v>0</v>
      </c>
      <c r="M425" s="25"/>
      <c r="N425" s="2">
        <f>ROUND(21210.69,2)</f>
        <v>21210.69</v>
      </c>
      <c r="O425" s="2">
        <f t="shared" si="199"/>
        <v>0</v>
      </c>
      <c r="P425" s="2">
        <f t="shared" si="195"/>
        <v>0</v>
      </c>
      <c r="Q425" s="24">
        <f t="shared" si="197"/>
        <v>0</v>
      </c>
      <c r="R425" s="25"/>
      <c r="S425" s="24">
        <f>ROUND(21210.69,2)</f>
        <v>21210.69</v>
      </c>
      <c r="T425" s="25"/>
      <c r="U425" s="26"/>
    </row>
    <row r="426" spans="1:21">
      <c r="A426" s="22" t="s">
        <v>808</v>
      </c>
      <c r="B426" s="23"/>
      <c r="C426" s="22" t="s">
        <v>807</v>
      </c>
      <c r="D426" s="23"/>
      <c r="E426" s="23"/>
      <c r="F426" s="23"/>
      <c r="G426" s="23"/>
      <c r="H426" s="2">
        <f t="shared" si="200"/>
        <v>0</v>
      </c>
      <c r="I426" s="2">
        <f t="shared" si="198"/>
        <v>0</v>
      </c>
      <c r="J426" s="2">
        <f t="shared" si="198"/>
        <v>0</v>
      </c>
      <c r="K426" s="2">
        <f t="shared" si="198"/>
        <v>0</v>
      </c>
      <c r="L426" s="24">
        <f t="shared" si="196"/>
        <v>0</v>
      </c>
      <c r="M426" s="25"/>
      <c r="N426" s="2">
        <f>ROUND(998483.69,2)</f>
        <v>998483.69</v>
      </c>
      <c r="O426" s="2">
        <f t="shared" si="199"/>
        <v>0</v>
      </c>
      <c r="P426" s="2">
        <f t="shared" si="195"/>
        <v>0</v>
      </c>
      <c r="Q426" s="24">
        <f t="shared" si="197"/>
        <v>0</v>
      </c>
      <c r="R426" s="25"/>
      <c r="S426" s="24">
        <f>ROUND(998483.69,2)</f>
        <v>998483.69</v>
      </c>
      <c r="T426" s="25"/>
      <c r="U426" s="26"/>
    </row>
    <row r="427" spans="1:21">
      <c r="A427" s="22" t="s">
        <v>809</v>
      </c>
      <c r="B427" s="23"/>
      <c r="C427" s="22" t="s">
        <v>810</v>
      </c>
      <c r="D427" s="23"/>
      <c r="E427" s="23"/>
      <c r="F427" s="23"/>
      <c r="G427" s="23"/>
      <c r="H427" s="2">
        <f t="shared" si="200"/>
        <v>0</v>
      </c>
      <c r="I427" s="2">
        <f t="shared" si="198"/>
        <v>0</v>
      </c>
      <c r="J427" s="2">
        <f t="shared" si="198"/>
        <v>0</v>
      </c>
      <c r="K427" s="2">
        <f t="shared" si="198"/>
        <v>0</v>
      </c>
      <c r="L427" s="24">
        <f t="shared" si="196"/>
        <v>0</v>
      </c>
      <c r="M427" s="25"/>
      <c r="N427" s="2">
        <f>ROUND(208037,2)</f>
        <v>208037</v>
      </c>
      <c r="O427" s="2">
        <f t="shared" si="199"/>
        <v>0</v>
      </c>
      <c r="P427" s="2">
        <f>ROUND(0,2)</f>
        <v>0</v>
      </c>
      <c r="Q427" s="24">
        <f t="shared" si="197"/>
        <v>0</v>
      </c>
      <c r="R427" s="25"/>
      <c r="S427" s="24">
        <f>ROUND(208037,2)</f>
        <v>208037</v>
      </c>
      <c r="T427" s="25"/>
      <c r="U427" s="26"/>
    </row>
    <row r="428" spans="1:21">
      <c r="A428" s="22" t="s">
        <v>811</v>
      </c>
      <c r="B428" s="23"/>
      <c r="C428" s="22" t="s">
        <v>812</v>
      </c>
      <c r="D428" s="23"/>
      <c r="E428" s="23"/>
      <c r="F428" s="23"/>
      <c r="G428" s="23"/>
      <c r="H428" s="2">
        <f t="shared" si="200"/>
        <v>0</v>
      </c>
      <c r="I428" s="2">
        <f t="shared" si="198"/>
        <v>0</v>
      </c>
      <c r="J428" s="2">
        <f t="shared" si="198"/>
        <v>0</v>
      </c>
      <c r="K428" s="2">
        <f t="shared" si="198"/>
        <v>0</v>
      </c>
      <c r="L428" s="24">
        <f t="shared" si="196"/>
        <v>0</v>
      </c>
      <c r="M428" s="25"/>
      <c r="N428" s="2">
        <f>ROUND(568308.09,2)</f>
        <v>568308.09</v>
      </c>
      <c r="O428" s="2">
        <f t="shared" si="199"/>
        <v>0</v>
      </c>
      <c r="P428" s="2">
        <f>ROUND(0,2)</f>
        <v>0</v>
      </c>
      <c r="Q428" s="24">
        <f t="shared" si="197"/>
        <v>0</v>
      </c>
      <c r="R428" s="25"/>
      <c r="S428" s="24">
        <f>ROUND(568308.09,2)</f>
        <v>568308.09</v>
      </c>
      <c r="T428" s="25"/>
      <c r="U428" s="26"/>
    </row>
    <row r="429" spans="1:21">
      <c r="A429" s="22" t="s">
        <v>813</v>
      </c>
      <c r="B429" s="23"/>
      <c r="C429" s="22" t="s">
        <v>814</v>
      </c>
      <c r="D429" s="23"/>
      <c r="E429" s="23"/>
      <c r="F429" s="23"/>
      <c r="G429" s="23"/>
      <c r="H429" s="2">
        <f t="shared" si="200"/>
        <v>0</v>
      </c>
      <c r="I429" s="2">
        <f t="shared" ref="I429:J439" si="201">ROUND(0,2)</f>
        <v>0</v>
      </c>
      <c r="J429" s="2">
        <f t="shared" si="201"/>
        <v>0</v>
      </c>
      <c r="K429" s="2">
        <f>ROUND(7278.82,2)</f>
        <v>7278.82</v>
      </c>
      <c r="L429" s="24">
        <f t="shared" si="196"/>
        <v>0</v>
      </c>
      <c r="M429" s="25"/>
      <c r="N429" s="2">
        <f>ROUND(0,2)</f>
        <v>0</v>
      </c>
      <c r="O429" s="2">
        <f>ROUND(10,2)</f>
        <v>10</v>
      </c>
      <c r="P429" s="2">
        <f>ROUND(0,2)</f>
        <v>0</v>
      </c>
      <c r="Q429" s="24">
        <f t="shared" si="197"/>
        <v>0</v>
      </c>
      <c r="R429" s="25"/>
      <c r="S429" s="24">
        <f>ROUND(7288.82,2)</f>
        <v>7288.82</v>
      </c>
      <c r="T429" s="25"/>
      <c r="U429" s="26"/>
    </row>
    <row r="430" spans="1:21">
      <c r="A430" s="22" t="s">
        <v>815</v>
      </c>
      <c r="B430" s="23"/>
      <c r="C430" s="22" t="s">
        <v>816</v>
      </c>
      <c r="D430" s="23"/>
      <c r="E430" s="23"/>
      <c r="F430" s="23"/>
      <c r="G430" s="23"/>
      <c r="H430" s="2">
        <f t="shared" si="200"/>
        <v>0</v>
      </c>
      <c r="I430" s="2">
        <f t="shared" si="201"/>
        <v>0</v>
      </c>
      <c r="J430" s="2">
        <f t="shared" si="201"/>
        <v>0</v>
      </c>
      <c r="K430" s="2">
        <f t="shared" ref="K430:K441" si="202">ROUND(0,2)</f>
        <v>0</v>
      </c>
      <c r="L430" s="24">
        <f t="shared" si="196"/>
        <v>0</v>
      </c>
      <c r="M430" s="25"/>
      <c r="N430" s="2">
        <f>ROUND(0,2)</f>
        <v>0</v>
      </c>
      <c r="O430" s="2">
        <f t="shared" ref="O430:O437" si="203">ROUND(0,2)</f>
        <v>0</v>
      </c>
      <c r="P430" s="2">
        <f>ROUND(2000,2)</f>
        <v>2000</v>
      </c>
      <c r="Q430" s="24">
        <f t="shared" si="197"/>
        <v>0</v>
      </c>
      <c r="R430" s="25"/>
      <c r="S430" s="24">
        <f>ROUND(-2000,2)</f>
        <v>-2000</v>
      </c>
      <c r="T430" s="25"/>
      <c r="U430" s="26"/>
    </row>
    <row r="431" spans="1:21">
      <c r="A431" s="22" t="s">
        <v>817</v>
      </c>
      <c r="B431" s="23"/>
      <c r="C431" s="22" t="s">
        <v>818</v>
      </c>
      <c r="D431" s="23"/>
      <c r="E431" s="23"/>
      <c r="F431" s="23"/>
      <c r="G431" s="23"/>
      <c r="H431" s="2">
        <f t="shared" si="200"/>
        <v>0</v>
      </c>
      <c r="I431" s="2">
        <f t="shared" si="201"/>
        <v>0</v>
      </c>
      <c r="J431" s="2">
        <f t="shared" si="201"/>
        <v>0</v>
      </c>
      <c r="K431" s="2">
        <f t="shared" si="202"/>
        <v>0</v>
      </c>
      <c r="L431" s="24">
        <f t="shared" ref="L431:L442" si="204">ROUND(0,2)</f>
        <v>0</v>
      </c>
      <c r="M431" s="25"/>
      <c r="N431" s="2">
        <f>ROUND(8851.79,2)</f>
        <v>8851.7900000000009</v>
      </c>
      <c r="O431" s="2">
        <f t="shared" si="203"/>
        <v>0</v>
      </c>
      <c r="P431" s="2">
        <f t="shared" ref="P431:Q446" si="205">ROUND(0,2)</f>
        <v>0</v>
      </c>
      <c r="Q431" s="24">
        <f t="shared" si="205"/>
        <v>0</v>
      </c>
      <c r="R431" s="25"/>
      <c r="S431" s="24">
        <f>ROUND(8851.79,2)</f>
        <v>8851.7900000000009</v>
      </c>
      <c r="T431" s="25"/>
      <c r="U431" s="26"/>
    </row>
    <row r="432" spans="1:21">
      <c r="A432" s="22" t="s">
        <v>819</v>
      </c>
      <c r="B432" s="23"/>
      <c r="C432" s="22" t="s">
        <v>820</v>
      </c>
      <c r="D432" s="23"/>
      <c r="E432" s="23"/>
      <c r="F432" s="23"/>
      <c r="G432" s="23"/>
      <c r="H432" s="2">
        <f t="shared" si="200"/>
        <v>0</v>
      </c>
      <c r="I432" s="2">
        <f t="shared" si="201"/>
        <v>0</v>
      </c>
      <c r="J432" s="2">
        <f t="shared" si="201"/>
        <v>0</v>
      </c>
      <c r="K432" s="2">
        <f t="shared" si="202"/>
        <v>0</v>
      </c>
      <c r="L432" s="24">
        <f t="shared" si="204"/>
        <v>0</v>
      </c>
      <c r="M432" s="25"/>
      <c r="N432" s="2">
        <f>ROUND(421.24,2)</f>
        <v>421.24</v>
      </c>
      <c r="O432" s="2">
        <f t="shared" si="203"/>
        <v>0</v>
      </c>
      <c r="P432" s="2">
        <f t="shared" si="205"/>
        <v>0</v>
      </c>
      <c r="Q432" s="24">
        <f t="shared" si="205"/>
        <v>0</v>
      </c>
      <c r="R432" s="25"/>
      <c r="S432" s="24">
        <f>ROUND(421.24,2)</f>
        <v>421.24</v>
      </c>
      <c r="T432" s="25"/>
      <c r="U432" s="26"/>
    </row>
    <row r="433" spans="1:21">
      <c r="A433" s="22" t="s">
        <v>821</v>
      </c>
      <c r="B433" s="23"/>
      <c r="C433" s="22" t="s">
        <v>822</v>
      </c>
      <c r="D433" s="23"/>
      <c r="E433" s="23"/>
      <c r="F433" s="23"/>
      <c r="G433" s="23"/>
      <c r="H433" s="2">
        <f t="shared" si="200"/>
        <v>0</v>
      </c>
      <c r="I433" s="2">
        <f t="shared" si="201"/>
        <v>0</v>
      </c>
      <c r="J433" s="2">
        <f t="shared" si="201"/>
        <v>0</v>
      </c>
      <c r="K433" s="2">
        <f t="shared" si="202"/>
        <v>0</v>
      </c>
      <c r="L433" s="24">
        <f t="shared" si="204"/>
        <v>0</v>
      </c>
      <c r="M433" s="25"/>
      <c r="N433" s="2">
        <f>ROUND(533.9,2)</f>
        <v>533.9</v>
      </c>
      <c r="O433" s="2">
        <f t="shared" si="203"/>
        <v>0</v>
      </c>
      <c r="P433" s="2">
        <f t="shared" si="205"/>
        <v>0</v>
      </c>
      <c r="Q433" s="24">
        <f t="shared" si="205"/>
        <v>0</v>
      </c>
      <c r="R433" s="25"/>
      <c r="S433" s="24">
        <f>ROUND(533.9,2)</f>
        <v>533.9</v>
      </c>
      <c r="T433" s="25"/>
      <c r="U433" s="26"/>
    </row>
    <row r="434" spans="1:21">
      <c r="A434" s="22" t="s">
        <v>823</v>
      </c>
      <c r="B434" s="23"/>
      <c r="C434" s="22" t="s">
        <v>824</v>
      </c>
      <c r="D434" s="23"/>
      <c r="E434" s="23"/>
      <c r="F434" s="23"/>
      <c r="G434" s="23"/>
      <c r="H434" s="2">
        <f t="shared" si="200"/>
        <v>0</v>
      </c>
      <c r="I434" s="2">
        <f t="shared" si="201"/>
        <v>0</v>
      </c>
      <c r="J434" s="2">
        <f t="shared" si="201"/>
        <v>0</v>
      </c>
      <c r="K434" s="2">
        <f t="shared" si="202"/>
        <v>0</v>
      </c>
      <c r="L434" s="24">
        <f t="shared" si="204"/>
        <v>0</v>
      </c>
      <c r="M434" s="25"/>
      <c r="N434" s="2">
        <f>ROUND(167.54,2)</f>
        <v>167.54</v>
      </c>
      <c r="O434" s="2">
        <f t="shared" si="203"/>
        <v>0</v>
      </c>
      <c r="P434" s="2">
        <f t="shared" si="205"/>
        <v>0</v>
      </c>
      <c r="Q434" s="24">
        <f t="shared" si="205"/>
        <v>0</v>
      </c>
      <c r="R434" s="25"/>
      <c r="S434" s="24">
        <f>ROUND(167.54,2)</f>
        <v>167.54</v>
      </c>
      <c r="T434" s="25"/>
      <c r="U434" s="26"/>
    </row>
    <row r="435" spans="1:21">
      <c r="A435" s="22" t="s">
        <v>825</v>
      </c>
      <c r="B435" s="23"/>
      <c r="C435" s="22" t="s">
        <v>826</v>
      </c>
      <c r="D435" s="23"/>
      <c r="E435" s="23"/>
      <c r="F435" s="23"/>
      <c r="G435" s="23"/>
      <c r="H435" s="2">
        <f t="shared" si="200"/>
        <v>0</v>
      </c>
      <c r="I435" s="2">
        <f t="shared" si="201"/>
        <v>0</v>
      </c>
      <c r="J435" s="2">
        <f t="shared" si="201"/>
        <v>0</v>
      </c>
      <c r="K435" s="2">
        <f t="shared" si="202"/>
        <v>0</v>
      </c>
      <c r="L435" s="24">
        <f t="shared" si="204"/>
        <v>0</v>
      </c>
      <c r="M435" s="25"/>
      <c r="N435" s="2">
        <f>ROUND(2833.12,2)</f>
        <v>2833.12</v>
      </c>
      <c r="O435" s="2">
        <f t="shared" si="203"/>
        <v>0</v>
      </c>
      <c r="P435" s="2">
        <f t="shared" si="205"/>
        <v>0</v>
      </c>
      <c r="Q435" s="24">
        <f t="shared" si="205"/>
        <v>0</v>
      </c>
      <c r="R435" s="25"/>
      <c r="S435" s="24">
        <f>ROUND(2833.12,2)</f>
        <v>2833.12</v>
      </c>
      <c r="T435" s="25"/>
      <c r="U435" s="26"/>
    </row>
    <row r="436" spans="1:21">
      <c r="A436" s="22" t="s">
        <v>827</v>
      </c>
      <c r="B436" s="23"/>
      <c r="C436" s="22" t="s">
        <v>828</v>
      </c>
      <c r="D436" s="23"/>
      <c r="E436" s="23"/>
      <c r="F436" s="23"/>
      <c r="G436" s="23"/>
      <c r="H436" s="2">
        <f t="shared" ref="H436:H451" si="206">ROUND(0,2)</f>
        <v>0</v>
      </c>
      <c r="I436" s="2">
        <f t="shared" si="201"/>
        <v>0</v>
      </c>
      <c r="J436" s="2">
        <f t="shared" si="201"/>
        <v>0</v>
      </c>
      <c r="K436" s="2">
        <f t="shared" si="202"/>
        <v>0</v>
      </c>
      <c r="L436" s="24">
        <f t="shared" si="204"/>
        <v>0</v>
      </c>
      <c r="M436" s="25"/>
      <c r="N436" s="2">
        <f>ROUND(36.5,2)</f>
        <v>36.5</v>
      </c>
      <c r="O436" s="2">
        <f t="shared" si="203"/>
        <v>0</v>
      </c>
      <c r="P436" s="2">
        <f t="shared" si="205"/>
        <v>0</v>
      </c>
      <c r="Q436" s="24">
        <f t="shared" si="205"/>
        <v>0</v>
      </c>
      <c r="R436" s="25"/>
      <c r="S436" s="24">
        <f>ROUND(36.5,2)</f>
        <v>36.5</v>
      </c>
      <c r="T436" s="25"/>
      <c r="U436" s="26"/>
    </row>
    <row r="437" spans="1:21">
      <c r="A437" s="22" t="s">
        <v>829</v>
      </c>
      <c r="B437" s="23"/>
      <c r="C437" s="22" t="s">
        <v>830</v>
      </c>
      <c r="D437" s="23"/>
      <c r="E437" s="23"/>
      <c r="F437" s="23"/>
      <c r="G437" s="23"/>
      <c r="H437" s="2">
        <f t="shared" si="206"/>
        <v>0</v>
      </c>
      <c r="I437" s="2">
        <f t="shared" si="201"/>
        <v>0</v>
      </c>
      <c r="J437" s="2">
        <f t="shared" si="201"/>
        <v>0</v>
      </c>
      <c r="K437" s="2">
        <f t="shared" si="202"/>
        <v>0</v>
      </c>
      <c r="L437" s="24">
        <f t="shared" si="204"/>
        <v>0</v>
      </c>
      <c r="M437" s="25"/>
      <c r="N437" s="2">
        <f>ROUND(2368.13,2)</f>
        <v>2368.13</v>
      </c>
      <c r="O437" s="2">
        <f t="shared" si="203"/>
        <v>0</v>
      </c>
      <c r="P437" s="2">
        <f t="shared" si="205"/>
        <v>0</v>
      </c>
      <c r="Q437" s="24">
        <f t="shared" si="205"/>
        <v>0</v>
      </c>
      <c r="R437" s="25"/>
      <c r="S437" s="24">
        <f>ROUND(2368.13,2)</f>
        <v>2368.13</v>
      </c>
      <c r="T437" s="25"/>
      <c r="U437" s="26"/>
    </row>
    <row r="438" spans="1:21">
      <c r="A438" s="22" t="s">
        <v>831</v>
      </c>
      <c r="B438" s="23"/>
      <c r="C438" s="22" t="s">
        <v>832</v>
      </c>
      <c r="D438" s="23"/>
      <c r="E438" s="23"/>
      <c r="F438" s="23"/>
      <c r="G438" s="23"/>
      <c r="H438" s="2">
        <f t="shared" si="206"/>
        <v>0</v>
      </c>
      <c r="I438" s="2">
        <f t="shared" si="201"/>
        <v>0</v>
      </c>
      <c r="J438" s="2">
        <f t="shared" si="201"/>
        <v>0</v>
      </c>
      <c r="K438" s="2">
        <f t="shared" si="202"/>
        <v>0</v>
      </c>
      <c r="L438" s="24">
        <f t="shared" si="204"/>
        <v>0</v>
      </c>
      <c r="M438" s="25"/>
      <c r="N438" s="2">
        <f>ROUND(0,2)</f>
        <v>0</v>
      </c>
      <c r="O438" s="2">
        <f>ROUND(39900,2)</f>
        <v>39900</v>
      </c>
      <c r="P438" s="2">
        <f t="shared" si="205"/>
        <v>0</v>
      </c>
      <c r="Q438" s="24">
        <f t="shared" si="205"/>
        <v>0</v>
      </c>
      <c r="R438" s="25"/>
      <c r="S438" s="24">
        <f>ROUND(39900,2)</f>
        <v>39900</v>
      </c>
      <c r="T438" s="25"/>
      <c r="U438" s="26"/>
    </row>
    <row r="439" spans="1:21">
      <c r="A439" s="22" t="s">
        <v>831</v>
      </c>
      <c r="B439" s="23"/>
      <c r="C439" s="22" t="s">
        <v>832</v>
      </c>
      <c r="D439" s="23"/>
      <c r="E439" s="23"/>
      <c r="F439" s="23"/>
      <c r="G439" s="23"/>
      <c r="H439" s="2">
        <f t="shared" si="206"/>
        <v>0</v>
      </c>
      <c r="I439" s="2">
        <f t="shared" si="201"/>
        <v>0</v>
      </c>
      <c r="J439" s="2">
        <f t="shared" si="201"/>
        <v>0</v>
      </c>
      <c r="K439" s="2">
        <f t="shared" si="202"/>
        <v>0</v>
      </c>
      <c r="L439" s="24">
        <f t="shared" si="204"/>
        <v>0</v>
      </c>
      <c r="M439" s="25"/>
      <c r="N439" s="2">
        <f>ROUND(201.7,2)</f>
        <v>201.7</v>
      </c>
      <c r="O439" s="2">
        <f t="shared" ref="O439:O451" si="207">ROUND(0,2)</f>
        <v>0</v>
      </c>
      <c r="P439" s="2">
        <f t="shared" si="205"/>
        <v>0</v>
      </c>
      <c r="Q439" s="24">
        <f t="shared" si="205"/>
        <v>0</v>
      </c>
      <c r="R439" s="25"/>
      <c r="S439" s="24">
        <f>ROUND(201.7,2)</f>
        <v>201.7</v>
      </c>
      <c r="T439" s="25"/>
      <c r="U439" s="26"/>
    </row>
    <row r="440" spans="1:21">
      <c r="A440" s="22" t="s">
        <v>833</v>
      </c>
      <c r="B440" s="23"/>
      <c r="C440" s="22" t="s">
        <v>834</v>
      </c>
      <c r="D440" s="23"/>
      <c r="E440" s="23"/>
      <c r="F440" s="23"/>
      <c r="G440" s="23"/>
      <c r="H440" s="2">
        <f t="shared" si="206"/>
        <v>0</v>
      </c>
      <c r="I440" s="2">
        <f>ROUND(88000,2)</f>
        <v>88000</v>
      </c>
      <c r="J440" s="2">
        <f t="shared" ref="J440:J455" si="208">ROUND(0,2)</f>
        <v>0</v>
      </c>
      <c r="K440" s="2">
        <f t="shared" si="202"/>
        <v>0</v>
      </c>
      <c r="L440" s="24">
        <f t="shared" si="204"/>
        <v>0</v>
      </c>
      <c r="M440" s="25"/>
      <c r="N440" s="2">
        <f>ROUND(0,2)</f>
        <v>0</v>
      </c>
      <c r="O440" s="2">
        <f t="shared" si="207"/>
        <v>0</v>
      </c>
      <c r="P440" s="2">
        <f t="shared" si="205"/>
        <v>0</v>
      </c>
      <c r="Q440" s="24">
        <f t="shared" si="205"/>
        <v>0</v>
      </c>
      <c r="R440" s="25"/>
      <c r="S440" s="24">
        <f>ROUND(88000,2)</f>
        <v>88000</v>
      </c>
      <c r="T440" s="25"/>
      <c r="U440" s="26"/>
    </row>
    <row r="441" spans="1:21">
      <c r="A441" s="22" t="s">
        <v>835</v>
      </c>
      <c r="B441" s="23"/>
      <c r="C441" s="22" t="s">
        <v>836</v>
      </c>
      <c r="D441" s="23"/>
      <c r="E441" s="23"/>
      <c r="F441" s="23"/>
      <c r="G441" s="23"/>
      <c r="H441" s="2">
        <f t="shared" si="206"/>
        <v>0</v>
      </c>
      <c r="I441" s="2">
        <f t="shared" ref="I441:I456" si="209">ROUND(0,2)</f>
        <v>0</v>
      </c>
      <c r="J441" s="2">
        <f t="shared" si="208"/>
        <v>0</v>
      </c>
      <c r="K441" s="2">
        <f t="shared" si="202"/>
        <v>0</v>
      </c>
      <c r="L441" s="24">
        <f t="shared" si="204"/>
        <v>0</v>
      </c>
      <c r="M441" s="25"/>
      <c r="N441" s="2">
        <f>ROUND(20000,2)</f>
        <v>20000</v>
      </c>
      <c r="O441" s="2">
        <f t="shared" si="207"/>
        <v>0</v>
      </c>
      <c r="P441" s="2">
        <f t="shared" si="205"/>
        <v>0</v>
      </c>
      <c r="Q441" s="24">
        <f t="shared" si="205"/>
        <v>0</v>
      </c>
      <c r="R441" s="25"/>
      <c r="S441" s="24">
        <f>ROUND(20000,2)</f>
        <v>20000</v>
      </c>
      <c r="T441" s="25"/>
      <c r="U441" s="26"/>
    </row>
    <row r="442" spans="1:21">
      <c r="A442" s="22" t="s">
        <v>837</v>
      </c>
      <c r="B442" s="23"/>
      <c r="C442" s="22" t="s">
        <v>838</v>
      </c>
      <c r="D442" s="23"/>
      <c r="E442" s="23"/>
      <c r="F442" s="23"/>
      <c r="G442" s="23"/>
      <c r="H442" s="2">
        <f t="shared" si="206"/>
        <v>0</v>
      </c>
      <c r="I442" s="2">
        <f t="shared" si="209"/>
        <v>0</v>
      </c>
      <c r="J442" s="2">
        <f t="shared" si="208"/>
        <v>0</v>
      </c>
      <c r="K442" s="2">
        <f>ROUND(20000,2)</f>
        <v>20000</v>
      </c>
      <c r="L442" s="24">
        <f t="shared" si="204"/>
        <v>0</v>
      </c>
      <c r="M442" s="25"/>
      <c r="N442" s="2">
        <f t="shared" ref="N442:N447" si="210">ROUND(0,2)</f>
        <v>0</v>
      </c>
      <c r="O442" s="2">
        <f t="shared" si="207"/>
        <v>0</v>
      </c>
      <c r="P442" s="2">
        <f t="shared" si="205"/>
        <v>0</v>
      </c>
      <c r="Q442" s="24">
        <f t="shared" si="205"/>
        <v>0</v>
      </c>
      <c r="R442" s="25"/>
      <c r="S442" s="24">
        <f>ROUND(20000,2)</f>
        <v>20000</v>
      </c>
      <c r="T442" s="25"/>
      <c r="U442" s="26"/>
    </row>
    <row r="443" spans="1:21">
      <c r="A443" s="22" t="s">
        <v>839</v>
      </c>
      <c r="B443" s="23"/>
      <c r="C443" s="22" t="s">
        <v>840</v>
      </c>
      <c r="D443" s="23"/>
      <c r="E443" s="23"/>
      <c r="F443" s="23"/>
      <c r="G443" s="23"/>
      <c r="H443" s="2">
        <f t="shared" si="206"/>
        <v>0</v>
      </c>
      <c r="I443" s="2">
        <f t="shared" si="209"/>
        <v>0</v>
      </c>
      <c r="J443" s="2">
        <f t="shared" si="208"/>
        <v>0</v>
      </c>
      <c r="K443" s="2">
        <f>ROUND(15000,2)</f>
        <v>15000</v>
      </c>
      <c r="L443" s="24">
        <f>ROUND(10000,2)</f>
        <v>10000</v>
      </c>
      <c r="M443" s="25"/>
      <c r="N443" s="2">
        <f t="shared" si="210"/>
        <v>0</v>
      </c>
      <c r="O443" s="2">
        <f t="shared" si="207"/>
        <v>0</v>
      </c>
      <c r="P443" s="2">
        <f t="shared" si="205"/>
        <v>0</v>
      </c>
      <c r="Q443" s="24">
        <f t="shared" si="205"/>
        <v>0</v>
      </c>
      <c r="R443" s="25"/>
      <c r="S443" s="24">
        <f>ROUND(5000,2)</f>
        <v>5000</v>
      </c>
      <c r="T443" s="25"/>
      <c r="U443" s="26"/>
    </row>
    <row r="444" spans="1:21">
      <c r="A444" s="22" t="s">
        <v>841</v>
      </c>
      <c r="B444" s="23"/>
      <c r="C444" s="22" t="s">
        <v>842</v>
      </c>
      <c r="D444" s="23"/>
      <c r="E444" s="23"/>
      <c r="F444" s="23"/>
      <c r="G444" s="23"/>
      <c r="H444" s="2">
        <f t="shared" si="206"/>
        <v>0</v>
      </c>
      <c r="I444" s="2">
        <f t="shared" si="209"/>
        <v>0</v>
      </c>
      <c r="J444" s="2">
        <f t="shared" si="208"/>
        <v>0</v>
      </c>
      <c r="K444" s="2">
        <f>ROUND(6000,2)</f>
        <v>6000</v>
      </c>
      <c r="L444" s="24">
        <f>ROUND(0,2)</f>
        <v>0</v>
      </c>
      <c r="M444" s="25"/>
      <c r="N444" s="2">
        <f t="shared" si="210"/>
        <v>0</v>
      </c>
      <c r="O444" s="2">
        <f t="shared" si="207"/>
        <v>0</v>
      </c>
      <c r="P444" s="2">
        <f t="shared" si="205"/>
        <v>0</v>
      </c>
      <c r="Q444" s="24">
        <f t="shared" si="205"/>
        <v>0</v>
      </c>
      <c r="R444" s="25"/>
      <c r="S444" s="24">
        <f>ROUND(6000,2)</f>
        <v>6000</v>
      </c>
      <c r="T444" s="25"/>
      <c r="U444" s="26"/>
    </row>
    <row r="445" spans="1:21">
      <c r="A445" s="22" t="s">
        <v>843</v>
      </c>
      <c r="B445" s="23"/>
      <c r="C445" s="22" t="s">
        <v>844</v>
      </c>
      <c r="D445" s="23"/>
      <c r="E445" s="23"/>
      <c r="F445" s="23"/>
      <c r="G445" s="23"/>
      <c r="H445" s="2">
        <f t="shared" si="206"/>
        <v>0</v>
      </c>
      <c r="I445" s="2">
        <f t="shared" si="209"/>
        <v>0</v>
      </c>
      <c r="J445" s="2">
        <f t="shared" si="208"/>
        <v>0</v>
      </c>
      <c r="K445" s="2">
        <f>ROUND(10000,2)</f>
        <v>10000</v>
      </c>
      <c r="L445" s="24">
        <f>ROUND(0,2)</f>
        <v>0</v>
      </c>
      <c r="M445" s="25"/>
      <c r="N445" s="2">
        <f t="shared" si="210"/>
        <v>0</v>
      </c>
      <c r="O445" s="2">
        <f t="shared" si="207"/>
        <v>0</v>
      </c>
      <c r="P445" s="2">
        <f t="shared" si="205"/>
        <v>0</v>
      </c>
      <c r="Q445" s="24">
        <f t="shared" si="205"/>
        <v>0</v>
      </c>
      <c r="R445" s="25"/>
      <c r="S445" s="24">
        <f>ROUND(10000,2)</f>
        <v>10000</v>
      </c>
      <c r="T445" s="25"/>
      <c r="U445" s="26"/>
    </row>
    <row r="446" spans="1:21">
      <c r="A446" s="22" t="s">
        <v>845</v>
      </c>
      <c r="B446" s="23"/>
      <c r="C446" s="22" t="s">
        <v>846</v>
      </c>
      <c r="D446" s="23"/>
      <c r="E446" s="23"/>
      <c r="F446" s="23"/>
      <c r="G446" s="23"/>
      <c r="H446" s="2">
        <f t="shared" si="206"/>
        <v>0</v>
      </c>
      <c r="I446" s="2">
        <f t="shared" si="209"/>
        <v>0</v>
      </c>
      <c r="J446" s="2">
        <f t="shared" si="208"/>
        <v>0</v>
      </c>
      <c r="K446" s="2">
        <f>ROUND(4000,2)</f>
        <v>4000</v>
      </c>
      <c r="L446" s="24">
        <f>ROUND(0,2)</f>
        <v>0</v>
      </c>
      <c r="M446" s="25"/>
      <c r="N446" s="2">
        <f t="shared" si="210"/>
        <v>0</v>
      </c>
      <c r="O446" s="2">
        <f t="shared" si="207"/>
        <v>0</v>
      </c>
      <c r="P446" s="2">
        <f t="shared" si="205"/>
        <v>0</v>
      </c>
      <c r="Q446" s="24">
        <f t="shared" si="205"/>
        <v>0</v>
      </c>
      <c r="R446" s="25"/>
      <c r="S446" s="24">
        <f>ROUND(4000,2)</f>
        <v>4000</v>
      </c>
      <c r="T446" s="25"/>
      <c r="U446" s="26"/>
    </row>
    <row r="447" spans="1:21">
      <c r="A447" s="22" t="s">
        <v>847</v>
      </c>
      <c r="B447" s="23"/>
      <c r="C447" s="22" t="s">
        <v>848</v>
      </c>
      <c r="D447" s="23"/>
      <c r="E447" s="23"/>
      <c r="F447" s="23"/>
      <c r="G447" s="23"/>
      <c r="H447" s="2">
        <f t="shared" si="206"/>
        <v>0</v>
      </c>
      <c r="I447" s="2">
        <f t="shared" si="209"/>
        <v>0</v>
      </c>
      <c r="J447" s="2">
        <f t="shared" si="208"/>
        <v>0</v>
      </c>
      <c r="K447" s="2">
        <f>ROUND(12000,2)</f>
        <v>12000</v>
      </c>
      <c r="L447" s="24">
        <f>ROUND(8000,2)</f>
        <v>8000</v>
      </c>
      <c r="M447" s="25"/>
      <c r="N447" s="2">
        <f t="shared" si="210"/>
        <v>0</v>
      </c>
      <c r="O447" s="2">
        <f t="shared" si="207"/>
        <v>0</v>
      </c>
      <c r="P447" s="2">
        <f t="shared" ref="P447:Q457" si="211">ROUND(0,2)</f>
        <v>0</v>
      </c>
      <c r="Q447" s="24">
        <f t="shared" si="211"/>
        <v>0</v>
      </c>
      <c r="R447" s="25"/>
      <c r="S447" s="24">
        <f>ROUND(4000,2)</f>
        <v>4000</v>
      </c>
      <c r="T447" s="25"/>
      <c r="U447" s="26"/>
    </row>
    <row r="448" spans="1:21">
      <c r="A448" s="22" t="s">
        <v>849</v>
      </c>
      <c r="B448" s="23"/>
      <c r="C448" s="22" t="s">
        <v>850</v>
      </c>
      <c r="D448" s="23"/>
      <c r="E448" s="23"/>
      <c r="F448" s="23"/>
      <c r="G448" s="23"/>
      <c r="H448" s="2">
        <f t="shared" si="206"/>
        <v>0</v>
      </c>
      <c r="I448" s="2">
        <f t="shared" si="209"/>
        <v>0</v>
      </c>
      <c r="J448" s="2">
        <f t="shared" si="208"/>
        <v>0</v>
      </c>
      <c r="K448" s="2">
        <f t="shared" ref="K448:L454" si="212">ROUND(0,2)</f>
        <v>0</v>
      </c>
      <c r="L448" s="24">
        <f t="shared" si="212"/>
        <v>0</v>
      </c>
      <c r="M448" s="25"/>
      <c r="N448" s="2">
        <f>ROUND(1000,2)</f>
        <v>1000</v>
      </c>
      <c r="O448" s="2">
        <f t="shared" si="207"/>
        <v>0</v>
      </c>
      <c r="P448" s="2">
        <f t="shared" si="211"/>
        <v>0</v>
      </c>
      <c r="Q448" s="24">
        <f t="shared" si="211"/>
        <v>0</v>
      </c>
      <c r="R448" s="25"/>
      <c r="S448" s="24">
        <f>ROUND(1000,2)</f>
        <v>1000</v>
      </c>
      <c r="T448" s="25"/>
      <c r="U448" s="26"/>
    </row>
    <row r="449" spans="1:21">
      <c r="A449" s="22" t="s">
        <v>851</v>
      </c>
      <c r="B449" s="23"/>
      <c r="C449" s="22" t="s">
        <v>852</v>
      </c>
      <c r="D449" s="23"/>
      <c r="E449" s="23"/>
      <c r="F449" s="23"/>
      <c r="G449" s="23"/>
      <c r="H449" s="2">
        <f t="shared" si="206"/>
        <v>0</v>
      </c>
      <c r="I449" s="2">
        <f t="shared" si="209"/>
        <v>0</v>
      </c>
      <c r="J449" s="2">
        <f t="shared" si="208"/>
        <v>0</v>
      </c>
      <c r="K449" s="2">
        <f t="shared" si="212"/>
        <v>0</v>
      </c>
      <c r="L449" s="24">
        <f t="shared" si="212"/>
        <v>0</v>
      </c>
      <c r="M449" s="25"/>
      <c r="N449" s="2">
        <f>ROUND(100,2)</f>
        <v>100</v>
      </c>
      <c r="O449" s="2">
        <f t="shared" si="207"/>
        <v>0</v>
      </c>
      <c r="P449" s="2">
        <f t="shared" si="211"/>
        <v>0</v>
      </c>
      <c r="Q449" s="24">
        <f t="shared" si="211"/>
        <v>0</v>
      </c>
      <c r="R449" s="25"/>
      <c r="S449" s="24">
        <f>ROUND(100,2)</f>
        <v>100</v>
      </c>
      <c r="T449" s="25"/>
      <c r="U449" s="26"/>
    </row>
    <row r="450" spans="1:21">
      <c r="A450" s="22" t="s">
        <v>851</v>
      </c>
      <c r="B450" s="23"/>
      <c r="C450" s="22" t="s">
        <v>852</v>
      </c>
      <c r="D450" s="23"/>
      <c r="E450" s="23"/>
      <c r="F450" s="23"/>
      <c r="G450" s="23"/>
      <c r="H450" s="2">
        <f t="shared" si="206"/>
        <v>0</v>
      </c>
      <c r="I450" s="2">
        <f t="shared" si="209"/>
        <v>0</v>
      </c>
      <c r="J450" s="2">
        <f t="shared" si="208"/>
        <v>0</v>
      </c>
      <c r="K450" s="2">
        <f t="shared" si="212"/>
        <v>0</v>
      </c>
      <c r="L450" s="24">
        <f t="shared" si="212"/>
        <v>0</v>
      </c>
      <c r="M450" s="25"/>
      <c r="N450" s="2">
        <f>ROUND(22542.01,2)</f>
        <v>22542.01</v>
      </c>
      <c r="O450" s="2">
        <f t="shared" si="207"/>
        <v>0</v>
      </c>
      <c r="P450" s="2">
        <f t="shared" si="211"/>
        <v>0</v>
      </c>
      <c r="Q450" s="24">
        <f t="shared" si="211"/>
        <v>0</v>
      </c>
      <c r="R450" s="25"/>
      <c r="S450" s="24">
        <f>ROUND(22542.01,2)</f>
        <v>22542.01</v>
      </c>
      <c r="T450" s="25"/>
      <c r="U450" s="26"/>
    </row>
    <row r="451" spans="1:21">
      <c r="A451" s="22" t="s">
        <v>853</v>
      </c>
      <c r="B451" s="23"/>
      <c r="C451" s="22" t="s">
        <v>854</v>
      </c>
      <c r="D451" s="23"/>
      <c r="E451" s="23"/>
      <c r="F451" s="23"/>
      <c r="G451" s="23"/>
      <c r="H451" s="2">
        <f t="shared" si="206"/>
        <v>0</v>
      </c>
      <c r="I451" s="2">
        <f t="shared" si="209"/>
        <v>0</v>
      </c>
      <c r="J451" s="2">
        <f t="shared" si="208"/>
        <v>0</v>
      </c>
      <c r="K451" s="2">
        <f t="shared" si="212"/>
        <v>0</v>
      </c>
      <c r="L451" s="24">
        <f t="shared" si="212"/>
        <v>0</v>
      </c>
      <c r="M451" s="25"/>
      <c r="N451" s="2">
        <f>ROUND(150,2)</f>
        <v>150</v>
      </c>
      <c r="O451" s="2">
        <f t="shared" si="207"/>
        <v>0</v>
      </c>
      <c r="P451" s="2">
        <f t="shared" si="211"/>
        <v>0</v>
      </c>
      <c r="Q451" s="24">
        <f t="shared" si="211"/>
        <v>0</v>
      </c>
      <c r="R451" s="25"/>
      <c r="S451" s="24">
        <f>ROUND(150,2)</f>
        <v>150</v>
      </c>
      <c r="T451" s="25"/>
      <c r="U451" s="26"/>
    </row>
    <row r="452" spans="1:21">
      <c r="A452" s="22" t="s">
        <v>853</v>
      </c>
      <c r="B452" s="23"/>
      <c r="C452" s="22" t="s">
        <v>855</v>
      </c>
      <c r="D452" s="23"/>
      <c r="E452" s="23"/>
      <c r="F452" s="23"/>
      <c r="G452" s="23"/>
      <c r="H452" s="2">
        <f t="shared" ref="H452:H467" si="213">ROUND(0,2)</f>
        <v>0</v>
      </c>
      <c r="I452" s="2">
        <f t="shared" si="209"/>
        <v>0</v>
      </c>
      <c r="J452" s="2">
        <f t="shared" si="208"/>
        <v>0</v>
      </c>
      <c r="K452" s="2">
        <f t="shared" si="212"/>
        <v>0</v>
      </c>
      <c r="L452" s="24">
        <f t="shared" si="212"/>
        <v>0</v>
      </c>
      <c r="M452" s="25"/>
      <c r="N452" s="2">
        <f>ROUND(0,2)</f>
        <v>0</v>
      </c>
      <c r="O452" s="2">
        <f>ROUND(48000,2)</f>
        <v>48000</v>
      </c>
      <c r="P452" s="2">
        <f t="shared" si="211"/>
        <v>0</v>
      </c>
      <c r="Q452" s="24">
        <f t="shared" si="211"/>
        <v>0</v>
      </c>
      <c r="R452" s="25"/>
      <c r="S452" s="24">
        <f>ROUND(48000,2)</f>
        <v>48000</v>
      </c>
      <c r="T452" s="25"/>
      <c r="U452" s="26"/>
    </row>
    <row r="453" spans="1:21">
      <c r="A453" s="22" t="s">
        <v>853</v>
      </c>
      <c r="B453" s="23"/>
      <c r="C453" s="22" t="s">
        <v>856</v>
      </c>
      <c r="D453" s="23"/>
      <c r="E453" s="23"/>
      <c r="F453" s="23"/>
      <c r="G453" s="23"/>
      <c r="H453" s="2">
        <f t="shared" si="213"/>
        <v>0</v>
      </c>
      <c r="I453" s="2">
        <f t="shared" si="209"/>
        <v>0</v>
      </c>
      <c r="J453" s="2">
        <f t="shared" si="208"/>
        <v>0</v>
      </c>
      <c r="K453" s="2">
        <f t="shared" si="212"/>
        <v>0</v>
      </c>
      <c r="L453" s="24">
        <f t="shared" si="212"/>
        <v>0</v>
      </c>
      <c r="M453" s="25"/>
      <c r="N453" s="2">
        <f>ROUND(30025,2)</f>
        <v>30025</v>
      </c>
      <c r="O453" s="2">
        <f>ROUND(0,2)</f>
        <v>0</v>
      </c>
      <c r="P453" s="2">
        <f t="shared" si="211"/>
        <v>0</v>
      </c>
      <c r="Q453" s="24">
        <f t="shared" si="211"/>
        <v>0</v>
      </c>
      <c r="R453" s="25"/>
      <c r="S453" s="24">
        <f>ROUND(30025,2)</f>
        <v>30025</v>
      </c>
      <c r="T453" s="25"/>
      <c r="U453" s="26"/>
    </row>
    <row r="454" spans="1:21">
      <c r="A454" s="22" t="s">
        <v>857</v>
      </c>
      <c r="B454" s="23"/>
      <c r="C454" s="22" t="s">
        <v>858</v>
      </c>
      <c r="D454" s="23"/>
      <c r="E454" s="23"/>
      <c r="F454" s="23"/>
      <c r="G454" s="23"/>
      <c r="H454" s="2">
        <f t="shared" si="213"/>
        <v>0</v>
      </c>
      <c r="I454" s="2">
        <f t="shared" si="209"/>
        <v>0</v>
      </c>
      <c r="J454" s="2">
        <f t="shared" si="208"/>
        <v>0</v>
      </c>
      <c r="K454" s="2">
        <f t="shared" si="212"/>
        <v>0</v>
      </c>
      <c r="L454" s="24">
        <f t="shared" si="212"/>
        <v>0</v>
      </c>
      <c r="M454" s="25"/>
      <c r="N454" s="2">
        <f>ROUND(0,2)</f>
        <v>0</v>
      </c>
      <c r="O454" s="2">
        <f>ROUND(1232,2)</f>
        <v>1232</v>
      </c>
      <c r="P454" s="2">
        <f t="shared" si="211"/>
        <v>0</v>
      </c>
      <c r="Q454" s="24">
        <f t="shared" si="211"/>
        <v>0</v>
      </c>
      <c r="R454" s="25"/>
      <c r="S454" s="24">
        <f>ROUND(1232,2)</f>
        <v>1232</v>
      </c>
      <c r="T454" s="25"/>
      <c r="U454" s="26"/>
    </row>
    <row r="455" spans="1:21">
      <c r="A455" s="22" t="s">
        <v>859</v>
      </c>
      <c r="B455" s="23"/>
      <c r="C455" s="22" t="s">
        <v>860</v>
      </c>
      <c r="D455" s="23"/>
      <c r="E455" s="23"/>
      <c r="F455" s="23"/>
      <c r="G455" s="23"/>
      <c r="H455" s="2">
        <f t="shared" si="213"/>
        <v>0</v>
      </c>
      <c r="I455" s="2">
        <f t="shared" si="209"/>
        <v>0</v>
      </c>
      <c r="J455" s="2">
        <f t="shared" si="208"/>
        <v>0</v>
      </c>
      <c r="K455" s="2">
        <f>ROUND(12805,2)</f>
        <v>12805</v>
      </c>
      <c r="L455" s="24">
        <f>ROUND(0,2)</f>
        <v>0</v>
      </c>
      <c r="M455" s="25"/>
      <c r="N455" s="2">
        <f>ROUND(0,2)</f>
        <v>0</v>
      </c>
      <c r="O455" s="2">
        <f>ROUND(0,2)</f>
        <v>0</v>
      </c>
      <c r="P455" s="2">
        <f t="shared" si="211"/>
        <v>0</v>
      </c>
      <c r="Q455" s="24">
        <f t="shared" si="211"/>
        <v>0</v>
      </c>
      <c r="R455" s="25"/>
      <c r="S455" s="24">
        <f>ROUND(12805,2)</f>
        <v>12805</v>
      </c>
      <c r="T455" s="25"/>
      <c r="U455" s="26"/>
    </row>
    <row r="456" spans="1:21">
      <c r="A456" s="22" t="s">
        <v>861</v>
      </c>
      <c r="B456" s="23"/>
      <c r="C456" s="22" t="s">
        <v>862</v>
      </c>
      <c r="D456" s="23"/>
      <c r="E456" s="23"/>
      <c r="F456" s="23"/>
      <c r="G456" s="23"/>
      <c r="H456" s="2">
        <f t="shared" si="213"/>
        <v>0</v>
      </c>
      <c r="I456" s="2">
        <f t="shared" si="209"/>
        <v>0</v>
      </c>
      <c r="J456" s="2">
        <f t="shared" ref="J456:K458" si="214">ROUND(0,2)</f>
        <v>0</v>
      </c>
      <c r="K456" s="2">
        <f t="shared" si="214"/>
        <v>0</v>
      </c>
      <c r="L456" s="24">
        <f>ROUND(0,2)</f>
        <v>0</v>
      </c>
      <c r="M456" s="25"/>
      <c r="N456" s="2">
        <f>ROUND(0,2)</f>
        <v>0</v>
      </c>
      <c r="O456" s="2">
        <f>ROUND(10200.93,2)</f>
        <v>10200.93</v>
      </c>
      <c r="P456" s="2">
        <f t="shared" si="211"/>
        <v>0</v>
      </c>
      <c r="Q456" s="24">
        <f t="shared" si="211"/>
        <v>0</v>
      </c>
      <c r="R456" s="25"/>
      <c r="S456" s="24">
        <f>ROUND(10200.93,2)</f>
        <v>10200.93</v>
      </c>
      <c r="T456" s="25"/>
      <c r="U456" s="26"/>
    </row>
    <row r="457" spans="1:21">
      <c r="A457" s="22" t="s">
        <v>861</v>
      </c>
      <c r="B457" s="23"/>
      <c r="C457" s="22" t="s">
        <v>862</v>
      </c>
      <c r="D457" s="23"/>
      <c r="E457" s="23"/>
      <c r="F457" s="23"/>
      <c r="G457" s="23"/>
      <c r="H457" s="2">
        <f t="shared" si="213"/>
        <v>0</v>
      </c>
      <c r="I457" s="2">
        <f>ROUND(0,2)</f>
        <v>0</v>
      </c>
      <c r="J457" s="2">
        <f t="shared" si="214"/>
        <v>0</v>
      </c>
      <c r="K457" s="2">
        <f t="shared" si="214"/>
        <v>0</v>
      </c>
      <c r="L457" s="24">
        <f>ROUND(0,2)</f>
        <v>0</v>
      </c>
      <c r="M457" s="25"/>
      <c r="N457" s="2">
        <f>ROUND(967.96,2)</f>
        <v>967.96</v>
      </c>
      <c r="O457" s="2">
        <f t="shared" ref="O457:O469" si="215">ROUND(0,2)</f>
        <v>0</v>
      </c>
      <c r="P457" s="2">
        <f t="shared" si="211"/>
        <v>0</v>
      </c>
      <c r="Q457" s="24">
        <f t="shared" si="211"/>
        <v>0</v>
      </c>
      <c r="R457" s="25"/>
      <c r="S457" s="24">
        <f>ROUND(967.96,2)</f>
        <v>967.96</v>
      </c>
      <c r="T457" s="25"/>
      <c r="U457" s="26"/>
    </row>
    <row r="458" spans="1:21">
      <c r="A458" s="22" t="s">
        <v>863</v>
      </c>
      <c r="B458" s="23"/>
      <c r="C458" s="22" t="s">
        <v>864</v>
      </c>
      <c r="D458" s="23"/>
      <c r="E458" s="23"/>
      <c r="F458" s="23"/>
      <c r="G458" s="23"/>
      <c r="H458" s="2">
        <f t="shared" si="213"/>
        <v>0</v>
      </c>
      <c r="I458" s="2">
        <f>ROUND(0,2)</f>
        <v>0</v>
      </c>
      <c r="J458" s="2">
        <f t="shared" si="214"/>
        <v>0</v>
      </c>
      <c r="K458" s="2">
        <f t="shared" si="214"/>
        <v>0</v>
      </c>
      <c r="L458" s="24">
        <f>ROUND(2563.52,2)</f>
        <v>2563.52</v>
      </c>
      <c r="M458" s="25"/>
      <c r="N458" s="2">
        <f>ROUND(0,2)</f>
        <v>0</v>
      </c>
      <c r="O458" s="2">
        <f t="shared" si="215"/>
        <v>0</v>
      </c>
      <c r="P458" s="2">
        <f>ROUND(5000,2)</f>
        <v>5000</v>
      </c>
      <c r="Q458" s="24">
        <f t="shared" ref="Q458:Q473" si="216">ROUND(0,2)</f>
        <v>0</v>
      </c>
      <c r="R458" s="25"/>
      <c r="S458" s="24">
        <f>ROUND(-7563.52,2)</f>
        <v>-7563.52</v>
      </c>
      <c r="T458" s="25"/>
      <c r="U458" s="26"/>
    </row>
    <row r="459" spans="1:21">
      <c r="A459" s="22" t="s">
        <v>865</v>
      </c>
      <c r="B459" s="23"/>
      <c r="C459" s="22" t="s">
        <v>866</v>
      </c>
      <c r="D459" s="23"/>
      <c r="E459" s="23"/>
      <c r="F459" s="23"/>
      <c r="G459" s="23"/>
      <c r="H459" s="2">
        <f t="shared" si="213"/>
        <v>0</v>
      </c>
      <c r="I459" s="2">
        <f>ROUND(0,2)</f>
        <v>0</v>
      </c>
      <c r="J459" s="2">
        <f t="shared" ref="J459:J474" si="217">ROUND(0,2)</f>
        <v>0</v>
      </c>
      <c r="K459" s="2">
        <f>ROUND(2563.52,2)</f>
        <v>2563.52</v>
      </c>
      <c r="L459" s="24">
        <f t="shared" ref="L459:L474" si="218">ROUND(0,2)</f>
        <v>0</v>
      </c>
      <c r="M459" s="25"/>
      <c r="N459" s="2">
        <f>ROUND(0,2)</f>
        <v>0</v>
      </c>
      <c r="O459" s="2">
        <f t="shared" si="215"/>
        <v>0</v>
      </c>
      <c r="P459" s="2">
        <f t="shared" ref="P459:P474" si="219">ROUND(0,2)</f>
        <v>0</v>
      </c>
      <c r="Q459" s="24">
        <f t="shared" si="216"/>
        <v>0</v>
      </c>
      <c r="R459" s="25"/>
      <c r="S459" s="24">
        <f>ROUND(2563.52,2)</f>
        <v>2563.52</v>
      </c>
      <c r="T459" s="25"/>
      <c r="U459" s="26"/>
    </row>
    <row r="460" spans="1:21">
      <c r="A460" s="22" t="s">
        <v>867</v>
      </c>
      <c r="B460" s="23"/>
      <c r="C460" s="22" t="s">
        <v>868</v>
      </c>
      <c r="D460" s="23"/>
      <c r="E460" s="23"/>
      <c r="F460" s="23"/>
      <c r="G460" s="23"/>
      <c r="H460" s="2">
        <f t="shared" si="213"/>
        <v>0</v>
      </c>
      <c r="I460" s="2">
        <f>ROUND(1500,2)</f>
        <v>1500</v>
      </c>
      <c r="J460" s="2">
        <f t="shared" si="217"/>
        <v>0</v>
      </c>
      <c r="K460" s="2">
        <f t="shared" ref="K460:K475" si="220">ROUND(0,2)</f>
        <v>0</v>
      </c>
      <c r="L460" s="24">
        <f t="shared" si="218"/>
        <v>0</v>
      </c>
      <c r="M460" s="25"/>
      <c r="N460" s="2">
        <f>ROUND(0,2)</f>
        <v>0</v>
      </c>
      <c r="O460" s="2">
        <f t="shared" si="215"/>
        <v>0</v>
      </c>
      <c r="P460" s="2">
        <f t="shared" si="219"/>
        <v>0</v>
      </c>
      <c r="Q460" s="24">
        <f t="shared" si="216"/>
        <v>0</v>
      </c>
      <c r="R460" s="25"/>
      <c r="S460" s="24">
        <f>ROUND(1500,2)</f>
        <v>1500</v>
      </c>
      <c r="T460" s="25"/>
      <c r="U460" s="26"/>
    </row>
    <row r="461" spans="1:21">
      <c r="A461" s="22" t="s">
        <v>867</v>
      </c>
      <c r="B461" s="23"/>
      <c r="C461" s="22" t="s">
        <v>868</v>
      </c>
      <c r="D461" s="23"/>
      <c r="E461" s="23"/>
      <c r="F461" s="23"/>
      <c r="G461" s="23"/>
      <c r="H461" s="2">
        <f t="shared" si="213"/>
        <v>0</v>
      </c>
      <c r="I461" s="2">
        <f>ROUND(0,2)</f>
        <v>0</v>
      </c>
      <c r="J461" s="2">
        <f t="shared" si="217"/>
        <v>0</v>
      </c>
      <c r="K461" s="2">
        <f t="shared" si="220"/>
        <v>0</v>
      </c>
      <c r="L461" s="24">
        <f t="shared" si="218"/>
        <v>0</v>
      </c>
      <c r="M461" s="25"/>
      <c r="N461" s="2">
        <f>ROUND(7800,2)</f>
        <v>7800</v>
      </c>
      <c r="O461" s="2">
        <f t="shared" si="215"/>
        <v>0</v>
      </c>
      <c r="P461" s="2">
        <f t="shared" si="219"/>
        <v>0</v>
      </c>
      <c r="Q461" s="24">
        <f t="shared" si="216"/>
        <v>0</v>
      </c>
      <c r="R461" s="25"/>
      <c r="S461" s="24">
        <f>ROUND(7800,2)</f>
        <v>7800</v>
      </c>
      <c r="T461" s="25"/>
      <c r="U461" s="26"/>
    </row>
    <row r="462" spans="1:21">
      <c r="A462" s="22" t="s">
        <v>869</v>
      </c>
      <c r="B462" s="23"/>
      <c r="C462" s="22" t="s">
        <v>870</v>
      </c>
      <c r="D462" s="23"/>
      <c r="E462" s="23"/>
      <c r="F462" s="23"/>
      <c r="G462" s="23"/>
      <c r="H462" s="2">
        <f t="shared" si="213"/>
        <v>0</v>
      </c>
      <c r="I462" s="2">
        <f>ROUND(1500,2)</f>
        <v>1500</v>
      </c>
      <c r="J462" s="2">
        <f t="shared" si="217"/>
        <v>0</v>
      </c>
      <c r="K462" s="2">
        <f t="shared" si="220"/>
        <v>0</v>
      </c>
      <c r="L462" s="24">
        <f t="shared" si="218"/>
        <v>0</v>
      </c>
      <c r="M462" s="25"/>
      <c r="N462" s="2">
        <f>ROUND(0,2)</f>
        <v>0</v>
      </c>
      <c r="O462" s="2">
        <f t="shared" si="215"/>
        <v>0</v>
      </c>
      <c r="P462" s="2">
        <f t="shared" si="219"/>
        <v>0</v>
      </c>
      <c r="Q462" s="24">
        <f t="shared" si="216"/>
        <v>0</v>
      </c>
      <c r="R462" s="25"/>
      <c r="S462" s="24">
        <f>ROUND(1500,2)</f>
        <v>1500</v>
      </c>
      <c r="T462" s="25"/>
      <c r="U462" s="26"/>
    </row>
    <row r="463" spans="1:21">
      <c r="A463" s="22" t="s">
        <v>871</v>
      </c>
      <c r="B463" s="23"/>
      <c r="C463" s="22" t="s">
        <v>872</v>
      </c>
      <c r="D463" s="23"/>
      <c r="E463" s="23"/>
      <c r="F463" s="23"/>
      <c r="G463" s="23"/>
      <c r="H463" s="2">
        <f t="shared" si="213"/>
        <v>0</v>
      </c>
      <c r="I463" s="2">
        <f>ROUND(0,2)</f>
        <v>0</v>
      </c>
      <c r="J463" s="2">
        <f t="shared" si="217"/>
        <v>0</v>
      </c>
      <c r="K463" s="2">
        <f t="shared" si="220"/>
        <v>0</v>
      </c>
      <c r="L463" s="24">
        <f t="shared" si="218"/>
        <v>0</v>
      </c>
      <c r="M463" s="25"/>
      <c r="N463" s="2">
        <f>ROUND(17500,2)</f>
        <v>17500</v>
      </c>
      <c r="O463" s="2">
        <f t="shared" si="215"/>
        <v>0</v>
      </c>
      <c r="P463" s="2">
        <f t="shared" si="219"/>
        <v>0</v>
      </c>
      <c r="Q463" s="24">
        <f t="shared" si="216"/>
        <v>0</v>
      </c>
      <c r="R463" s="25"/>
      <c r="S463" s="24">
        <f>ROUND(17500,2)</f>
        <v>17500</v>
      </c>
      <c r="T463" s="25"/>
      <c r="U463" s="26"/>
    </row>
    <row r="464" spans="1:21">
      <c r="A464" s="22" t="s">
        <v>871</v>
      </c>
      <c r="B464" s="23"/>
      <c r="C464" s="22" t="s">
        <v>872</v>
      </c>
      <c r="D464" s="23"/>
      <c r="E464" s="23"/>
      <c r="F464" s="23"/>
      <c r="G464" s="23"/>
      <c r="H464" s="2">
        <f t="shared" si="213"/>
        <v>0</v>
      </c>
      <c r="I464" s="2">
        <f>ROUND(6000,2)</f>
        <v>6000</v>
      </c>
      <c r="J464" s="2">
        <f t="shared" si="217"/>
        <v>0</v>
      </c>
      <c r="K464" s="2">
        <f t="shared" si="220"/>
        <v>0</v>
      </c>
      <c r="L464" s="24">
        <f t="shared" si="218"/>
        <v>0</v>
      </c>
      <c r="M464" s="25"/>
      <c r="N464" s="2">
        <f>ROUND(0,2)</f>
        <v>0</v>
      </c>
      <c r="O464" s="2">
        <f t="shared" si="215"/>
        <v>0</v>
      </c>
      <c r="P464" s="2">
        <f t="shared" si="219"/>
        <v>0</v>
      </c>
      <c r="Q464" s="24">
        <f t="shared" si="216"/>
        <v>0</v>
      </c>
      <c r="R464" s="25"/>
      <c r="S464" s="24">
        <f>ROUND(6000,2)</f>
        <v>6000</v>
      </c>
      <c r="T464" s="25"/>
      <c r="U464" s="26"/>
    </row>
    <row r="465" spans="1:21">
      <c r="A465" s="22" t="s">
        <v>873</v>
      </c>
      <c r="B465" s="23"/>
      <c r="C465" s="22" t="s">
        <v>874</v>
      </c>
      <c r="D465" s="23"/>
      <c r="E465" s="23"/>
      <c r="F465" s="23"/>
      <c r="G465" s="23"/>
      <c r="H465" s="2">
        <f t="shared" si="213"/>
        <v>0</v>
      </c>
      <c r="I465" s="2">
        <f>ROUND(0,2)</f>
        <v>0</v>
      </c>
      <c r="J465" s="2">
        <f t="shared" si="217"/>
        <v>0</v>
      </c>
      <c r="K465" s="2">
        <f t="shared" si="220"/>
        <v>0</v>
      </c>
      <c r="L465" s="24">
        <f t="shared" si="218"/>
        <v>0</v>
      </c>
      <c r="M465" s="25"/>
      <c r="N465" s="2">
        <f>ROUND(70002.28,2)</f>
        <v>70002.28</v>
      </c>
      <c r="O465" s="2">
        <f t="shared" si="215"/>
        <v>0</v>
      </c>
      <c r="P465" s="2">
        <f t="shared" si="219"/>
        <v>0</v>
      </c>
      <c r="Q465" s="24">
        <f t="shared" si="216"/>
        <v>0</v>
      </c>
      <c r="R465" s="25"/>
      <c r="S465" s="24">
        <f>ROUND(70002.28,2)</f>
        <v>70002.28</v>
      </c>
      <c r="T465" s="25"/>
      <c r="U465" s="26"/>
    </row>
    <row r="466" spans="1:21">
      <c r="A466" s="22" t="s">
        <v>875</v>
      </c>
      <c r="B466" s="23"/>
      <c r="C466" s="22" t="s">
        <v>876</v>
      </c>
      <c r="D466" s="23"/>
      <c r="E466" s="23"/>
      <c r="F466" s="23"/>
      <c r="G466" s="23"/>
      <c r="H466" s="2">
        <f t="shared" si="213"/>
        <v>0</v>
      </c>
      <c r="I466" s="2">
        <f>ROUND(10000,2)</f>
        <v>10000</v>
      </c>
      <c r="J466" s="2">
        <f t="shared" si="217"/>
        <v>0</v>
      </c>
      <c r="K466" s="2">
        <f t="shared" si="220"/>
        <v>0</v>
      </c>
      <c r="L466" s="24">
        <f t="shared" si="218"/>
        <v>0</v>
      </c>
      <c r="M466" s="25"/>
      <c r="N466" s="2">
        <f>ROUND(0,2)</f>
        <v>0</v>
      </c>
      <c r="O466" s="2">
        <f t="shared" si="215"/>
        <v>0</v>
      </c>
      <c r="P466" s="2">
        <f t="shared" si="219"/>
        <v>0</v>
      </c>
      <c r="Q466" s="24">
        <f t="shared" si="216"/>
        <v>0</v>
      </c>
      <c r="R466" s="25"/>
      <c r="S466" s="24">
        <f>ROUND(10000,2)</f>
        <v>10000</v>
      </c>
      <c r="T466" s="25"/>
      <c r="U466" s="26"/>
    </row>
    <row r="467" spans="1:21">
      <c r="A467" s="22" t="s">
        <v>875</v>
      </c>
      <c r="B467" s="23"/>
      <c r="C467" s="22" t="s">
        <v>876</v>
      </c>
      <c r="D467" s="23"/>
      <c r="E467" s="23"/>
      <c r="F467" s="23"/>
      <c r="G467" s="23"/>
      <c r="H467" s="2">
        <f t="shared" si="213"/>
        <v>0</v>
      </c>
      <c r="I467" s="2">
        <f>ROUND(0,2)</f>
        <v>0</v>
      </c>
      <c r="J467" s="2">
        <f t="shared" si="217"/>
        <v>0</v>
      </c>
      <c r="K467" s="2">
        <f t="shared" si="220"/>
        <v>0</v>
      </c>
      <c r="L467" s="24">
        <f t="shared" si="218"/>
        <v>0</v>
      </c>
      <c r="M467" s="25"/>
      <c r="N467" s="2">
        <f>ROUND(6408.88,2)</f>
        <v>6408.88</v>
      </c>
      <c r="O467" s="2">
        <f t="shared" si="215"/>
        <v>0</v>
      </c>
      <c r="P467" s="2">
        <f t="shared" si="219"/>
        <v>0</v>
      </c>
      <c r="Q467" s="24">
        <f t="shared" si="216"/>
        <v>0</v>
      </c>
      <c r="R467" s="25"/>
      <c r="S467" s="24">
        <f>ROUND(6408.88,2)</f>
        <v>6408.88</v>
      </c>
      <c r="T467" s="25"/>
      <c r="U467" s="26"/>
    </row>
    <row r="468" spans="1:21">
      <c r="A468" s="22" t="s">
        <v>877</v>
      </c>
      <c r="B468" s="23"/>
      <c r="C468" s="22" t="s">
        <v>878</v>
      </c>
      <c r="D468" s="23"/>
      <c r="E468" s="23"/>
      <c r="F468" s="23"/>
      <c r="G468" s="23"/>
      <c r="H468" s="2">
        <f>ROUND(0,2)</f>
        <v>0</v>
      </c>
      <c r="I468" s="2">
        <f>ROUND(0,2)</f>
        <v>0</v>
      </c>
      <c r="J468" s="2">
        <f t="shared" si="217"/>
        <v>0</v>
      </c>
      <c r="K468" s="2">
        <f t="shared" si="220"/>
        <v>0</v>
      </c>
      <c r="L468" s="24">
        <f t="shared" si="218"/>
        <v>0</v>
      </c>
      <c r="M468" s="25"/>
      <c r="N468" s="2">
        <f>ROUND(1719.39,2)</f>
        <v>1719.39</v>
      </c>
      <c r="O468" s="2">
        <f t="shared" si="215"/>
        <v>0</v>
      </c>
      <c r="P468" s="2">
        <f t="shared" si="219"/>
        <v>0</v>
      </c>
      <c r="Q468" s="24">
        <f t="shared" si="216"/>
        <v>0</v>
      </c>
      <c r="R468" s="25"/>
      <c r="S468" s="24">
        <f>ROUND(1719.39,2)</f>
        <v>1719.39</v>
      </c>
      <c r="T468" s="25"/>
      <c r="U468" s="26"/>
    </row>
    <row r="469" spans="1:21">
      <c r="A469" s="22" t="s">
        <v>877</v>
      </c>
      <c r="B469" s="23"/>
      <c r="C469" s="22" t="s">
        <v>878</v>
      </c>
      <c r="D469" s="23"/>
      <c r="E469" s="23"/>
      <c r="F469" s="23"/>
      <c r="G469" s="23"/>
      <c r="H469" s="2">
        <f t="shared" ref="H469:H484" si="221">ROUND(0,2)</f>
        <v>0</v>
      </c>
      <c r="I469" s="2">
        <f>ROUND(10000,2)</f>
        <v>10000</v>
      </c>
      <c r="J469" s="2">
        <f t="shared" si="217"/>
        <v>0</v>
      </c>
      <c r="K469" s="2">
        <f t="shared" si="220"/>
        <v>0</v>
      </c>
      <c r="L469" s="24">
        <f t="shared" si="218"/>
        <v>0</v>
      </c>
      <c r="M469" s="25"/>
      <c r="N469" s="2">
        <f t="shared" ref="N469:N474" si="222">ROUND(0,2)</f>
        <v>0</v>
      </c>
      <c r="O469" s="2">
        <f t="shared" si="215"/>
        <v>0</v>
      </c>
      <c r="P469" s="2">
        <f t="shared" si="219"/>
        <v>0</v>
      </c>
      <c r="Q469" s="24">
        <f t="shared" si="216"/>
        <v>0</v>
      </c>
      <c r="R469" s="25"/>
      <c r="S469" s="24">
        <f>ROUND(10000,2)</f>
        <v>10000</v>
      </c>
      <c r="T469" s="25"/>
      <c r="U469" s="26"/>
    </row>
    <row r="470" spans="1:21">
      <c r="A470" s="22" t="s">
        <v>879</v>
      </c>
      <c r="B470" s="23"/>
      <c r="C470" s="22" t="s">
        <v>880</v>
      </c>
      <c r="D470" s="23"/>
      <c r="E470" s="23"/>
      <c r="F470" s="23"/>
      <c r="G470" s="23"/>
      <c r="H470" s="2">
        <f t="shared" si="221"/>
        <v>0</v>
      </c>
      <c r="I470" s="2">
        <f t="shared" ref="I470:I475" si="223">ROUND(0,2)</f>
        <v>0</v>
      </c>
      <c r="J470" s="2">
        <f t="shared" si="217"/>
        <v>0</v>
      </c>
      <c r="K470" s="2">
        <f t="shared" si="220"/>
        <v>0</v>
      </c>
      <c r="L470" s="24">
        <f t="shared" si="218"/>
        <v>0</v>
      </c>
      <c r="M470" s="25"/>
      <c r="N470" s="2">
        <f t="shared" si="222"/>
        <v>0</v>
      </c>
      <c r="O470" s="2">
        <f>ROUND(15516.76,2)</f>
        <v>15516.76</v>
      </c>
      <c r="P470" s="2">
        <f t="shared" si="219"/>
        <v>0</v>
      </c>
      <c r="Q470" s="24">
        <f t="shared" si="216"/>
        <v>0</v>
      </c>
      <c r="R470" s="25"/>
      <c r="S470" s="24">
        <f>ROUND(15516.76,2)</f>
        <v>15516.76</v>
      </c>
      <c r="T470" s="25"/>
      <c r="U470" s="26"/>
    </row>
    <row r="471" spans="1:21">
      <c r="A471" s="22" t="s">
        <v>881</v>
      </c>
      <c r="B471" s="23"/>
      <c r="C471" s="22" t="s">
        <v>882</v>
      </c>
      <c r="D471" s="23"/>
      <c r="E471" s="23"/>
      <c r="F471" s="23"/>
      <c r="G471" s="23"/>
      <c r="H471" s="2">
        <f t="shared" si="221"/>
        <v>0</v>
      </c>
      <c r="I471" s="2">
        <f t="shared" si="223"/>
        <v>0</v>
      </c>
      <c r="J471" s="2">
        <f t="shared" si="217"/>
        <v>0</v>
      </c>
      <c r="K471" s="2">
        <f t="shared" si="220"/>
        <v>0</v>
      </c>
      <c r="L471" s="24">
        <f t="shared" si="218"/>
        <v>0</v>
      </c>
      <c r="M471" s="25"/>
      <c r="N471" s="2">
        <f t="shared" si="222"/>
        <v>0</v>
      </c>
      <c r="O471" s="2">
        <f>ROUND(6645.41,2)</f>
        <v>6645.41</v>
      </c>
      <c r="P471" s="2">
        <f t="shared" si="219"/>
        <v>0</v>
      </c>
      <c r="Q471" s="24">
        <f t="shared" si="216"/>
        <v>0</v>
      </c>
      <c r="R471" s="25"/>
      <c r="S471" s="24">
        <f>ROUND(6645.41,2)</f>
        <v>6645.41</v>
      </c>
      <c r="T471" s="25"/>
      <c r="U471" s="26"/>
    </row>
    <row r="472" spans="1:21">
      <c r="A472" s="22" t="s">
        <v>883</v>
      </c>
      <c r="B472" s="23"/>
      <c r="C472" s="22" t="s">
        <v>884</v>
      </c>
      <c r="D472" s="23"/>
      <c r="E472" s="23"/>
      <c r="F472" s="23"/>
      <c r="G472" s="23"/>
      <c r="H472" s="2">
        <f t="shared" si="221"/>
        <v>0</v>
      </c>
      <c r="I472" s="2">
        <f t="shared" si="223"/>
        <v>0</v>
      </c>
      <c r="J472" s="2">
        <f t="shared" si="217"/>
        <v>0</v>
      </c>
      <c r="K472" s="2">
        <f t="shared" si="220"/>
        <v>0</v>
      </c>
      <c r="L472" s="24">
        <f t="shared" si="218"/>
        <v>0</v>
      </c>
      <c r="M472" s="25"/>
      <c r="N472" s="2">
        <f t="shared" si="222"/>
        <v>0</v>
      </c>
      <c r="O472" s="2">
        <f>ROUND(14675.17,2)</f>
        <v>14675.17</v>
      </c>
      <c r="P472" s="2">
        <f t="shared" si="219"/>
        <v>0</v>
      </c>
      <c r="Q472" s="24">
        <f t="shared" si="216"/>
        <v>0</v>
      </c>
      <c r="R472" s="25"/>
      <c r="S472" s="24">
        <f>ROUND(14675.17,2)</f>
        <v>14675.17</v>
      </c>
      <c r="T472" s="25"/>
      <c r="U472" s="26"/>
    </row>
    <row r="473" spans="1:21">
      <c r="A473" s="22" t="s">
        <v>885</v>
      </c>
      <c r="B473" s="23"/>
      <c r="C473" s="22" t="s">
        <v>886</v>
      </c>
      <c r="D473" s="23"/>
      <c r="E473" s="23"/>
      <c r="F473" s="23"/>
      <c r="G473" s="23"/>
      <c r="H473" s="2">
        <f t="shared" si="221"/>
        <v>0</v>
      </c>
      <c r="I473" s="2">
        <f t="shared" si="223"/>
        <v>0</v>
      </c>
      <c r="J473" s="2">
        <f t="shared" si="217"/>
        <v>0</v>
      </c>
      <c r="K473" s="2">
        <f t="shared" si="220"/>
        <v>0</v>
      </c>
      <c r="L473" s="24">
        <f t="shared" si="218"/>
        <v>0</v>
      </c>
      <c r="M473" s="25"/>
      <c r="N473" s="2">
        <f t="shared" si="222"/>
        <v>0</v>
      </c>
      <c r="O473" s="2">
        <f>ROUND(499.46,2)</f>
        <v>499.46</v>
      </c>
      <c r="P473" s="2">
        <f t="shared" si="219"/>
        <v>0</v>
      </c>
      <c r="Q473" s="24">
        <f t="shared" si="216"/>
        <v>0</v>
      </c>
      <c r="R473" s="25"/>
      <c r="S473" s="24">
        <f>ROUND(499.46,2)</f>
        <v>499.46</v>
      </c>
      <c r="T473" s="25"/>
      <c r="U473" s="26"/>
    </row>
    <row r="474" spans="1:21">
      <c r="A474" s="22" t="s">
        <v>887</v>
      </c>
      <c r="B474" s="23"/>
      <c r="C474" s="22" t="s">
        <v>888</v>
      </c>
      <c r="D474" s="23"/>
      <c r="E474" s="23"/>
      <c r="F474" s="23"/>
      <c r="G474" s="23"/>
      <c r="H474" s="2">
        <f t="shared" si="221"/>
        <v>0</v>
      </c>
      <c r="I474" s="2">
        <f t="shared" si="223"/>
        <v>0</v>
      </c>
      <c r="J474" s="2">
        <f t="shared" si="217"/>
        <v>0</v>
      </c>
      <c r="K474" s="2">
        <f t="shared" si="220"/>
        <v>0</v>
      </c>
      <c r="L474" s="24">
        <f t="shared" si="218"/>
        <v>0</v>
      </c>
      <c r="M474" s="25"/>
      <c r="N474" s="2">
        <f t="shared" si="222"/>
        <v>0</v>
      </c>
      <c r="O474" s="2">
        <f>ROUND(12663.2,2)</f>
        <v>12663.2</v>
      </c>
      <c r="P474" s="2">
        <f t="shared" si="219"/>
        <v>0</v>
      </c>
      <c r="Q474" s="24">
        <f t="shared" ref="Q474:Q489" si="224">ROUND(0,2)</f>
        <v>0</v>
      </c>
      <c r="R474" s="25"/>
      <c r="S474" s="24">
        <f>ROUND(12663.2,2)</f>
        <v>12663.2</v>
      </c>
      <c r="T474" s="25"/>
      <c r="U474" s="26"/>
    </row>
    <row r="475" spans="1:21">
      <c r="A475" s="22" t="s">
        <v>889</v>
      </c>
      <c r="B475" s="23"/>
      <c r="C475" s="22" t="s">
        <v>890</v>
      </c>
      <c r="D475" s="23"/>
      <c r="E475" s="23"/>
      <c r="F475" s="23"/>
      <c r="G475" s="23"/>
      <c r="H475" s="2">
        <f t="shared" si="221"/>
        <v>0</v>
      </c>
      <c r="I475" s="2">
        <f t="shared" si="223"/>
        <v>0</v>
      </c>
      <c r="J475" s="2">
        <f t="shared" ref="J475:J490" si="225">ROUND(0,2)</f>
        <v>0</v>
      </c>
      <c r="K475" s="2">
        <f t="shared" si="220"/>
        <v>0</v>
      </c>
      <c r="L475" s="24">
        <f t="shared" ref="L475:L490" si="226">ROUND(0,2)</f>
        <v>0</v>
      </c>
      <c r="M475" s="25"/>
      <c r="N475" s="2">
        <f>ROUND(688.75,2)</f>
        <v>688.75</v>
      </c>
      <c r="O475" s="2">
        <f>ROUND(0,2)</f>
        <v>0</v>
      </c>
      <c r="P475" s="2">
        <f>ROUND(0,2)</f>
        <v>0</v>
      </c>
      <c r="Q475" s="24">
        <f t="shared" si="224"/>
        <v>0</v>
      </c>
      <c r="R475" s="25"/>
      <c r="S475" s="24">
        <f>ROUND(688.75,2)</f>
        <v>688.75</v>
      </c>
      <c r="T475" s="25"/>
      <c r="U475" s="26"/>
    </row>
    <row r="476" spans="1:21">
      <c r="A476" s="22" t="s">
        <v>891</v>
      </c>
      <c r="B476" s="23"/>
      <c r="C476" s="22" t="s">
        <v>892</v>
      </c>
      <c r="D476" s="23"/>
      <c r="E476" s="23"/>
      <c r="F476" s="23"/>
      <c r="G476" s="23"/>
      <c r="H476" s="2">
        <f t="shared" si="221"/>
        <v>0</v>
      </c>
      <c r="I476" s="2">
        <f>ROUND(46700,2)</f>
        <v>46700</v>
      </c>
      <c r="J476" s="2">
        <f t="shared" si="225"/>
        <v>0</v>
      </c>
      <c r="K476" s="2">
        <f t="shared" ref="K476:K491" si="227">ROUND(0,2)</f>
        <v>0</v>
      </c>
      <c r="L476" s="24">
        <f t="shared" si="226"/>
        <v>0</v>
      </c>
      <c r="M476" s="25"/>
      <c r="N476" s="2">
        <f>ROUND(0,2)</f>
        <v>0</v>
      </c>
      <c r="O476" s="2">
        <f>ROUND(0,2)</f>
        <v>0</v>
      </c>
      <c r="P476" s="2">
        <f>ROUND(0,2)</f>
        <v>0</v>
      </c>
      <c r="Q476" s="24">
        <f t="shared" si="224"/>
        <v>0</v>
      </c>
      <c r="R476" s="25"/>
      <c r="S476" s="24">
        <f>ROUND(46700,2)</f>
        <v>46700</v>
      </c>
      <c r="T476" s="25"/>
      <c r="U476" s="26"/>
    </row>
    <row r="477" spans="1:21">
      <c r="A477" s="22" t="s">
        <v>893</v>
      </c>
      <c r="B477" s="23"/>
      <c r="C477" s="22" t="s">
        <v>894</v>
      </c>
      <c r="D477" s="23"/>
      <c r="E477" s="23"/>
      <c r="F477" s="23"/>
      <c r="G477" s="23"/>
      <c r="H477" s="2">
        <f t="shared" si="221"/>
        <v>0</v>
      </c>
      <c r="I477" s="2">
        <f>ROUND(0,2)</f>
        <v>0</v>
      </c>
      <c r="J477" s="2">
        <f t="shared" si="225"/>
        <v>0</v>
      </c>
      <c r="K477" s="2">
        <f t="shared" si="227"/>
        <v>0</v>
      </c>
      <c r="L477" s="24">
        <f t="shared" si="226"/>
        <v>0</v>
      </c>
      <c r="M477" s="25"/>
      <c r="N477" s="2">
        <f>ROUND(0,2)</f>
        <v>0</v>
      </c>
      <c r="O477" s="2">
        <f t="shared" ref="O477:O487" si="228">ROUND(0,2)</f>
        <v>0</v>
      </c>
      <c r="P477" s="2">
        <f>ROUND(3000,2)</f>
        <v>3000</v>
      </c>
      <c r="Q477" s="24">
        <f t="shared" si="224"/>
        <v>0</v>
      </c>
      <c r="R477" s="25"/>
      <c r="S477" s="24">
        <f>ROUND(-3000,2)</f>
        <v>-3000</v>
      </c>
      <c r="T477" s="25"/>
      <c r="U477" s="26"/>
    </row>
    <row r="478" spans="1:21">
      <c r="A478" s="22" t="s">
        <v>893</v>
      </c>
      <c r="B478" s="23"/>
      <c r="C478" s="22" t="s">
        <v>894</v>
      </c>
      <c r="D478" s="23"/>
      <c r="E478" s="23"/>
      <c r="F478" s="23"/>
      <c r="G478" s="23"/>
      <c r="H478" s="2">
        <f t="shared" si="221"/>
        <v>0</v>
      </c>
      <c r="I478" s="2">
        <f>ROUND(0,2)</f>
        <v>0</v>
      </c>
      <c r="J478" s="2">
        <f t="shared" si="225"/>
        <v>0</v>
      </c>
      <c r="K478" s="2">
        <f t="shared" si="227"/>
        <v>0</v>
      </c>
      <c r="L478" s="24">
        <f t="shared" si="226"/>
        <v>0</v>
      </c>
      <c r="M478" s="25"/>
      <c r="N478" s="2">
        <f>ROUND(8457.9,2)</f>
        <v>8457.9</v>
      </c>
      <c r="O478" s="2">
        <f t="shared" si="228"/>
        <v>0</v>
      </c>
      <c r="P478" s="2">
        <f t="shared" ref="P478:P490" si="229">ROUND(0,2)</f>
        <v>0</v>
      </c>
      <c r="Q478" s="24">
        <f t="shared" si="224"/>
        <v>0</v>
      </c>
      <c r="R478" s="25"/>
      <c r="S478" s="24">
        <f>ROUND(8457.9,2)</f>
        <v>8457.9</v>
      </c>
      <c r="T478" s="25"/>
      <c r="U478" s="26"/>
    </row>
    <row r="479" spans="1:21">
      <c r="A479" s="22" t="s">
        <v>895</v>
      </c>
      <c r="B479" s="23"/>
      <c r="C479" s="22" t="s">
        <v>896</v>
      </c>
      <c r="D479" s="23"/>
      <c r="E479" s="23"/>
      <c r="F479" s="23"/>
      <c r="G479" s="23"/>
      <c r="H479" s="2">
        <f t="shared" si="221"/>
        <v>0</v>
      </c>
      <c r="I479" s="2">
        <f>ROUND(0,2)</f>
        <v>0</v>
      </c>
      <c r="J479" s="2">
        <f t="shared" si="225"/>
        <v>0</v>
      </c>
      <c r="K479" s="2">
        <f t="shared" si="227"/>
        <v>0</v>
      </c>
      <c r="L479" s="24">
        <f t="shared" si="226"/>
        <v>0</v>
      </c>
      <c r="M479" s="25"/>
      <c r="N479" s="2">
        <f>ROUND(12000,2)</f>
        <v>12000</v>
      </c>
      <c r="O479" s="2">
        <f t="shared" si="228"/>
        <v>0</v>
      </c>
      <c r="P479" s="2">
        <f t="shared" si="229"/>
        <v>0</v>
      </c>
      <c r="Q479" s="24">
        <f t="shared" si="224"/>
        <v>0</v>
      </c>
      <c r="R479" s="25"/>
      <c r="S479" s="24">
        <f>ROUND(12000,2)</f>
        <v>12000</v>
      </c>
      <c r="T479" s="25"/>
      <c r="U479" s="26"/>
    </row>
    <row r="480" spans="1:21">
      <c r="A480" s="22" t="s">
        <v>895</v>
      </c>
      <c r="B480" s="23"/>
      <c r="C480" s="22" t="s">
        <v>896</v>
      </c>
      <c r="D480" s="23"/>
      <c r="E480" s="23"/>
      <c r="F480" s="23"/>
      <c r="G480" s="23"/>
      <c r="H480" s="2">
        <f t="shared" si="221"/>
        <v>0</v>
      </c>
      <c r="I480" s="2">
        <f>ROUND(1500,2)</f>
        <v>1500</v>
      </c>
      <c r="J480" s="2">
        <f t="shared" si="225"/>
        <v>0</v>
      </c>
      <c r="K480" s="2">
        <f t="shared" si="227"/>
        <v>0</v>
      </c>
      <c r="L480" s="24">
        <f t="shared" si="226"/>
        <v>0</v>
      </c>
      <c r="M480" s="25"/>
      <c r="N480" s="2">
        <f>ROUND(0,2)</f>
        <v>0</v>
      </c>
      <c r="O480" s="2">
        <f t="shared" si="228"/>
        <v>0</v>
      </c>
      <c r="P480" s="2">
        <f t="shared" si="229"/>
        <v>0</v>
      </c>
      <c r="Q480" s="24">
        <f t="shared" si="224"/>
        <v>0</v>
      </c>
      <c r="R480" s="25"/>
      <c r="S480" s="24">
        <f>ROUND(1500,2)</f>
        <v>1500</v>
      </c>
      <c r="T480" s="25"/>
      <c r="U480" s="26"/>
    </row>
    <row r="481" spans="1:21">
      <c r="A481" s="22" t="s">
        <v>897</v>
      </c>
      <c r="B481" s="23"/>
      <c r="C481" s="22" t="s">
        <v>898</v>
      </c>
      <c r="D481" s="23"/>
      <c r="E481" s="23"/>
      <c r="F481" s="23"/>
      <c r="G481" s="23"/>
      <c r="H481" s="2">
        <f t="shared" si="221"/>
        <v>0</v>
      </c>
      <c r="I481" s="2">
        <f>ROUND(1500,2)</f>
        <v>1500</v>
      </c>
      <c r="J481" s="2">
        <f t="shared" si="225"/>
        <v>0</v>
      </c>
      <c r="K481" s="2">
        <f t="shared" si="227"/>
        <v>0</v>
      </c>
      <c r="L481" s="24">
        <f t="shared" si="226"/>
        <v>0</v>
      </c>
      <c r="M481" s="25"/>
      <c r="N481" s="2">
        <f>ROUND(0,2)</f>
        <v>0</v>
      </c>
      <c r="O481" s="2">
        <f t="shared" si="228"/>
        <v>0</v>
      </c>
      <c r="P481" s="2">
        <f t="shared" si="229"/>
        <v>0</v>
      </c>
      <c r="Q481" s="24">
        <f t="shared" si="224"/>
        <v>0</v>
      </c>
      <c r="R481" s="25"/>
      <c r="S481" s="24">
        <f>ROUND(1500,2)</f>
        <v>1500</v>
      </c>
      <c r="T481" s="25"/>
      <c r="U481" s="26"/>
    </row>
    <row r="482" spans="1:21">
      <c r="A482" s="22" t="s">
        <v>897</v>
      </c>
      <c r="B482" s="23"/>
      <c r="C482" s="22" t="s">
        <v>898</v>
      </c>
      <c r="D482" s="23"/>
      <c r="E482" s="23"/>
      <c r="F482" s="23"/>
      <c r="G482" s="23"/>
      <c r="H482" s="2">
        <f t="shared" si="221"/>
        <v>0</v>
      </c>
      <c r="I482" s="2">
        <f>ROUND(0,2)</f>
        <v>0</v>
      </c>
      <c r="J482" s="2">
        <f t="shared" si="225"/>
        <v>0</v>
      </c>
      <c r="K482" s="2">
        <f t="shared" si="227"/>
        <v>0</v>
      </c>
      <c r="L482" s="24">
        <f t="shared" si="226"/>
        <v>0</v>
      </c>
      <c r="M482" s="25"/>
      <c r="N482" s="2">
        <f>ROUND(7500,2)</f>
        <v>7500</v>
      </c>
      <c r="O482" s="2">
        <f t="shared" si="228"/>
        <v>0</v>
      </c>
      <c r="P482" s="2">
        <f t="shared" si="229"/>
        <v>0</v>
      </c>
      <c r="Q482" s="24">
        <f t="shared" si="224"/>
        <v>0</v>
      </c>
      <c r="R482" s="25"/>
      <c r="S482" s="24">
        <f>ROUND(7500,2)</f>
        <v>7500</v>
      </c>
      <c r="T482" s="25"/>
      <c r="U482" s="26"/>
    </row>
    <row r="483" spans="1:21">
      <c r="A483" s="22" t="s">
        <v>899</v>
      </c>
      <c r="B483" s="23"/>
      <c r="C483" s="22" t="s">
        <v>900</v>
      </c>
      <c r="D483" s="23"/>
      <c r="E483" s="23"/>
      <c r="F483" s="23"/>
      <c r="G483" s="23"/>
      <c r="H483" s="2">
        <f t="shared" si="221"/>
        <v>0</v>
      </c>
      <c r="I483" s="2">
        <f>ROUND(2500,2)</f>
        <v>2500</v>
      </c>
      <c r="J483" s="2">
        <f t="shared" si="225"/>
        <v>0</v>
      </c>
      <c r="K483" s="2">
        <f t="shared" si="227"/>
        <v>0</v>
      </c>
      <c r="L483" s="24">
        <f t="shared" si="226"/>
        <v>0</v>
      </c>
      <c r="M483" s="25"/>
      <c r="N483" s="2">
        <f>ROUND(0,2)</f>
        <v>0</v>
      </c>
      <c r="O483" s="2">
        <f t="shared" si="228"/>
        <v>0</v>
      </c>
      <c r="P483" s="2">
        <f t="shared" si="229"/>
        <v>0</v>
      </c>
      <c r="Q483" s="24">
        <f t="shared" si="224"/>
        <v>0</v>
      </c>
      <c r="R483" s="25"/>
      <c r="S483" s="24">
        <f>ROUND(2500,2)</f>
        <v>2500</v>
      </c>
      <c r="T483" s="25"/>
      <c r="U483" s="26"/>
    </row>
    <row r="484" spans="1:21">
      <c r="A484" s="22" t="s">
        <v>899</v>
      </c>
      <c r="B484" s="23"/>
      <c r="C484" s="22" t="s">
        <v>900</v>
      </c>
      <c r="D484" s="23"/>
      <c r="E484" s="23"/>
      <c r="F484" s="23"/>
      <c r="G484" s="23"/>
      <c r="H484" s="2">
        <f t="shared" si="221"/>
        <v>0</v>
      </c>
      <c r="I484" s="2">
        <f>ROUND(0,2)</f>
        <v>0</v>
      </c>
      <c r="J484" s="2">
        <f t="shared" si="225"/>
        <v>0</v>
      </c>
      <c r="K484" s="2">
        <f t="shared" si="227"/>
        <v>0</v>
      </c>
      <c r="L484" s="24">
        <f t="shared" si="226"/>
        <v>0</v>
      </c>
      <c r="M484" s="25"/>
      <c r="N484" s="2">
        <f>ROUND(3900,2)</f>
        <v>3900</v>
      </c>
      <c r="O484" s="2">
        <f t="shared" si="228"/>
        <v>0</v>
      </c>
      <c r="P484" s="2">
        <f t="shared" si="229"/>
        <v>0</v>
      </c>
      <c r="Q484" s="24">
        <f t="shared" si="224"/>
        <v>0</v>
      </c>
      <c r="R484" s="25"/>
      <c r="S484" s="24">
        <f>ROUND(3900,2)</f>
        <v>3900</v>
      </c>
      <c r="T484" s="25"/>
      <c r="U484" s="26"/>
    </row>
    <row r="485" spans="1:21">
      <c r="A485" s="22" t="s">
        <v>901</v>
      </c>
      <c r="B485" s="23"/>
      <c r="C485" s="22" t="s">
        <v>902</v>
      </c>
      <c r="D485" s="23"/>
      <c r="E485" s="23"/>
      <c r="F485" s="23"/>
      <c r="G485" s="23"/>
      <c r="H485" s="2">
        <f t="shared" ref="H485:H500" si="230">ROUND(0,2)</f>
        <v>0</v>
      </c>
      <c r="I485" s="2">
        <f>ROUND(800,2)</f>
        <v>800</v>
      </c>
      <c r="J485" s="2">
        <f t="shared" si="225"/>
        <v>0</v>
      </c>
      <c r="K485" s="2">
        <f t="shared" si="227"/>
        <v>0</v>
      </c>
      <c r="L485" s="24">
        <f t="shared" si="226"/>
        <v>0</v>
      </c>
      <c r="M485" s="25"/>
      <c r="N485" s="2">
        <f>ROUND(0,2)</f>
        <v>0</v>
      </c>
      <c r="O485" s="2">
        <f t="shared" si="228"/>
        <v>0</v>
      </c>
      <c r="P485" s="2">
        <f t="shared" si="229"/>
        <v>0</v>
      </c>
      <c r="Q485" s="24">
        <f t="shared" si="224"/>
        <v>0</v>
      </c>
      <c r="R485" s="25"/>
      <c r="S485" s="24">
        <f>ROUND(800,2)</f>
        <v>800</v>
      </c>
      <c r="T485" s="25"/>
      <c r="U485" s="26"/>
    </row>
    <row r="486" spans="1:21">
      <c r="A486" s="22" t="s">
        <v>901</v>
      </c>
      <c r="B486" s="23"/>
      <c r="C486" s="22" t="s">
        <v>902</v>
      </c>
      <c r="D486" s="23"/>
      <c r="E486" s="23"/>
      <c r="F486" s="23"/>
      <c r="G486" s="23"/>
      <c r="H486" s="2">
        <f t="shared" si="230"/>
        <v>0</v>
      </c>
      <c r="I486" s="2">
        <f>ROUND(0,2)</f>
        <v>0</v>
      </c>
      <c r="J486" s="2">
        <f t="shared" si="225"/>
        <v>0</v>
      </c>
      <c r="K486" s="2">
        <f t="shared" si="227"/>
        <v>0</v>
      </c>
      <c r="L486" s="24">
        <f t="shared" si="226"/>
        <v>0</v>
      </c>
      <c r="M486" s="25"/>
      <c r="N486" s="2">
        <f>ROUND(3502.56,2)</f>
        <v>3502.56</v>
      </c>
      <c r="O486" s="2">
        <f t="shared" si="228"/>
        <v>0</v>
      </c>
      <c r="P486" s="2">
        <f t="shared" si="229"/>
        <v>0</v>
      </c>
      <c r="Q486" s="24">
        <f t="shared" si="224"/>
        <v>0</v>
      </c>
      <c r="R486" s="25"/>
      <c r="S486" s="24">
        <f>ROUND(3502.56,2)</f>
        <v>3502.56</v>
      </c>
      <c r="T486" s="25"/>
      <c r="U486" s="26"/>
    </row>
    <row r="487" spans="1:21">
      <c r="A487" s="22" t="s">
        <v>903</v>
      </c>
      <c r="B487" s="23"/>
      <c r="C487" s="22" t="s">
        <v>904</v>
      </c>
      <c r="D487" s="23"/>
      <c r="E487" s="23"/>
      <c r="F487" s="23"/>
      <c r="G487" s="23"/>
      <c r="H487" s="2">
        <f t="shared" si="230"/>
        <v>0</v>
      </c>
      <c r="I487" s="2">
        <f>ROUND(0,2)</f>
        <v>0</v>
      </c>
      <c r="J487" s="2">
        <f t="shared" si="225"/>
        <v>0</v>
      </c>
      <c r="K487" s="2">
        <f t="shared" si="227"/>
        <v>0</v>
      </c>
      <c r="L487" s="24">
        <f t="shared" si="226"/>
        <v>0</v>
      </c>
      <c r="M487" s="25"/>
      <c r="N487" s="2">
        <f>ROUND(565.55,2)</f>
        <v>565.54999999999995</v>
      </c>
      <c r="O487" s="2">
        <f t="shared" si="228"/>
        <v>0</v>
      </c>
      <c r="P487" s="2">
        <f t="shared" si="229"/>
        <v>0</v>
      </c>
      <c r="Q487" s="24">
        <f t="shared" si="224"/>
        <v>0</v>
      </c>
      <c r="R487" s="25"/>
      <c r="S487" s="24">
        <f>ROUND(565.55,2)</f>
        <v>565.54999999999995</v>
      </c>
      <c r="T487" s="25"/>
      <c r="U487" s="26"/>
    </row>
    <row r="488" spans="1:21">
      <c r="A488" s="22" t="s">
        <v>905</v>
      </c>
      <c r="B488" s="23"/>
      <c r="C488" s="22" t="s">
        <v>906</v>
      </c>
      <c r="D488" s="23"/>
      <c r="E488" s="23"/>
      <c r="F488" s="23"/>
      <c r="G488" s="23"/>
      <c r="H488" s="2">
        <f t="shared" si="230"/>
        <v>0</v>
      </c>
      <c r="I488" s="2">
        <f>ROUND(0,2)</f>
        <v>0</v>
      </c>
      <c r="J488" s="2">
        <f t="shared" si="225"/>
        <v>0</v>
      </c>
      <c r="K488" s="2">
        <f t="shared" si="227"/>
        <v>0</v>
      </c>
      <c r="L488" s="24">
        <f t="shared" si="226"/>
        <v>0</v>
      </c>
      <c r="M488" s="25"/>
      <c r="N488" s="2">
        <f>ROUND(0,2)</f>
        <v>0</v>
      </c>
      <c r="O488" s="2">
        <f>ROUND(20643.23,2)</f>
        <v>20643.23</v>
      </c>
      <c r="P488" s="2">
        <f t="shared" si="229"/>
        <v>0</v>
      </c>
      <c r="Q488" s="24">
        <f t="shared" si="224"/>
        <v>0</v>
      </c>
      <c r="R488" s="25"/>
      <c r="S488" s="24">
        <f>ROUND(20643.23,2)</f>
        <v>20643.23</v>
      </c>
      <c r="T488" s="25"/>
      <c r="U488" s="26"/>
    </row>
    <row r="489" spans="1:21">
      <c r="A489" s="22" t="s">
        <v>907</v>
      </c>
      <c r="B489" s="23"/>
      <c r="C489" s="22" t="s">
        <v>908</v>
      </c>
      <c r="D489" s="23"/>
      <c r="E489" s="23"/>
      <c r="F489" s="23"/>
      <c r="G489" s="23"/>
      <c r="H489" s="2">
        <f t="shared" si="230"/>
        <v>0</v>
      </c>
      <c r="I489" s="2">
        <f>ROUND(6000,2)</f>
        <v>6000</v>
      </c>
      <c r="J489" s="2">
        <f t="shared" si="225"/>
        <v>0</v>
      </c>
      <c r="K489" s="2">
        <f t="shared" si="227"/>
        <v>0</v>
      </c>
      <c r="L489" s="24">
        <f t="shared" si="226"/>
        <v>0</v>
      </c>
      <c r="M489" s="25"/>
      <c r="N489" s="2">
        <f>ROUND(0,2)</f>
        <v>0</v>
      </c>
      <c r="O489" s="2">
        <f t="shared" ref="O489:O494" si="231">ROUND(0,2)</f>
        <v>0</v>
      </c>
      <c r="P489" s="2">
        <f t="shared" si="229"/>
        <v>0</v>
      </c>
      <c r="Q489" s="24">
        <f t="shared" si="224"/>
        <v>0</v>
      </c>
      <c r="R489" s="25"/>
      <c r="S489" s="24">
        <f>ROUND(6000,2)</f>
        <v>6000</v>
      </c>
      <c r="T489" s="25"/>
      <c r="U489" s="26"/>
    </row>
    <row r="490" spans="1:21">
      <c r="A490" s="22" t="s">
        <v>907</v>
      </c>
      <c r="B490" s="23"/>
      <c r="C490" s="22" t="s">
        <v>908</v>
      </c>
      <c r="D490" s="23"/>
      <c r="E490" s="23"/>
      <c r="F490" s="23"/>
      <c r="G490" s="23"/>
      <c r="H490" s="2">
        <f t="shared" si="230"/>
        <v>0</v>
      </c>
      <c r="I490" s="2">
        <f t="shared" ref="I490:I505" si="232">ROUND(0,2)</f>
        <v>0</v>
      </c>
      <c r="J490" s="2">
        <f t="shared" si="225"/>
        <v>0</v>
      </c>
      <c r="K490" s="2">
        <f t="shared" si="227"/>
        <v>0</v>
      </c>
      <c r="L490" s="24">
        <f t="shared" si="226"/>
        <v>0</v>
      </c>
      <c r="M490" s="25"/>
      <c r="N490" s="2">
        <f>ROUND(5445,2)</f>
        <v>5445</v>
      </c>
      <c r="O490" s="2">
        <f t="shared" si="231"/>
        <v>0</v>
      </c>
      <c r="P490" s="2">
        <f t="shared" si="229"/>
        <v>0</v>
      </c>
      <c r="Q490" s="24">
        <f t="shared" ref="Q490:Q505" si="233">ROUND(0,2)</f>
        <v>0</v>
      </c>
      <c r="R490" s="25"/>
      <c r="S490" s="24">
        <f>ROUND(5445,2)</f>
        <v>5445</v>
      </c>
      <c r="T490" s="25"/>
      <c r="U490" s="26"/>
    </row>
    <row r="491" spans="1:21">
      <c r="A491" s="22" t="s">
        <v>909</v>
      </c>
      <c r="B491" s="23"/>
      <c r="C491" s="22" t="s">
        <v>910</v>
      </c>
      <c r="D491" s="23"/>
      <c r="E491" s="23"/>
      <c r="F491" s="23"/>
      <c r="G491" s="23"/>
      <c r="H491" s="2">
        <f t="shared" si="230"/>
        <v>0</v>
      </c>
      <c r="I491" s="2">
        <f t="shared" si="232"/>
        <v>0</v>
      </c>
      <c r="J491" s="2">
        <f t="shared" ref="J491:J506" si="234">ROUND(0,2)</f>
        <v>0</v>
      </c>
      <c r="K491" s="2">
        <f t="shared" si="227"/>
        <v>0</v>
      </c>
      <c r="L491" s="24">
        <f t="shared" ref="L491:L500" si="235">ROUND(0,2)</f>
        <v>0</v>
      </c>
      <c r="M491" s="25"/>
      <c r="N491" s="2">
        <f>ROUND(0,2)</f>
        <v>0</v>
      </c>
      <c r="O491" s="2">
        <f t="shared" si="231"/>
        <v>0</v>
      </c>
      <c r="P491" s="2">
        <f>ROUND(6000,2)</f>
        <v>6000</v>
      </c>
      <c r="Q491" s="24">
        <f t="shared" si="233"/>
        <v>0</v>
      </c>
      <c r="R491" s="25"/>
      <c r="S491" s="24">
        <f>ROUND(-6000,2)</f>
        <v>-6000</v>
      </c>
      <c r="T491" s="25"/>
      <c r="U491" s="26"/>
    </row>
    <row r="492" spans="1:21">
      <c r="A492" s="22" t="s">
        <v>911</v>
      </c>
      <c r="B492" s="23"/>
      <c r="C492" s="22" t="s">
        <v>912</v>
      </c>
      <c r="D492" s="23"/>
      <c r="E492" s="23"/>
      <c r="F492" s="23"/>
      <c r="G492" s="23"/>
      <c r="H492" s="2">
        <f t="shared" si="230"/>
        <v>0</v>
      </c>
      <c r="I492" s="2">
        <f t="shared" si="232"/>
        <v>0</v>
      </c>
      <c r="J492" s="2">
        <f t="shared" si="234"/>
        <v>0</v>
      </c>
      <c r="K492" s="2">
        <f t="shared" ref="K492:K501" si="236">ROUND(0,2)</f>
        <v>0</v>
      </c>
      <c r="L492" s="24">
        <f t="shared" si="235"/>
        <v>0</v>
      </c>
      <c r="M492" s="25"/>
      <c r="N492" s="2">
        <f>ROUND(1932,2)</f>
        <v>1932</v>
      </c>
      <c r="O492" s="2">
        <f t="shared" si="231"/>
        <v>0</v>
      </c>
      <c r="P492" s="2">
        <f t="shared" ref="P492:P507" si="237">ROUND(0,2)</f>
        <v>0</v>
      </c>
      <c r="Q492" s="24">
        <f t="shared" si="233"/>
        <v>0</v>
      </c>
      <c r="R492" s="25"/>
      <c r="S492" s="24">
        <f>ROUND(1932,2)</f>
        <v>1932</v>
      </c>
      <c r="T492" s="25"/>
      <c r="U492" s="26"/>
    </row>
    <row r="493" spans="1:21">
      <c r="A493" s="22" t="s">
        <v>913</v>
      </c>
      <c r="B493" s="23"/>
      <c r="C493" s="22" t="s">
        <v>892</v>
      </c>
      <c r="D493" s="23"/>
      <c r="E493" s="23"/>
      <c r="F493" s="23"/>
      <c r="G493" s="23"/>
      <c r="H493" s="2">
        <f t="shared" si="230"/>
        <v>0</v>
      </c>
      <c r="I493" s="2">
        <f t="shared" si="232"/>
        <v>0</v>
      </c>
      <c r="J493" s="2">
        <f t="shared" si="234"/>
        <v>0</v>
      </c>
      <c r="K493" s="2">
        <f t="shared" si="236"/>
        <v>0</v>
      </c>
      <c r="L493" s="24">
        <f t="shared" si="235"/>
        <v>0</v>
      </c>
      <c r="M493" s="25"/>
      <c r="N493" s="2">
        <f>ROUND(10332.94,2)</f>
        <v>10332.94</v>
      </c>
      <c r="O493" s="2">
        <f t="shared" si="231"/>
        <v>0</v>
      </c>
      <c r="P493" s="2">
        <f t="shared" si="237"/>
        <v>0</v>
      </c>
      <c r="Q493" s="24">
        <f t="shared" si="233"/>
        <v>0</v>
      </c>
      <c r="R493" s="25"/>
      <c r="S493" s="24">
        <f>ROUND(10332.94,2)</f>
        <v>10332.94</v>
      </c>
      <c r="T493" s="25"/>
      <c r="U493" s="26"/>
    </row>
    <row r="494" spans="1:21">
      <c r="A494" s="22" t="s">
        <v>914</v>
      </c>
      <c r="B494" s="23"/>
      <c r="C494" s="22" t="s">
        <v>915</v>
      </c>
      <c r="D494" s="23"/>
      <c r="E494" s="23"/>
      <c r="F494" s="23"/>
      <c r="G494" s="23"/>
      <c r="H494" s="2">
        <f t="shared" si="230"/>
        <v>0</v>
      </c>
      <c r="I494" s="2">
        <f t="shared" si="232"/>
        <v>0</v>
      </c>
      <c r="J494" s="2">
        <f t="shared" si="234"/>
        <v>0</v>
      </c>
      <c r="K494" s="2">
        <f t="shared" si="236"/>
        <v>0</v>
      </c>
      <c r="L494" s="24">
        <f t="shared" si="235"/>
        <v>0</v>
      </c>
      <c r="M494" s="25"/>
      <c r="N494" s="2">
        <f>ROUND(2563.44,2)</f>
        <v>2563.44</v>
      </c>
      <c r="O494" s="2">
        <f t="shared" si="231"/>
        <v>0</v>
      </c>
      <c r="P494" s="2">
        <f t="shared" si="237"/>
        <v>0</v>
      </c>
      <c r="Q494" s="24">
        <f t="shared" si="233"/>
        <v>0</v>
      </c>
      <c r="R494" s="25"/>
      <c r="S494" s="24">
        <f>ROUND(2563.44,2)</f>
        <v>2563.44</v>
      </c>
      <c r="T494" s="25"/>
      <c r="U494" s="26"/>
    </row>
    <row r="495" spans="1:21">
      <c r="A495" s="22" t="s">
        <v>914</v>
      </c>
      <c r="B495" s="23"/>
      <c r="C495" s="22" t="s">
        <v>915</v>
      </c>
      <c r="D495" s="23"/>
      <c r="E495" s="23"/>
      <c r="F495" s="23"/>
      <c r="G495" s="23"/>
      <c r="H495" s="2">
        <f t="shared" si="230"/>
        <v>0</v>
      </c>
      <c r="I495" s="2">
        <f t="shared" si="232"/>
        <v>0</v>
      </c>
      <c r="J495" s="2">
        <f t="shared" si="234"/>
        <v>0</v>
      </c>
      <c r="K495" s="2">
        <f t="shared" si="236"/>
        <v>0</v>
      </c>
      <c r="L495" s="24">
        <f t="shared" si="235"/>
        <v>0</v>
      </c>
      <c r="M495" s="25"/>
      <c r="N495" s="2">
        <f>ROUND(0,2)</f>
        <v>0</v>
      </c>
      <c r="O495" s="2">
        <f>ROUND(17000,2)</f>
        <v>17000</v>
      </c>
      <c r="P495" s="2">
        <f t="shared" si="237"/>
        <v>0</v>
      </c>
      <c r="Q495" s="24">
        <f t="shared" si="233"/>
        <v>0</v>
      </c>
      <c r="R495" s="25"/>
      <c r="S495" s="24">
        <f>ROUND(17000,2)</f>
        <v>17000</v>
      </c>
      <c r="T495" s="25"/>
      <c r="U495" s="26"/>
    </row>
    <row r="496" spans="1:21">
      <c r="A496" s="22" t="s">
        <v>916</v>
      </c>
      <c r="B496" s="23"/>
      <c r="C496" s="22" t="s">
        <v>917</v>
      </c>
      <c r="D496" s="23"/>
      <c r="E496" s="23"/>
      <c r="F496" s="23"/>
      <c r="G496" s="23"/>
      <c r="H496" s="2">
        <f t="shared" si="230"/>
        <v>0</v>
      </c>
      <c r="I496" s="2">
        <f t="shared" si="232"/>
        <v>0</v>
      </c>
      <c r="J496" s="2">
        <f t="shared" si="234"/>
        <v>0</v>
      </c>
      <c r="K496" s="2">
        <f t="shared" si="236"/>
        <v>0</v>
      </c>
      <c r="L496" s="24">
        <f t="shared" si="235"/>
        <v>0</v>
      </c>
      <c r="M496" s="25"/>
      <c r="N496" s="2">
        <f>ROUND(2712.38,2)</f>
        <v>2712.38</v>
      </c>
      <c r="O496" s="2">
        <f t="shared" ref="O496:O502" si="238">ROUND(0,2)</f>
        <v>0</v>
      </c>
      <c r="P496" s="2">
        <f t="shared" si="237"/>
        <v>0</v>
      </c>
      <c r="Q496" s="24">
        <f t="shared" si="233"/>
        <v>0</v>
      </c>
      <c r="R496" s="25"/>
      <c r="S496" s="24">
        <f>ROUND(2712.38,2)</f>
        <v>2712.38</v>
      </c>
      <c r="T496" s="25"/>
      <c r="U496" s="26"/>
    </row>
    <row r="497" spans="1:21">
      <c r="A497" s="22" t="s">
        <v>918</v>
      </c>
      <c r="B497" s="23"/>
      <c r="C497" s="22" t="s">
        <v>919</v>
      </c>
      <c r="D497" s="23"/>
      <c r="E497" s="23"/>
      <c r="F497" s="23"/>
      <c r="G497" s="23"/>
      <c r="H497" s="2">
        <f t="shared" si="230"/>
        <v>0</v>
      </c>
      <c r="I497" s="2">
        <f t="shared" si="232"/>
        <v>0</v>
      </c>
      <c r="J497" s="2">
        <f t="shared" si="234"/>
        <v>0</v>
      </c>
      <c r="K497" s="2">
        <f t="shared" si="236"/>
        <v>0</v>
      </c>
      <c r="L497" s="24">
        <f t="shared" si="235"/>
        <v>0</v>
      </c>
      <c r="M497" s="25"/>
      <c r="N497" s="2">
        <f>ROUND(3545.26,2)</f>
        <v>3545.26</v>
      </c>
      <c r="O497" s="2">
        <f t="shared" si="238"/>
        <v>0</v>
      </c>
      <c r="P497" s="2">
        <f t="shared" si="237"/>
        <v>0</v>
      </c>
      <c r="Q497" s="24">
        <f t="shared" si="233"/>
        <v>0</v>
      </c>
      <c r="R497" s="25"/>
      <c r="S497" s="24">
        <f>ROUND(3545.26,2)</f>
        <v>3545.26</v>
      </c>
      <c r="T497" s="25"/>
      <c r="U497" s="26"/>
    </row>
    <row r="498" spans="1:21">
      <c r="A498" s="22" t="s">
        <v>920</v>
      </c>
      <c r="B498" s="23"/>
      <c r="C498" s="22" t="s">
        <v>921</v>
      </c>
      <c r="D498" s="23"/>
      <c r="E498" s="23"/>
      <c r="F498" s="23"/>
      <c r="G498" s="23"/>
      <c r="H498" s="2">
        <f t="shared" si="230"/>
        <v>0</v>
      </c>
      <c r="I498" s="2">
        <f t="shared" si="232"/>
        <v>0</v>
      </c>
      <c r="J498" s="2">
        <f t="shared" si="234"/>
        <v>0</v>
      </c>
      <c r="K498" s="2">
        <f t="shared" si="236"/>
        <v>0</v>
      </c>
      <c r="L498" s="24">
        <f t="shared" si="235"/>
        <v>0</v>
      </c>
      <c r="M498" s="25"/>
      <c r="N498" s="2">
        <f>ROUND(20834.54,2)</f>
        <v>20834.54</v>
      </c>
      <c r="O498" s="2">
        <f t="shared" si="238"/>
        <v>0</v>
      </c>
      <c r="P498" s="2">
        <f t="shared" si="237"/>
        <v>0</v>
      </c>
      <c r="Q498" s="24">
        <f t="shared" si="233"/>
        <v>0</v>
      </c>
      <c r="R498" s="25"/>
      <c r="S498" s="24">
        <f>ROUND(20834.54,2)</f>
        <v>20834.54</v>
      </c>
      <c r="T498" s="25"/>
      <c r="U498" s="26"/>
    </row>
    <row r="499" spans="1:21">
      <c r="A499" s="22" t="s">
        <v>922</v>
      </c>
      <c r="B499" s="23"/>
      <c r="C499" s="22" t="s">
        <v>923</v>
      </c>
      <c r="D499" s="23"/>
      <c r="E499" s="23"/>
      <c r="F499" s="23"/>
      <c r="G499" s="23"/>
      <c r="H499" s="2">
        <f t="shared" si="230"/>
        <v>0</v>
      </c>
      <c r="I499" s="2">
        <f t="shared" si="232"/>
        <v>0</v>
      </c>
      <c r="J499" s="2">
        <f t="shared" si="234"/>
        <v>0</v>
      </c>
      <c r="K499" s="2">
        <f t="shared" si="236"/>
        <v>0</v>
      </c>
      <c r="L499" s="24">
        <f t="shared" si="235"/>
        <v>0</v>
      </c>
      <c r="M499" s="25"/>
      <c r="N499" s="2">
        <f>ROUND(750,2)</f>
        <v>750</v>
      </c>
      <c r="O499" s="2">
        <f t="shared" si="238"/>
        <v>0</v>
      </c>
      <c r="P499" s="2">
        <f t="shared" si="237"/>
        <v>0</v>
      </c>
      <c r="Q499" s="24">
        <f t="shared" si="233"/>
        <v>0</v>
      </c>
      <c r="R499" s="25"/>
      <c r="S499" s="24">
        <f>ROUND(750,2)</f>
        <v>750</v>
      </c>
      <c r="T499" s="25"/>
      <c r="U499" s="26"/>
    </row>
    <row r="500" spans="1:21">
      <c r="A500" s="22" t="s">
        <v>924</v>
      </c>
      <c r="B500" s="23"/>
      <c r="C500" s="22" t="s">
        <v>925</v>
      </c>
      <c r="D500" s="23"/>
      <c r="E500" s="23"/>
      <c r="F500" s="23"/>
      <c r="G500" s="23"/>
      <c r="H500" s="2">
        <f t="shared" si="230"/>
        <v>0</v>
      </c>
      <c r="I500" s="2">
        <f t="shared" si="232"/>
        <v>0</v>
      </c>
      <c r="J500" s="2">
        <f t="shared" si="234"/>
        <v>0</v>
      </c>
      <c r="K500" s="2">
        <f t="shared" si="236"/>
        <v>0</v>
      </c>
      <c r="L500" s="24">
        <f t="shared" si="235"/>
        <v>0</v>
      </c>
      <c r="M500" s="25"/>
      <c r="N500" s="2">
        <f>ROUND(690.79,2)</f>
        <v>690.79</v>
      </c>
      <c r="O500" s="2">
        <f t="shared" si="238"/>
        <v>0</v>
      </c>
      <c r="P500" s="2">
        <f t="shared" si="237"/>
        <v>0</v>
      </c>
      <c r="Q500" s="24">
        <f t="shared" si="233"/>
        <v>0</v>
      </c>
      <c r="R500" s="25"/>
      <c r="S500" s="24">
        <f>ROUND(690.79,2)</f>
        <v>690.79</v>
      </c>
      <c r="T500" s="25"/>
      <c r="U500" s="26"/>
    </row>
    <row r="501" spans="1:21">
      <c r="A501" s="22" t="s">
        <v>926</v>
      </c>
      <c r="B501" s="23"/>
      <c r="C501" s="22" t="s">
        <v>927</v>
      </c>
      <c r="D501" s="23"/>
      <c r="E501" s="23"/>
      <c r="F501" s="23"/>
      <c r="G501" s="23"/>
      <c r="H501" s="2">
        <f t="shared" ref="H501:H515" si="239">ROUND(0,2)</f>
        <v>0</v>
      </c>
      <c r="I501" s="2">
        <f t="shared" si="232"/>
        <v>0</v>
      </c>
      <c r="J501" s="2">
        <f t="shared" si="234"/>
        <v>0</v>
      </c>
      <c r="K501" s="2">
        <f t="shared" si="236"/>
        <v>0</v>
      </c>
      <c r="L501" s="24">
        <f>ROUND(14256.99,2)</f>
        <v>14256.99</v>
      </c>
      <c r="M501" s="25"/>
      <c r="N501" s="2">
        <f>ROUND(0,2)</f>
        <v>0</v>
      </c>
      <c r="O501" s="2">
        <f t="shared" si="238"/>
        <v>0</v>
      </c>
      <c r="P501" s="2">
        <f t="shared" si="237"/>
        <v>0</v>
      </c>
      <c r="Q501" s="24">
        <f t="shared" si="233"/>
        <v>0</v>
      </c>
      <c r="R501" s="25"/>
      <c r="S501" s="24">
        <f>ROUND(-14256.99,2)</f>
        <v>-14256.99</v>
      </c>
      <c r="T501" s="25"/>
      <c r="U501" s="26"/>
    </row>
    <row r="502" spans="1:21">
      <c r="A502" s="22" t="s">
        <v>928</v>
      </c>
      <c r="B502" s="23"/>
      <c r="C502" s="22" t="s">
        <v>929</v>
      </c>
      <c r="D502" s="23"/>
      <c r="E502" s="23"/>
      <c r="F502" s="23"/>
      <c r="G502" s="23"/>
      <c r="H502" s="2">
        <f t="shared" si="239"/>
        <v>0</v>
      </c>
      <c r="I502" s="2">
        <f t="shared" si="232"/>
        <v>0</v>
      </c>
      <c r="J502" s="2">
        <f t="shared" si="234"/>
        <v>0</v>
      </c>
      <c r="K502" s="2">
        <f>ROUND(9288.57,2)</f>
        <v>9288.57</v>
      </c>
      <c r="L502" s="24">
        <f t="shared" ref="L502:L511" si="240">ROUND(0,2)</f>
        <v>0</v>
      </c>
      <c r="M502" s="25"/>
      <c r="N502" s="2">
        <f>ROUND(0,2)</f>
        <v>0</v>
      </c>
      <c r="O502" s="2">
        <f t="shared" si="238"/>
        <v>0</v>
      </c>
      <c r="P502" s="2">
        <f t="shared" si="237"/>
        <v>0</v>
      </c>
      <c r="Q502" s="24">
        <f t="shared" si="233"/>
        <v>0</v>
      </c>
      <c r="R502" s="25"/>
      <c r="S502" s="24">
        <f>ROUND(9288.57,2)</f>
        <v>9288.57</v>
      </c>
      <c r="T502" s="25"/>
      <c r="U502" s="26"/>
    </row>
    <row r="503" spans="1:21">
      <c r="A503" s="22" t="s">
        <v>930</v>
      </c>
      <c r="B503" s="23"/>
      <c r="C503" s="22" t="s">
        <v>931</v>
      </c>
      <c r="D503" s="23"/>
      <c r="E503" s="23"/>
      <c r="F503" s="23"/>
      <c r="G503" s="23"/>
      <c r="H503" s="2">
        <f t="shared" si="239"/>
        <v>0</v>
      </c>
      <c r="I503" s="2">
        <f t="shared" si="232"/>
        <v>0</v>
      </c>
      <c r="J503" s="2">
        <f t="shared" si="234"/>
        <v>0</v>
      </c>
      <c r="K503" s="2">
        <f>ROUND(4000,2)</f>
        <v>4000</v>
      </c>
      <c r="L503" s="24">
        <f t="shared" si="240"/>
        <v>0</v>
      </c>
      <c r="M503" s="25"/>
      <c r="N503" s="2">
        <f>ROUND(20388.62,2)</f>
        <v>20388.62</v>
      </c>
      <c r="O503" s="2">
        <f>ROUND(20584.53,2)</f>
        <v>20584.53</v>
      </c>
      <c r="P503" s="2">
        <f t="shared" si="237"/>
        <v>0</v>
      </c>
      <c r="Q503" s="24">
        <f t="shared" si="233"/>
        <v>0</v>
      </c>
      <c r="R503" s="25"/>
      <c r="S503" s="24">
        <f>ROUND(44973.15,2)</f>
        <v>44973.15</v>
      </c>
      <c r="T503" s="25"/>
      <c r="U503" s="26"/>
    </row>
    <row r="504" spans="1:21">
      <c r="A504" s="22" t="s">
        <v>932</v>
      </c>
      <c r="B504" s="23"/>
      <c r="C504" s="22" t="s">
        <v>933</v>
      </c>
      <c r="D504" s="23"/>
      <c r="E504" s="23"/>
      <c r="F504" s="23"/>
      <c r="G504" s="23"/>
      <c r="H504" s="2">
        <f t="shared" si="239"/>
        <v>0</v>
      </c>
      <c r="I504" s="2">
        <f t="shared" si="232"/>
        <v>0</v>
      </c>
      <c r="J504" s="2">
        <f t="shared" si="234"/>
        <v>0</v>
      </c>
      <c r="K504" s="2">
        <f>ROUND(300,2)</f>
        <v>300</v>
      </c>
      <c r="L504" s="24">
        <f t="shared" si="240"/>
        <v>0</v>
      </c>
      <c r="M504" s="25"/>
      <c r="N504" s="2">
        <f>ROUND(0,2)</f>
        <v>0</v>
      </c>
      <c r="O504" s="2">
        <f>ROUND(0,2)</f>
        <v>0</v>
      </c>
      <c r="P504" s="2">
        <f t="shared" si="237"/>
        <v>0</v>
      </c>
      <c r="Q504" s="24">
        <f t="shared" si="233"/>
        <v>0</v>
      </c>
      <c r="R504" s="25"/>
      <c r="S504" s="24">
        <f>ROUND(300,2)</f>
        <v>300</v>
      </c>
      <c r="T504" s="25"/>
      <c r="U504" s="26"/>
    </row>
    <row r="505" spans="1:21">
      <c r="A505" s="22" t="s">
        <v>934</v>
      </c>
      <c r="B505" s="23"/>
      <c r="C505" s="22" t="s">
        <v>935</v>
      </c>
      <c r="D505" s="23"/>
      <c r="E505" s="23"/>
      <c r="F505" s="23"/>
      <c r="G505" s="23"/>
      <c r="H505" s="2">
        <f t="shared" si="239"/>
        <v>0</v>
      </c>
      <c r="I505" s="2">
        <f t="shared" si="232"/>
        <v>0</v>
      </c>
      <c r="J505" s="2">
        <f t="shared" si="234"/>
        <v>0</v>
      </c>
      <c r="K505" s="2">
        <f>ROUND(2000,2)</f>
        <v>2000</v>
      </c>
      <c r="L505" s="24">
        <f t="shared" si="240"/>
        <v>0</v>
      </c>
      <c r="M505" s="25"/>
      <c r="N505" s="2">
        <f>ROUND(8551.48,2)</f>
        <v>8551.48</v>
      </c>
      <c r="O505" s="2">
        <f>ROUND(10311.34,2)</f>
        <v>10311.34</v>
      </c>
      <c r="P505" s="2">
        <f t="shared" si="237"/>
        <v>0</v>
      </c>
      <c r="Q505" s="24">
        <f t="shared" si="233"/>
        <v>0</v>
      </c>
      <c r="R505" s="25"/>
      <c r="S505" s="24">
        <f>ROUND(20862.82,2)</f>
        <v>20862.82</v>
      </c>
      <c r="T505" s="25"/>
      <c r="U505" s="26"/>
    </row>
    <row r="506" spans="1:21">
      <c r="A506" s="22" t="s">
        <v>936</v>
      </c>
      <c r="B506" s="23"/>
      <c r="C506" s="22" t="s">
        <v>937</v>
      </c>
      <c r="D506" s="23"/>
      <c r="E506" s="23"/>
      <c r="F506" s="23"/>
      <c r="G506" s="23"/>
      <c r="H506" s="2">
        <f t="shared" si="239"/>
        <v>0</v>
      </c>
      <c r="I506" s="2">
        <f t="shared" ref="I506:I521" si="241">ROUND(0,2)</f>
        <v>0</v>
      </c>
      <c r="J506" s="2">
        <f t="shared" si="234"/>
        <v>0</v>
      </c>
      <c r="K506" s="2">
        <f>ROUND(2000,2)</f>
        <v>2000</v>
      </c>
      <c r="L506" s="24">
        <f t="shared" si="240"/>
        <v>0</v>
      </c>
      <c r="M506" s="25"/>
      <c r="N506" s="2">
        <f>ROUND(10770.25,2)</f>
        <v>10770.25</v>
      </c>
      <c r="O506" s="2">
        <f>ROUND(10986.74,2)</f>
        <v>10986.74</v>
      </c>
      <c r="P506" s="2">
        <f t="shared" si="237"/>
        <v>0</v>
      </c>
      <c r="Q506" s="24">
        <f t="shared" ref="Q506:Q521" si="242">ROUND(0,2)</f>
        <v>0</v>
      </c>
      <c r="R506" s="25"/>
      <c r="S506" s="24">
        <f>ROUND(23756.99,2)</f>
        <v>23756.99</v>
      </c>
      <c r="T506" s="25"/>
      <c r="U506" s="26"/>
    </row>
    <row r="507" spans="1:21">
      <c r="A507" s="22" t="s">
        <v>938</v>
      </c>
      <c r="B507" s="23"/>
      <c r="C507" s="22" t="s">
        <v>939</v>
      </c>
      <c r="D507" s="23"/>
      <c r="E507" s="23"/>
      <c r="F507" s="23"/>
      <c r="G507" s="23"/>
      <c r="H507" s="2">
        <f t="shared" si="239"/>
        <v>0</v>
      </c>
      <c r="I507" s="2">
        <f t="shared" si="241"/>
        <v>0</v>
      </c>
      <c r="J507" s="2">
        <f t="shared" ref="J507:J522" si="243">ROUND(0,2)</f>
        <v>0</v>
      </c>
      <c r="K507" s="2">
        <f>ROUND(1510,2)</f>
        <v>1510</v>
      </c>
      <c r="L507" s="24">
        <f t="shared" si="240"/>
        <v>0</v>
      </c>
      <c r="M507" s="25"/>
      <c r="N507" s="2">
        <f>ROUND(2210.62,2)</f>
        <v>2210.62</v>
      </c>
      <c r="O507" s="2">
        <f>ROUND(758.74,2)</f>
        <v>758.74</v>
      </c>
      <c r="P507" s="2">
        <f t="shared" si="237"/>
        <v>0</v>
      </c>
      <c r="Q507" s="24">
        <f t="shared" si="242"/>
        <v>0</v>
      </c>
      <c r="R507" s="25"/>
      <c r="S507" s="24">
        <f>ROUND(4479.36,2)</f>
        <v>4479.3599999999997</v>
      </c>
      <c r="T507" s="25"/>
      <c r="U507" s="26"/>
    </row>
    <row r="508" spans="1:21">
      <c r="A508" s="22" t="s">
        <v>940</v>
      </c>
      <c r="B508" s="23"/>
      <c r="C508" s="22" t="s">
        <v>941</v>
      </c>
      <c r="D508" s="23"/>
      <c r="E508" s="23"/>
      <c r="F508" s="23"/>
      <c r="G508" s="23"/>
      <c r="H508" s="2">
        <f t="shared" si="239"/>
        <v>0</v>
      </c>
      <c r="I508" s="2">
        <f t="shared" si="241"/>
        <v>0</v>
      </c>
      <c r="J508" s="2">
        <f t="shared" si="243"/>
        <v>0</v>
      </c>
      <c r="K508" s="2">
        <f>ROUND(1190,2)</f>
        <v>1190</v>
      </c>
      <c r="L508" s="24">
        <f t="shared" si="240"/>
        <v>0</v>
      </c>
      <c r="M508" s="25"/>
      <c r="N508" s="2">
        <f>ROUND(4370.87,2)</f>
        <v>4370.87</v>
      </c>
      <c r="O508" s="2">
        <f>ROUND(0,2)</f>
        <v>0</v>
      </c>
      <c r="P508" s="2">
        <f t="shared" ref="P508:P523" si="244">ROUND(0,2)</f>
        <v>0</v>
      </c>
      <c r="Q508" s="24">
        <f t="shared" si="242"/>
        <v>0</v>
      </c>
      <c r="R508" s="25"/>
      <c r="S508" s="24">
        <f>ROUND(5560.87,2)</f>
        <v>5560.87</v>
      </c>
      <c r="T508" s="25"/>
      <c r="U508" s="26"/>
    </row>
    <row r="509" spans="1:21">
      <c r="A509" s="22" t="s">
        <v>942</v>
      </c>
      <c r="B509" s="23"/>
      <c r="C509" s="22" t="s">
        <v>943</v>
      </c>
      <c r="D509" s="23"/>
      <c r="E509" s="23"/>
      <c r="F509" s="23"/>
      <c r="G509" s="23"/>
      <c r="H509" s="2">
        <f t="shared" si="239"/>
        <v>0</v>
      </c>
      <c r="I509" s="2">
        <f t="shared" si="241"/>
        <v>0</v>
      </c>
      <c r="J509" s="2">
        <f t="shared" si="243"/>
        <v>0</v>
      </c>
      <c r="K509" s="2">
        <f>ROUND(4000,2)</f>
        <v>4000</v>
      </c>
      <c r="L509" s="24">
        <f t="shared" si="240"/>
        <v>0</v>
      </c>
      <c r="M509" s="25"/>
      <c r="N509" s="2">
        <f>ROUND(13708.16,2)</f>
        <v>13708.16</v>
      </c>
      <c r="O509" s="2">
        <f>ROUND(12358.65,2)</f>
        <v>12358.65</v>
      </c>
      <c r="P509" s="2">
        <f t="shared" si="244"/>
        <v>0</v>
      </c>
      <c r="Q509" s="24">
        <f t="shared" si="242"/>
        <v>0</v>
      </c>
      <c r="R509" s="25"/>
      <c r="S509" s="24">
        <f>ROUND(30066.81,2)</f>
        <v>30066.81</v>
      </c>
      <c r="T509" s="25"/>
      <c r="U509" s="26"/>
    </row>
    <row r="510" spans="1:21">
      <c r="A510" s="22" t="s">
        <v>944</v>
      </c>
      <c r="B510" s="23"/>
      <c r="C510" s="22" t="s">
        <v>945</v>
      </c>
      <c r="D510" s="23"/>
      <c r="E510" s="23"/>
      <c r="F510" s="23"/>
      <c r="G510" s="23"/>
      <c r="H510" s="2">
        <f t="shared" si="239"/>
        <v>0</v>
      </c>
      <c r="I510" s="2">
        <f t="shared" si="241"/>
        <v>0</v>
      </c>
      <c r="J510" s="2">
        <f t="shared" si="243"/>
        <v>0</v>
      </c>
      <c r="K510" s="2">
        <f>ROUND(0,2)</f>
        <v>0</v>
      </c>
      <c r="L510" s="24">
        <f t="shared" si="240"/>
        <v>0</v>
      </c>
      <c r="M510" s="25"/>
      <c r="N510" s="2">
        <f>ROUND(6998.35,2)</f>
        <v>6998.35</v>
      </c>
      <c r="O510" s="2">
        <f>ROUND(0,2)</f>
        <v>0</v>
      </c>
      <c r="P510" s="2">
        <f t="shared" si="244"/>
        <v>0</v>
      </c>
      <c r="Q510" s="24">
        <f t="shared" si="242"/>
        <v>0</v>
      </c>
      <c r="R510" s="25"/>
      <c r="S510" s="24">
        <f>ROUND(6998.35,2)</f>
        <v>6998.35</v>
      </c>
      <c r="T510" s="25"/>
      <c r="U510" s="26"/>
    </row>
    <row r="511" spans="1:21">
      <c r="A511" s="22" t="s">
        <v>946</v>
      </c>
      <c r="B511" s="23"/>
      <c r="C511" s="22" t="s">
        <v>945</v>
      </c>
      <c r="D511" s="23"/>
      <c r="E511" s="23"/>
      <c r="F511" s="23"/>
      <c r="G511" s="23"/>
      <c r="H511" s="2">
        <f t="shared" si="239"/>
        <v>0</v>
      </c>
      <c r="I511" s="2">
        <f t="shared" si="241"/>
        <v>0</v>
      </c>
      <c r="J511" s="2">
        <f t="shared" si="243"/>
        <v>0</v>
      </c>
      <c r="K511" s="2">
        <f>ROUND(0,2)</f>
        <v>0</v>
      </c>
      <c r="L511" s="24">
        <f t="shared" si="240"/>
        <v>0</v>
      </c>
      <c r="M511" s="25"/>
      <c r="N511" s="2">
        <f>ROUND(4000,2)</f>
        <v>4000</v>
      </c>
      <c r="O511" s="2">
        <f>ROUND(0,2)</f>
        <v>0</v>
      </c>
      <c r="P511" s="2">
        <f t="shared" si="244"/>
        <v>0</v>
      </c>
      <c r="Q511" s="24">
        <f t="shared" si="242"/>
        <v>0</v>
      </c>
      <c r="R511" s="25"/>
      <c r="S511" s="24">
        <f>ROUND(4000,2)</f>
        <v>4000</v>
      </c>
      <c r="T511" s="25"/>
      <c r="U511" s="26"/>
    </row>
    <row r="512" spans="1:21">
      <c r="A512" s="22" t="s">
        <v>947</v>
      </c>
      <c r="B512" s="23"/>
      <c r="C512" s="22" t="s">
        <v>948</v>
      </c>
      <c r="D512" s="23"/>
      <c r="E512" s="23"/>
      <c r="F512" s="23"/>
      <c r="G512" s="23"/>
      <c r="H512" s="2">
        <f t="shared" si="239"/>
        <v>0</v>
      </c>
      <c r="I512" s="2">
        <f t="shared" si="241"/>
        <v>0</v>
      </c>
      <c r="J512" s="2">
        <f t="shared" si="243"/>
        <v>0</v>
      </c>
      <c r="K512" s="2">
        <f>ROUND(0,2)</f>
        <v>0</v>
      </c>
      <c r="L512" s="24">
        <f>ROUND(1415.7,2)</f>
        <v>1415.7</v>
      </c>
      <c r="M512" s="25"/>
      <c r="N512" s="2">
        <f>ROUND(0,2)</f>
        <v>0</v>
      </c>
      <c r="O512" s="2">
        <f>ROUND(38134.44,2)</f>
        <v>38134.44</v>
      </c>
      <c r="P512" s="2">
        <f t="shared" si="244"/>
        <v>0</v>
      </c>
      <c r="Q512" s="24">
        <f t="shared" si="242"/>
        <v>0</v>
      </c>
      <c r="R512" s="25"/>
      <c r="S512" s="24">
        <f>ROUND(36718.74,2)</f>
        <v>36718.74</v>
      </c>
      <c r="T512" s="25"/>
      <c r="U512" s="26"/>
    </row>
    <row r="513" spans="1:21">
      <c r="A513" s="22" t="s">
        <v>949</v>
      </c>
      <c r="B513" s="23"/>
      <c r="C513" s="22" t="s">
        <v>950</v>
      </c>
      <c r="D513" s="23"/>
      <c r="E513" s="23"/>
      <c r="F513" s="23"/>
      <c r="G513" s="23"/>
      <c r="H513" s="2">
        <f t="shared" si="239"/>
        <v>0</v>
      </c>
      <c r="I513" s="2">
        <f t="shared" si="241"/>
        <v>0</v>
      </c>
      <c r="J513" s="2">
        <f t="shared" si="243"/>
        <v>0</v>
      </c>
      <c r="K513" s="2">
        <f t="shared" ref="K513:L516" si="245">ROUND(0,2)</f>
        <v>0</v>
      </c>
      <c r="L513" s="24">
        <f t="shared" si="245"/>
        <v>0</v>
      </c>
      <c r="M513" s="25"/>
      <c r="N513" s="2">
        <f>ROUND(29447.84,2)</f>
        <v>29447.84</v>
      </c>
      <c r="O513" s="2">
        <f>ROUND(0,2)</f>
        <v>0</v>
      </c>
      <c r="P513" s="2">
        <f t="shared" si="244"/>
        <v>0</v>
      </c>
      <c r="Q513" s="24">
        <f t="shared" si="242"/>
        <v>0</v>
      </c>
      <c r="R513" s="25"/>
      <c r="S513" s="24">
        <f>ROUND(29447.84,2)</f>
        <v>29447.84</v>
      </c>
      <c r="T513" s="25"/>
      <c r="U513" s="26"/>
    </row>
    <row r="514" spans="1:21">
      <c r="A514" s="22" t="s">
        <v>951</v>
      </c>
      <c r="B514" s="23"/>
      <c r="C514" s="22" t="s">
        <v>952</v>
      </c>
      <c r="D514" s="23"/>
      <c r="E514" s="23"/>
      <c r="F514" s="23"/>
      <c r="G514" s="23"/>
      <c r="H514" s="2">
        <f t="shared" si="239"/>
        <v>0</v>
      </c>
      <c r="I514" s="2">
        <f t="shared" si="241"/>
        <v>0</v>
      </c>
      <c r="J514" s="2">
        <f t="shared" si="243"/>
        <v>0</v>
      </c>
      <c r="K514" s="2">
        <f t="shared" si="245"/>
        <v>0</v>
      </c>
      <c r="L514" s="24">
        <f t="shared" si="245"/>
        <v>0</v>
      </c>
      <c r="M514" s="25"/>
      <c r="N514" s="2">
        <f>ROUND(0,2)</f>
        <v>0</v>
      </c>
      <c r="O514" s="2">
        <f>ROUND(5337.97,2)</f>
        <v>5337.97</v>
      </c>
      <c r="P514" s="2">
        <f t="shared" si="244"/>
        <v>0</v>
      </c>
      <c r="Q514" s="24">
        <f t="shared" si="242"/>
        <v>0</v>
      </c>
      <c r="R514" s="25"/>
      <c r="S514" s="24">
        <f>ROUND(5337.97,2)</f>
        <v>5337.97</v>
      </c>
      <c r="T514" s="25"/>
      <c r="U514" s="26"/>
    </row>
    <row r="515" spans="1:21">
      <c r="A515" s="22" t="s">
        <v>951</v>
      </c>
      <c r="B515" s="23"/>
      <c r="C515" s="22" t="s">
        <v>952</v>
      </c>
      <c r="D515" s="23"/>
      <c r="E515" s="23"/>
      <c r="F515" s="23"/>
      <c r="G515" s="23"/>
      <c r="H515" s="2">
        <f t="shared" si="239"/>
        <v>0</v>
      </c>
      <c r="I515" s="2">
        <f t="shared" si="241"/>
        <v>0</v>
      </c>
      <c r="J515" s="2">
        <f t="shared" si="243"/>
        <v>0</v>
      </c>
      <c r="K515" s="2">
        <f t="shared" si="245"/>
        <v>0</v>
      </c>
      <c r="L515" s="24">
        <f t="shared" si="245"/>
        <v>0</v>
      </c>
      <c r="M515" s="25"/>
      <c r="N515" s="2">
        <f>ROUND(23746.35,2)</f>
        <v>23746.35</v>
      </c>
      <c r="O515" s="2">
        <f t="shared" ref="O515:O530" si="246">ROUND(0,2)</f>
        <v>0</v>
      </c>
      <c r="P515" s="2">
        <f t="shared" si="244"/>
        <v>0</v>
      </c>
      <c r="Q515" s="24">
        <f t="shared" si="242"/>
        <v>0</v>
      </c>
      <c r="R515" s="25"/>
      <c r="S515" s="24">
        <f>ROUND(23746.35,2)</f>
        <v>23746.35</v>
      </c>
      <c r="T515" s="25"/>
      <c r="U515" s="26"/>
    </row>
    <row r="516" spans="1:21">
      <c r="A516" s="22" t="s">
        <v>953</v>
      </c>
      <c r="B516" s="23"/>
      <c r="C516" s="22" t="s">
        <v>954</v>
      </c>
      <c r="D516" s="23"/>
      <c r="E516" s="23"/>
      <c r="F516" s="23"/>
      <c r="G516" s="23"/>
      <c r="H516" s="2">
        <f>ROUND(10000,2)</f>
        <v>10000</v>
      </c>
      <c r="I516" s="2">
        <f t="shared" si="241"/>
        <v>0</v>
      </c>
      <c r="J516" s="2">
        <f t="shared" si="243"/>
        <v>0</v>
      </c>
      <c r="K516" s="2">
        <f t="shared" si="245"/>
        <v>0</v>
      </c>
      <c r="L516" s="24">
        <f t="shared" si="245"/>
        <v>0</v>
      </c>
      <c r="M516" s="25"/>
      <c r="N516" s="2">
        <f t="shared" ref="N516:N521" si="247">ROUND(0,2)</f>
        <v>0</v>
      </c>
      <c r="O516" s="2">
        <f t="shared" si="246"/>
        <v>0</v>
      </c>
      <c r="P516" s="2">
        <f t="shared" si="244"/>
        <v>0</v>
      </c>
      <c r="Q516" s="24">
        <f t="shared" si="242"/>
        <v>0</v>
      </c>
      <c r="R516" s="25"/>
      <c r="S516" s="24">
        <f>ROUND(10000,2)</f>
        <v>10000</v>
      </c>
      <c r="T516" s="25"/>
      <c r="U516" s="26"/>
    </row>
    <row r="517" spans="1:21">
      <c r="A517" s="22" t="s">
        <v>955</v>
      </c>
      <c r="B517" s="23"/>
      <c r="C517" s="22" t="s">
        <v>956</v>
      </c>
      <c r="D517" s="23"/>
      <c r="E517" s="23"/>
      <c r="F517" s="23"/>
      <c r="G517" s="23"/>
      <c r="H517" s="2">
        <f t="shared" ref="H517:H528" si="248">ROUND(0,2)</f>
        <v>0</v>
      </c>
      <c r="I517" s="2">
        <f t="shared" si="241"/>
        <v>0</v>
      </c>
      <c r="J517" s="2">
        <f t="shared" si="243"/>
        <v>0</v>
      </c>
      <c r="K517" s="2">
        <f>ROUND(5307.6,2)</f>
        <v>5307.6</v>
      </c>
      <c r="L517" s="24">
        <f t="shared" ref="L517:L525" si="249">ROUND(0,2)</f>
        <v>0</v>
      </c>
      <c r="M517" s="25"/>
      <c r="N517" s="2">
        <f t="shared" si="247"/>
        <v>0</v>
      </c>
      <c r="O517" s="2">
        <f t="shared" si="246"/>
        <v>0</v>
      </c>
      <c r="P517" s="2">
        <f t="shared" si="244"/>
        <v>0</v>
      </c>
      <c r="Q517" s="24">
        <f t="shared" si="242"/>
        <v>0</v>
      </c>
      <c r="R517" s="25"/>
      <c r="S517" s="24">
        <f>ROUND(5307.6,2)</f>
        <v>5307.6</v>
      </c>
      <c r="T517" s="25"/>
      <c r="U517" s="26"/>
    </row>
    <row r="518" spans="1:21">
      <c r="A518" s="22" t="s">
        <v>957</v>
      </c>
      <c r="B518" s="23"/>
      <c r="C518" s="22" t="s">
        <v>958</v>
      </c>
      <c r="D518" s="23"/>
      <c r="E518" s="23"/>
      <c r="F518" s="23"/>
      <c r="G518" s="23"/>
      <c r="H518" s="2">
        <f t="shared" si="248"/>
        <v>0</v>
      </c>
      <c r="I518" s="2">
        <f t="shared" si="241"/>
        <v>0</v>
      </c>
      <c r="J518" s="2">
        <f t="shared" si="243"/>
        <v>0</v>
      </c>
      <c r="K518" s="2">
        <f>ROUND(2440,2)</f>
        <v>2440</v>
      </c>
      <c r="L518" s="24">
        <f t="shared" si="249"/>
        <v>0</v>
      </c>
      <c r="M518" s="25"/>
      <c r="N518" s="2">
        <f t="shared" si="247"/>
        <v>0</v>
      </c>
      <c r="O518" s="2">
        <f t="shared" si="246"/>
        <v>0</v>
      </c>
      <c r="P518" s="2">
        <f t="shared" si="244"/>
        <v>0</v>
      </c>
      <c r="Q518" s="24">
        <f t="shared" si="242"/>
        <v>0</v>
      </c>
      <c r="R518" s="25"/>
      <c r="S518" s="24">
        <f>ROUND(2440,2)</f>
        <v>2440</v>
      </c>
      <c r="T518" s="25"/>
      <c r="U518" s="26"/>
    </row>
    <row r="519" spans="1:21">
      <c r="A519" s="22" t="s">
        <v>959</v>
      </c>
      <c r="B519" s="23"/>
      <c r="C519" s="22" t="s">
        <v>960</v>
      </c>
      <c r="D519" s="23"/>
      <c r="E519" s="23"/>
      <c r="F519" s="23"/>
      <c r="G519" s="23"/>
      <c r="H519" s="2">
        <f t="shared" si="248"/>
        <v>0</v>
      </c>
      <c r="I519" s="2">
        <f t="shared" si="241"/>
        <v>0</v>
      </c>
      <c r="J519" s="2">
        <f t="shared" si="243"/>
        <v>0</v>
      </c>
      <c r="K519" s="2">
        <f>ROUND(4009.56,2)</f>
        <v>4009.56</v>
      </c>
      <c r="L519" s="24">
        <f t="shared" si="249"/>
        <v>0</v>
      </c>
      <c r="M519" s="25"/>
      <c r="N519" s="2">
        <f t="shared" si="247"/>
        <v>0</v>
      </c>
      <c r="O519" s="2">
        <f t="shared" si="246"/>
        <v>0</v>
      </c>
      <c r="P519" s="2">
        <f t="shared" si="244"/>
        <v>0</v>
      </c>
      <c r="Q519" s="24">
        <f t="shared" si="242"/>
        <v>0</v>
      </c>
      <c r="R519" s="25"/>
      <c r="S519" s="24">
        <f>ROUND(4009.56,2)</f>
        <v>4009.56</v>
      </c>
      <c r="T519" s="25"/>
      <c r="U519" s="26"/>
    </row>
    <row r="520" spans="1:21">
      <c r="A520" s="22" t="s">
        <v>961</v>
      </c>
      <c r="B520" s="23"/>
      <c r="C520" s="22" t="s">
        <v>962</v>
      </c>
      <c r="D520" s="23"/>
      <c r="E520" s="23"/>
      <c r="F520" s="23"/>
      <c r="G520" s="23"/>
      <c r="H520" s="2">
        <f t="shared" si="248"/>
        <v>0</v>
      </c>
      <c r="I520" s="2">
        <f t="shared" si="241"/>
        <v>0</v>
      </c>
      <c r="J520" s="2">
        <f t="shared" si="243"/>
        <v>0</v>
      </c>
      <c r="K520" s="2">
        <f>ROUND(212,2)</f>
        <v>212</v>
      </c>
      <c r="L520" s="24">
        <f t="shared" si="249"/>
        <v>0</v>
      </c>
      <c r="M520" s="25"/>
      <c r="N520" s="2">
        <f t="shared" si="247"/>
        <v>0</v>
      </c>
      <c r="O520" s="2">
        <f t="shared" si="246"/>
        <v>0</v>
      </c>
      <c r="P520" s="2">
        <f t="shared" si="244"/>
        <v>0</v>
      </c>
      <c r="Q520" s="24">
        <f t="shared" si="242"/>
        <v>0</v>
      </c>
      <c r="R520" s="25"/>
      <c r="S520" s="24">
        <f>ROUND(212,2)</f>
        <v>212</v>
      </c>
      <c r="T520" s="25"/>
      <c r="U520" s="26"/>
    </row>
    <row r="521" spans="1:21">
      <c r="A521" s="22" t="s">
        <v>963</v>
      </c>
      <c r="B521" s="23"/>
      <c r="C521" s="22" t="s">
        <v>964</v>
      </c>
      <c r="D521" s="23"/>
      <c r="E521" s="23"/>
      <c r="F521" s="23"/>
      <c r="G521" s="23"/>
      <c r="H521" s="2">
        <f t="shared" si="248"/>
        <v>0</v>
      </c>
      <c r="I521" s="2">
        <f t="shared" si="241"/>
        <v>0</v>
      </c>
      <c r="J521" s="2">
        <f t="shared" si="243"/>
        <v>0</v>
      </c>
      <c r="K521" s="2">
        <f>ROUND(3803.8,2)</f>
        <v>3803.8</v>
      </c>
      <c r="L521" s="24">
        <f t="shared" si="249"/>
        <v>0</v>
      </c>
      <c r="M521" s="25"/>
      <c r="N521" s="2">
        <f t="shared" si="247"/>
        <v>0</v>
      </c>
      <c r="O521" s="2">
        <f t="shared" si="246"/>
        <v>0</v>
      </c>
      <c r="P521" s="2">
        <f t="shared" si="244"/>
        <v>0</v>
      </c>
      <c r="Q521" s="24">
        <f t="shared" si="242"/>
        <v>0</v>
      </c>
      <c r="R521" s="25"/>
      <c r="S521" s="24">
        <f>ROUND(3803.8,2)</f>
        <v>3803.8</v>
      </c>
      <c r="T521" s="25"/>
      <c r="U521" s="26"/>
    </row>
    <row r="522" spans="1:21">
      <c r="A522" s="22" t="s">
        <v>965</v>
      </c>
      <c r="B522" s="23"/>
      <c r="C522" s="22" t="s">
        <v>966</v>
      </c>
      <c r="D522" s="23"/>
      <c r="E522" s="23"/>
      <c r="F522" s="23"/>
      <c r="G522" s="23"/>
      <c r="H522" s="2">
        <f t="shared" si="248"/>
        <v>0</v>
      </c>
      <c r="I522" s="2">
        <f t="shared" ref="I522:I537" si="250">ROUND(0,2)</f>
        <v>0</v>
      </c>
      <c r="J522" s="2">
        <f t="shared" si="243"/>
        <v>0</v>
      </c>
      <c r="K522" s="2">
        <f t="shared" ref="K522:K529" si="251">ROUND(0,2)</f>
        <v>0</v>
      </c>
      <c r="L522" s="24">
        <f t="shared" si="249"/>
        <v>0</v>
      </c>
      <c r="M522" s="25"/>
      <c r="N522" s="2">
        <f>ROUND(4500,2)</f>
        <v>4500</v>
      </c>
      <c r="O522" s="2">
        <f t="shared" si="246"/>
        <v>0</v>
      </c>
      <c r="P522" s="2">
        <f t="shared" si="244"/>
        <v>0</v>
      </c>
      <c r="Q522" s="24">
        <f t="shared" ref="Q522:Q537" si="252">ROUND(0,2)</f>
        <v>0</v>
      </c>
      <c r="R522" s="25"/>
      <c r="S522" s="24">
        <f>ROUND(4500,2)</f>
        <v>4500</v>
      </c>
      <c r="T522" s="25"/>
      <c r="U522" s="26"/>
    </row>
    <row r="523" spans="1:21">
      <c r="A523" s="22" t="s">
        <v>967</v>
      </c>
      <c r="B523" s="23"/>
      <c r="C523" s="22" t="s">
        <v>968</v>
      </c>
      <c r="D523" s="23"/>
      <c r="E523" s="23"/>
      <c r="F523" s="23"/>
      <c r="G523" s="23"/>
      <c r="H523" s="2">
        <f t="shared" si="248"/>
        <v>0</v>
      </c>
      <c r="I523" s="2">
        <f t="shared" si="250"/>
        <v>0</v>
      </c>
      <c r="J523" s="2">
        <f t="shared" ref="J523:J538" si="253">ROUND(0,2)</f>
        <v>0</v>
      </c>
      <c r="K523" s="2">
        <f t="shared" si="251"/>
        <v>0</v>
      </c>
      <c r="L523" s="24">
        <f t="shared" si="249"/>
        <v>0</v>
      </c>
      <c r="M523" s="25"/>
      <c r="N523" s="2">
        <f>ROUND(1000,2)</f>
        <v>1000</v>
      </c>
      <c r="O523" s="2">
        <f t="shared" si="246"/>
        <v>0</v>
      </c>
      <c r="P523" s="2">
        <f t="shared" si="244"/>
        <v>0</v>
      </c>
      <c r="Q523" s="24">
        <f t="shared" si="252"/>
        <v>0</v>
      </c>
      <c r="R523" s="25"/>
      <c r="S523" s="24">
        <f>ROUND(1000,2)</f>
        <v>1000</v>
      </c>
      <c r="T523" s="25"/>
      <c r="U523" s="26"/>
    </row>
    <row r="524" spans="1:21">
      <c r="A524" s="22" t="s">
        <v>969</v>
      </c>
      <c r="B524" s="23"/>
      <c r="C524" s="22" t="s">
        <v>970</v>
      </c>
      <c r="D524" s="23"/>
      <c r="E524" s="23"/>
      <c r="F524" s="23"/>
      <c r="G524" s="23"/>
      <c r="H524" s="2">
        <f t="shared" si="248"/>
        <v>0</v>
      </c>
      <c r="I524" s="2">
        <f t="shared" si="250"/>
        <v>0</v>
      </c>
      <c r="J524" s="2">
        <f t="shared" si="253"/>
        <v>0</v>
      </c>
      <c r="K524" s="2">
        <f t="shared" si="251"/>
        <v>0</v>
      </c>
      <c r="L524" s="24">
        <f t="shared" si="249"/>
        <v>0</v>
      </c>
      <c r="M524" s="25"/>
      <c r="N524" s="2">
        <f>ROUND(12228.2,2)</f>
        <v>12228.2</v>
      </c>
      <c r="O524" s="2">
        <f t="shared" si="246"/>
        <v>0</v>
      </c>
      <c r="P524" s="2">
        <f t="shared" ref="P524:P539" si="254">ROUND(0,2)</f>
        <v>0</v>
      </c>
      <c r="Q524" s="24">
        <f t="shared" si="252"/>
        <v>0</v>
      </c>
      <c r="R524" s="25"/>
      <c r="S524" s="24">
        <f>ROUND(12228.2,2)</f>
        <v>12228.2</v>
      </c>
      <c r="T524" s="25"/>
      <c r="U524" s="26"/>
    </row>
    <row r="525" spans="1:21">
      <c r="A525" s="22" t="s">
        <v>971</v>
      </c>
      <c r="B525" s="23"/>
      <c r="C525" s="22" t="s">
        <v>972</v>
      </c>
      <c r="D525" s="23"/>
      <c r="E525" s="23"/>
      <c r="F525" s="23"/>
      <c r="G525" s="23"/>
      <c r="H525" s="2">
        <f t="shared" si="248"/>
        <v>0</v>
      </c>
      <c r="I525" s="2">
        <f t="shared" si="250"/>
        <v>0</v>
      </c>
      <c r="J525" s="2">
        <f t="shared" si="253"/>
        <v>0</v>
      </c>
      <c r="K525" s="2">
        <f t="shared" si="251"/>
        <v>0</v>
      </c>
      <c r="L525" s="24">
        <f t="shared" si="249"/>
        <v>0</v>
      </c>
      <c r="M525" s="25"/>
      <c r="N525" s="2">
        <f>ROUND(330.05,2)</f>
        <v>330.05</v>
      </c>
      <c r="O525" s="2">
        <f t="shared" si="246"/>
        <v>0</v>
      </c>
      <c r="P525" s="2">
        <f t="shared" si="254"/>
        <v>0</v>
      </c>
      <c r="Q525" s="24">
        <f t="shared" si="252"/>
        <v>0</v>
      </c>
      <c r="R525" s="25"/>
      <c r="S525" s="24">
        <f>ROUND(330.05,2)</f>
        <v>330.05</v>
      </c>
      <c r="T525" s="25"/>
      <c r="U525" s="26"/>
    </row>
    <row r="526" spans="1:21">
      <c r="A526" s="22" t="s">
        <v>973</v>
      </c>
      <c r="B526" s="23"/>
      <c r="C526" s="22" t="s">
        <v>974</v>
      </c>
      <c r="D526" s="23"/>
      <c r="E526" s="23"/>
      <c r="F526" s="23"/>
      <c r="G526" s="23"/>
      <c r="H526" s="2">
        <f t="shared" si="248"/>
        <v>0</v>
      </c>
      <c r="I526" s="2">
        <f t="shared" si="250"/>
        <v>0</v>
      </c>
      <c r="J526" s="2">
        <f t="shared" si="253"/>
        <v>0</v>
      </c>
      <c r="K526" s="2">
        <f t="shared" si="251"/>
        <v>0</v>
      </c>
      <c r="L526" s="24">
        <f>ROUND(12287.57,2)</f>
        <v>12287.57</v>
      </c>
      <c r="M526" s="25"/>
      <c r="N526" s="2">
        <f>ROUND(0,2)</f>
        <v>0</v>
      </c>
      <c r="O526" s="2">
        <f t="shared" si="246"/>
        <v>0</v>
      </c>
      <c r="P526" s="2">
        <f t="shared" si="254"/>
        <v>0</v>
      </c>
      <c r="Q526" s="24">
        <f t="shared" si="252"/>
        <v>0</v>
      </c>
      <c r="R526" s="25"/>
      <c r="S526" s="24">
        <f>ROUND(-12287.57,2)</f>
        <v>-12287.57</v>
      </c>
      <c r="T526" s="25"/>
      <c r="U526" s="26"/>
    </row>
    <row r="527" spans="1:21">
      <c r="A527" s="22" t="s">
        <v>973</v>
      </c>
      <c r="B527" s="23"/>
      <c r="C527" s="22" t="s">
        <v>974</v>
      </c>
      <c r="D527" s="23"/>
      <c r="E527" s="23"/>
      <c r="F527" s="23"/>
      <c r="G527" s="23"/>
      <c r="H527" s="2">
        <f t="shared" si="248"/>
        <v>0</v>
      </c>
      <c r="I527" s="2">
        <f t="shared" si="250"/>
        <v>0</v>
      </c>
      <c r="J527" s="2">
        <f t="shared" si="253"/>
        <v>0</v>
      </c>
      <c r="K527" s="2">
        <f t="shared" si="251"/>
        <v>0</v>
      </c>
      <c r="L527" s="24">
        <f>ROUND(0,2)</f>
        <v>0</v>
      </c>
      <c r="M527" s="25"/>
      <c r="N527" s="2">
        <f>ROUND(21694.05,2)</f>
        <v>21694.05</v>
      </c>
      <c r="O527" s="2">
        <f t="shared" si="246"/>
        <v>0</v>
      </c>
      <c r="P527" s="2">
        <f t="shared" si="254"/>
        <v>0</v>
      </c>
      <c r="Q527" s="24">
        <f t="shared" si="252"/>
        <v>0</v>
      </c>
      <c r="R527" s="25"/>
      <c r="S527" s="24">
        <f>ROUND(21694.05,2)</f>
        <v>21694.05</v>
      </c>
      <c r="T527" s="25"/>
      <c r="U527" s="26"/>
    </row>
    <row r="528" spans="1:21">
      <c r="A528" s="22" t="s">
        <v>975</v>
      </c>
      <c r="B528" s="23"/>
      <c r="C528" s="22" t="s">
        <v>976</v>
      </c>
      <c r="D528" s="23"/>
      <c r="E528" s="23"/>
      <c r="F528" s="23"/>
      <c r="G528" s="23"/>
      <c r="H528" s="2">
        <f t="shared" si="248"/>
        <v>0</v>
      </c>
      <c r="I528" s="2">
        <f t="shared" si="250"/>
        <v>0</v>
      </c>
      <c r="J528" s="2">
        <f t="shared" si="253"/>
        <v>0</v>
      </c>
      <c r="K528" s="2">
        <f t="shared" si="251"/>
        <v>0</v>
      </c>
      <c r="L528" s="24">
        <f>ROUND(0,2)</f>
        <v>0</v>
      </c>
      <c r="M528" s="25"/>
      <c r="N528" s="2">
        <f>ROUND(11400,2)</f>
        <v>11400</v>
      </c>
      <c r="O528" s="2">
        <f t="shared" si="246"/>
        <v>0</v>
      </c>
      <c r="P528" s="2">
        <f t="shared" si="254"/>
        <v>0</v>
      </c>
      <c r="Q528" s="24">
        <f t="shared" si="252"/>
        <v>0</v>
      </c>
      <c r="R528" s="25"/>
      <c r="S528" s="24">
        <f>ROUND(11400,2)</f>
        <v>11400</v>
      </c>
      <c r="T528" s="25"/>
      <c r="U528" s="26"/>
    </row>
    <row r="529" spans="1:21">
      <c r="A529" s="22" t="s">
        <v>977</v>
      </c>
      <c r="B529" s="23"/>
      <c r="C529" s="22" t="s">
        <v>978</v>
      </c>
      <c r="D529" s="23"/>
      <c r="E529" s="23"/>
      <c r="F529" s="23"/>
      <c r="G529" s="23"/>
      <c r="H529" s="2">
        <f>ROUND(25000,2)</f>
        <v>25000</v>
      </c>
      <c r="I529" s="2">
        <f t="shared" si="250"/>
        <v>0</v>
      </c>
      <c r="J529" s="2">
        <f t="shared" si="253"/>
        <v>0</v>
      </c>
      <c r="K529" s="2">
        <f t="shared" si="251"/>
        <v>0</v>
      </c>
      <c r="L529" s="24">
        <f>ROUND(0,2)</f>
        <v>0</v>
      </c>
      <c r="M529" s="25"/>
      <c r="N529" s="2">
        <f>ROUND(0,2)</f>
        <v>0</v>
      </c>
      <c r="O529" s="2">
        <f t="shared" si="246"/>
        <v>0</v>
      </c>
      <c r="P529" s="2">
        <f t="shared" si="254"/>
        <v>0</v>
      </c>
      <c r="Q529" s="24">
        <f t="shared" si="252"/>
        <v>0</v>
      </c>
      <c r="R529" s="25"/>
      <c r="S529" s="24">
        <f>ROUND(25000,2)</f>
        <v>25000</v>
      </c>
      <c r="T529" s="25"/>
      <c r="U529" s="26"/>
    </row>
    <row r="530" spans="1:21">
      <c r="A530" s="22" t="s">
        <v>979</v>
      </c>
      <c r="B530" s="23"/>
      <c r="C530" s="22" t="s">
        <v>980</v>
      </c>
      <c r="D530" s="23"/>
      <c r="E530" s="23"/>
      <c r="F530" s="23"/>
      <c r="G530" s="23"/>
      <c r="H530" s="2">
        <f t="shared" ref="H530:H545" si="255">ROUND(0,2)</f>
        <v>0</v>
      </c>
      <c r="I530" s="2">
        <f t="shared" si="250"/>
        <v>0</v>
      </c>
      <c r="J530" s="2">
        <f t="shared" si="253"/>
        <v>0</v>
      </c>
      <c r="K530" s="2">
        <f>ROUND(1415.7,2)</f>
        <v>1415.7</v>
      </c>
      <c r="L530" s="24">
        <f>ROUND(0,2)</f>
        <v>0</v>
      </c>
      <c r="M530" s="25"/>
      <c r="N530" s="2">
        <f>ROUND(0,2)</f>
        <v>0</v>
      </c>
      <c r="O530" s="2">
        <f t="shared" si="246"/>
        <v>0</v>
      </c>
      <c r="P530" s="2">
        <f t="shared" si="254"/>
        <v>0</v>
      </c>
      <c r="Q530" s="24">
        <f t="shared" si="252"/>
        <v>0</v>
      </c>
      <c r="R530" s="25"/>
      <c r="S530" s="24">
        <f>ROUND(1415.7,2)</f>
        <v>1415.7</v>
      </c>
      <c r="T530" s="25"/>
      <c r="U530" s="26"/>
    </row>
    <row r="531" spans="1:21">
      <c r="A531" s="22" t="s">
        <v>981</v>
      </c>
      <c r="B531" s="23"/>
      <c r="C531" s="22" t="s">
        <v>982</v>
      </c>
      <c r="D531" s="23"/>
      <c r="E531" s="23"/>
      <c r="F531" s="23"/>
      <c r="G531" s="23"/>
      <c r="H531" s="2">
        <f t="shared" si="255"/>
        <v>0</v>
      </c>
      <c r="I531" s="2">
        <f t="shared" si="250"/>
        <v>0</v>
      </c>
      <c r="J531" s="2">
        <f t="shared" si="253"/>
        <v>0</v>
      </c>
      <c r="K531" s="2">
        <f>ROUND(0,2)</f>
        <v>0</v>
      </c>
      <c r="L531" s="24">
        <f>ROUND(0,2)</f>
        <v>0</v>
      </c>
      <c r="M531" s="25"/>
      <c r="N531" s="2">
        <f>ROUND(6000,2)</f>
        <v>6000</v>
      </c>
      <c r="O531" s="2">
        <f t="shared" ref="O531:O546" si="256">ROUND(0,2)</f>
        <v>0</v>
      </c>
      <c r="P531" s="2">
        <f t="shared" si="254"/>
        <v>0</v>
      </c>
      <c r="Q531" s="24">
        <f t="shared" si="252"/>
        <v>0</v>
      </c>
      <c r="R531" s="25"/>
      <c r="S531" s="24">
        <f>ROUND(6000,2)</f>
        <v>6000</v>
      </c>
      <c r="T531" s="25"/>
      <c r="U531" s="26"/>
    </row>
    <row r="532" spans="1:21">
      <c r="A532" s="22" t="s">
        <v>983</v>
      </c>
      <c r="B532" s="23"/>
      <c r="C532" s="22" t="s">
        <v>984</v>
      </c>
      <c r="D532" s="23"/>
      <c r="E532" s="23"/>
      <c r="F532" s="23"/>
      <c r="G532" s="23"/>
      <c r="H532" s="2">
        <f t="shared" si="255"/>
        <v>0</v>
      </c>
      <c r="I532" s="2">
        <f t="shared" si="250"/>
        <v>0</v>
      </c>
      <c r="J532" s="2">
        <f t="shared" si="253"/>
        <v>0</v>
      </c>
      <c r="K532" s="2">
        <f>ROUND(0,2)</f>
        <v>0</v>
      </c>
      <c r="L532" s="24">
        <f>ROUND(10000,2)</f>
        <v>10000</v>
      </c>
      <c r="M532" s="25"/>
      <c r="N532" s="2">
        <f>ROUND(0,2)</f>
        <v>0</v>
      </c>
      <c r="O532" s="2">
        <f t="shared" si="256"/>
        <v>0</v>
      </c>
      <c r="P532" s="2">
        <f t="shared" si="254"/>
        <v>0</v>
      </c>
      <c r="Q532" s="24">
        <f t="shared" si="252"/>
        <v>0</v>
      </c>
      <c r="R532" s="25"/>
      <c r="S532" s="24">
        <f>ROUND(-10000,2)</f>
        <v>-10000</v>
      </c>
      <c r="T532" s="25"/>
      <c r="U532" s="26"/>
    </row>
    <row r="533" spans="1:21">
      <c r="A533" s="22" t="s">
        <v>985</v>
      </c>
      <c r="B533" s="23"/>
      <c r="C533" s="22" t="s">
        <v>986</v>
      </c>
      <c r="D533" s="23"/>
      <c r="E533" s="23"/>
      <c r="F533" s="23"/>
      <c r="G533" s="23"/>
      <c r="H533" s="2">
        <f t="shared" si="255"/>
        <v>0</v>
      </c>
      <c r="I533" s="2">
        <f t="shared" si="250"/>
        <v>0</v>
      </c>
      <c r="J533" s="2">
        <f t="shared" si="253"/>
        <v>0</v>
      </c>
      <c r="K533" s="2">
        <f>ROUND(30000,2)</f>
        <v>30000</v>
      </c>
      <c r="L533" s="24">
        <f t="shared" ref="L533:L538" si="257">ROUND(0,2)</f>
        <v>0</v>
      </c>
      <c r="M533" s="25"/>
      <c r="N533" s="2">
        <f>ROUND(0,2)</f>
        <v>0</v>
      </c>
      <c r="O533" s="2">
        <f t="shared" si="256"/>
        <v>0</v>
      </c>
      <c r="P533" s="2">
        <f t="shared" si="254"/>
        <v>0</v>
      </c>
      <c r="Q533" s="24">
        <f t="shared" si="252"/>
        <v>0</v>
      </c>
      <c r="R533" s="25"/>
      <c r="S533" s="24">
        <f>ROUND(30000,2)</f>
        <v>30000</v>
      </c>
      <c r="T533" s="25"/>
      <c r="U533" s="26"/>
    </row>
    <row r="534" spans="1:21">
      <c r="A534" s="22" t="s">
        <v>987</v>
      </c>
      <c r="B534" s="23"/>
      <c r="C534" s="22" t="s">
        <v>988</v>
      </c>
      <c r="D534" s="23"/>
      <c r="E534" s="23"/>
      <c r="F534" s="23"/>
      <c r="G534" s="23"/>
      <c r="H534" s="2">
        <f t="shared" si="255"/>
        <v>0</v>
      </c>
      <c r="I534" s="2">
        <f t="shared" si="250"/>
        <v>0</v>
      </c>
      <c r="J534" s="2">
        <f t="shared" si="253"/>
        <v>0</v>
      </c>
      <c r="K534" s="2">
        <f>ROUND(10000,2)</f>
        <v>10000</v>
      </c>
      <c r="L534" s="24">
        <f t="shared" si="257"/>
        <v>0</v>
      </c>
      <c r="M534" s="25"/>
      <c r="N534" s="2">
        <f>ROUND(0,2)</f>
        <v>0</v>
      </c>
      <c r="O534" s="2">
        <f t="shared" si="256"/>
        <v>0</v>
      </c>
      <c r="P534" s="2">
        <f t="shared" si="254"/>
        <v>0</v>
      </c>
      <c r="Q534" s="24">
        <f t="shared" si="252"/>
        <v>0</v>
      </c>
      <c r="R534" s="25"/>
      <c r="S534" s="24">
        <f>ROUND(10000,2)</f>
        <v>10000</v>
      </c>
      <c r="T534" s="25"/>
      <c r="U534" s="26"/>
    </row>
    <row r="535" spans="1:21">
      <c r="A535" s="22" t="s">
        <v>989</v>
      </c>
      <c r="B535" s="23"/>
      <c r="C535" s="22" t="s">
        <v>990</v>
      </c>
      <c r="D535" s="23"/>
      <c r="E535" s="23"/>
      <c r="F535" s="23"/>
      <c r="G535" s="23"/>
      <c r="H535" s="2">
        <f t="shared" si="255"/>
        <v>0</v>
      </c>
      <c r="I535" s="2">
        <f t="shared" si="250"/>
        <v>0</v>
      </c>
      <c r="J535" s="2">
        <f t="shared" si="253"/>
        <v>0</v>
      </c>
      <c r="K535" s="2">
        <f>ROUND(1604.19,2)</f>
        <v>1604.19</v>
      </c>
      <c r="L535" s="24">
        <f t="shared" si="257"/>
        <v>0</v>
      </c>
      <c r="M535" s="25"/>
      <c r="N535" s="2">
        <f>ROUND(0,2)</f>
        <v>0</v>
      </c>
      <c r="O535" s="2">
        <f t="shared" si="256"/>
        <v>0</v>
      </c>
      <c r="P535" s="2">
        <f t="shared" si="254"/>
        <v>0</v>
      </c>
      <c r="Q535" s="24">
        <f t="shared" si="252"/>
        <v>0</v>
      </c>
      <c r="R535" s="25"/>
      <c r="S535" s="24">
        <f>ROUND(1604.19,2)</f>
        <v>1604.19</v>
      </c>
      <c r="T535" s="25"/>
      <c r="U535" s="26"/>
    </row>
    <row r="536" spans="1:21">
      <c r="A536" s="22" t="s">
        <v>991</v>
      </c>
      <c r="B536" s="23"/>
      <c r="C536" s="22" t="s">
        <v>992</v>
      </c>
      <c r="D536" s="23"/>
      <c r="E536" s="23"/>
      <c r="F536" s="23"/>
      <c r="G536" s="23"/>
      <c r="H536" s="2">
        <f t="shared" si="255"/>
        <v>0</v>
      </c>
      <c r="I536" s="2">
        <f t="shared" si="250"/>
        <v>0</v>
      </c>
      <c r="J536" s="2">
        <f t="shared" si="253"/>
        <v>0</v>
      </c>
      <c r="K536" s="2">
        <f>ROUND(14256.99,2)</f>
        <v>14256.99</v>
      </c>
      <c r="L536" s="24">
        <f t="shared" si="257"/>
        <v>0</v>
      </c>
      <c r="M536" s="25"/>
      <c r="N536" s="2">
        <f>ROUND(0,2)</f>
        <v>0</v>
      </c>
      <c r="O536" s="2">
        <f t="shared" si="256"/>
        <v>0</v>
      </c>
      <c r="P536" s="2">
        <f t="shared" si="254"/>
        <v>0</v>
      </c>
      <c r="Q536" s="24">
        <f t="shared" si="252"/>
        <v>0</v>
      </c>
      <c r="R536" s="25"/>
      <c r="S536" s="24">
        <f>ROUND(14256.99,2)</f>
        <v>14256.99</v>
      </c>
      <c r="T536" s="25"/>
      <c r="U536" s="26"/>
    </row>
    <row r="537" spans="1:21">
      <c r="A537" s="22" t="s">
        <v>991</v>
      </c>
      <c r="B537" s="23"/>
      <c r="C537" s="22" t="s">
        <v>992</v>
      </c>
      <c r="D537" s="23"/>
      <c r="E537" s="23"/>
      <c r="F537" s="23"/>
      <c r="G537" s="23"/>
      <c r="H537" s="2">
        <f t="shared" si="255"/>
        <v>0</v>
      </c>
      <c r="I537" s="2">
        <f t="shared" si="250"/>
        <v>0</v>
      </c>
      <c r="J537" s="2">
        <f t="shared" si="253"/>
        <v>0</v>
      </c>
      <c r="K537" s="2">
        <f>ROUND(0,2)</f>
        <v>0</v>
      </c>
      <c r="L537" s="24">
        <f t="shared" si="257"/>
        <v>0</v>
      </c>
      <c r="M537" s="25"/>
      <c r="N537" s="2">
        <f>ROUND(2033.35,2)</f>
        <v>2033.35</v>
      </c>
      <c r="O537" s="2">
        <f t="shared" si="256"/>
        <v>0</v>
      </c>
      <c r="P537" s="2">
        <f t="shared" si="254"/>
        <v>0</v>
      </c>
      <c r="Q537" s="24">
        <f t="shared" si="252"/>
        <v>0</v>
      </c>
      <c r="R537" s="25"/>
      <c r="S537" s="24">
        <f>ROUND(2033.35,2)</f>
        <v>2033.35</v>
      </c>
      <c r="T537" s="25"/>
      <c r="U537" s="26"/>
    </row>
    <row r="538" spans="1:21">
      <c r="A538" s="22" t="s">
        <v>993</v>
      </c>
      <c r="B538" s="23"/>
      <c r="C538" s="22" t="s">
        <v>994</v>
      </c>
      <c r="D538" s="23"/>
      <c r="E538" s="23"/>
      <c r="F538" s="23"/>
      <c r="G538" s="23"/>
      <c r="H538" s="2">
        <f t="shared" si="255"/>
        <v>0</v>
      </c>
      <c r="I538" s="2">
        <f t="shared" ref="I538:I553" si="258">ROUND(0,2)</f>
        <v>0</v>
      </c>
      <c r="J538" s="2">
        <f t="shared" si="253"/>
        <v>0</v>
      </c>
      <c r="K538" s="2">
        <f>ROUND(0,2)</f>
        <v>0</v>
      </c>
      <c r="L538" s="24">
        <f t="shared" si="257"/>
        <v>0</v>
      </c>
      <c r="M538" s="25"/>
      <c r="N538" s="2">
        <f>ROUND(1319.2,2)</f>
        <v>1319.2</v>
      </c>
      <c r="O538" s="2">
        <f t="shared" si="256"/>
        <v>0</v>
      </c>
      <c r="P538" s="2">
        <f t="shared" si="254"/>
        <v>0</v>
      </c>
      <c r="Q538" s="24">
        <f t="shared" ref="Q538:Q553" si="259">ROUND(0,2)</f>
        <v>0</v>
      </c>
      <c r="R538" s="25"/>
      <c r="S538" s="24">
        <f>ROUND(1319.2,2)</f>
        <v>1319.2</v>
      </c>
      <c r="T538" s="25"/>
      <c r="U538" s="26"/>
    </row>
    <row r="539" spans="1:21">
      <c r="A539" s="22" t="s">
        <v>993</v>
      </c>
      <c r="B539" s="23"/>
      <c r="C539" s="22" t="s">
        <v>994</v>
      </c>
      <c r="D539" s="23"/>
      <c r="E539" s="23"/>
      <c r="F539" s="23"/>
      <c r="G539" s="23"/>
      <c r="H539" s="2">
        <f t="shared" si="255"/>
        <v>0</v>
      </c>
      <c r="I539" s="2">
        <f t="shared" si="258"/>
        <v>0</v>
      </c>
      <c r="J539" s="2">
        <f t="shared" ref="J539:K549" si="260">ROUND(0,2)</f>
        <v>0</v>
      </c>
      <c r="K539" s="2">
        <f t="shared" si="260"/>
        <v>0</v>
      </c>
      <c r="L539" s="24">
        <f>ROUND(1604.19,2)</f>
        <v>1604.19</v>
      </c>
      <c r="M539" s="25"/>
      <c r="N539" s="2">
        <f>ROUND(0,2)</f>
        <v>0</v>
      </c>
      <c r="O539" s="2">
        <f t="shared" si="256"/>
        <v>0</v>
      </c>
      <c r="P539" s="2">
        <f t="shared" si="254"/>
        <v>0</v>
      </c>
      <c r="Q539" s="24">
        <f t="shared" si="259"/>
        <v>0</v>
      </c>
      <c r="R539" s="25"/>
      <c r="S539" s="24">
        <f>ROUND(-1604.19,2)</f>
        <v>-1604.19</v>
      </c>
      <c r="T539" s="25"/>
      <c r="U539" s="26"/>
    </row>
    <row r="540" spans="1:21">
      <c r="A540" s="22" t="s">
        <v>995</v>
      </c>
      <c r="B540" s="23"/>
      <c r="C540" s="22" t="s">
        <v>996</v>
      </c>
      <c r="D540" s="23"/>
      <c r="E540" s="23"/>
      <c r="F540" s="23"/>
      <c r="G540" s="23"/>
      <c r="H540" s="2">
        <f t="shared" si="255"/>
        <v>0</v>
      </c>
      <c r="I540" s="2">
        <f t="shared" si="258"/>
        <v>0</v>
      </c>
      <c r="J540" s="2">
        <f t="shared" si="260"/>
        <v>0</v>
      </c>
      <c r="K540" s="2">
        <f t="shared" si="260"/>
        <v>0</v>
      </c>
      <c r="L540" s="24">
        <f t="shared" ref="L540:L555" si="261">ROUND(0,2)</f>
        <v>0</v>
      </c>
      <c r="M540" s="25"/>
      <c r="N540" s="2">
        <f>ROUND(2103.2,2)</f>
        <v>2103.1999999999998</v>
      </c>
      <c r="O540" s="2">
        <f t="shared" si="256"/>
        <v>0</v>
      </c>
      <c r="P540" s="2">
        <f t="shared" ref="P540:P555" si="262">ROUND(0,2)</f>
        <v>0</v>
      </c>
      <c r="Q540" s="24">
        <f t="shared" si="259"/>
        <v>0</v>
      </c>
      <c r="R540" s="25"/>
      <c r="S540" s="24">
        <f>ROUND(2103.2,2)</f>
        <v>2103.1999999999998</v>
      </c>
      <c r="T540" s="25"/>
      <c r="U540" s="26"/>
    </row>
    <row r="541" spans="1:21">
      <c r="A541" s="22" t="s">
        <v>997</v>
      </c>
      <c r="B541" s="23"/>
      <c r="C541" s="22" t="s">
        <v>998</v>
      </c>
      <c r="D541" s="23"/>
      <c r="E541" s="23"/>
      <c r="F541" s="23"/>
      <c r="G541" s="23"/>
      <c r="H541" s="2">
        <f t="shared" si="255"/>
        <v>0</v>
      </c>
      <c r="I541" s="2">
        <f t="shared" si="258"/>
        <v>0</v>
      </c>
      <c r="J541" s="2">
        <f t="shared" si="260"/>
        <v>0</v>
      </c>
      <c r="K541" s="2">
        <f t="shared" si="260"/>
        <v>0</v>
      </c>
      <c r="L541" s="24">
        <f t="shared" si="261"/>
        <v>0</v>
      </c>
      <c r="M541" s="25"/>
      <c r="N541" s="2">
        <f>ROUND(21680.01,2)</f>
        <v>21680.01</v>
      </c>
      <c r="O541" s="2">
        <f t="shared" si="256"/>
        <v>0</v>
      </c>
      <c r="P541" s="2">
        <f t="shared" si="262"/>
        <v>0</v>
      </c>
      <c r="Q541" s="24">
        <f t="shared" si="259"/>
        <v>0</v>
      </c>
      <c r="R541" s="25"/>
      <c r="S541" s="24">
        <f>ROUND(21680.01,2)</f>
        <v>21680.01</v>
      </c>
      <c r="T541" s="25"/>
      <c r="U541" s="26"/>
    </row>
    <row r="542" spans="1:21">
      <c r="A542" s="22" t="s">
        <v>999</v>
      </c>
      <c r="B542" s="23"/>
      <c r="C542" s="22" t="s">
        <v>1000</v>
      </c>
      <c r="D542" s="23"/>
      <c r="E542" s="23"/>
      <c r="F542" s="23"/>
      <c r="G542" s="23"/>
      <c r="H542" s="2">
        <f t="shared" si="255"/>
        <v>0</v>
      </c>
      <c r="I542" s="2">
        <f t="shared" si="258"/>
        <v>0</v>
      </c>
      <c r="J542" s="2">
        <f t="shared" si="260"/>
        <v>0</v>
      </c>
      <c r="K542" s="2">
        <f t="shared" si="260"/>
        <v>0</v>
      </c>
      <c r="L542" s="24">
        <f t="shared" si="261"/>
        <v>0</v>
      </c>
      <c r="M542" s="25"/>
      <c r="N542" s="2">
        <f>ROUND(1516.76,2)</f>
        <v>1516.76</v>
      </c>
      <c r="O542" s="2">
        <f t="shared" si="256"/>
        <v>0</v>
      </c>
      <c r="P542" s="2">
        <f t="shared" si="262"/>
        <v>0</v>
      </c>
      <c r="Q542" s="24">
        <f t="shared" si="259"/>
        <v>0</v>
      </c>
      <c r="R542" s="25"/>
      <c r="S542" s="24">
        <f>ROUND(1516.76,2)</f>
        <v>1516.76</v>
      </c>
      <c r="T542" s="25"/>
      <c r="U542" s="26"/>
    </row>
    <row r="543" spans="1:21">
      <c r="A543" s="22" t="s">
        <v>1001</v>
      </c>
      <c r="B543" s="23"/>
      <c r="C543" s="22" t="s">
        <v>1002</v>
      </c>
      <c r="D543" s="23"/>
      <c r="E543" s="23"/>
      <c r="F543" s="23"/>
      <c r="G543" s="23"/>
      <c r="H543" s="2">
        <f t="shared" si="255"/>
        <v>0</v>
      </c>
      <c r="I543" s="2">
        <f t="shared" si="258"/>
        <v>0</v>
      </c>
      <c r="J543" s="2">
        <f t="shared" si="260"/>
        <v>0</v>
      </c>
      <c r="K543" s="2">
        <f t="shared" si="260"/>
        <v>0</v>
      </c>
      <c r="L543" s="24">
        <f t="shared" si="261"/>
        <v>0</v>
      </c>
      <c r="M543" s="25"/>
      <c r="N543" s="2">
        <f>ROUND(321.47,2)</f>
        <v>321.47000000000003</v>
      </c>
      <c r="O543" s="2">
        <f t="shared" si="256"/>
        <v>0</v>
      </c>
      <c r="P543" s="2">
        <f t="shared" si="262"/>
        <v>0</v>
      </c>
      <c r="Q543" s="24">
        <f t="shared" si="259"/>
        <v>0</v>
      </c>
      <c r="R543" s="25"/>
      <c r="S543" s="24">
        <f>ROUND(321.47,2)</f>
        <v>321.47000000000003</v>
      </c>
      <c r="T543" s="25"/>
      <c r="U543" s="26"/>
    </row>
    <row r="544" spans="1:21">
      <c r="A544" s="22" t="s">
        <v>1003</v>
      </c>
      <c r="B544" s="23"/>
      <c r="C544" s="22" t="s">
        <v>1004</v>
      </c>
      <c r="D544" s="23"/>
      <c r="E544" s="23"/>
      <c r="F544" s="23"/>
      <c r="G544" s="23"/>
      <c r="H544" s="2">
        <f t="shared" si="255"/>
        <v>0</v>
      </c>
      <c r="I544" s="2">
        <f t="shared" si="258"/>
        <v>0</v>
      </c>
      <c r="J544" s="2">
        <f t="shared" si="260"/>
        <v>0</v>
      </c>
      <c r="K544" s="2">
        <f t="shared" si="260"/>
        <v>0</v>
      </c>
      <c r="L544" s="24">
        <f t="shared" si="261"/>
        <v>0</v>
      </c>
      <c r="M544" s="25"/>
      <c r="N544" s="2">
        <f>ROUND(485.01,2)</f>
        <v>485.01</v>
      </c>
      <c r="O544" s="2">
        <f t="shared" si="256"/>
        <v>0</v>
      </c>
      <c r="P544" s="2">
        <f t="shared" si="262"/>
        <v>0</v>
      </c>
      <c r="Q544" s="24">
        <f t="shared" si="259"/>
        <v>0</v>
      </c>
      <c r="R544" s="25"/>
      <c r="S544" s="24">
        <f>ROUND(485.01,2)</f>
        <v>485.01</v>
      </c>
      <c r="T544" s="25"/>
      <c r="U544" s="26"/>
    </row>
    <row r="545" spans="1:21">
      <c r="A545" s="22" t="s">
        <v>1005</v>
      </c>
      <c r="B545" s="23"/>
      <c r="C545" s="22" t="s">
        <v>1006</v>
      </c>
      <c r="D545" s="23"/>
      <c r="E545" s="23"/>
      <c r="F545" s="23"/>
      <c r="G545" s="23"/>
      <c r="H545" s="2">
        <f t="shared" si="255"/>
        <v>0</v>
      </c>
      <c r="I545" s="2">
        <f t="shared" si="258"/>
        <v>0</v>
      </c>
      <c r="J545" s="2">
        <f t="shared" si="260"/>
        <v>0</v>
      </c>
      <c r="K545" s="2">
        <f t="shared" si="260"/>
        <v>0</v>
      </c>
      <c r="L545" s="24">
        <f t="shared" si="261"/>
        <v>0</v>
      </c>
      <c r="M545" s="25"/>
      <c r="N545" s="2">
        <f>ROUND(3335.19,2)</f>
        <v>3335.19</v>
      </c>
      <c r="O545" s="2">
        <f t="shared" si="256"/>
        <v>0</v>
      </c>
      <c r="P545" s="2">
        <f t="shared" si="262"/>
        <v>0</v>
      </c>
      <c r="Q545" s="24">
        <f t="shared" si="259"/>
        <v>0</v>
      </c>
      <c r="R545" s="25"/>
      <c r="S545" s="24">
        <f>ROUND(3335.19,2)</f>
        <v>3335.19</v>
      </c>
      <c r="T545" s="25"/>
      <c r="U545" s="26"/>
    </row>
    <row r="546" spans="1:21">
      <c r="A546" s="22" t="s">
        <v>1007</v>
      </c>
      <c r="B546" s="23"/>
      <c r="C546" s="22" t="s">
        <v>1008</v>
      </c>
      <c r="D546" s="23"/>
      <c r="E546" s="23"/>
      <c r="F546" s="23"/>
      <c r="G546" s="23"/>
      <c r="H546" s="2">
        <f>ROUND(0,2)</f>
        <v>0</v>
      </c>
      <c r="I546" s="2">
        <f t="shared" si="258"/>
        <v>0</v>
      </c>
      <c r="J546" s="2">
        <f t="shared" si="260"/>
        <v>0</v>
      </c>
      <c r="K546" s="2">
        <f t="shared" si="260"/>
        <v>0</v>
      </c>
      <c r="L546" s="24">
        <f t="shared" si="261"/>
        <v>0</v>
      </c>
      <c r="M546" s="25"/>
      <c r="N546" s="2">
        <f>ROUND(8156.1,2)</f>
        <v>8156.1</v>
      </c>
      <c r="O546" s="2">
        <f t="shared" si="256"/>
        <v>0</v>
      </c>
      <c r="P546" s="2">
        <f t="shared" si="262"/>
        <v>0</v>
      </c>
      <c r="Q546" s="24">
        <f t="shared" si="259"/>
        <v>0</v>
      </c>
      <c r="R546" s="25"/>
      <c r="S546" s="24">
        <f>ROUND(8156.1,2)</f>
        <v>8156.1</v>
      </c>
      <c r="T546" s="25"/>
      <c r="U546" s="26"/>
    </row>
    <row r="547" spans="1:21">
      <c r="A547" s="22" t="s">
        <v>1009</v>
      </c>
      <c r="B547" s="23"/>
      <c r="C547" s="22" t="s">
        <v>1010</v>
      </c>
      <c r="D547" s="23"/>
      <c r="E547" s="23"/>
      <c r="F547" s="23"/>
      <c r="G547" s="23"/>
      <c r="H547" s="2">
        <f>ROUND(0,2)</f>
        <v>0</v>
      </c>
      <c r="I547" s="2">
        <f t="shared" si="258"/>
        <v>0</v>
      </c>
      <c r="J547" s="2">
        <f t="shared" si="260"/>
        <v>0</v>
      </c>
      <c r="K547" s="2">
        <f t="shared" si="260"/>
        <v>0</v>
      </c>
      <c r="L547" s="24">
        <f t="shared" si="261"/>
        <v>0</v>
      </c>
      <c r="M547" s="25"/>
      <c r="N547" s="2">
        <f>ROUND(4312.58,2)</f>
        <v>4312.58</v>
      </c>
      <c r="O547" s="2">
        <f t="shared" ref="O547:O562" si="263">ROUND(0,2)</f>
        <v>0</v>
      </c>
      <c r="P547" s="2">
        <f t="shared" si="262"/>
        <v>0</v>
      </c>
      <c r="Q547" s="24">
        <f t="shared" si="259"/>
        <v>0</v>
      </c>
      <c r="R547" s="25"/>
      <c r="S547" s="24">
        <f>ROUND(4312.58,2)</f>
        <v>4312.58</v>
      </c>
      <c r="T547" s="25"/>
      <c r="U547" s="26"/>
    </row>
    <row r="548" spans="1:21">
      <c r="A548" s="22" t="s">
        <v>1011</v>
      </c>
      <c r="B548" s="23"/>
      <c r="C548" s="22" t="s">
        <v>1012</v>
      </c>
      <c r="D548" s="23"/>
      <c r="E548" s="23"/>
      <c r="F548" s="23"/>
      <c r="G548" s="23"/>
      <c r="H548" s="2">
        <f>ROUND(0,2)</f>
        <v>0</v>
      </c>
      <c r="I548" s="2">
        <f t="shared" si="258"/>
        <v>0</v>
      </c>
      <c r="J548" s="2">
        <f t="shared" si="260"/>
        <v>0</v>
      </c>
      <c r="K548" s="2">
        <f t="shared" si="260"/>
        <v>0</v>
      </c>
      <c r="L548" s="24">
        <f t="shared" si="261"/>
        <v>0</v>
      </c>
      <c r="M548" s="25"/>
      <c r="N548" s="2">
        <f>ROUND(4812.52,2)</f>
        <v>4812.5200000000004</v>
      </c>
      <c r="O548" s="2">
        <f t="shared" si="263"/>
        <v>0</v>
      </c>
      <c r="P548" s="2">
        <f t="shared" si="262"/>
        <v>0</v>
      </c>
      <c r="Q548" s="24">
        <f t="shared" si="259"/>
        <v>0</v>
      </c>
      <c r="R548" s="25"/>
      <c r="S548" s="24">
        <f>ROUND(4812.52,2)</f>
        <v>4812.5200000000004</v>
      </c>
      <c r="T548" s="25"/>
      <c r="U548" s="26"/>
    </row>
    <row r="549" spans="1:21">
      <c r="A549" s="22" t="s">
        <v>1013</v>
      </c>
      <c r="B549" s="23"/>
      <c r="C549" s="22" t="s">
        <v>1014</v>
      </c>
      <c r="D549" s="23"/>
      <c r="E549" s="23"/>
      <c r="F549" s="23"/>
      <c r="G549" s="23"/>
      <c r="H549" s="2">
        <f>ROUND(60000,2)</f>
        <v>60000</v>
      </c>
      <c r="I549" s="2">
        <f t="shared" si="258"/>
        <v>0</v>
      </c>
      <c r="J549" s="2">
        <f t="shared" si="260"/>
        <v>0</v>
      </c>
      <c r="K549" s="2">
        <f t="shared" si="260"/>
        <v>0</v>
      </c>
      <c r="L549" s="24">
        <f t="shared" si="261"/>
        <v>0</v>
      </c>
      <c r="M549" s="25"/>
      <c r="N549" s="2">
        <f t="shared" ref="N549:N555" si="264">ROUND(0,2)</f>
        <v>0</v>
      </c>
      <c r="O549" s="2">
        <f t="shared" si="263"/>
        <v>0</v>
      </c>
      <c r="P549" s="2">
        <f t="shared" si="262"/>
        <v>0</v>
      </c>
      <c r="Q549" s="24">
        <f t="shared" si="259"/>
        <v>0</v>
      </c>
      <c r="R549" s="25"/>
      <c r="S549" s="24">
        <f>ROUND(60000,2)</f>
        <v>60000</v>
      </c>
      <c r="T549" s="25"/>
      <c r="U549" s="26"/>
    </row>
    <row r="550" spans="1:21">
      <c r="A550" s="22" t="s">
        <v>1015</v>
      </c>
      <c r="B550" s="23"/>
      <c r="C550" s="22" t="s">
        <v>1016</v>
      </c>
      <c r="D550" s="23"/>
      <c r="E550" s="23"/>
      <c r="F550" s="23"/>
      <c r="G550" s="23"/>
      <c r="H550" s="2">
        <f t="shared" ref="H550:H565" si="265">ROUND(0,2)</f>
        <v>0</v>
      </c>
      <c r="I550" s="2">
        <f t="shared" si="258"/>
        <v>0</v>
      </c>
      <c r="J550" s="2">
        <f t="shared" ref="J550:J565" si="266">ROUND(0,2)</f>
        <v>0</v>
      </c>
      <c r="K550" s="2">
        <f>ROUND(8870,2)</f>
        <v>8870</v>
      </c>
      <c r="L550" s="24">
        <f t="shared" si="261"/>
        <v>0</v>
      </c>
      <c r="M550" s="25"/>
      <c r="N550" s="2">
        <f t="shared" si="264"/>
        <v>0</v>
      </c>
      <c r="O550" s="2">
        <f t="shared" si="263"/>
        <v>0</v>
      </c>
      <c r="P550" s="2">
        <f t="shared" si="262"/>
        <v>0</v>
      </c>
      <c r="Q550" s="24">
        <f t="shared" si="259"/>
        <v>0</v>
      </c>
      <c r="R550" s="25"/>
      <c r="S550" s="24">
        <f>ROUND(8870,2)</f>
        <v>8870</v>
      </c>
      <c r="T550" s="25"/>
      <c r="U550" s="26"/>
    </row>
    <row r="551" spans="1:21">
      <c r="A551" s="22" t="s">
        <v>1017</v>
      </c>
      <c r="B551" s="23"/>
      <c r="C551" s="22" t="s">
        <v>1018</v>
      </c>
      <c r="D551" s="23"/>
      <c r="E551" s="23"/>
      <c r="F551" s="23"/>
      <c r="G551" s="23"/>
      <c r="H551" s="2">
        <f t="shared" si="265"/>
        <v>0</v>
      </c>
      <c r="I551" s="2">
        <f t="shared" si="258"/>
        <v>0</v>
      </c>
      <c r="J551" s="2">
        <f t="shared" si="266"/>
        <v>0</v>
      </c>
      <c r="K551" s="2">
        <f>ROUND(3840,2)</f>
        <v>3840</v>
      </c>
      <c r="L551" s="24">
        <f t="shared" si="261"/>
        <v>0</v>
      </c>
      <c r="M551" s="25"/>
      <c r="N551" s="2">
        <f t="shared" si="264"/>
        <v>0</v>
      </c>
      <c r="O551" s="2">
        <f t="shared" si="263"/>
        <v>0</v>
      </c>
      <c r="P551" s="2">
        <f t="shared" si="262"/>
        <v>0</v>
      </c>
      <c r="Q551" s="24">
        <f t="shared" si="259"/>
        <v>0</v>
      </c>
      <c r="R551" s="25"/>
      <c r="S551" s="24">
        <f>ROUND(3840,2)</f>
        <v>3840</v>
      </c>
      <c r="T551" s="25"/>
      <c r="U551" s="26"/>
    </row>
    <row r="552" spans="1:21">
      <c r="A552" s="22" t="s">
        <v>1019</v>
      </c>
      <c r="B552" s="23"/>
      <c r="C552" s="22" t="s">
        <v>1020</v>
      </c>
      <c r="D552" s="23"/>
      <c r="E552" s="23"/>
      <c r="F552" s="23"/>
      <c r="G552" s="23"/>
      <c r="H552" s="2">
        <f t="shared" si="265"/>
        <v>0</v>
      </c>
      <c r="I552" s="2">
        <f t="shared" si="258"/>
        <v>0</v>
      </c>
      <c r="J552" s="2">
        <f t="shared" si="266"/>
        <v>0</v>
      </c>
      <c r="K552" s="2">
        <f>ROUND(9800,2)</f>
        <v>9800</v>
      </c>
      <c r="L552" s="24">
        <f t="shared" si="261"/>
        <v>0</v>
      </c>
      <c r="M552" s="25"/>
      <c r="N552" s="2">
        <f t="shared" si="264"/>
        <v>0</v>
      </c>
      <c r="O552" s="2">
        <f t="shared" si="263"/>
        <v>0</v>
      </c>
      <c r="P552" s="2">
        <f t="shared" si="262"/>
        <v>0</v>
      </c>
      <c r="Q552" s="24">
        <f t="shared" si="259"/>
        <v>0</v>
      </c>
      <c r="R552" s="25"/>
      <c r="S552" s="24">
        <f>ROUND(9800,2)</f>
        <v>9800</v>
      </c>
      <c r="T552" s="25"/>
      <c r="U552" s="26"/>
    </row>
    <row r="553" spans="1:21">
      <c r="A553" s="22" t="s">
        <v>1021</v>
      </c>
      <c r="B553" s="23"/>
      <c r="C553" s="22" t="s">
        <v>1022</v>
      </c>
      <c r="D553" s="23"/>
      <c r="E553" s="23"/>
      <c r="F553" s="23"/>
      <c r="G553" s="23"/>
      <c r="H553" s="2">
        <f t="shared" si="265"/>
        <v>0</v>
      </c>
      <c r="I553" s="2">
        <f t="shared" si="258"/>
        <v>0</v>
      </c>
      <c r="J553" s="2">
        <f t="shared" si="266"/>
        <v>0</v>
      </c>
      <c r="K553" s="2">
        <f>ROUND(400,2)</f>
        <v>400</v>
      </c>
      <c r="L553" s="24">
        <f t="shared" si="261"/>
        <v>0</v>
      </c>
      <c r="M553" s="25"/>
      <c r="N553" s="2">
        <f t="shared" si="264"/>
        <v>0</v>
      </c>
      <c r="O553" s="2">
        <f t="shared" si="263"/>
        <v>0</v>
      </c>
      <c r="P553" s="2">
        <f t="shared" si="262"/>
        <v>0</v>
      </c>
      <c r="Q553" s="24">
        <f t="shared" si="259"/>
        <v>0</v>
      </c>
      <c r="R553" s="25"/>
      <c r="S553" s="24">
        <f>ROUND(400,2)</f>
        <v>400</v>
      </c>
      <c r="T553" s="25"/>
      <c r="U553" s="26"/>
    </row>
    <row r="554" spans="1:21">
      <c r="A554" s="22" t="s">
        <v>1023</v>
      </c>
      <c r="B554" s="23"/>
      <c r="C554" s="22" t="s">
        <v>1024</v>
      </c>
      <c r="D554" s="23"/>
      <c r="E554" s="23"/>
      <c r="F554" s="23"/>
      <c r="G554" s="23"/>
      <c r="H554" s="2">
        <f t="shared" si="265"/>
        <v>0</v>
      </c>
      <c r="I554" s="2">
        <f t="shared" ref="I554:I568" si="267">ROUND(0,2)</f>
        <v>0</v>
      </c>
      <c r="J554" s="2">
        <f t="shared" si="266"/>
        <v>0</v>
      </c>
      <c r="K554" s="2">
        <f>ROUND(7090,2)</f>
        <v>7090</v>
      </c>
      <c r="L554" s="24">
        <f t="shared" si="261"/>
        <v>0</v>
      </c>
      <c r="M554" s="25"/>
      <c r="N554" s="2">
        <f t="shared" si="264"/>
        <v>0</v>
      </c>
      <c r="O554" s="2">
        <f t="shared" si="263"/>
        <v>0</v>
      </c>
      <c r="P554" s="2">
        <f t="shared" si="262"/>
        <v>0</v>
      </c>
      <c r="Q554" s="24">
        <f t="shared" ref="Q554:Q569" si="268">ROUND(0,2)</f>
        <v>0</v>
      </c>
      <c r="R554" s="25"/>
      <c r="S554" s="24">
        <f>ROUND(7090,2)</f>
        <v>7090</v>
      </c>
      <c r="T554" s="25"/>
      <c r="U554" s="26"/>
    </row>
    <row r="555" spans="1:21">
      <c r="A555" s="22" t="s">
        <v>1025</v>
      </c>
      <c r="B555" s="23"/>
      <c r="C555" s="22" t="s">
        <v>1026</v>
      </c>
      <c r="D555" s="23"/>
      <c r="E555" s="23"/>
      <c r="F555" s="23"/>
      <c r="G555" s="23"/>
      <c r="H555" s="2">
        <f t="shared" si="265"/>
        <v>0</v>
      </c>
      <c r="I555" s="2">
        <f t="shared" si="267"/>
        <v>0</v>
      </c>
      <c r="J555" s="2">
        <f t="shared" si="266"/>
        <v>0</v>
      </c>
      <c r="K555" s="2">
        <f>ROUND(42626.31,2)</f>
        <v>42626.31</v>
      </c>
      <c r="L555" s="24">
        <f t="shared" si="261"/>
        <v>0</v>
      </c>
      <c r="M555" s="25"/>
      <c r="N555" s="2">
        <f t="shared" si="264"/>
        <v>0</v>
      </c>
      <c r="O555" s="2">
        <f t="shared" si="263"/>
        <v>0</v>
      </c>
      <c r="P555" s="2">
        <f t="shared" si="262"/>
        <v>0</v>
      </c>
      <c r="Q555" s="24">
        <f t="shared" si="268"/>
        <v>0</v>
      </c>
      <c r="R555" s="25"/>
      <c r="S555" s="24">
        <f>ROUND(42626.31,2)</f>
        <v>42626.31</v>
      </c>
      <c r="T555" s="25"/>
      <c r="U555" s="26"/>
    </row>
    <row r="556" spans="1:21">
      <c r="A556" s="22" t="s">
        <v>1027</v>
      </c>
      <c r="B556" s="23"/>
      <c r="C556" s="22" t="s">
        <v>1028</v>
      </c>
      <c r="D556" s="23"/>
      <c r="E556" s="23"/>
      <c r="F556" s="23"/>
      <c r="G556" s="23"/>
      <c r="H556" s="2">
        <f t="shared" si="265"/>
        <v>0</v>
      </c>
      <c r="I556" s="2">
        <f t="shared" si="267"/>
        <v>0</v>
      </c>
      <c r="J556" s="2">
        <f t="shared" si="266"/>
        <v>0</v>
      </c>
      <c r="K556" s="2">
        <f>ROUND(0,2)</f>
        <v>0</v>
      </c>
      <c r="L556" s="24">
        <f>ROUND(0,2)</f>
        <v>0</v>
      </c>
      <c r="M556" s="25"/>
      <c r="N556" s="2">
        <f>ROUND(259931.13,2)</f>
        <v>259931.13</v>
      </c>
      <c r="O556" s="2">
        <f t="shared" si="263"/>
        <v>0</v>
      </c>
      <c r="P556" s="2">
        <f t="shared" ref="P556:P571" si="269">ROUND(0,2)</f>
        <v>0</v>
      </c>
      <c r="Q556" s="24">
        <f t="shared" si="268"/>
        <v>0</v>
      </c>
      <c r="R556" s="25"/>
      <c r="S556" s="24">
        <f>ROUND(259931.13,2)</f>
        <v>259931.13</v>
      </c>
      <c r="T556" s="25"/>
      <c r="U556" s="26"/>
    </row>
    <row r="557" spans="1:21">
      <c r="A557" s="22" t="s">
        <v>1029</v>
      </c>
      <c r="B557" s="23"/>
      <c r="C557" s="22" t="s">
        <v>1030</v>
      </c>
      <c r="D557" s="23"/>
      <c r="E557" s="23"/>
      <c r="F557" s="23"/>
      <c r="G557" s="23"/>
      <c r="H557" s="2">
        <f t="shared" si="265"/>
        <v>0</v>
      </c>
      <c r="I557" s="2">
        <f t="shared" si="267"/>
        <v>0</v>
      </c>
      <c r="J557" s="2">
        <f t="shared" si="266"/>
        <v>0</v>
      </c>
      <c r="K557" s="2">
        <f>ROUND(0,2)</f>
        <v>0</v>
      </c>
      <c r="L557" s="24">
        <f>ROUND(0,2)</f>
        <v>0</v>
      </c>
      <c r="M557" s="25"/>
      <c r="N557" s="2">
        <f>ROUND(3583,2)</f>
        <v>3583</v>
      </c>
      <c r="O557" s="2">
        <f t="shared" si="263"/>
        <v>0</v>
      </c>
      <c r="P557" s="2">
        <f t="shared" si="269"/>
        <v>0</v>
      </c>
      <c r="Q557" s="24">
        <f t="shared" si="268"/>
        <v>0</v>
      </c>
      <c r="R557" s="25"/>
      <c r="S557" s="24">
        <f>ROUND(3583,2)</f>
        <v>3583</v>
      </c>
      <c r="T557" s="25"/>
      <c r="U557" s="26"/>
    </row>
    <row r="558" spans="1:21">
      <c r="A558" s="22" t="s">
        <v>1031</v>
      </c>
      <c r="B558" s="23"/>
      <c r="C558" s="22" t="s">
        <v>1032</v>
      </c>
      <c r="D558" s="23"/>
      <c r="E558" s="23"/>
      <c r="F558" s="23"/>
      <c r="G558" s="23"/>
      <c r="H558" s="2">
        <f t="shared" si="265"/>
        <v>0</v>
      </c>
      <c r="I558" s="2">
        <f t="shared" si="267"/>
        <v>0</v>
      </c>
      <c r="J558" s="2">
        <f t="shared" si="266"/>
        <v>0</v>
      </c>
      <c r="K558" s="2">
        <f t="shared" ref="K558:K565" si="270">ROUND(0,2)</f>
        <v>0</v>
      </c>
      <c r="L558" s="24">
        <f>ROUND(29000,2)</f>
        <v>29000</v>
      </c>
      <c r="M558" s="25"/>
      <c r="N558" s="2">
        <f>ROUND(0,2)</f>
        <v>0</v>
      </c>
      <c r="O558" s="2">
        <f t="shared" si="263"/>
        <v>0</v>
      </c>
      <c r="P558" s="2">
        <f t="shared" si="269"/>
        <v>0</v>
      </c>
      <c r="Q558" s="24">
        <f t="shared" si="268"/>
        <v>0</v>
      </c>
      <c r="R558" s="25"/>
      <c r="S558" s="24">
        <f>ROUND(-29000,2)</f>
        <v>-29000</v>
      </c>
      <c r="T558" s="25"/>
      <c r="U558" s="26"/>
    </row>
    <row r="559" spans="1:21">
      <c r="A559" s="22" t="s">
        <v>1031</v>
      </c>
      <c r="B559" s="23"/>
      <c r="C559" s="22" t="s">
        <v>1032</v>
      </c>
      <c r="D559" s="23"/>
      <c r="E559" s="23"/>
      <c r="F559" s="23"/>
      <c r="G559" s="23"/>
      <c r="H559" s="2">
        <f t="shared" si="265"/>
        <v>0</v>
      </c>
      <c r="I559" s="2">
        <f t="shared" si="267"/>
        <v>0</v>
      </c>
      <c r="J559" s="2">
        <f t="shared" si="266"/>
        <v>0</v>
      </c>
      <c r="K559" s="2">
        <f t="shared" si="270"/>
        <v>0</v>
      </c>
      <c r="L559" s="24">
        <f t="shared" ref="L559:L570" si="271">ROUND(0,2)</f>
        <v>0</v>
      </c>
      <c r="M559" s="25"/>
      <c r="N559" s="2">
        <f>ROUND(19737.3,2)</f>
        <v>19737.3</v>
      </c>
      <c r="O559" s="2">
        <f t="shared" si="263"/>
        <v>0</v>
      </c>
      <c r="P559" s="2">
        <f t="shared" si="269"/>
        <v>0</v>
      </c>
      <c r="Q559" s="24">
        <f t="shared" si="268"/>
        <v>0</v>
      </c>
      <c r="R559" s="25"/>
      <c r="S559" s="24">
        <f>ROUND(19737.3,2)</f>
        <v>19737.3</v>
      </c>
      <c r="T559" s="25"/>
      <c r="U559" s="26"/>
    </row>
    <row r="560" spans="1:21">
      <c r="A560" s="22" t="s">
        <v>1033</v>
      </c>
      <c r="B560" s="23"/>
      <c r="C560" s="22" t="s">
        <v>1034</v>
      </c>
      <c r="D560" s="23"/>
      <c r="E560" s="23"/>
      <c r="F560" s="23"/>
      <c r="G560" s="23"/>
      <c r="H560" s="2">
        <f t="shared" si="265"/>
        <v>0</v>
      </c>
      <c r="I560" s="2">
        <f t="shared" si="267"/>
        <v>0</v>
      </c>
      <c r="J560" s="2">
        <f t="shared" si="266"/>
        <v>0</v>
      </c>
      <c r="K560" s="2">
        <f t="shared" si="270"/>
        <v>0</v>
      </c>
      <c r="L560" s="24">
        <f t="shared" si="271"/>
        <v>0</v>
      </c>
      <c r="M560" s="25"/>
      <c r="N560" s="2">
        <f>ROUND(24157.69,2)</f>
        <v>24157.69</v>
      </c>
      <c r="O560" s="2">
        <f t="shared" si="263"/>
        <v>0</v>
      </c>
      <c r="P560" s="2">
        <f t="shared" si="269"/>
        <v>0</v>
      </c>
      <c r="Q560" s="24">
        <f t="shared" si="268"/>
        <v>0</v>
      </c>
      <c r="R560" s="25"/>
      <c r="S560" s="24">
        <f>ROUND(24157.69,2)</f>
        <v>24157.69</v>
      </c>
      <c r="T560" s="25"/>
      <c r="U560" s="26"/>
    </row>
    <row r="561" spans="1:21">
      <c r="A561" s="22" t="s">
        <v>1035</v>
      </c>
      <c r="B561" s="23"/>
      <c r="C561" s="22" t="s">
        <v>1036</v>
      </c>
      <c r="D561" s="23"/>
      <c r="E561" s="23"/>
      <c r="F561" s="23"/>
      <c r="G561" s="23"/>
      <c r="H561" s="2">
        <f t="shared" si="265"/>
        <v>0</v>
      </c>
      <c r="I561" s="2">
        <f t="shared" si="267"/>
        <v>0</v>
      </c>
      <c r="J561" s="2">
        <f t="shared" si="266"/>
        <v>0</v>
      </c>
      <c r="K561" s="2">
        <f t="shared" si="270"/>
        <v>0</v>
      </c>
      <c r="L561" s="24">
        <f t="shared" si="271"/>
        <v>0</v>
      </c>
      <c r="M561" s="25"/>
      <c r="N561" s="2">
        <f>ROUND(26035.58,2)</f>
        <v>26035.58</v>
      </c>
      <c r="O561" s="2">
        <f t="shared" si="263"/>
        <v>0</v>
      </c>
      <c r="P561" s="2">
        <f t="shared" si="269"/>
        <v>0</v>
      </c>
      <c r="Q561" s="24">
        <f t="shared" si="268"/>
        <v>0</v>
      </c>
      <c r="R561" s="25"/>
      <c r="S561" s="24">
        <f>ROUND(26035.58,2)</f>
        <v>26035.58</v>
      </c>
      <c r="T561" s="25"/>
      <c r="U561" s="26"/>
    </row>
    <row r="562" spans="1:21">
      <c r="A562" s="22" t="s">
        <v>1037</v>
      </c>
      <c r="B562" s="23"/>
      <c r="C562" s="22" t="s">
        <v>1038</v>
      </c>
      <c r="D562" s="23"/>
      <c r="E562" s="23"/>
      <c r="F562" s="23"/>
      <c r="G562" s="23"/>
      <c r="H562" s="2">
        <f t="shared" si="265"/>
        <v>0</v>
      </c>
      <c r="I562" s="2">
        <f t="shared" si="267"/>
        <v>0</v>
      </c>
      <c r="J562" s="2">
        <f t="shared" si="266"/>
        <v>0</v>
      </c>
      <c r="K562" s="2">
        <f t="shared" si="270"/>
        <v>0</v>
      </c>
      <c r="L562" s="24">
        <f t="shared" si="271"/>
        <v>0</v>
      </c>
      <c r="M562" s="25"/>
      <c r="N562" s="2">
        <f>ROUND(21594.09,2)</f>
        <v>21594.09</v>
      </c>
      <c r="O562" s="2">
        <f t="shared" si="263"/>
        <v>0</v>
      </c>
      <c r="P562" s="2">
        <f t="shared" si="269"/>
        <v>0</v>
      </c>
      <c r="Q562" s="24">
        <f t="shared" si="268"/>
        <v>0</v>
      </c>
      <c r="R562" s="25"/>
      <c r="S562" s="24">
        <f>ROUND(21594.09,2)</f>
        <v>21594.09</v>
      </c>
      <c r="T562" s="25"/>
      <c r="U562" s="26"/>
    </row>
    <row r="563" spans="1:21">
      <c r="A563" s="22" t="s">
        <v>1039</v>
      </c>
      <c r="B563" s="23"/>
      <c r="C563" s="22" t="s">
        <v>1040</v>
      </c>
      <c r="D563" s="23"/>
      <c r="E563" s="23"/>
      <c r="F563" s="23"/>
      <c r="G563" s="23"/>
      <c r="H563" s="2">
        <f t="shared" si="265"/>
        <v>0</v>
      </c>
      <c r="I563" s="2">
        <f t="shared" si="267"/>
        <v>0</v>
      </c>
      <c r="J563" s="2">
        <f t="shared" si="266"/>
        <v>0</v>
      </c>
      <c r="K563" s="2">
        <f t="shared" si="270"/>
        <v>0</v>
      </c>
      <c r="L563" s="24">
        <f t="shared" si="271"/>
        <v>0</v>
      </c>
      <c r="M563" s="25"/>
      <c r="N563" s="2">
        <f>ROUND(52334.63,2)</f>
        <v>52334.63</v>
      </c>
      <c r="O563" s="2">
        <f t="shared" ref="O563:O568" si="272">ROUND(0,2)</f>
        <v>0</v>
      </c>
      <c r="P563" s="2">
        <f t="shared" si="269"/>
        <v>0</v>
      </c>
      <c r="Q563" s="24">
        <f t="shared" si="268"/>
        <v>0</v>
      </c>
      <c r="R563" s="25"/>
      <c r="S563" s="24">
        <f>ROUND(52334.63,2)</f>
        <v>52334.63</v>
      </c>
      <c r="T563" s="25"/>
      <c r="U563" s="26"/>
    </row>
    <row r="564" spans="1:21">
      <c r="A564" s="22" t="s">
        <v>1041</v>
      </c>
      <c r="B564" s="23"/>
      <c r="C564" s="22" t="s">
        <v>1042</v>
      </c>
      <c r="D564" s="23"/>
      <c r="E564" s="23"/>
      <c r="F564" s="23"/>
      <c r="G564" s="23"/>
      <c r="H564" s="2">
        <f t="shared" si="265"/>
        <v>0</v>
      </c>
      <c r="I564" s="2">
        <f t="shared" si="267"/>
        <v>0</v>
      </c>
      <c r="J564" s="2">
        <f t="shared" si="266"/>
        <v>0</v>
      </c>
      <c r="K564" s="2">
        <f t="shared" si="270"/>
        <v>0</v>
      </c>
      <c r="L564" s="24">
        <f t="shared" si="271"/>
        <v>0</v>
      </c>
      <c r="M564" s="25"/>
      <c r="N564" s="2">
        <f>ROUND(6295.86,2)</f>
        <v>6295.86</v>
      </c>
      <c r="O564" s="2">
        <f t="shared" si="272"/>
        <v>0</v>
      </c>
      <c r="P564" s="2">
        <f t="shared" si="269"/>
        <v>0</v>
      </c>
      <c r="Q564" s="24">
        <f t="shared" si="268"/>
        <v>0</v>
      </c>
      <c r="R564" s="25"/>
      <c r="S564" s="24">
        <f>ROUND(6295.86,2)</f>
        <v>6295.86</v>
      </c>
      <c r="T564" s="25"/>
      <c r="U564" s="26"/>
    </row>
    <row r="565" spans="1:21">
      <c r="A565" s="22" t="s">
        <v>1043</v>
      </c>
      <c r="B565" s="23"/>
      <c r="C565" s="22" t="s">
        <v>1044</v>
      </c>
      <c r="D565" s="23"/>
      <c r="E565" s="23"/>
      <c r="F565" s="23"/>
      <c r="G565" s="23"/>
      <c r="H565" s="2">
        <f t="shared" si="265"/>
        <v>0</v>
      </c>
      <c r="I565" s="2">
        <f t="shared" si="267"/>
        <v>0</v>
      </c>
      <c r="J565" s="2">
        <f t="shared" si="266"/>
        <v>0</v>
      </c>
      <c r="K565" s="2">
        <f t="shared" si="270"/>
        <v>0</v>
      </c>
      <c r="L565" s="24">
        <f t="shared" si="271"/>
        <v>0</v>
      </c>
      <c r="M565" s="25"/>
      <c r="N565" s="2">
        <f>ROUND(41686.39,2)</f>
        <v>41686.39</v>
      </c>
      <c r="O565" s="2">
        <f t="shared" si="272"/>
        <v>0</v>
      </c>
      <c r="P565" s="2">
        <f t="shared" si="269"/>
        <v>0</v>
      </c>
      <c r="Q565" s="24">
        <f t="shared" si="268"/>
        <v>0</v>
      </c>
      <c r="R565" s="25"/>
      <c r="S565" s="24">
        <f>ROUND(41686.39,2)</f>
        <v>41686.39</v>
      </c>
      <c r="T565" s="25"/>
      <c r="U565" s="26"/>
    </row>
    <row r="566" spans="1:21">
      <c r="A566" s="22" t="s">
        <v>1045</v>
      </c>
      <c r="B566" s="23"/>
      <c r="C566" s="22" t="s">
        <v>1046</v>
      </c>
      <c r="D566" s="23"/>
      <c r="E566" s="23"/>
      <c r="F566" s="23"/>
      <c r="G566" s="23"/>
      <c r="H566" s="2">
        <f t="shared" ref="H566:H581" si="273">ROUND(0,2)</f>
        <v>0</v>
      </c>
      <c r="I566" s="2">
        <f t="shared" si="267"/>
        <v>0</v>
      </c>
      <c r="J566" s="2">
        <f t="shared" ref="J566:J581" si="274">ROUND(0,2)</f>
        <v>0</v>
      </c>
      <c r="K566" s="2">
        <f>ROUND(30000,2)</f>
        <v>30000</v>
      </c>
      <c r="L566" s="24">
        <f t="shared" si="271"/>
        <v>0</v>
      </c>
      <c r="M566" s="25"/>
      <c r="N566" s="2">
        <f>ROUND(0,2)</f>
        <v>0</v>
      </c>
      <c r="O566" s="2">
        <f t="shared" si="272"/>
        <v>0</v>
      </c>
      <c r="P566" s="2">
        <f t="shared" si="269"/>
        <v>0</v>
      </c>
      <c r="Q566" s="24">
        <f t="shared" si="268"/>
        <v>0</v>
      </c>
      <c r="R566" s="25"/>
      <c r="S566" s="24">
        <f>ROUND(30000,2)</f>
        <v>30000</v>
      </c>
      <c r="T566" s="25"/>
      <c r="U566" s="26"/>
    </row>
    <row r="567" spans="1:21">
      <c r="A567" s="22" t="s">
        <v>1047</v>
      </c>
      <c r="B567" s="23"/>
      <c r="C567" s="22" t="s">
        <v>1048</v>
      </c>
      <c r="D567" s="23"/>
      <c r="E567" s="23"/>
      <c r="F567" s="23"/>
      <c r="G567" s="23"/>
      <c r="H567" s="2">
        <f t="shared" si="273"/>
        <v>0</v>
      </c>
      <c r="I567" s="2">
        <f t="shared" si="267"/>
        <v>0</v>
      </c>
      <c r="J567" s="2">
        <f t="shared" si="274"/>
        <v>0</v>
      </c>
      <c r="K567" s="2">
        <f>ROUND(25000,2)</f>
        <v>25000</v>
      </c>
      <c r="L567" s="24">
        <f t="shared" si="271"/>
        <v>0</v>
      </c>
      <c r="M567" s="25"/>
      <c r="N567" s="2">
        <f>ROUND(0,2)</f>
        <v>0</v>
      </c>
      <c r="O567" s="2">
        <f t="shared" si="272"/>
        <v>0</v>
      </c>
      <c r="P567" s="2">
        <f t="shared" si="269"/>
        <v>0</v>
      </c>
      <c r="Q567" s="24">
        <f t="shared" si="268"/>
        <v>0</v>
      </c>
      <c r="R567" s="25"/>
      <c r="S567" s="24">
        <f>ROUND(25000,2)</f>
        <v>25000</v>
      </c>
      <c r="T567" s="25"/>
      <c r="U567" s="26"/>
    </row>
    <row r="568" spans="1:21">
      <c r="A568" s="22" t="s">
        <v>1049</v>
      </c>
      <c r="B568" s="23"/>
      <c r="C568" s="22" t="s">
        <v>1050</v>
      </c>
      <c r="D568" s="23"/>
      <c r="E568" s="23"/>
      <c r="F568" s="23"/>
      <c r="G568" s="23"/>
      <c r="H568" s="2">
        <f t="shared" si="273"/>
        <v>0</v>
      </c>
      <c r="I568" s="2">
        <f t="shared" si="267"/>
        <v>0</v>
      </c>
      <c r="J568" s="2">
        <f t="shared" si="274"/>
        <v>0</v>
      </c>
      <c r="K568" s="2">
        <f>ROUND(19227.04,2)</f>
        <v>19227.04</v>
      </c>
      <c r="L568" s="24">
        <f t="shared" si="271"/>
        <v>0</v>
      </c>
      <c r="M568" s="25"/>
      <c r="N568" s="2">
        <f>ROUND(0,2)</f>
        <v>0</v>
      </c>
      <c r="O568" s="2">
        <f t="shared" si="272"/>
        <v>0</v>
      </c>
      <c r="P568" s="2">
        <f t="shared" si="269"/>
        <v>0</v>
      </c>
      <c r="Q568" s="24">
        <f t="shared" si="268"/>
        <v>0</v>
      </c>
      <c r="R568" s="25"/>
      <c r="S568" s="24">
        <f>ROUND(19227.04,2)</f>
        <v>19227.04</v>
      </c>
      <c r="T568" s="25"/>
      <c r="U568" s="26"/>
    </row>
    <row r="569" spans="1:21">
      <c r="A569" s="22" t="s">
        <v>1051</v>
      </c>
      <c r="B569" s="23"/>
      <c r="C569" s="22" t="s">
        <v>1052</v>
      </c>
      <c r="D569" s="23"/>
      <c r="E569" s="23"/>
      <c r="F569" s="23"/>
      <c r="G569" s="23"/>
      <c r="H569" s="2">
        <f t="shared" si="273"/>
        <v>0</v>
      </c>
      <c r="I569" s="2">
        <f>ROUND(50000,2)</f>
        <v>50000</v>
      </c>
      <c r="J569" s="2">
        <f t="shared" si="274"/>
        <v>0</v>
      </c>
      <c r="K569" s="2">
        <f>ROUND(50000,2)</f>
        <v>50000</v>
      </c>
      <c r="L569" s="24">
        <f t="shared" si="271"/>
        <v>0</v>
      </c>
      <c r="M569" s="25"/>
      <c r="N569" s="2">
        <f>ROUND(0,2)</f>
        <v>0</v>
      </c>
      <c r="O569" s="2">
        <f>ROUND(50878.99,2)</f>
        <v>50878.99</v>
      </c>
      <c r="P569" s="2">
        <f t="shared" si="269"/>
        <v>0</v>
      </c>
      <c r="Q569" s="24">
        <f t="shared" si="268"/>
        <v>0</v>
      </c>
      <c r="R569" s="25"/>
      <c r="S569" s="24">
        <f>ROUND(150878.99,2)</f>
        <v>150878.99</v>
      </c>
      <c r="T569" s="25"/>
      <c r="U569" s="26"/>
    </row>
    <row r="570" spans="1:21">
      <c r="A570" s="22" t="s">
        <v>1051</v>
      </c>
      <c r="B570" s="23"/>
      <c r="C570" s="22" t="s">
        <v>1052</v>
      </c>
      <c r="D570" s="23"/>
      <c r="E570" s="23"/>
      <c r="F570" s="23"/>
      <c r="G570" s="23"/>
      <c r="H570" s="2">
        <f t="shared" si="273"/>
        <v>0</v>
      </c>
      <c r="I570" s="2">
        <f t="shared" ref="I570:I580" si="275">ROUND(0,2)</f>
        <v>0</v>
      </c>
      <c r="J570" s="2">
        <f t="shared" si="274"/>
        <v>0</v>
      </c>
      <c r="K570" s="2">
        <f t="shared" ref="K570:K584" si="276">ROUND(0,2)</f>
        <v>0</v>
      </c>
      <c r="L570" s="24">
        <f t="shared" si="271"/>
        <v>0</v>
      </c>
      <c r="M570" s="25"/>
      <c r="N570" s="2">
        <f>ROUND(6049.67,2)</f>
        <v>6049.67</v>
      </c>
      <c r="O570" s="2">
        <f>ROUND(0,2)</f>
        <v>0</v>
      </c>
      <c r="P570" s="2">
        <f t="shared" si="269"/>
        <v>0</v>
      </c>
      <c r="Q570" s="24">
        <f t="shared" ref="Q570:Q585" si="277">ROUND(0,2)</f>
        <v>0</v>
      </c>
      <c r="R570" s="25"/>
      <c r="S570" s="24">
        <f>ROUND(6049.67,2)</f>
        <v>6049.67</v>
      </c>
      <c r="T570" s="25"/>
      <c r="U570" s="26"/>
    </row>
    <row r="571" spans="1:21">
      <c r="A571" s="22" t="s">
        <v>1053</v>
      </c>
      <c r="B571" s="23"/>
      <c r="C571" s="22" t="s">
        <v>1054</v>
      </c>
      <c r="D571" s="23"/>
      <c r="E571" s="23"/>
      <c r="F571" s="23"/>
      <c r="G571" s="23"/>
      <c r="H571" s="2">
        <f t="shared" si="273"/>
        <v>0</v>
      </c>
      <c r="I571" s="2">
        <f t="shared" si="275"/>
        <v>0</v>
      </c>
      <c r="J571" s="2">
        <f t="shared" si="274"/>
        <v>0</v>
      </c>
      <c r="K571" s="2">
        <f t="shared" si="276"/>
        <v>0</v>
      </c>
      <c r="L571" s="24">
        <f>ROUND(50000,2)</f>
        <v>50000</v>
      </c>
      <c r="M571" s="25"/>
      <c r="N571" s="2">
        <f>ROUND(0,2)</f>
        <v>0</v>
      </c>
      <c r="O571" s="2">
        <f>ROUND(0,2)</f>
        <v>0</v>
      </c>
      <c r="P571" s="2">
        <f t="shared" si="269"/>
        <v>0</v>
      </c>
      <c r="Q571" s="24">
        <f t="shared" si="277"/>
        <v>0</v>
      </c>
      <c r="R571" s="25"/>
      <c r="S571" s="24">
        <f>ROUND(-50000,2)</f>
        <v>-50000</v>
      </c>
      <c r="T571" s="25"/>
      <c r="U571" s="26"/>
    </row>
    <row r="572" spans="1:21">
      <c r="A572" s="22" t="s">
        <v>1055</v>
      </c>
      <c r="B572" s="23"/>
      <c r="C572" s="22" t="s">
        <v>1056</v>
      </c>
      <c r="D572" s="23"/>
      <c r="E572" s="23"/>
      <c r="F572" s="23"/>
      <c r="G572" s="23"/>
      <c r="H572" s="2">
        <f t="shared" si="273"/>
        <v>0</v>
      </c>
      <c r="I572" s="2">
        <f t="shared" si="275"/>
        <v>0</v>
      </c>
      <c r="J572" s="2">
        <f t="shared" si="274"/>
        <v>0</v>
      </c>
      <c r="K572" s="2">
        <f t="shared" si="276"/>
        <v>0</v>
      </c>
      <c r="L572" s="24">
        <f t="shared" ref="L572:L581" si="278">ROUND(0,2)</f>
        <v>0</v>
      </c>
      <c r="M572" s="25"/>
      <c r="N572" s="2">
        <f>ROUND(0,2)</f>
        <v>0</v>
      </c>
      <c r="O572" s="2">
        <f>ROUND(3622,2)</f>
        <v>3622</v>
      </c>
      <c r="P572" s="2">
        <f>ROUND(0,2)</f>
        <v>0</v>
      </c>
      <c r="Q572" s="24">
        <f t="shared" si="277"/>
        <v>0</v>
      </c>
      <c r="R572" s="25"/>
      <c r="S572" s="24">
        <f>ROUND(3622,2)</f>
        <v>3622</v>
      </c>
      <c r="T572" s="25"/>
      <c r="U572" s="26"/>
    </row>
    <row r="573" spans="1:21">
      <c r="A573" s="22" t="s">
        <v>1055</v>
      </c>
      <c r="B573" s="23"/>
      <c r="C573" s="22" t="s">
        <v>1057</v>
      </c>
      <c r="D573" s="23"/>
      <c r="E573" s="23"/>
      <c r="F573" s="23"/>
      <c r="G573" s="23"/>
      <c r="H573" s="2">
        <f t="shared" si="273"/>
        <v>0</v>
      </c>
      <c r="I573" s="2">
        <f t="shared" si="275"/>
        <v>0</v>
      </c>
      <c r="J573" s="2">
        <f t="shared" si="274"/>
        <v>0</v>
      </c>
      <c r="K573" s="2">
        <f t="shared" si="276"/>
        <v>0</v>
      </c>
      <c r="L573" s="24">
        <f t="shared" si="278"/>
        <v>0</v>
      </c>
      <c r="M573" s="25"/>
      <c r="N573" s="2">
        <f>ROUND(19988.96,2)</f>
        <v>19988.96</v>
      </c>
      <c r="O573" s="2">
        <f>ROUND(0,2)</f>
        <v>0</v>
      </c>
      <c r="P573" s="2">
        <f>ROUND(0,2)</f>
        <v>0</v>
      </c>
      <c r="Q573" s="24">
        <f t="shared" si="277"/>
        <v>0</v>
      </c>
      <c r="R573" s="25"/>
      <c r="S573" s="24">
        <f>ROUND(19988.96,2)</f>
        <v>19988.96</v>
      </c>
      <c r="T573" s="25"/>
      <c r="U573" s="26"/>
    </row>
    <row r="574" spans="1:21">
      <c r="A574" s="22" t="s">
        <v>1058</v>
      </c>
      <c r="B574" s="23"/>
      <c r="C574" s="22" t="s">
        <v>1059</v>
      </c>
      <c r="D574" s="23"/>
      <c r="E574" s="23"/>
      <c r="F574" s="23"/>
      <c r="G574" s="23"/>
      <c r="H574" s="2">
        <f t="shared" si="273"/>
        <v>0</v>
      </c>
      <c r="I574" s="2">
        <f t="shared" si="275"/>
        <v>0</v>
      </c>
      <c r="J574" s="2">
        <f t="shared" si="274"/>
        <v>0</v>
      </c>
      <c r="K574" s="2">
        <f t="shared" si="276"/>
        <v>0</v>
      </c>
      <c r="L574" s="24">
        <f t="shared" si="278"/>
        <v>0</v>
      </c>
      <c r="M574" s="25"/>
      <c r="N574" s="2">
        <f>ROUND(24426.11,2)</f>
        <v>24426.11</v>
      </c>
      <c r="O574" s="2">
        <f>ROUND(0,2)</f>
        <v>0</v>
      </c>
      <c r="P574" s="2">
        <f>ROUND(0,2)</f>
        <v>0</v>
      </c>
      <c r="Q574" s="24">
        <f t="shared" si="277"/>
        <v>0</v>
      </c>
      <c r="R574" s="25"/>
      <c r="S574" s="24">
        <f>ROUND(24426.11,2)</f>
        <v>24426.11</v>
      </c>
      <c r="T574" s="25"/>
      <c r="U574" s="26"/>
    </row>
    <row r="575" spans="1:21">
      <c r="A575" s="22" t="s">
        <v>1058</v>
      </c>
      <c r="B575" s="23"/>
      <c r="C575" s="22" t="s">
        <v>1059</v>
      </c>
      <c r="D575" s="23"/>
      <c r="E575" s="23"/>
      <c r="F575" s="23"/>
      <c r="G575" s="23"/>
      <c r="H575" s="2">
        <f t="shared" si="273"/>
        <v>0</v>
      </c>
      <c r="I575" s="2">
        <f t="shared" si="275"/>
        <v>0</v>
      </c>
      <c r="J575" s="2">
        <f t="shared" si="274"/>
        <v>0</v>
      </c>
      <c r="K575" s="2">
        <f t="shared" si="276"/>
        <v>0</v>
      </c>
      <c r="L575" s="24">
        <f t="shared" si="278"/>
        <v>0</v>
      </c>
      <c r="M575" s="25"/>
      <c r="N575" s="2">
        <f>ROUND(0,2)</f>
        <v>0</v>
      </c>
      <c r="O575" s="2">
        <f>ROUND(0,2)</f>
        <v>0</v>
      </c>
      <c r="P575" s="2">
        <f>ROUND(2000,2)</f>
        <v>2000</v>
      </c>
      <c r="Q575" s="24">
        <f t="shared" si="277"/>
        <v>0</v>
      </c>
      <c r="R575" s="25"/>
      <c r="S575" s="24">
        <f>ROUND(-2000,2)</f>
        <v>-2000</v>
      </c>
      <c r="T575" s="25"/>
      <c r="U575" s="26"/>
    </row>
    <row r="576" spans="1:21">
      <c r="A576" s="22" t="s">
        <v>1060</v>
      </c>
      <c r="B576" s="23"/>
      <c r="C576" s="22" t="s">
        <v>1061</v>
      </c>
      <c r="D576" s="23"/>
      <c r="E576" s="23"/>
      <c r="F576" s="23"/>
      <c r="G576" s="23"/>
      <c r="H576" s="2">
        <f t="shared" si="273"/>
        <v>0</v>
      </c>
      <c r="I576" s="2">
        <f t="shared" si="275"/>
        <v>0</v>
      </c>
      <c r="J576" s="2">
        <f t="shared" si="274"/>
        <v>0</v>
      </c>
      <c r="K576" s="2">
        <f t="shared" si="276"/>
        <v>0</v>
      </c>
      <c r="L576" s="24">
        <f t="shared" si="278"/>
        <v>0</v>
      </c>
      <c r="M576" s="25"/>
      <c r="N576" s="2">
        <f>ROUND(0,2)</f>
        <v>0</v>
      </c>
      <c r="O576" s="2">
        <f>ROUND(0,2)</f>
        <v>0</v>
      </c>
      <c r="P576" s="2">
        <f>ROUND(39401.15,2)</f>
        <v>39401.15</v>
      </c>
      <c r="Q576" s="24">
        <f t="shared" si="277"/>
        <v>0</v>
      </c>
      <c r="R576" s="25"/>
      <c r="S576" s="24">
        <f>ROUND(-39401.15,2)</f>
        <v>-39401.15</v>
      </c>
      <c r="T576" s="25"/>
      <c r="U576" s="26"/>
    </row>
    <row r="577" spans="1:21">
      <c r="A577" s="22" t="s">
        <v>1060</v>
      </c>
      <c r="B577" s="23"/>
      <c r="C577" s="22" t="s">
        <v>1061</v>
      </c>
      <c r="D577" s="23"/>
      <c r="E577" s="23"/>
      <c r="F577" s="23"/>
      <c r="G577" s="23"/>
      <c r="H577" s="2">
        <f t="shared" si="273"/>
        <v>0</v>
      </c>
      <c r="I577" s="2">
        <f t="shared" si="275"/>
        <v>0</v>
      </c>
      <c r="J577" s="2">
        <f t="shared" si="274"/>
        <v>0</v>
      </c>
      <c r="K577" s="2">
        <f t="shared" si="276"/>
        <v>0</v>
      </c>
      <c r="L577" s="24">
        <f t="shared" si="278"/>
        <v>0</v>
      </c>
      <c r="M577" s="25"/>
      <c r="N577" s="2">
        <f>ROUND(9265.58,2)</f>
        <v>9265.58</v>
      </c>
      <c r="O577" s="2">
        <f>ROUND(0,2)</f>
        <v>0</v>
      </c>
      <c r="P577" s="2">
        <f t="shared" ref="P577:P592" si="279">ROUND(0,2)</f>
        <v>0</v>
      </c>
      <c r="Q577" s="24">
        <f t="shared" si="277"/>
        <v>0</v>
      </c>
      <c r="R577" s="25"/>
      <c r="S577" s="24">
        <f>ROUND(9265.58,2)</f>
        <v>9265.58</v>
      </c>
      <c r="T577" s="25"/>
      <c r="U577" s="26"/>
    </row>
    <row r="578" spans="1:21">
      <c r="A578" s="22" t="s">
        <v>1062</v>
      </c>
      <c r="B578" s="23"/>
      <c r="C578" s="22" t="s">
        <v>1063</v>
      </c>
      <c r="D578" s="23"/>
      <c r="E578" s="23"/>
      <c r="F578" s="23"/>
      <c r="G578" s="23"/>
      <c r="H578" s="2">
        <f t="shared" si="273"/>
        <v>0</v>
      </c>
      <c r="I578" s="2">
        <f t="shared" si="275"/>
        <v>0</v>
      </c>
      <c r="J578" s="2">
        <f t="shared" si="274"/>
        <v>0</v>
      </c>
      <c r="K578" s="2">
        <f t="shared" si="276"/>
        <v>0</v>
      </c>
      <c r="L578" s="24">
        <f t="shared" si="278"/>
        <v>0</v>
      </c>
      <c r="M578" s="25"/>
      <c r="N578" s="2">
        <f>ROUND(0,2)</f>
        <v>0</v>
      </c>
      <c r="O578" s="2">
        <f>ROUND(33790.99,2)</f>
        <v>33790.99</v>
      </c>
      <c r="P578" s="2">
        <f t="shared" si="279"/>
        <v>0</v>
      </c>
      <c r="Q578" s="24">
        <f t="shared" si="277"/>
        <v>0</v>
      </c>
      <c r="R578" s="25"/>
      <c r="S578" s="24">
        <f>ROUND(33790.99,2)</f>
        <v>33790.99</v>
      </c>
      <c r="T578" s="25"/>
      <c r="U578" s="26"/>
    </row>
    <row r="579" spans="1:21">
      <c r="A579" s="22" t="s">
        <v>1064</v>
      </c>
      <c r="B579" s="23"/>
      <c r="C579" s="22" t="s">
        <v>1065</v>
      </c>
      <c r="D579" s="23"/>
      <c r="E579" s="23"/>
      <c r="F579" s="23"/>
      <c r="G579" s="23"/>
      <c r="H579" s="2">
        <f t="shared" si="273"/>
        <v>0</v>
      </c>
      <c r="I579" s="2">
        <f t="shared" si="275"/>
        <v>0</v>
      </c>
      <c r="J579" s="2">
        <f t="shared" si="274"/>
        <v>0</v>
      </c>
      <c r="K579" s="2">
        <f t="shared" si="276"/>
        <v>0</v>
      </c>
      <c r="L579" s="24">
        <f t="shared" si="278"/>
        <v>0</v>
      </c>
      <c r="M579" s="25"/>
      <c r="N579" s="2">
        <f>ROUND(7330,2)</f>
        <v>7330</v>
      </c>
      <c r="O579" s="2">
        <f t="shared" ref="O579:O586" si="280">ROUND(0,2)</f>
        <v>0</v>
      </c>
      <c r="P579" s="2">
        <f t="shared" si="279"/>
        <v>0</v>
      </c>
      <c r="Q579" s="24">
        <f t="shared" si="277"/>
        <v>0</v>
      </c>
      <c r="R579" s="25"/>
      <c r="S579" s="24">
        <f>ROUND(7330,2)</f>
        <v>7330</v>
      </c>
      <c r="T579" s="25"/>
      <c r="U579" s="26"/>
    </row>
    <row r="580" spans="1:21">
      <c r="A580" s="22" t="s">
        <v>1066</v>
      </c>
      <c r="B580" s="23"/>
      <c r="C580" s="22" t="s">
        <v>1065</v>
      </c>
      <c r="D580" s="23"/>
      <c r="E580" s="23"/>
      <c r="F580" s="23"/>
      <c r="G580" s="23"/>
      <c r="H580" s="2">
        <f t="shared" si="273"/>
        <v>0</v>
      </c>
      <c r="I580" s="2">
        <f t="shared" si="275"/>
        <v>0</v>
      </c>
      <c r="J580" s="2">
        <f t="shared" si="274"/>
        <v>0</v>
      </c>
      <c r="K580" s="2">
        <f t="shared" si="276"/>
        <v>0</v>
      </c>
      <c r="L580" s="24">
        <f t="shared" si="278"/>
        <v>0</v>
      </c>
      <c r="M580" s="25"/>
      <c r="N580" s="2">
        <f>ROUND(7330,2)</f>
        <v>7330</v>
      </c>
      <c r="O580" s="2">
        <f t="shared" si="280"/>
        <v>0</v>
      </c>
      <c r="P580" s="2">
        <f t="shared" si="279"/>
        <v>0</v>
      </c>
      <c r="Q580" s="24">
        <f t="shared" si="277"/>
        <v>0</v>
      </c>
      <c r="R580" s="25"/>
      <c r="S580" s="24">
        <f>ROUND(7330,2)</f>
        <v>7330</v>
      </c>
      <c r="T580" s="25"/>
      <c r="U580" s="26"/>
    </row>
    <row r="581" spans="1:21">
      <c r="A581" s="22" t="s">
        <v>1066</v>
      </c>
      <c r="B581" s="23"/>
      <c r="C581" s="22" t="s">
        <v>1065</v>
      </c>
      <c r="D581" s="23"/>
      <c r="E581" s="23"/>
      <c r="F581" s="23"/>
      <c r="G581" s="23"/>
      <c r="H581" s="2">
        <f t="shared" si="273"/>
        <v>0</v>
      </c>
      <c r="I581" s="2">
        <f>ROUND(36600,2)</f>
        <v>36600</v>
      </c>
      <c r="J581" s="2">
        <f t="shared" si="274"/>
        <v>0</v>
      </c>
      <c r="K581" s="2">
        <f t="shared" si="276"/>
        <v>0</v>
      </c>
      <c r="L581" s="24">
        <f t="shared" si="278"/>
        <v>0</v>
      </c>
      <c r="M581" s="25"/>
      <c r="N581" s="2">
        <f>ROUND(0,2)</f>
        <v>0</v>
      </c>
      <c r="O581" s="2">
        <f t="shared" si="280"/>
        <v>0</v>
      </c>
      <c r="P581" s="2">
        <f t="shared" si="279"/>
        <v>0</v>
      </c>
      <c r="Q581" s="24">
        <f t="shared" si="277"/>
        <v>0</v>
      </c>
      <c r="R581" s="25"/>
      <c r="S581" s="24">
        <f>ROUND(36600,2)</f>
        <v>36600</v>
      </c>
      <c r="T581" s="25"/>
      <c r="U581" s="26"/>
    </row>
    <row r="582" spans="1:21">
      <c r="A582" s="22" t="s">
        <v>1067</v>
      </c>
      <c r="B582" s="23"/>
      <c r="C582" s="22" t="s">
        <v>1068</v>
      </c>
      <c r="D582" s="23"/>
      <c r="E582" s="23"/>
      <c r="F582" s="23"/>
      <c r="G582" s="23"/>
      <c r="H582" s="2">
        <f>ROUND(0,2)</f>
        <v>0</v>
      </c>
      <c r="I582" s="2">
        <f>ROUND(0,2)</f>
        <v>0</v>
      </c>
      <c r="J582" s="2">
        <f t="shared" ref="J582:J597" si="281">ROUND(0,2)</f>
        <v>0</v>
      </c>
      <c r="K582" s="2">
        <f t="shared" si="276"/>
        <v>0</v>
      </c>
      <c r="L582" s="24">
        <f>ROUND(15000,2)</f>
        <v>15000</v>
      </c>
      <c r="M582" s="25"/>
      <c r="N582" s="2">
        <f>ROUND(0,2)</f>
        <v>0</v>
      </c>
      <c r="O582" s="2">
        <f t="shared" si="280"/>
        <v>0</v>
      </c>
      <c r="P582" s="2">
        <f t="shared" si="279"/>
        <v>0</v>
      </c>
      <c r="Q582" s="24">
        <f t="shared" si="277"/>
        <v>0</v>
      </c>
      <c r="R582" s="25"/>
      <c r="S582" s="24">
        <f>ROUND(-15000,2)</f>
        <v>-15000</v>
      </c>
      <c r="T582" s="25"/>
      <c r="U582" s="26"/>
    </row>
    <row r="583" spans="1:21">
      <c r="A583" s="22" t="s">
        <v>1069</v>
      </c>
      <c r="B583" s="23"/>
      <c r="C583" s="22" t="s">
        <v>1070</v>
      </c>
      <c r="D583" s="23"/>
      <c r="E583" s="23"/>
      <c r="F583" s="23"/>
      <c r="G583" s="23"/>
      <c r="H583" s="2">
        <f>ROUND(0,2)</f>
        <v>0</v>
      </c>
      <c r="I583" s="2">
        <f>ROUND(0,2)</f>
        <v>0</v>
      </c>
      <c r="J583" s="2">
        <f t="shared" si="281"/>
        <v>0</v>
      </c>
      <c r="K583" s="2">
        <f t="shared" si="276"/>
        <v>0</v>
      </c>
      <c r="L583" s="24">
        <f t="shared" ref="L583:L591" si="282">ROUND(0,2)</f>
        <v>0</v>
      </c>
      <c r="M583" s="25"/>
      <c r="N583" s="2">
        <f>ROUND(2046,2)</f>
        <v>2046</v>
      </c>
      <c r="O583" s="2">
        <f t="shared" si="280"/>
        <v>0</v>
      </c>
      <c r="P583" s="2">
        <f t="shared" si="279"/>
        <v>0</v>
      </c>
      <c r="Q583" s="24">
        <f t="shared" si="277"/>
        <v>0</v>
      </c>
      <c r="R583" s="25"/>
      <c r="S583" s="24">
        <f>ROUND(2046,2)</f>
        <v>2046</v>
      </c>
      <c r="T583" s="25"/>
      <c r="U583" s="26"/>
    </row>
    <row r="584" spans="1:21">
      <c r="A584" s="22" t="s">
        <v>1069</v>
      </c>
      <c r="B584" s="23"/>
      <c r="C584" s="22" t="s">
        <v>1070</v>
      </c>
      <c r="D584" s="23"/>
      <c r="E584" s="23"/>
      <c r="F584" s="23"/>
      <c r="G584" s="23"/>
      <c r="H584" s="2">
        <f t="shared" ref="H584:H599" si="283">ROUND(0,2)</f>
        <v>0</v>
      </c>
      <c r="I584" s="2">
        <f>ROUND(9000,2)</f>
        <v>9000</v>
      </c>
      <c r="J584" s="2">
        <f t="shared" si="281"/>
        <v>0</v>
      </c>
      <c r="K584" s="2">
        <f t="shared" si="276"/>
        <v>0</v>
      </c>
      <c r="L584" s="24">
        <f t="shared" si="282"/>
        <v>0</v>
      </c>
      <c r="M584" s="25"/>
      <c r="N584" s="2">
        <f>ROUND(0,2)</f>
        <v>0</v>
      </c>
      <c r="O584" s="2">
        <f t="shared" si="280"/>
        <v>0</v>
      </c>
      <c r="P584" s="2">
        <f t="shared" si="279"/>
        <v>0</v>
      </c>
      <c r="Q584" s="24">
        <f t="shared" si="277"/>
        <v>0</v>
      </c>
      <c r="R584" s="25"/>
      <c r="S584" s="24">
        <f>ROUND(9000,2)</f>
        <v>9000</v>
      </c>
      <c r="T584" s="25"/>
      <c r="U584" s="26"/>
    </row>
    <row r="585" spans="1:21">
      <c r="A585" s="22" t="s">
        <v>1071</v>
      </c>
      <c r="B585" s="23"/>
      <c r="C585" s="22" t="s">
        <v>1072</v>
      </c>
      <c r="D585" s="23"/>
      <c r="E585" s="23"/>
      <c r="F585" s="23"/>
      <c r="G585" s="23"/>
      <c r="H585" s="2">
        <f t="shared" si="283"/>
        <v>0</v>
      </c>
      <c r="I585" s="2">
        <f t="shared" ref="I585:I600" si="284">ROUND(0,2)</f>
        <v>0</v>
      </c>
      <c r="J585" s="2">
        <f t="shared" si="281"/>
        <v>0</v>
      </c>
      <c r="K585" s="2">
        <f>ROUND(1600,2)</f>
        <v>1600</v>
      </c>
      <c r="L585" s="24">
        <f t="shared" si="282"/>
        <v>0</v>
      </c>
      <c r="M585" s="25"/>
      <c r="N585" s="2">
        <f>ROUND(0,2)</f>
        <v>0</v>
      </c>
      <c r="O585" s="2">
        <f t="shared" si="280"/>
        <v>0</v>
      </c>
      <c r="P585" s="2">
        <f t="shared" si="279"/>
        <v>0</v>
      </c>
      <c r="Q585" s="24">
        <f t="shared" si="277"/>
        <v>0</v>
      </c>
      <c r="R585" s="25"/>
      <c r="S585" s="24">
        <f>ROUND(1600,2)</f>
        <v>1600</v>
      </c>
      <c r="T585" s="25"/>
      <c r="U585" s="26"/>
    </row>
    <row r="586" spans="1:21">
      <c r="A586" s="22" t="s">
        <v>1071</v>
      </c>
      <c r="B586" s="23"/>
      <c r="C586" s="22" t="s">
        <v>1072</v>
      </c>
      <c r="D586" s="23"/>
      <c r="E586" s="23"/>
      <c r="F586" s="23"/>
      <c r="G586" s="23"/>
      <c r="H586" s="2">
        <f t="shared" si="283"/>
        <v>0</v>
      </c>
      <c r="I586" s="2">
        <f t="shared" si="284"/>
        <v>0</v>
      </c>
      <c r="J586" s="2">
        <f t="shared" si="281"/>
        <v>0</v>
      </c>
      <c r="K586" s="2">
        <f t="shared" ref="K586:K601" si="285">ROUND(0,2)</f>
        <v>0</v>
      </c>
      <c r="L586" s="24">
        <f t="shared" si="282"/>
        <v>0</v>
      </c>
      <c r="M586" s="25"/>
      <c r="N586" s="2">
        <f>ROUND(52000,2)</f>
        <v>52000</v>
      </c>
      <c r="O586" s="2">
        <f t="shared" si="280"/>
        <v>0</v>
      </c>
      <c r="P586" s="2">
        <f t="shared" si="279"/>
        <v>0</v>
      </c>
      <c r="Q586" s="24">
        <f t="shared" ref="Q586:Q601" si="286">ROUND(0,2)</f>
        <v>0</v>
      </c>
      <c r="R586" s="25"/>
      <c r="S586" s="24">
        <f>ROUND(52000,2)</f>
        <v>52000</v>
      </c>
      <c r="T586" s="25"/>
      <c r="U586" s="26"/>
    </row>
    <row r="587" spans="1:21">
      <c r="A587" s="22" t="s">
        <v>1073</v>
      </c>
      <c r="B587" s="23"/>
      <c r="C587" s="22" t="s">
        <v>1074</v>
      </c>
      <c r="D587" s="23"/>
      <c r="E587" s="23"/>
      <c r="F587" s="23"/>
      <c r="G587" s="23"/>
      <c r="H587" s="2">
        <f t="shared" si="283"/>
        <v>0</v>
      </c>
      <c r="I587" s="2">
        <f t="shared" si="284"/>
        <v>0</v>
      </c>
      <c r="J587" s="2">
        <f t="shared" si="281"/>
        <v>0</v>
      </c>
      <c r="K587" s="2">
        <f t="shared" si="285"/>
        <v>0</v>
      </c>
      <c r="L587" s="24">
        <f t="shared" si="282"/>
        <v>0</v>
      </c>
      <c r="M587" s="25"/>
      <c r="N587" s="2">
        <f t="shared" ref="N587:N592" si="287">ROUND(0,2)</f>
        <v>0</v>
      </c>
      <c r="O587" s="2">
        <f>ROUND(21764.19,2)</f>
        <v>21764.19</v>
      </c>
      <c r="P587" s="2">
        <f t="shared" si="279"/>
        <v>0</v>
      </c>
      <c r="Q587" s="24">
        <f t="shared" si="286"/>
        <v>0</v>
      </c>
      <c r="R587" s="25"/>
      <c r="S587" s="24">
        <f>ROUND(21764.19,2)</f>
        <v>21764.19</v>
      </c>
      <c r="T587" s="25"/>
      <c r="U587" s="26"/>
    </row>
    <row r="588" spans="1:21">
      <c r="A588" s="22" t="s">
        <v>1075</v>
      </c>
      <c r="B588" s="23"/>
      <c r="C588" s="22" t="s">
        <v>1076</v>
      </c>
      <c r="D588" s="23"/>
      <c r="E588" s="23"/>
      <c r="F588" s="23"/>
      <c r="G588" s="23"/>
      <c r="H588" s="2">
        <f t="shared" si="283"/>
        <v>0</v>
      </c>
      <c r="I588" s="2">
        <f t="shared" si="284"/>
        <v>0</v>
      </c>
      <c r="J588" s="2">
        <f t="shared" si="281"/>
        <v>0</v>
      </c>
      <c r="K588" s="2">
        <f t="shared" si="285"/>
        <v>0</v>
      </c>
      <c r="L588" s="24">
        <f t="shared" si="282"/>
        <v>0</v>
      </c>
      <c r="M588" s="25"/>
      <c r="N588" s="2">
        <f t="shared" si="287"/>
        <v>0</v>
      </c>
      <c r="O588" s="2">
        <f>ROUND(8261.78,2)</f>
        <v>8261.7800000000007</v>
      </c>
      <c r="P588" s="2">
        <f t="shared" si="279"/>
        <v>0</v>
      </c>
      <c r="Q588" s="24">
        <f t="shared" si="286"/>
        <v>0</v>
      </c>
      <c r="R588" s="25"/>
      <c r="S588" s="24">
        <f>ROUND(8261.78,2)</f>
        <v>8261.7800000000007</v>
      </c>
      <c r="T588" s="25"/>
      <c r="U588" s="26"/>
    </row>
    <row r="589" spans="1:21">
      <c r="A589" s="22" t="s">
        <v>1077</v>
      </c>
      <c r="B589" s="23"/>
      <c r="C589" s="22" t="s">
        <v>1078</v>
      </c>
      <c r="D589" s="23"/>
      <c r="E589" s="23"/>
      <c r="F589" s="23"/>
      <c r="G589" s="23"/>
      <c r="H589" s="2">
        <f t="shared" si="283"/>
        <v>0</v>
      </c>
      <c r="I589" s="2">
        <f t="shared" si="284"/>
        <v>0</v>
      </c>
      <c r="J589" s="2">
        <f t="shared" si="281"/>
        <v>0</v>
      </c>
      <c r="K589" s="2">
        <f t="shared" si="285"/>
        <v>0</v>
      </c>
      <c r="L589" s="24">
        <f t="shared" si="282"/>
        <v>0</v>
      </c>
      <c r="M589" s="25"/>
      <c r="N589" s="2">
        <f t="shared" si="287"/>
        <v>0</v>
      </c>
      <c r="O589" s="2">
        <f>ROUND(11601.08,2)</f>
        <v>11601.08</v>
      </c>
      <c r="P589" s="2">
        <f t="shared" si="279"/>
        <v>0</v>
      </c>
      <c r="Q589" s="24">
        <f t="shared" si="286"/>
        <v>0</v>
      </c>
      <c r="R589" s="25"/>
      <c r="S589" s="24">
        <f>ROUND(11601.08,2)</f>
        <v>11601.08</v>
      </c>
      <c r="T589" s="25"/>
      <c r="U589" s="26"/>
    </row>
    <row r="590" spans="1:21">
      <c r="A590" s="22" t="s">
        <v>1079</v>
      </c>
      <c r="B590" s="23"/>
      <c r="C590" s="22" t="s">
        <v>1080</v>
      </c>
      <c r="D590" s="23"/>
      <c r="E590" s="23"/>
      <c r="F590" s="23"/>
      <c r="G590" s="23"/>
      <c r="H590" s="2">
        <f t="shared" si="283"/>
        <v>0</v>
      </c>
      <c r="I590" s="2">
        <f t="shared" si="284"/>
        <v>0</v>
      </c>
      <c r="J590" s="2">
        <f t="shared" si="281"/>
        <v>0</v>
      </c>
      <c r="K590" s="2">
        <f t="shared" si="285"/>
        <v>0</v>
      </c>
      <c r="L590" s="24">
        <f t="shared" si="282"/>
        <v>0</v>
      </c>
      <c r="M590" s="25"/>
      <c r="N590" s="2">
        <f t="shared" si="287"/>
        <v>0</v>
      </c>
      <c r="O590" s="2">
        <f>ROUND(2581.28,2)</f>
        <v>2581.2800000000002</v>
      </c>
      <c r="P590" s="2">
        <f t="shared" si="279"/>
        <v>0</v>
      </c>
      <c r="Q590" s="24">
        <f t="shared" si="286"/>
        <v>0</v>
      </c>
      <c r="R590" s="25"/>
      <c r="S590" s="24">
        <f>ROUND(2581.28,2)</f>
        <v>2581.2800000000002</v>
      </c>
      <c r="T590" s="25"/>
      <c r="U590" s="26"/>
    </row>
    <row r="591" spans="1:21">
      <c r="A591" s="22" t="s">
        <v>1081</v>
      </c>
      <c r="B591" s="23"/>
      <c r="C591" s="22" t="s">
        <v>1082</v>
      </c>
      <c r="D591" s="23"/>
      <c r="E591" s="23"/>
      <c r="F591" s="23"/>
      <c r="G591" s="23"/>
      <c r="H591" s="2">
        <f t="shared" si="283"/>
        <v>0</v>
      </c>
      <c r="I591" s="2">
        <f t="shared" si="284"/>
        <v>0</v>
      </c>
      <c r="J591" s="2">
        <f t="shared" si="281"/>
        <v>0</v>
      </c>
      <c r="K591" s="2">
        <f t="shared" si="285"/>
        <v>0</v>
      </c>
      <c r="L591" s="24">
        <f t="shared" si="282"/>
        <v>0</v>
      </c>
      <c r="M591" s="25"/>
      <c r="N591" s="2">
        <f t="shared" si="287"/>
        <v>0</v>
      </c>
      <c r="O591" s="2">
        <f>ROUND(14456.13,2)</f>
        <v>14456.13</v>
      </c>
      <c r="P591" s="2">
        <f t="shared" si="279"/>
        <v>0</v>
      </c>
      <c r="Q591" s="24">
        <f t="shared" si="286"/>
        <v>0</v>
      </c>
      <c r="R591" s="25"/>
      <c r="S591" s="24">
        <f>ROUND(14456.13,2)</f>
        <v>14456.13</v>
      </c>
      <c r="T591" s="25"/>
      <c r="U591" s="26"/>
    </row>
    <row r="592" spans="1:21">
      <c r="A592" s="22" t="s">
        <v>1083</v>
      </c>
      <c r="B592" s="23"/>
      <c r="C592" s="22" t="s">
        <v>1084</v>
      </c>
      <c r="D592" s="23"/>
      <c r="E592" s="23"/>
      <c r="F592" s="23"/>
      <c r="G592" s="23"/>
      <c r="H592" s="2">
        <f t="shared" si="283"/>
        <v>0</v>
      </c>
      <c r="I592" s="2">
        <f t="shared" si="284"/>
        <v>0</v>
      </c>
      <c r="J592" s="2">
        <f t="shared" si="281"/>
        <v>0</v>
      </c>
      <c r="K592" s="2">
        <f t="shared" si="285"/>
        <v>0</v>
      </c>
      <c r="L592" s="24">
        <f>ROUND(7278.82,2)</f>
        <v>7278.82</v>
      </c>
      <c r="M592" s="25"/>
      <c r="N592" s="2">
        <f t="shared" si="287"/>
        <v>0</v>
      </c>
      <c r="O592" s="2">
        <f>ROUND(5335.54,2)</f>
        <v>5335.54</v>
      </c>
      <c r="P592" s="2">
        <f t="shared" si="279"/>
        <v>0</v>
      </c>
      <c r="Q592" s="24">
        <f t="shared" si="286"/>
        <v>0</v>
      </c>
      <c r="R592" s="25"/>
      <c r="S592" s="24">
        <f>ROUND(-1943.28,2)</f>
        <v>-1943.28</v>
      </c>
      <c r="T592" s="25"/>
      <c r="U592" s="26"/>
    </row>
    <row r="593" spans="1:21">
      <c r="A593" s="22" t="s">
        <v>1085</v>
      </c>
      <c r="B593" s="23"/>
      <c r="C593" s="22" t="s">
        <v>1086</v>
      </c>
      <c r="D593" s="23"/>
      <c r="E593" s="23"/>
      <c r="F593" s="23"/>
      <c r="G593" s="23"/>
      <c r="H593" s="2">
        <f t="shared" si="283"/>
        <v>0</v>
      </c>
      <c r="I593" s="2">
        <f t="shared" si="284"/>
        <v>0</v>
      </c>
      <c r="J593" s="2">
        <f t="shared" si="281"/>
        <v>0</v>
      </c>
      <c r="K593" s="2">
        <f t="shared" si="285"/>
        <v>0</v>
      </c>
      <c r="L593" s="24">
        <f>ROUND(0,2)</f>
        <v>0</v>
      </c>
      <c r="M593" s="25"/>
      <c r="N593" s="2">
        <f>ROUND(2722.5,2)</f>
        <v>2722.5</v>
      </c>
      <c r="O593" s="2">
        <f t="shared" ref="O593:P602" si="288">ROUND(0,2)</f>
        <v>0</v>
      </c>
      <c r="P593" s="2">
        <f t="shared" si="288"/>
        <v>0</v>
      </c>
      <c r="Q593" s="24">
        <f t="shared" si="286"/>
        <v>0</v>
      </c>
      <c r="R593" s="25"/>
      <c r="S593" s="24">
        <f>ROUND(2722.5,2)</f>
        <v>2722.5</v>
      </c>
      <c r="T593" s="25"/>
      <c r="U593" s="26"/>
    </row>
    <row r="594" spans="1:21">
      <c r="A594" s="22" t="s">
        <v>1087</v>
      </c>
      <c r="B594" s="23"/>
      <c r="C594" s="22" t="s">
        <v>1088</v>
      </c>
      <c r="D594" s="23"/>
      <c r="E594" s="23"/>
      <c r="F594" s="23"/>
      <c r="G594" s="23"/>
      <c r="H594" s="2">
        <f t="shared" si="283"/>
        <v>0</v>
      </c>
      <c r="I594" s="2">
        <f t="shared" si="284"/>
        <v>0</v>
      </c>
      <c r="J594" s="2">
        <f t="shared" si="281"/>
        <v>0</v>
      </c>
      <c r="K594" s="2">
        <f t="shared" si="285"/>
        <v>0</v>
      </c>
      <c r="L594" s="24">
        <f>ROUND(2190.17,2)</f>
        <v>2190.17</v>
      </c>
      <c r="M594" s="25"/>
      <c r="N594" s="2">
        <f>ROUND(0,2)</f>
        <v>0</v>
      </c>
      <c r="O594" s="2">
        <f t="shared" si="288"/>
        <v>0</v>
      </c>
      <c r="P594" s="2">
        <f t="shared" si="288"/>
        <v>0</v>
      </c>
      <c r="Q594" s="24">
        <f t="shared" si="286"/>
        <v>0</v>
      </c>
      <c r="R594" s="25"/>
      <c r="S594" s="24">
        <f>ROUND(-2190.17,2)</f>
        <v>-2190.17</v>
      </c>
      <c r="T594" s="25"/>
      <c r="U594" s="26"/>
    </row>
    <row r="595" spans="1:21">
      <c r="A595" s="22" t="s">
        <v>1089</v>
      </c>
      <c r="B595" s="23"/>
      <c r="C595" s="22" t="s">
        <v>1090</v>
      </c>
      <c r="D595" s="23"/>
      <c r="E595" s="23"/>
      <c r="F595" s="23"/>
      <c r="G595" s="23"/>
      <c r="H595" s="2">
        <f t="shared" si="283"/>
        <v>0</v>
      </c>
      <c r="I595" s="2">
        <f t="shared" si="284"/>
        <v>0</v>
      </c>
      <c r="J595" s="2">
        <f t="shared" si="281"/>
        <v>0</v>
      </c>
      <c r="K595" s="2">
        <f t="shared" si="285"/>
        <v>0</v>
      </c>
      <c r="L595" s="24">
        <f>ROUND(30000,2)</f>
        <v>30000</v>
      </c>
      <c r="M595" s="25"/>
      <c r="N595" s="2">
        <f>ROUND(0,2)</f>
        <v>0</v>
      </c>
      <c r="O595" s="2">
        <f t="shared" si="288"/>
        <v>0</v>
      </c>
      <c r="P595" s="2">
        <f t="shared" si="288"/>
        <v>0</v>
      </c>
      <c r="Q595" s="24">
        <f t="shared" si="286"/>
        <v>0</v>
      </c>
      <c r="R595" s="25"/>
      <c r="S595" s="24">
        <f>ROUND(-30000,2)</f>
        <v>-30000</v>
      </c>
      <c r="T595" s="25"/>
      <c r="U595" s="26"/>
    </row>
    <row r="596" spans="1:21">
      <c r="A596" s="22" t="s">
        <v>1091</v>
      </c>
      <c r="B596" s="23"/>
      <c r="C596" s="22" t="s">
        <v>1092</v>
      </c>
      <c r="D596" s="23"/>
      <c r="E596" s="23"/>
      <c r="F596" s="23"/>
      <c r="G596" s="23"/>
      <c r="H596" s="2">
        <f t="shared" si="283"/>
        <v>0</v>
      </c>
      <c r="I596" s="2">
        <f t="shared" si="284"/>
        <v>0</v>
      </c>
      <c r="J596" s="2">
        <f t="shared" si="281"/>
        <v>0</v>
      </c>
      <c r="K596" s="2">
        <f t="shared" si="285"/>
        <v>0</v>
      </c>
      <c r="L596" s="24">
        <f>ROUND(30000,2)</f>
        <v>30000</v>
      </c>
      <c r="M596" s="25"/>
      <c r="N596" s="2">
        <f>ROUND(0,2)</f>
        <v>0</v>
      </c>
      <c r="O596" s="2">
        <f t="shared" si="288"/>
        <v>0</v>
      </c>
      <c r="P596" s="2">
        <f t="shared" si="288"/>
        <v>0</v>
      </c>
      <c r="Q596" s="24">
        <f t="shared" si="286"/>
        <v>0</v>
      </c>
      <c r="R596" s="25"/>
      <c r="S596" s="24">
        <f>ROUND(-30000,2)</f>
        <v>-30000</v>
      </c>
      <c r="T596" s="25"/>
      <c r="U596" s="26"/>
    </row>
    <row r="597" spans="1:21">
      <c r="A597" s="22" t="s">
        <v>1093</v>
      </c>
      <c r="B597" s="23"/>
      <c r="C597" s="22" t="s">
        <v>1094</v>
      </c>
      <c r="D597" s="23"/>
      <c r="E597" s="23"/>
      <c r="F597" s="23"/>
      <c r="G597" s="23"/>
      <c r="H597" s="2">
        <f t="shared" si="283"/>
        <v>0</v>
      </c>
      <c r="I597" s="2">
        <f t="shared" si="284"/>
        <v>0</v>
      </c>
      <c r="J597" s="2">
        <f t="shared" si="281"/>
        <v>0</v>
      </c>
      <c r="K597" s="2">
        <f t="shared" si="285"/>
        <v>0</v>
      </c>
      <c r="L597" s="24">
        <f>ROUND(45000,2)</f>
        <v>45000</v>
      </c>
      <c r="M597" s="25"/>
      <c r="N597" s="2">
        <f>ROUND(0,2)</f>
        <v>0</v>
      </c>
      <c r="O597" s="2">
        <f t="shared" si="288"/>
        <v>0</v>
      </c>
      <c r="P597" s="2">
        <f t="shared" si="288"/>
        <v>0</v>
      </c>
      <c r="Q597" s="24">
        <f t="shared" si="286"/>
        <v>0</v>
      </c>
      <c r="R597" s="25"/>
      <c r="S597" s="24">
        <f>ROUND(-45000,2)</f>
        <v>-45000</v>
      </c>
      <c r="T597" s="25"/>
      <c r="U597" s="26"/>
    </row>
    <row r="598" spans="1:21">
      <c r="A598" s="22" t="s">
        <v>1095</v>
      </c>
      <c r="B598" s="23"/>
      <c r="C598" s="22" t="s">
        <v>1096</v>
      </c>
      <c r="D598" s="23"/>
      <c r="E598" s="23"/>
      <c r="F598" s="23"/>
      <c r="G598" s="23"/>
      <c r="H598" s="2">
        <f t="shared" si="283"/>
        <v>0</v>
      </c>
      <c r="I598" s="2">
        <f t="shared" si="284"/>
        <v>0</v>
      </c>
      <c r="J598" s="2">
        <f t="shared" ref="J598:J613" si="289">ROUND(0,2)</f>
        <v>0</v>
      </c>
      <c r="K598" s="2">
        <f t="shared" si="285"/>
        <v>0</v>
      </c>
      <c r="L598" s="24">
        <f>ROUND(0,2)</f>
        <v>0</v>
      </c>
      <c r="M598" s="25"/>
      <c r="N598" s="2">
        <f>ROUND(8419.42,2)</f>
        <v>8419.42</v>
      </c>
      <c r="O598" s="2">
        <f t="shared" si="288"/>
        <v>0</v>
      </c>
      <c r="P598" s="2">
        <f t="shared" si="288"/>
        <v>0</v>
      </c>
      <c r="Q598" s="24">
        <f t="shared" si="286"/>
        <v>0</v>
      </c>
      <c r="R598" s="25"/>
      <c r="S598" s="24">
        <f>ROUND(8419.42,2)</f>
        <v>8419.42</v>
      </c>
      <c r="T598" s="25"/>
      <c r="U598" s="26"/>
    </row>
    <row r="599" spans="1:21">
      <c r="A599" s="22" t="s">
        <v>1097</v>
      </c>
      <c r="B599" s="23"/>
      <c r="C599" s="22" t="s">
        <v>1098</v>
      </c>
      <c r="D599" s="23"/>
      <c r="E599" s="23"/>
      <c r="F599" s="23"/>
      <c r="G599" s="23"/>
      <c r="H599" s="2">
        <f t="shared" si="283"/>
        <v>0</v>
      </c>
      <c r="I599" s="2">
        <f t="shared" si="284"/>
        <v>0</v>
      </c>
      <c r="J599" s="2">
        <f t="shared" si="289"/>
        <v>0</v>
      </c>
      <c r="K599" s="2">
        <f t="shared" si="285"/>
        <v>0</v>
      </c>
      <c r="L599" s="24">
        <f>ROUND(0,2)</f>
        <v>0</v>
      </c>
      <c r="M599" s="25"/>
      <c r="N599" s="2">
        <f>ROUND(1934.12,2)</f>
        <v>1934.12</v>
      </c>
      <c r="O599" s="2">
        <f t="shared" si="288"/>
        <v>0</v>
      </c>
      <c r="P599" s="2">
        <f t="shared" si="288"/>
        <v>0</v>
      </c>
      <c r="Q599" s="24">
        <f t="shared" si="286"/>
        <v>0</v>
      </c>
      <c r="R599" s="25"/>
      <c r="S599" s="24">
        <f>ROUND(1934.12,2)</f>
        <v>1934.12</v>
      </c>
      <c r="T599" s="25"/>
      <c r="U599" s="26"/>
    </row>
    <row r="600" spans="1:21">
      <c r="A600" s="22" t="s">
        <v>1097</v>
      </c>
      <c r="B600" s="23"/>
      <c r="C600" s="22" t="s">
        <v>1098</v>
      </c>
      <c r="D600" s="23"/>
      <c r="E600" s="23"/>
      <c r="F600" s="23"/>
      <c r="G600" s="23"/>
      <c r="H600" s="2">
        <f t="shared" ref="H600:H615" si="290">ROUND(0,2)</f>
        <v>0</v>
      </c>
      <c r="I600" s="2">
        <f t="shared" si="284"/>
        <v>0</v>
      </c>
      <c r="J600" s="2">
        <f t="shared" si="289"/>
        <v>0</v>
      </c>
      <c r="K600" s="2">
        <f t="shared" si="285"/>
        <v>0</v>
      </c>
      <c r="L600" s="24">
        <f>ROUND(1600,2)</f>
        <v>1600</v>
      </c>
      <c r="M600" s="25"/>
      <c r="N600" s="2">
        <f>ROUND(0,2)</f>
        <v>0</v>
      </c>
      <c r="O600" s="2">
        <f t="shared" si="288"/>
        <v>0</v>
      </c>
      <c r="P600" s="2">
        <f t="shared" si="288"/>
        <v>0</v>
      </c>
      <c r="Q600" s="24">
        <f t="shared" si="286"/>
        <v>0</v>
      </c>
      <c r="R600" s="25"/>
      <c r="S600" s="24">
        <f>ROUND(-1600,2)</f>
        <v>-1600</v>
      </c>
      <c r="T600" s="25"/>
      <c r="U600" s="26"/>
    </row>
    <row r="601" spans="1:21">
      <c r="A601" s="22" t="s">
        <v>1099</v>
      </c>
      <c r="B601" s="23"/>
      <c r="C601" s="22" t="s">
        <v>1100</v>
      </c>
      <c r="D601" s="23"/>
      <c r="E601" s="23"/>
      <c r="F601" s="23"/>
      <c r="G601" s="23"/>
      <c r="H601" s="2">
        <f t="shared" si="290"/>
        <v>0</v>
      </c>
      <c r="I601" s="2">
        <f t="shared" ref="I601:I616" si="291">ROUND(0,2)</f>
        <v>0</v>
      </c>
      <c r="J601" s="2">
        <f t="shared" si="289"/>
        <v>0</v>
      </c>
      <c r="K601" s="2">
        <f t="shared" si="285"/>
        <v>0</v>
      </c>
      <c r="L601" s="24">
        <f t="shared" ref="L601:L608" si="292">ROUND(0,2)</f>
        <v>0</v>
      </c>
      <c r="M601" s="25"/>
      <c r="N601" s="2">
        <f>ROUND(1393.44,2)</f>
        <v>1393.44</v>
      </c>
      <c r="O601" s="2">
        <f t="shared" si="288"/>
        <v>0</v>
      </c>
      <c r="P601" s="2">
        <f t="shared" si="288"/>
        <v>0</v>
      </c>
      <c r="Q601" s="24">
        <f t="shared" si="286"/>
        <v>0</v>
      </c>
      <c r="R601" s="25"/>
      <c r="S601" s="24">
        <f>ROUND(1393.44,2)</f>
        <v>1393.44</v>
      </c>
      <c r="T601" s="25"/>
      <c r="U601" s="26"/>
    </row>
    <row r="602" spans="1:21">
      <c r="A602" s="22" t="s">
        <v>1101</v>
      </c>
      <c r="B602" s="23"/>
      <c r="C602" s="22" t="s">
        <v>1102</v>
      </c>
      <c r="D602" s="23"/>
      <c r="E602" s="23"/>
      <c r="F602" s="23"/>
      <c r="G602" s="23"/>
      <c r="H602" s="2">
        <f t="shared" si="290"/>
        <v>0</v>
      </c>
      <c r="I602" s="2">
        <f t="shared" si="291"/>
        <v>0</v>
      </c>
      <c r="J602" s="2">
        <f t="shared" si="289"/>
        <v>0</v>
      </c>
      <c r="K602" s="2">
        <f t="shared" ref="K602:K617" si="293">ROUND(0,2)</f>
        <v>0</v>
      </c>
      <c r="L602" s="24">
        <f t="shared" si="292"/>
        <v>0</v>
      </c>
      <c r="M602" s="25"/>
      <c r="N602" s="2">
        <f>ROUND(442.67,2)</f>
        <v>442.67</v>
      </c>
      <c r="O602" s="2">
        <f t="shared" si="288"/>
        <v>0</v>
      </c>
      <c r="P602" s="2">
        <f t="shared" si="288"/>
        <v>0</v>
      </c>
      <c r="Q602" s="24">
        <f t="shared" ref="Q602:Q617" si="294">ROUND(0,2)</f>
        <v>0</v>
      </c>
      <c r="R602" s="25"/>
      <c r="S602" s="24">
        <f>ROUND(442.67,2)</f>
        <v>442.67</v>
      </c>
      <c r="T602" s="25"/>
      <c r="U602" s="26"/>
    </row>
    <row r="603" spans="1:21">
      <c r="A603" s="22" t="s">
        <v>1103</v>
      </c>
      <c r="B603" s="23"/>
      <c r="C603" s="22" t="s">
        <v>1104</v>
      </c>
      <c r="D603" s="23"/>
      <c r="E603" s="23"/>
      <c r="F603" s="23"/>
      <c r="G603" s="23"/>
      <c r="H603" s="2">
        <f t="shared" si="290"/>
        <v>0</v>
      </c>
      <c r="I603" s="2">
        <f t="shared" si="291"/>
        <v>0</v>
      </c>
      <c r="J603" s="2">
        <f t="shared" si="289"/>
        <v>0</v>
      </c>
      <c r="K603" s="2">
        <f t="shared" si="293"/>
        <v>0</v>
      </c>
      <c r="L603" s="24">
        <f t="shared" si="292"/>
        <v>0</v>
      </c>
      <c r="M603" s="25"/>
      <c r="N603" s="2">
        <f t="shared" ref="N603:N609" si="295">ROUND(0,2)</f>
        <v>0</v>
      </c>
      <c r="O603" s="2">
        <f>ROUND(19688.18,2)</f>
        <v>19688.18</v>
      </c>
      <c r="P603" s="2">
        <f t="shared" ref="P603:P617" si="296">ROUND(0,2)</f>
        <v>0</v>
      </c>
      <c r="Q603" s="24">
        <f t="shared" si="294"/>
        <v>0</v>
      </c>
      <c r="R603" s="25"/>
      <c r="S603" s="24">
        <f>ROUND(19688.18,2)</f>
        <v>19688.18</v>
      </c>
      <c r="T603" s="25"/>
      <c r="U603" s="26"/>
    </row>
    <row r="604" spans="1:21">
      <c r="A604" s="22" t="s">
        <v>1105</v>
      </c>
      <c r="B604" s="23"/>
      <c r="C604" s="22" t="s">
        <v>1106</v>
      </c>
      <c r="D604" s="23"/>
      <c r="E604" s="23"/>
      <c r="F604" s="23"/>
      <c r="G604" s="23"/>
      <c r="H604" s="2">
        <f t="shared" si="290"/>
        <v>0</v>
      </c>
      <c r="I604" s="2">
        <f t="shared" si="291"/>
        <v>0</v>
      </c>
      <c r="J604" s="2">
        <f t="shared" si="289"/>
        <v>0</v>
      </c>
      <c r="K604" s="2">
        <f t="shared" si="293"/>
        <v>0</v>
      </c>
      <c r="L604" s="24">
        <f t="shared" si="292"/>
        <v>0</v>
      </c>
      <c r="M604" s="25"/>
      <c r="N604" s="2">
        <f t="shared" si="295"/>
        <v>0</v>
      </c>
      <c r="O604" s="2">
        <f>ROUND(8037.37,2)</f>
        <v>8037.37</v>
      </c>
      <c r="P604" s="2">
        <f t="shared" si="296"/>
        <v>0</v>
      </c>
      <c r="Q604" s="24">
        <f t="shared" si="294"/>
        <v>0</v>
      </c>
      <c r="R604" s="25"/>
      <c r="S604" s="24">
        <f>ROUND(8037.37,2)</f>
        <v>8037.37</v>
      </c>
      <c r="T604" s="25"/>
      <c r="U604" s="26"/>
    </row>
    <row r="605" spans="1:21">
      <c r="A605" s="22" t="s">
        <v>1107</v>
      </c>
      <c r="B605" s="23"/>
      <c r="C605" s="22" t="s">
        <v>1108</v>
      </c>
      <c r="D605" s="23"/>
      <c r="E605" s="23"/>
      <c r="F605" s="23"/>
      <c r="G605" s="23"/>
      <c r="H605" s="2">
        <f t="shared" si="290"/>
        <v>0</v>
      </c>
      <c r="I605" s="2">
        <f t="shared" si="291"/>
        <v>0</v>
      </c>
      <c r="J605" s="2">
        <f t="shared" si="289"/>
        <v>0</v>
      </c>
      <c r="K605" s="2">
        <f t="shared" si="293"/>
        <v>0</v>
      </c>
      <c r="L605" s="24">
        <f t="shared" si="292"/>
        <v>0</v>
      </c>
      <c r="M605" s="25"/>
      <c r="N605" s="2">
        <f t="shared" si="295"/>
        <v>0</v>
      </c>
      <c r="O605" s="2">
        <f>ROUND(15720.27,2)</f>
        <v>15720.27</v>
      </c>
      <c r="P605" s="2">
        <f t="shared" si="296"/>
        <v>0</v>
      </c>
      <c r="Q605" s="24">
        <f t="shared" si="294"/>
        <v>0</v>
      </c>
      <c r="R605" s="25"/>
      <c r="S605" s="24">
        <f>ROUND(15720.27,2)</f>
        <v>15720.27</v>
      </c>
      <c r="T605" s="25"/>
      <c r="U605" s="26"/>
    </row>
    <row r="606" spans="1:21">
      <c r="A606" s="22" t="s">
        <v>1109</v>
      </c>
      <c r="B606" s="23"/>
      <c r="C606" s="22" t="s">
        <v>1110</v>
      </c>
      <c r="D606" s="23"/>
      <c r="E606" s="23"/>
      <c r="F606" s="23"/>
      <c r="G606" s="23"/>
      <c r="H606" s="2">
        <f t="shared" si="290"/>
        <v>0</v>
      </c>
      <c r="I606" s="2">
        <f t="shared" si="291"/>
        <v>0</v>
      </c>
      <c r="J606" s="2">
        <f t="shared" si="289"/>
        <v>0</v>
      </c>
      <c r="K606" s="2">
        <f t="shared" si="293"/>
        <v>0</v>
      </c>
      <c r="L606" s="24">
        <f t="shared" si="292"/>
        <v>0</v>
      </c>
      <c r="M606" s="25"/>
      <c r="N606" s="2">
        <f t="shared" si="295"/>
        <v>0</v>
      </c>
      <c r="O606" s="2">
        <f>ROUND(2427.01,2)</f>
        <v>2427.0100000000002</v>
      </c>
      <c r="P606" s="2">
        <f t="shared" si="296"/>
        <v>0</v>
      </c>
      <c r="Q606" s="24">
        <f t="shared" si="294"/>
        <v>0</v>
      </c>
      <c r="R606" s="25"/>
      <c r="S606" s="24">
        <f>ROUND(2427.01,2)</f>
        <v>2427.0100000000002</v>
      </c>
      <c r="T606" s="25"/>
      <c r="U606" s="26"/>
    </row>
    <row r="607" spans="1:21">
      <c r="A607" s="22" t="s">
        <v>1111</v>
      </c>
      <c r="B607" s="23"/>
      <c r="C607" s="22" t="s">
        <v>1112</v>
      </c>
      <c r="D607" s="23"/>
      <c r="E607" s="23"/>
      <c r="F607" s="23"/>
      <c r="G607" s="23"/>
      <c r="H607" s="2">
        <f t="shared" si="290"/>
        <v>0</v>
      </c>
      <c r="I607" s="2">
        <f t="shared" si="291"/>
        <v>0</v>
      </c>
      <c r="J607" s="2">
        <f t="shared" si="289"/>
        <v>0</v>
      </c>
      <c r="K607" s="2">
        <f t="shared" si="293"/>
        <v>0</v>
      </c>
      <c r="L607" s="24">
        <f t="shared" si="292"/>
        <v>0</v>
      </c>
      <c r="M607" s="25"/>
      <c r="N607" s="2">
        <f t="shared" si="295"/>
        <v>0</v>
      </c>
      <c r="O607" s="2">
        <f>ROUND(17646.67,2)</f>
        <v>17646.669999999998</v>
      </c>
      <c r="P607" s="2">
        <f t="shared" si="296"/>
        <v>0</v>
      </c>
      <c r="Q607" s="24">
        <f t="shared" si="294"/>
        <v>0</v>
      </c>
      <c r="R607" s="25"/>
      <c r="S607" s="24">
        <f>ROUND(17646.67,2)</f>
        <v>17646.669999999998</v>
      </c>
      <c r="T607" s="25"/>
      <c r="U607" s="26"/>
    </row>
    <row r="608" spans="1:21">
      <c r="A608" s="22" t="s">
        <v>1113</v>
      </c>
      <c r="B608" s="23"/>
      <c r="C608" s="22" t="s">
        <v>1114</v>
      </c>
      <c r="D608" s="23"/>
      <c r="E608" s="23"/>
      <c r="F608" s="23"/>
      <c r="G608" s="23"/>
      <c r="H608" s="2">
        <f t="shared" si="290"/>
        <v>0</v>
      </c>
      <c r="I608" s="2">
        <f t="shared" si="291"/>
        <v>0</v>
      </c>
      <c r="J608" s="2">
        <f t="shared" si="289"/>
        <v>0</v>
      </c>
      <c r="K608" s="2">
        <f t="shared" si="293"/>
        <v>0</v>
      </c>
      <c r="L608" s="24">
        <f t="shared" si="292"/>
        <v>0</v>
      </c>
      <c r="M608" s="25"/>
      <c r="N608" s="2">
        <f t="shared" si="295"/>
        <v>0</v>
      </c>
      <c r="O608" s="2">
        <f>ROUND(2060.67,2)</f>
        <v>2060.67</v>
      </c>
      <c r="P608" s="2">
        <f t="shared" si="296"/>
        <v>0</v>
      </c>
      <c r="Q608" s="24">
        <f t="shared" si="294"/>
        <v>0</v>
      </c>
      <c r="R608" s="25"/>
      <c r="S608" s="24">
        <f>ROUND(2060.67,2)</f>
        <v>2060.67</v>
      </c>
      <c r="T608" s="25"/>
      <c r="U608" s="26"/>
    </row>
    <row r="609" spans="1:21">
      <c r="A609" s="22" t="s">
        <v>1115</v>
      </c>
      <c r="B609" s="23"/>
      <c r="C609" s="22" t="s">
        <v>1116</v>
      </c>
      <c r="D609" s="23"/>
      <c r="E609" s="23"/>
      <c r="F609" s="23"/>
      <c r="G609" s="23"/>
      <c r="H609" s="2">
        <f t="shared" si="290"/>
        <v>0</v>
      </c>
      <c r="I609" s="2">
        <f t="shared" si="291"/>
        <v>0</v>
      </c>
      <c r="J609" s="2">
        <f t="shared" si="289"/>
        <v>0</v>
      </c>
      <c r="K609" s="2">
        <f t="shared" si="293"/>
        <v>0</v>
      </c>
      <c r="L609" s="24">
        <f>ROUND(10627.31,2)</f>
        <v>10627.31</v>
      </c>
      <c r="M609" s="25"/>
      <c r="N609" s="2">
        <f t="shared" si="295"/>
        <v>0</v>
      </c>
      <c r="O609" s="2">
        <f t="shared" ref="O609:O624" si="297">ROUND(0,2)</f>
        <v>0</v>
      </c>
      <c r="P609" s="2">
        <f t="shared" si="296"/>
        <v>0</v>
      </c>
      <c r="Q609" s="24">
        <f t="shared" si="294"/>
        <v>0</v>
      </c>
      <c r="R609" s="25"/>
      <c r="S609" s="24">
        <f>ROUND(-10627.31,2)</f>
        <v>-10627.31</v>
      </c>
      <c r="T609" s="25"/>
      <c r="U609" s="26"/>
    </row>
    <row r="610" spans="1:21">
      <c r="A610" s="22" t="s">
        <v>1117</v>
      </c>
      <c r="B610" s="23"/>
      <c r="C610" s="22" t="s">
        <v>1118</v>
      </c>
      <c r="D610" s="23"/>
      <c r="E610" s="23"/>
      <c r="F610" s="23"/>
      <c r="G610" s="23"/>
      <c r="H610" s="2">
        <f t="shared" si="290"/>
        <v>0</v>
      </c>
      <c r="I610" s="2">
        <f t="shared" si="291"/>
        <v>0</v>
      </c>
      <c r="J610" s="2">
        <f t="shared" si="289"/>
        <v>0</v>
      </c>
      <c r="K610" s="2">
        <f t="shared" si="293"/>
        <v>0</v>
      </c>
      <c r="L610" s="24">
        <f t="shared" ref="L610:L620" si="298">ROUND(0,2)</f>
        <v>0</v>
      </c>
      <c r="M610" s="25"/>
      <c r="N610" s="2">
        <f>ROUND(595098.96,2)</f>
        <v>595098.96</v>
      </c>
      <c r="O610" s="2">
        <f t="shared" si="297"/>
        <v>0</v>
      </c>
      <c r="P610" s="2">
        <f t="shared" si="296"/>
        <v>0</v>
      </c>
      <c r="Q610" s="24">
        <f t="shared" si="294"/>
        <v>0</v>
      </c>
      <c r="R610" s="25"/>
      <c r="S610" s="24">
        <f>ROUND(595098.96,2)</f>
        <v>595098.96</v>
      </c>
      <c r="T610" s="25"/>
      <c r="U610" s="26"/>
    </row>
    <row r="611" spans="1:21">
      <c r="A611" s="22" t="s">
        <v>1119</v>
      </c>
      <c r="B611" s="23"/>
      <c r="C611" s="22" t="s">
        <v>1120</v>
      </c>
      <c r="D611" s="23"/>
      <c r="E611" s="23"/>
      <c r="F611" s="23"/>
      <c r="G611" s="23"/>
      <c r="H611" s="2">
        <f t="shared" si="290"/>
        <v>0</v>
      </c>
      <c r="I611" s="2">
        <f t="shared" si="291"/>
        <v>0</v>
      </c>
      <c r="J611" s="2">
        <f t="shared" si="289"/>
        <v>0</v>
      </c>
      <c r="K611" s="2">
        <f t="shared" si="293"/>
        <v>0</v>
      </c>
      <c r="L611" s="24">
        <f t="shared" si="298"/>
        <v>0</v>
      </c>
      <c r="M611" s="25"/>
      <c r="N611" s="2">
        <f>ROUND(12842.2,2)</f>
        <v>12842.2</v>
      </c>
      <c r="O611" s="2">
        <f t="shared" si="297"/>
        <v>0</v>
      </c>
      <c r="P611" s="2">
        <f t="shared" si="296"/>
        <v>0</v>
      </c>
      <c r="Q611" s="24">
        <f t="shared" si="294"/>
        <v>0</v>
      </c>
      <c r="R611" s="25"/>
      <c r="S611" s="24">
        <f>ROUND(12842.2,2)</f>
        <v>12842.2</v>
      </c>
      <c r="T611" s="25"/>
      <c r="U611" s="26"/>
    </row>
    <row r="612" spans="1:21">
      <c r="A612" s="22" t="s">
        <v>1119</v>
      </c>
      <c r="B612" s="23"/>
      <c r="C612" s="22" t="s">
        <v>1120</v>
      </c>
      <c r="D612" s="23"/>
      <c r="E612" s="23"/>
      <c r="F612" s="23"/>
      <c r="G612" s="23"/>
      <c r="H612" s="2">
        <f t="shared" si="290"/>
        <v>0</v>
      </c>
      <c r="I612" s="2">
        <f t="shared" si="291"/>
        <v>0</v>
      </c>
      <c r="J612" s="2">
        <f t="shared" si="289"/>
        <v>0</v>
      </c>
      <c r="K612" s="2">
        <f t="shared" si="293"/>
        <v>0</v>
      </c>
      <c r="L612" s="24">
        <f t="shared" si="298"/>
        <v>0</v>
      </c>
      <c r="M612" s="25"/>
      <c r="N612" s="2">
        <f>ROUND(100000,2)</f>
        <v>100000</v>
      </c>
      <c r="O612" s="2">
        <f t="shared" si="297"/>
        <v>0</v>
      </c>
      <c r="P612" s="2">
        <f t="shared" si="296"/>
        <v>0</v>
      </c>
      <c r="Q612" s="24">
        <f t="shared" si="294"/>
        <v>0</v>
      </c>
      <c r="R612" s="25"/>
      <c r="S612" s="24">
        <f>ROUND(100000,2)</f>
        <v>100000</v>
      </c>
      <c r="T612" s="25"/>
      <c r="U612" s="26"/>
    </row>
    <row r="613" spans="1:21">
      <c r="A613" s="22" t="s">
        <v>1121</v>
      </c>
      <c r="B613" s="23"/>
      <c r="C613" s="22" t="s">
        <v>1122</v>
      </c>
      <c r="D613" s="23"/>
      <c r="E613" s="23"/>
      <c r="F613" s="23"/>
      <c r="G613" s="23"/>
      <c r="H613" s="2">
        <f t="shared" si="290"/>
        <v>0</v>
      </c>
      <c r="I613" s="2">
        <f t="shared" si="291"/>
        <v>0</v>
      </c>
      <c r="J613" s="2">
        <f t="shared" si="289"/>
        <v>0</v>
      </c>
      <c r="K613" s="2">
        <f t="shared" si="293"/>
        <v>0</v>
      </c>
      <c r="L613" s="24">
        <f t="shared" si="298"/>
        <v>0</v>
      </c>
      <c r="M613" s="25"/>
      <c r="N613" s="2">
        <f>ROUND(934614.79,2)</f>
        <v>934614.79</v>
      </c>
      <c r="O613" s="2">
        <f t="shared" si="297"/>
        <v>0</v>
      </c>
      <c r="P613" s="2">
        <f t="shared" si="296"/>
        <v>0</v>
      </c>
      <c r="Q613" s="24">
        <f t="shared" si="294"/>
        <v>0</v>
      </c>
      <c r="R613" s="25"/>
      <c r="S613" s="24">
        <f>ROUND(934614.79,2)</f>
        <v>934614.79</v>
      </c>
      <c r="T613" s="25"/>
      <c r="U613" s="26"/>
    </row>
    <row r="614" spans="1:21">
      <c r="A614" s="22" t="s">
        <v>1123</v>
      </c>
      <c r="B614" s="23"/>
      <c r="C614" s="22" t="s">
        <v>1124</v>
      </c>
      <c r="D614" s="23"/>
      <c r="E614" s="23"/>
      <c r="F614" s="23"/>
      <c r="G614" s="23"/>
      <c r="H614" s="2">
        <f t="shared" si="290"/>
        <v>0</v>
      </c>
      <c r="I614" s="2">
        <f t="shared" si="291"/>
        <v>0</v>
      </c>
      <c r="J614" s="2">
        <f t="shared" ref="J614:J629" si="299">ROUND(0,2)</f>
        <v>0</v>
      </c>
      <c r="K614" s="2">
        <f t="shared" si="293"/>
        <v>0</v>
      </c>
      <c r="L614" s="24">
        <f t="shared" si="298"/>
        <v>0</v>
      </c>
      <c r="M614" s="25"/>
      <c r="N614" s="2">
        <f>ROUND(156600,2)</f>
        <v>156600</v>
      </c>
      <c r="O614" s="2">
        <f t="shared" si="297"/>
        <v>0</v>
      </c>
      <c r="P614" s="2">
        <f t="shared" si="296"/>
        <v>0</v>
      </c>
      <c r="Q614" s="24">
        <f t="shared" si="294"/>
        <v>0</v>
      </c>
      <c r="R614" s="25"/>
      <c r="S614" s="24">
        <f>ROUND(156600,2)</f>
        <v>156600</v>
      </c>
      <c r="T614" s="25"/>
      <c r="U614" s="26"/>
    </row>
    <row r="615" spans="1:21">
      <c r="A615" s="22" t="s">
        <v>1125</v>
      </c>
      <c r="B615" s="23"/>
      <c r="C615" s="22" t="s">
        <v>1126</v>
      </c>
      <c r="D615" s="23"/>
      <c r="E615" s="23"/>
      <c r="F615" s="23"/>
      <c r="G615" s="23"/>
      <c r="H615" s="2">
        <f t="shared" si="290"/>
        <v>0</v>
      </c>
      <c r="I615" s="2">
        <f t="shared" si="291"/>
        <v>0</v>
      </c>
      <c r="J615" s="2">
        <f t="shared" si="299"/>
        <v>0</v>
      </c>
      <c r="K615" s="2">
        <f t="shared" si="293"/>
        <v>0</v>
      </c>
      <c r="L615" s="24">
        <f t="shared" si="298"/>
        <v>0</v>
      </c>
      <c r="M615" s="25"/>
      <c r="N615" s="2">
        <f>ROUND(26160.68,2)</f>
        <v>26160.68</v>
      </c>
      <c r="O615" s="2">
        <f t="shared" si="297"/>
        <v>0</v>
      </c>
      <c r="P615" s="2">
        <f t="shared" si="296"/>
        <v>0</v>
      </c>
      <c r="Q615" s="24">
        <f t="shared" si="294"/>
        <v>0</v>
      </c>
      <c r="R615" s="25"/>
      <c r="S615" s="24">
        <f>ROUND(26160.68,2)</f>
        <v>26160.68</v>
      </c>
      <c r="T615" s="25"/>
      <c r="U615" s="26"/>
    </row>
    <row r="616" spans="1:21">
      <c r="A616" s="22" t="s">
        <v>1127</v>
      </c>
      <c r="B616" s="23"/>
      <c r="C616" s="22" t="s">
        <v>1128</v>
      </c>
      <c r="D616" s="23"/>
      <c r="E616" s="23"/>
      <c r="F616" s="23"/>
      <c r="G616" s="23"/>
      <c r="H616" s="2">
        <f>ROUND(0,2)</f>
        <v>0</v>
      </c>
      <c r="I616" s="2">
        <f t="shared" si="291"/>
        <v>0</v>
      </c>
      <c r="J616" s="2">
        <f t="shared" si="299"/>
        <v>0</v>
      </c>
      <c r="K616" s="2">
        <f t="shared" si="293"/>
        <v>0</v>
      </c>
      <c r="L616" s="24">
        <f t="shared" si="298"/>
        <v>0</v>
      </c>
      <c r="M616" s="25"/>
      <c r="N616" s="2">
        <f>ROUND(265.84,2)</f>
        <v>265.83999999999997</v>
      </c>
      <c r="O616" s="2">
        <f t="shared" si="297"/>
        <v>0</v>
      </c>
      <c r="P616" s="2">
        <f t="shared" si="296"/>
        <v>0</v>
      </c>
      <c r="Q616" s="24">
        <f t="shared" si="294"/>
        <v>0</v>
      </c>
      <c r="R616" s="25"/>
      <c r="S616" s="24">
        <f>ROUND(265.84,2)</f>
        <v>265.83999999999997</v>
      </c>
      <c r="T616" s="25"/>
      <c r="U616" s="26"/>
    </row>
    <row r="617" spans="1:21">
      <c r="A617" s="22" t="s">
        <v>1129</v>
      </c>
      <c r="B617" s="23"/>
      <c r="C617" s="22" t="s">
        <v>1130</v>
      </c>
      <c r="D617" s="23"/>
      <c r="E617" s="23"/>
      <c r="F617" s="23"/>
      <c r="G617" s="23"/>
      <c r="H617" s="2">
        <f>ROUND(0,2)</f>
        <v>0</v>
      </c>
      <c r="I617" s="2">
        <f t="shared" ref="I617:I625" si="300">ROUND(0,2)</f>
        <v>0</v>
      </c>
      <c r="J617" s="2">
        <f t="shared" si="299"/>
        <v>0</v>
      </c>
      <c r="K617" s="2">
        <f t="shared" si="293"/>
        <v>0</v>
      </c>
      <c r="L617" s="24">
        <f t="shared" si="298"/>
        <v>0</v>
      </c>
      <c r="M617" s="25"/>
      <c r="N617" s="2">
        <f>ROUND(3387.82,2)</f>
        <v>3387.82</v>
      </c>
      <c r="O617" s="2">
        <f t="shared" si="297"/>
        <v>0</v>
      </c>
      <c r="P617" s="2">
        <f t="shared" si="296"/>
        <v>0</v>
      </c>
      <c r="Q617" s="24">
        <f t="shared" si="294"/>
        <v>0</v>
      </c>
      <c r="R617" s="25"/>
      <c r="S617" s="24">
        <f>ROUND(3387.82,2)</f>
        <v>3387.82</v>
      </c>
      <c r="T617" s="25"/>
      <c r="U617" s="26"/>
    </row>
    <row r="618" spans="1:21">
      <c r="A618" s="22" t="s">
        <v>1131</v>
      </c>
      <c r="B618" s="23"/>
      <c r="C618" s="22" t="s">
        <v>1132</v>
      </c>
      <c r="D618" s="23"/>
      <c r="E618" s="23"/>
      <c r="F618" s="23"/>
      <c r="G618" s="23"/>
      <c r="H618" s="2">
        <f>ROUND(0,2)</f>
        <v>0</v>
      </c>
      <c r="I618" s="2">
        <f t="shared" si="300"/>
        <v>0</v>
      </c>
      <c r="J618" s="2">
        <f t="shared" si="299"/>
        <v>0</v>
      </c>
      <c r="K618" s="2">
        <f t="shared" ref="K618:K633" si="301">ROUND(0,2)</f>
        <v>0</v>
      </c>
      <c r="L618" s="24">
        <f t="shared" si="298"/>
        <v>0</v>
      </c>
      <c r="M618" s="25"/>
      <c r="N618" s="2">
        <f>ROUND(0,2)</f>
        <v>0</v>
      </c>
      <c r="O618" s="2">
        <f t="shared" si="297"/>
        <v>0</v>
      </c>
      <c r="P618" s="2">
        <f>ROUND(18000,2)</f>
        <v>18000</v>
      </c>
      <c r="Q618" s="24">
        <f t="shared" ref="Q618:Q633" si="302">ROUND(0,2)</f>
        <v>0</v>
      </c>
      <c r="R618" s="25"/>
      <c r="S618" s="24">
        <f>ROUND(-18000,2)</f>
        <v>-18000</v>
      </c>
      <c r="T618" s="25"/>
      <c r="U618" s="26"/>
    </row>
    <row r="619" spans="1:21">
      <c r="A619" s="22" t="s">
        <v>1131</v>
      </c>
      <c r="B619" s="23"/>
      <c r="C619" s="22" t="s">
        <v>1132</v>
      </c>
      <c r="D619" s="23"/>
      <c r="E619" s="23"/>
      <c r="F619" s="23"/>
      <c r="G619" s="23"/>
      <c r="H619" s="2">
        <f>ROUND(0,2)</f>
        <v>0</v>
      </c>
      <c r="I619" s="2">
        <f t="shared" si="300"/>
        <v>0</v>
      </c>
      <c r="J619" s="2">
        <f t="shared" si="299"/>
        <v>0</v>
      </c>
      <c r="K619" s="2">
        <f t="shared" si="301"/>
        <v>0</v>
      </c>
      <c r="L619" s="24">
        <f t="shared" si="298"/>
        <v>0</v>
      </c>
      <c r="M619" s="25"/>
      <c r="N619" s="2">
        <f>ROUND(11250,2)</f>
        <v>11250</v>
      </c>
      <c r="O619" s="2">
        <f t="shared" si="297"/>
        <v>0</v>
      </c>
      <c r="P619" s="2">
        <f t="shared" ref="P619:P634" si="303">ROUND(0,2)</f>
        <v>0</v>
      </c>
      <c r="Q619" s="24">
        <f t="shared" si="302"/>
        <v>0</v>
      </c>
      <c r="R619" s="25"/>
      <c r="S619" s="24">
        <f>ROUND(11250,2)</f>
        <v>11250</v>
      </c>
      <c r="T619" s="25"/>
      <c r="U619" s="26"/>
    </row>
    <row r="620" spans="1:21">
      <c r="A620" s="22" t="s">
        <v>1133</v>
      </c>
      <c r="B620" s="23"/>
      <c r="C620" s="22" t="s">
        <v>1134</v>
      </c>
      <c r="D620" s="23"/>
      <c r="E620" s="23"/>
      <c r="F620" s="23"/>
      <c r="G620" s="23"/>
      <c r="H620" s="2">
        <f>ROUND(18000,2)</f>
        <v>18000</v>
      </c>
      <c r="I620" s="2">
        <f t="shared" si="300"/>
        <v>0</v>
      </c>
      <c r="J620" s="2">
        <f t="shared" si="299"/>
        <v>0</v>
      </c>
      <c r="K620" s="2">
        <f t="shared" si="301"/>
        <v>0</v>
      </c>
      <c r="L620" s="24">
        <f t="shared" si="298"/>
        <v>0</v>
      </c>
      <c r="M620" s="25"/>
      <c r="N620" s="2">
        <f>ROUND(0,2)</f>
        <v>0</v>
      </c>
      <c r="O620" s="2">
        <f t="shared" si="297"/>
        <v>0</v>
      </c>
      <c r="P620" s="2">
        <f t="shared" si="303"/>
        <v>0</v>
      </c>
      <c r="Q620" s="24">
        <f t="shared" si="302"/>
        <v>0</v>
      </c>
      <c r="R620" s="25"/>
      <c r="S620" s="24">
        <f>ROUND(18000,2)</f>
        <v>18000</v>
      </c>
      <c r="T620" s="25"/>
      <c r="U620" s="26"/>
    </row>
    <row r="621" spans="1:21">
      <c r="A621" s="22" t="s">
        <v>1135</v>
      </c>
      <c r="B621" s="23"/>
      <c r="C621" s="22" t="s">
        <v>1136</v>
      </c>
      <c r="D621" s="23"/>
      <c r="E621" s="23"/>
      <c r="F621" s="23"/>
      <c r="G621" s="23"/>
      <c r="H621" s="2">
        <f t="shared" ref="H621:H636" si="304">ROUND(0,2)</f>
        <v>0</v>
      </c>
      <c r="I621" s="2">
        <f t="shared" si="300"/>
        <v>0</v>
      </c>
      <c r="J621" s="2">
        <f t="shared" si="299"/>
        <v>0</v>
      </c>
      <c r="K621" s="2">
        <f t="shared" si="301"/>
        <v>0</v>
      </c>
      <c r="L621" s="24">
        <f>ROUND(20000,2)</f>
        <v>20000</v>
      </c>
      <c r="M621" s="25"/>
      <c r="N621" s="2">
        <f>ROUND(0,2)</f>
        <v>0</v>
      </c>
      <c r="O621" s="2">
        <f t="shared" si="297"/>
        <v>0</v>
      </c>
      <c r="P621" s="2">
        <f t="shared" si="303"/>
        <v>0</v>
      </c>
      <c r="Q621" s="24">
        <f t="shared" si="302"/>
        <v>0</v>
      </c>
      <c r="R621" s="25"/>
      <c r="S621" s="24">
        <f>ROUND(-20000,2)</f>
        <v>-20000</v>
      </c>
      <c r="T621" s="25"/>
      <c r="U621" s="26"/>
    </row>
    <row r="622" spans="1:21">
      <c r="A622" s="22" t="s">
        <v>1135</v>
      </c>
      <c r="B622" s="23"/>
      <c r="C622" s="22" t="s">
        <v>1136</v>
      </c>
      <c r="D622" s="23"/>
      <c r="E622" s="23"/>
      <c r="F622" s="23"/>
      <c r="G622" s="23"/>
      <c r="H622" s="2">
        <f t="shared" si="304"/>
        <v>0</v>
      </c>
      <c r="I622" s="2">
        <f t="shared" si="300"/>
        <v>0</v>
      </c>
      <c r="J622" s="2">
        <f t="shared" si="299"/>
        <v>0</v>
      </c>
      <c r="K622" s="2">
        <f t="shared" si="301"/>
        <v>0</v>
      </c>
      <c r="L622" s="24">
        <f>ROUND(0,2)</f>
        <v>0</v>
      </c>
      <c r="M622" s="25"/>
      <c r="N622" s="2">
        <f>ROUND(18772.5,2)</f>
        <v>18772.5</v>
      </c>
      <c r="O622" s="2">
        <f t="shared" si="297"/>
        <v>0</v>
      </c>
      <c r="P622" s="2">
        <f t="shared" si="303"/>
        <v>0</v>
      </c>
      <c r="Q622" s="24">
        <f t="shared" si="302"/>
        <v>0</v>
      </c>
      <c r="R622" s="25"/>
      <c r="S622" s="24">
        <f>ROUND(18772.5,2)</f>
        <v>18772.5</v>
      </c>
      <c r="T622" s="25"/>
      <c r="U622" s="26"/>
    </row>
    <row r="623" spans="1:21">
      <c r="A623" s="22" t="s">
        <v>1137</v>
      </c>
      <c r="B623" s="23"/>
      <c r="C623" s="22" t="s">
        <v>1138</v>
      </c>
      <c r="D623" s="23"/>
      <c r="E623" s="23"/>
      <c r="F623" s="23"/>
      <c r="G623" s="23"/>
      <c r="H623" s="2">
        <f t="shared" si="304"/>
        <v>0</v>
      </c>
      <c r="I623" s="2">
        <f t="shared" si="300"/>
        <v>0</v>
      </c>
      <c r="J623" s="2">
        <f t="shared" si="299"/>
        <v>0</v>
      </c>
      <c r="K623" s="2">
        <f t="shared" si="301"/>
        <v>0</v>
      </c>
      <c r="L623" s="24">
        <f>ROUND(0,2)</f>
        <v>0</v>
      </c>
      <c r="M623" s="25"/>
      <c r="N623" s="2">
        <f>ROUND(195.13,2)</f>
        <v>195.13</v>
      </c>
      <c r="O623" s="2">
        <f t="shared" si="297"/>
        <v>0</v>
      </c>
      <c r="P623" s="2">
        <f t="shared" si="303"/>
        <v>0</v>
      </c>
      <c r="Q623" s="24">
        <f t="shared" si="302"/>
        <v>0</v>
      </c>
      <c r="R623" s="25"/>
      <c r="S623" s="24">
        <f>ROUND(195.13,2)</f>
        <v>195.13</v>
      </c>
      <c r="T623" s="25"/>
      <c r="U623" s="26"/>
    </row>
    <row r="624" spans="1:21">
      <c r="A624" s="22" t="s">
        <v>1139</v>
      </c>
      <c r="B624" s="23"/>
      <c r="C624" s="22" t="s">
        <v>1140</v>
      </c>
      <c r="D624" s="23"/>
      <c r="E624" s="23"/>
      <c r="F624" s="23"/>
      <c r="G624" s="23"/>
      <c r="H624" s="2">
        <f t="shared" si="304"/>
        <v>0</v>
      </c>
      <c r="I624" s="2">
        <f t="shared" si="300"/>
        <v>0</v>
      </c>
      <c r="J624" s="2">
        <f t="shared" si="299"/>
        <v>0</v>
      </c>
      <c r="K624" s="2">
        <f t="shared" si="301"/>
        <v>0</v>
      </c>
      <c r="L624" s="24">
        <f>ROUND(30000,2)</f>
        <v>30000</v>
      </c>
      <c r="M624" s="25"/>
      <c r="N624" s="2">
        <f>ROUND(0,2)</f>
        <v>0</v>
      </c>
      <c r="O624" s="2">
        <f t="shared" si="297"/>
        <v>0</v>
      </c>
      <c r="P624" s="2">
        <f t="shared" si="303"/>
        <v>0</v>
      </c>
      <c r="Q624" s="24">
        <f t="shared" si="302"/>
        <v>0</v>
      </c>
      <c r="R624" s="25"/>
      <c r="S624" s="24">
        <f>ROUND(-30000,2)</f>
        <v>-30000</v>
      </c>
      <c r="T624" s="25"/>
      <c r="U624" s="26"/>
    </row>
    <row r="625" spans="1:21">
      <c r="A625" s="22" t="s">
        <v>1141</v>
      </c>
      <c r="B625" s="23"/>
      <c r="C625" s="22" t="s">
        <v>1142</v>
      </c>
      <c r="D625" s="23"/>
      <c r="E625" s="23"/>
      <c r="F625" s="23"/>
      <c r="G625" s="23"/>
      <c r="H625" s="2">
        <f t="shared" si="304"/>
        <v>0</v>
      </c>
      <c r="I625" s="2">
        <f t="shared" si="300"/>
        <v>0</v>
      </c>
      <c r="J625" s="2">
        <f t="shared" si="299"/>
        <v>0</v>
      </c>
      <c r="K625" s="2">
        <f t="shared" si="301"/>
        <v>0</v>
      </c>
      <c r="L625" s="24">
        <f t="shared" ref="L625:L640" si="305">ROUND(0,2)</f>
        <v>0</v>
      </c>
      <c r="M625" s="25"/>
      <c r="N625" s="2">
        <f>ROUND(49328.96,2)</f>
        <v>49328.959999999999</v>
      </c>
      <c r="O625" s="2">
        <f t="shared" ref="O625:O640" si="306">ROUND(0,2)</f>
        <v>0</v>
      </c>
      <c r="P625" s="2">
        <f t="shared" si="303"/>
        <v>0</v>
      </c>
      <c r="Q625" s="24">
        <f t="shared" si="302"/>
        <v>0</v>
      </c>
      <c r="R625" s="25"/>
      <c r="S625" s="24">
        <f>ROUND(49328.96,2)</f>
        <v>49328.959999999999</v>
      </c>
      <c r="T625" s="25"/>
      <c r="U625" s="26"/>
    </row>
    <row r="626" spans="1:21">
      <c r="A626" s="22" t="s">
        <v>1141</v>
      </c>
      <c r="B626" s="23"/>
      <c r="C626" s="22" t="s">
        <v>1142</v>
      </c>
      <c r="D626" s="23"/>
      <c r="E626" s="23"/>
      <c r="F626" s="23"/>
      <c r="G626" s="23"/>
      <c r="H626" s="2">
        <f t="shared" si="304"/>
        <v>0</v>
      </c>
      <c r="I626" s="2">
        <f>ROUND(30000,2)</f>
        <v>30000</v>
      </c>
      <c r="J626" s="2">
        <f t="shared" si="299"/>
        <v>0</v>
      </c>
      <c r="K626" s="2">
        <f t="shared" si="301"/>
        <v>0</v>
      </c>
      <c r="L626" s="24">
        <f t="shared" si="305"/>
        <v>0</v>
      </c>
      <c r="M626" s="25"/>
      <c r="N626" s="2">
        <f>ROUND(0,2)</f>
        <v>0</v>
      </c>
      <c r="O626" s="2">
        <f t="shared" si="306"/>
        <v>0</v>
      </c>
      <c r="P626" s="2">
        <f t="shared" si="303"/>
        <v>0</v>
      </c>
      <c r="Q626" s="24">
        <f t="shared" si="302"/>
        <v>0</v>
      </c>
      <c r="R626" s="25"/>
      <c r="S626" s="24">
        <f>ROUND(30000,2)</f>
        <v>30000</v>
      </c>
      <c r="T626" s="25"/>
      <c r="U626" s="26"/>
    </row>
    <row r="627" spans="1:21">
      <c r="A627" s="22" t="s">
        <v>1143</v>
      </c>
      <c r="B627" s="23"/>
      <c r="C627" s="22" t="s">
        <v>1144</v>
      </c>
      <c r="D627" s="23"/>
      <c r="E627" s="23"/>
      <c r="F627" s="23"/>
      <c r="G627" s="23"/>
      <c r="H627" s="2">
        <f t="shared" si="304"/>
        <v>0</v>
      </c>
      <c r="I627" s="2">
        <f t="shared" ref="I627:I642" si="307">ROUND(0,2)</f>
        <v>0</v>
      </c>
      <c r="J627" s="2">
        <f t="shared" si="299"/>
        <v>0</v>
      </c>
      <c r="K627" s="2">
        <f t="shared" si="301"/>
        <v>0</v>
      </c>
      <c r="L627" s="24">
        <f t="shared" si="305"/>
        <v>0</v>
      </c>
      <c r="M627" s="25"/>
      <c r="N627" s="2">
        <f>ROUND(31268.24,2)</f>
        <v>31268.240000000002</v>
      </c>
      <c r="O627" s="2">
        <f t="shared" si="306"/>
        <v>0</v>
      </c>
      <c r="P627" s="2">
        <f t="shared" si="303"/>
        <v>0</v>
      </c>
      <c r="Q627" s="24">
        <f t="shared" si="302"/>
        <v>0</v>
      </c>
      <c r="R627" s="25"/>
      <c r="S627" s="24">
        <f>ROUND(31268.24,2)</f>
        <v>31268.240000000002</v>
      </c>
      <c r="T627" s="25"/>
      <c r="U627" s="26"/>
    </row>
    <row r="628" spans="1:21">
      <c r="A628" s="22" t="s">
        <v>1143</v>
      </c>
      <c r="B628" s="23"/>
      <c r="C628" s="22" t="s">
        <v>1144</v>
      </c>
      <c r="D628" s="23"/>
      <c r="E628" s="23"/>
      <c r="F628" s="23"/>
      <c r="G628" s="23"/>
      <c r="H628" s="2">
        <f t="shared" si="304"/>
        <v>0</v>
      </c>
      <c r="I628" s="2">
        <f t="shared" si="307"/>
        <v>0</v>
      </c>
      <c r="J628" s="2">
        <f t="shared" si="299"/>
        <v>0</v>
      </c>
      <c r="K628" s="2">
        <f t="shared" si="301"/>
        <v>0</v>
      </c>
      <c r="L628" s="24">
        <f t="shared" si="305"/>
        <v>0</v>
      </c>
      <c r="M628" s="25"/>
      <c r="N628" s="2">
        <f>ROUND(25556,2)</f>
        <v>25556</v>
      </c>
      <c r="O628" s="2">
        <f t="shared" si="306"/>
        <v>0</v>
      </c>
      <c r="P628" s="2">
        <f t="shared" si="303"/>
        <v>0</v>
      </c>
      <c r="Q628" s="24">
        <f t="shared" si="302"/>
        <v>0</v>
      </c>
      <c r="R628" s="25"/>
      <c r="S628" s="24">
        <f>ROUND(25556,2)</f>
        <v>25556</v>
      </c>
      <c r="T628" s="25"/>
      <c r="U628" s="26"/>
    </row>
    <row r="629" spans="1:21">
      <c r="A629" s="22" t="s">
        <v>1143</v>
      </c>
      <c r="B629" s="23"/>
      <c r="C629" s="22" t="s">
        <v>1144</v>
      </c>
      <c r="D629" s="23"/>
      <c r="E629" s="23"/>
      <c r="F629" s="23"/>
      <c r="G629" s="23"/>
      <c r="H629" s="2">
        <f t="shared" si="304"/>
        <v>0</v>
      </c>
      <c r="I629" s="2">
        <f t="shared" si="307"/>
        <v>0</v>
      </c>
      <c r="J629" s="2">
        <f t="shared" si="299"/>
        <v>0</v>
      </c>
      <c r="K629" s="2">
        <f t="shared" si="301"/>
        <v>0</v>
      </c>
      <c r="L629" s="24">
        <f t="shared" si="305"/>
        <v>0</v>
      </c>
      <c r="M629" s="25"/>
      <c r="N629" s="2">
        <f>ROUND(28337.76,2)</f>
        <v>28337.759999999998</v>
      </c>
      <c r="O629" s="2">
        <f t="shared" si="306"/>
        <v>0</v>
      </c>
      <c r="P629" s="2">
        <f t="shared" si="303"/>
        <v>0</v>
      </c>
      <c r="Q629" s="24">
        <f t="shared" si="302"/>
        <v>0</v>
      </c>
      <c r="R629" s="25"/>
      <c r="S629" s="24">
        <f>ROUND(28337.76,2)</f>
        <v>28337.759999999998</v>
      </c>
      <c r="T629" s="25"/>
      <c r="U629" s="26"/>
    </row>
    <row r="630" spans="1:21">
      <c r="A630" s="22" t="s">
        <v>1145</v>
      </c>
      <c r="B630" s="23"/>
      <c r="C630" s="22" t="s">
        <v>270</v>
      </c>
      <c r="D630" s="23"/>
      <c r="E630" s="23"/>
      <c r="F630" s="23"/>
      <c r="G630" s="23"/>
      <c r="H630" s="2">
        <f t="shared" si="304"/>
        <v>0</v>
      </c>
      <c r="I630" s="2">
        <f t="shared" si="307"/>
        <v>0</v>
      </c>
      <c r="J630" s="2">
        <f t="shared" ref="J630:J645" si="308">ROUND(0,2)</f>
        <v>0</v>
      </c>
      <c r="K630" s="2">
        <f t="shared" si="301"/>
        <v>0</v>
      </c>
      <c r="L630" s="24">
        <f t="shared" si="305"/>
        <v>0</v>
      </c>
      <c r="M630" s="25"/>
      <c r="N630" s="2">
        <f>ROUND(23885.35,2)</f>
        <v>23885.35</v>
      </c>
      <c r="O630" s="2">
        <f t="shared" si="306"/>
        <v>0</v>
      </c>
      <c r="P630" s="2">
        <f t="shared" si="303"/>
        <v>0</v>
      </c>
      <c r="Q630" s="24">
        <f t="shared" si="302"/>
        <v>0</v>
      </c>
      <c r="R630" s="25"/>
      <c r="S630" s="24">
        <f>ROUND(23885.35,2)</f>
        <v>23885.35</v>
      </c>
      <c r="T630" s="25"/>
      <c r="U630" s="26"/>
    </row>
    <row r="631" spans="1:21">
      <c r="A631" s="22" t="s">
        <v>1146</v>
      </c>
      <c r="B631" s="23"/>
      <c r="C631" s="22" t="s">
        <v>1147</v>
      </c>
      <c r="D631" s="23"/>
      <c r="E631" s="23"/>
      <c r="F631" s="23"/>
      <c r="G631" s="23"/>
      <c r="H631" s="2">
        <f t="shared" si="304"/>
        <v>0</v>
      </c>
      <c r="I631" s="2">
        <f t="shared" si="307"/>
        <v>0</v>
      </c>
      <c r="J631" s="2">
        <f t="shared" si="308"/>
        <v>0</v>
      </c>
      <c r="K631" s="2">
        <f t="shared" si="301"/>
        <v>0</v>
      </c>
      <c r="L631" s="24">
        <f t="shared" si="305"/>
        <v>0</v>
      </c>
      <c r="M631" s="25"/>
      <c r="N631" s="2">
        <f>ROUND(281416.3,2)</f>
        <v>281416.3</v>
      </c>
      <c r="O631" s="2">
        <f t="shared" si="306"/>
        <v>0</v>
      </c>
      <c r="P631" s="2">
        <f t="shared" si="303"/>
        <v>0</v>
      </c>
      <c r="Q631" s="24">
        <f t="shared" si="302"/>
        <v>0</v>
      </c>
      <c r="R631" s="25"/>
      <c r="S631" s="24">
        <f>ROUND(281416.3,2)</f>
        <v>281416.3</v>
      </c>
      <c r="T631" s="25"/>
      <c r="U631" s="26"/>
    </row>
    <row r="632" spans="1:21">
      <c r="A632" s="22" t="s">
        <v>1148</v>
      </c>
      <c r="B632" s="23"/>
      <c r="C632" s="22" t="s">
        <v>1149</v>
      </c>
      <c r="D632" s="23"/>
      <c r="E632" s="23"/>
      <c r="F632" s="23"/>
      <c r="G632" s="23"/>
      <c r="H632" s="2">
        <f t="shared" si="304"/>
        <v>0</v>
      </c>
      <c r="I632" s="2">
        <f t="shared" si="307"/>
        <v>0</v>
      </c>
      <c r="J632" s="2">
        <f t="shared" si="308"/>
        <v>0</v>
      </c>
      <c r="K632" s="2">
        <f t="shared" si="301"/>
        <v>0</v>
      </c>
      <c r="L632" s="24">
        <f t="shared" si="305"/>
        <v>0</v>
      </c>
      <c r="M632" s="25"/>
      <c r="N632" s="2">
        <f>ROUND(127946.26,2)</f>
        <v>127946.26</v>
      </c>
      <c r="O632" s="2">
        <f t="shared" si="306"/>
        <v>0</v>
      </c>
      <c r="P632" s="2">
        <f t="shared" si="303"/>
        <v>0</v>
      </c>
      <c r="Q632" s="24">
        <f t="shared" si="302"/>
        <v>0</v>
      </c>
      <c r="R632" s="25"/>
      <c r="S632" s="24">
        <f>ROUND(127946.26,2)</f>
        <v>127946.26</v>
      </c>
      <c r="T632" s="25"/>
      <c r="U632" s="26"/>
    </row>
    <row r="633" spans="1:21">
      <c r="A633" s="22" t="s">
        <v>1150</v>
      </c>
      <c r="B633" s="23"/>
      <c r="C633" s="22" t="s">
        <v>1151</v>
      </c>
      <c r="D633" s="23"/>
      <c r="E633" s="23"/>
      <c r="F633" s="23"/>
      <c r="G633" s="23"/>
      <c r="H633" s="2">
        <f t="shared" si="304"/>
        <v>0</v>
      </c>
      <c r="I633" s="2">
        <f t="shared" si="307"/>
        <v>0</v>
      </c>
      <c r="J633" s="2">
        <f t="shared" si="308"/>
        <v>0</v>
      </c>
      <c r="K633" s="2">
        <f t="shared" si="301"/>
        <v>0</v>
      </c>
      <c r="L633" s="24">
        <f t="shared" si="305"/>
        <v>0</v>
      </c>
      <c r="M633" s="25"/>
      <c r="N633" s="2">
        <f>ROUND(292771.64,2)</f>
        <v>292771.64</v>
      </c>
      <c r="O633" s="2">
        <f t="shared" si="306"/>
        <v>0</v>
      </c>
      <c r="P633" s="2">
        <f t="shared" si="303"/>
        <v>0</v>
      </c>
      <c r="Q633" s="24">
        <f t="shared" si="302"/>
        <v>0</v>
      </c>
      <c r="R633" s="25"/>
      <c r="S633" s="24">
        <f>ROUND(292771.64,2)</f>
        <v>292771.64</v>
      </c>
      <c r="T633" s="25"/>
      <c r="U633" s="26"/>
    </row>
    <row r="634" spans="1:21">
      <c r="A634" s="22" t="s">
        <v>1152</v>
      </c>
      <c r="B634" s="23"/>
      <c r="C634" s="22" t="s">
        <v>1153</v>
      </c>
      <c r="D634" s="23"/>
      <c r="E634" s="23"/>
      <c r="F634" s="23"/>
      <c r="G634" s="23"/>
      <c r="H634" s="2">
        <f t="shared" si="304"/>
        <v>0</v>
      </c>
      <c r="I634" s="2">
        <f t="shared" si="307"/>
        <v>0</v>
      </c>
      <c r="J634" s="2">
        <f t="shared" si="308"/>
        <v>0</v>
      </c>
      <c r="K634" s="2">
        <f t="shared" ref="K634:K649" si="309">ROUND(0,2)</f>
        <v>0</v>
      </c>
      <c r="L634" s="24">
        <f t="shared" si="305"/>
        <v>0</v>
      </c>
      <c r="M634" s="25"/>
      <c r="N634" s="2">
        <f>ROUND(392564.93,2)</f>
        <v>392564.93</v>
      </c>
      <c r="O634" s="2">
        <f t="shared" si="306"/>
        <v>0</v>
      </c>
      <c r="P634" s="2">
        <f t="shared" si="303"/>
        <v>0</v>
      </c>
      <c r="Q634" s="24">
        <f t="shared" ref="Q634:Q649" si="310">ROUND(0,2)</f>
        <v>0</v>
      </c>
      <c r="R634" s="25"/>
      <c r="S634" s="24">
        <f>ROUND(392564.93,2)</f>
        <v>392564.93</v>
      </c>
      <c r="T634" s="25"/>
      <c r="U634" s="26"/>
    </row>
    <row r="635" spans="1:21">
      <c r="A635" s="22" t="s">
        <v>1154</v>
      </c>
      <c r="B635" s="23"/>
      <c r="C635" s="22" t="s">
        <v>1155</v>
      </c>
      <c r="D635" s="23"/>
      <c r="E635" s="23"/>
      <c r="F635" s="23"/>
      <c r="G635" s="23"/>
      <c r="H635" s="2">
        <f t="shared" si="304"/>
        <v>0</v>
      </c>
      <c r="I635" s="2">
        <f t="shared" si="307"/>
        <v>0</v>
      </c>
      <c r="J635" s="2">
        <f t="shared" si="308"/>
        <v>0</v>
      </c>
      <c r="K635" s="2">
        <f t="shared" si="309"/>
        <v>0</v>
      </c>
      <c r="L635" s="24">
        <f t="shared" si="305"/>
        <v>0</v>
      </c>
      <c r="M635" s="25"/>
      <c r="N635" s="2">
        <f>ROUND(6000,2)</f>
        <v>6000</v>
      </c>
      <c r="O635" s="2">
        <f t="shared" si="306"/>
        <v>0</v>
      </c>
      <c r="P635" s="2">
        <f t="shared" ref="P635:P650" si="311">ROUND(0,2)</f>
        <v>0</v>
      </c>
      <c r="Q635" s="24">
        <f t="shared" si="310"/>
        <v>0</v>
      </c>
      <c r="R635" s="25"/>
      <c r="S635" s="24">
        <f>ROUND(6000,2)</f>
        <v>6000</v>
      </c>
      <c r="T635" s="25"/>
      <c r="U635" s="26"/>
    </row>
    <row r="636" spans="1:21">
      <c r="A636" s="22" t="s">
        <v>1156</v>
      </c>
      <c r="B636" s="23"/>
      <c r="C636" s="22" t="s">
        <v>1157</v>
      </c>
      <c r="D636" s="23"/>
      <c r="E636" s="23"/>
      <c r="F636" s="23"/>
      <c r="G636" s="23"/>
      <c r="H636" s="2">
        <f t="shared" si="304"/>
        <v>0</v>
      </c>
      <c r="I636" s="2">
        <f t="shared" si="307"/>
        <v>0</v>
      </c>
      <c r="J636" s="2">
        <f t="shared" si="308"/>
        <v>0</v>
      </c>
      <c r="K636" s="2">
        <f t="shared" si="309"/>
        <v>0</v>
      </c>
      <c r="L636" s="24">
        <f t="shared" si="305"/>
        <v>0</v>
      </c>
      <c r="M636" s="25"/>
      <c r="N636" s="2">
        <f>ROUND(36092.05,2)</f>
        <v>36092.050000000003</v>
      </c>
      <c r="O636" s="2">
        <f t="shared" si="306"/>
        <v>0</v>
      </c>
      <c r="P636" s="2">
        <f t="shared" si="311"/>
        <v>0</v>
      </c>
      <c r="Q636" s="24">
        <f t="shared" si="310"/>
        <v>0</v>
      </c>
      <c r="R636" s="25"/>
      <c r="S636" s="24">
        <f>ROUND(36092.05,2)</f>
        <v>36092.050000000003</v>
      </c>
      <c r="T636" s="25"/>
      <c r="U636" s="26"/>
    </row>
    <row r="637" spans="1:21">
      <c r="A637" s="22" t="s">
        <v>1158</v>
      </c>
      <c r="B637" s="23"/>
      <c r="C637" s="22" t="s">
        <v>1159</v>
      </c>
      <c r="D637" s="23"/>
      <c r="E637" s="23"/>
      <c r="F637" s="23"/>
      <c r="G637" s="23"/>
      <c r="H637" s="2">
        <f t="shared" ref="H637:H652" si="312">ROUND(0,2)</f>
        <v>0</v>
      </c>
      <c r="I637" s="2">
        <f t="shared" si="307"/>
        <v>0</v>
      </c>
      <c r="J637" s="2">
        <f t="shared" si="308"/>
        <v>0</v>
      </c>
      <c r="K637" s="2">
        <f t="shared" si="309"/>
        <v>0</v>
      </c>
      <c r="L637" s="24">
        <f t="shared" si="305"/>
        <v>0</v>
      </c>
      <c r="M637" s="25"/>
      <c r="N637" s="2">
        <f>ROUND(316.74,2)</f>
        <v>316.74</v>
      </c>
      <c r="O637" s="2">
        <f t="shared" si="306"/>
        <v>0</v>
      </c>
      <c r="P637" s="2">
        <f t="shared" si="311"/>
        <v>0</v>
      </c>
      <c r="Q637" s="24">
        <f t="shared" si="310"/>
        <v>0</v>
      </c>
      <c r="R637" s="25"/>
      <c r="S637" s="24">
        <f>ROUND(316.74,2)</f>
        <v>316.74</v>
      </c>
      <c r="T637" s="25"/>
      <c r="U637" s="26"/>
    </row>
    <row r="638" spans="1:21">
      <c r="A638" s="22" t="s">
        <v>1160</v>
      </c>
      <c r="B638" s="23"/>
      <c r="C638" s="22" t="s">
        <v>1161</v>
      </c>
      <c r="D638" s="23"/>
      <c r="E638" s="23"/>
      <c r="F638" s="23"/>
      <c r="G638" s="23"/>
      <c r="H638" s="2">
        <f t="shared" si="312"/>
        <v>0</v>
      </c>
      <c r="I638" s="2">
        <f t="shared" si="307"/>
        <v>0</v>
      </c>
      <c r="J638" s="2">
        <f t="shared" si="308"/>
        <v>0</v>
      </c>
      <c r="K638" s="2">
        <f t="shared" si="309"/>
        <v>0</v>
      </c>
      <c r="L638" s="24">
        <f t="shared" si="305"/>
        <v>0</v>
      </c>
      <c r="M638" s="25"/>
      <c r="N638" s="2">
        <f>ROUND(1185.04,2)</f>
        <v>1185.04</v>
      </c>
      <c r="O638" s="2">
        <f t="shared" si="306"/>
        <v>0</v>
      </c>
      <c r="P638" s="2">
        <f t="shared" si="311"/>
        <v>0</v>
      </c>
      <c r="Q638" s="24">
        <f t="shared" si="310"/>
        <v>0</v>
      </c>
      <c r="R638" s="25"/>
      <c r="S638" s="24">
        <f>ROUND(1185.04,2)</f>
        <v>1185.04</v>
      </c>
      <c r="T638" s="25"/>
      <c r="U638" s="26"/>
    </row>
    <row r="639" spans="1:21">
      <c r="A639" s="22" t="s">
        <v>1162</v>
      </c>
      <c r="B639" s="23"/>
      <c r="C639" s="22" t="s">
        <v>1163</v>
      </c>
      <c r="D639" s="23"/>
      <c r="E639" s="23"/>
      <c r="F639" s="23"/>
      <c r="G639" s="23"/>
      <c r="H639" s="2">
        <f t="shared" si="312"/>
        <v>0</v>
      </c>
      <c r="I639" s="2">
        <f t="shared" si="307"/>
        <v>0</v>
      </c>
      <c r="J639" s="2">
        <f t="shared" si="308"/>
        <v>0</v>
      </c>
      <c r="K639" s="2">
        <f t="shared" si="309"/>
        <v>0</v>
      </c>
      <c r="L639" s="24">
        <f t="shared" si="305"/>
        <v>0</v>
      </c>
      <c r="M639" s="25"/>
      <c r="N639" s="2">
        <f>ROUND(119795.9,2)</f>
        <v>119795.9</v>
      </c>
      <c r="O639" s="2">
        <f t="shared" si="306"/>
        <v>0</v>
      </c>
      <c r="P639" s="2">
        <f t="shared" si="311"/>
        <v>0</v>
      </c>
      <c r="Q639" s="24">
        <f t="shared" si="310"/>
        <v>0</v>
      </c>
      <c r="R639" s="25"/>
      <c r="S639" s="24">
        <f>ROUND(119795.9,2)</f>
        <v>119795.9</v>
      </c>
      <c r="T639" s="25"/>
      <c r="U639" s="26"/>
    </row>
    <row r="640" spans="1:21">
      <c r="A640" s="22" t="s">
        <v>1164</v>
      </c>
      <c r="B640" s="23"/>
      <c r="C640" s="22" t="s">
        <v>1165</v>
      </c>
      <c r="D640" s="23"/>
      <c r="E640" s="23"/>
      <c r="F640" s="23"/>
      <c r="G640" s="23"/>
      <c r="H640" s="2">
        <f t="shared" si="312"/>
        <v>0</v>
      </c>
      <c r="I640" s="2">
        <f t="shared" si="307"/>
        <v>0</v>
      </c>
      <c r="J640" s="2">
        <f t="shared" si="308"/>
        <v>0</v>
      </c>
      <c r="K640" s="2">
        <f t="shared" si="309"/>
        <v>0</v>
      </c>
      <c r="L640" s="24">
        <f t="shared" si="305"/>
        <v>0</v>
      </c>
      <c r="M640" s="25"/>
      <c r="N640" s="2">
        <f>ROUND(56891.21,2)</f>
        <v>56891.21</v>
      </c>
      <c r="O640" s="2">
        <f t="shared" si="306"/>
        <v>0</v>
      </c>
      <c r="P640" s="2">
        <f t="shared" si="311"/>
        <v>0</v>
      </c>
      <c r="Q640" s="24">
        <f t="shared" si="310"/>
        <v>0</v>
      </c>
      <c r="R640" s="25"/>
      <c r="S640" s="24">
        <f>ROUND(56891.21,2)</f>
        <v>56891.21</v>
      </c>
      <c r="T640" s="25"/>
      <c r="U640" s="26"/>
    </row>
    <row r="641" spans="1:21">
      <c r="A641" s="22" t="s">
        <v>1166</v>
      </c>
      <c r="B641" s="23"/>
      <c r="C641" s="22" t="s">
        <v>1167</v>
      </c>
      <c r="D641" s="23"/>
      <c r="E641" s="23"/>
      <c r="F641" s="23"/>
      <c r="G641" s="23"/>
      <c r="H641" s="2">
        <f t="shared" si="312"/>
        <v>0</v>
      </c>
      <c r="I641" s="2">
        <f t="shared" si="307"/>
        <v>0</v>
      </c>
      <c r="J641" s="2">
        <f t="shared" si="308"/>
        <v>0</v>
      </c>
      <c r="K641" s="2">
        <f t="shared" si="309"/>
        <v>0</v>
      </c>
      <c r="L641" s="24">
        <f t="shared" ref="L641:L655" si="313">ROUND(0,2)</f>
        <v>0</v>
      </c>
      <c r="M641" s="25"/>
      <c r="N641" s="2">
        <f>ROUND(0,2)</f>
        <v>0</v>
      </c>
      <c r="O641" s="2">
        <f>ROUND(6073,2)</f>
        <v>6073</v>
      </c>
      <c r="P641" s="2">
        <f t="shared" si="311"/>
        <v>0</v>
      </c>
      <c r="Q641" s="24">
        <f t="shared" si="310"/>
        <v>0</v>
      </c>
      <c r="R641" s="25"/>
      <c r="S641" s="24">
        <f>ROUND(6073,2)</f>
        <v>6073</v>
      </c>
      <c r="T641" s="25"/>
      <c r="U641" s="26"/>
    </row>
    <row r="642" spans="1:21">
      <c r="A642" s="22" t="s">
        <v>1168</v>
      </c>
      <c r="B642" s="23"/>
      <c r="C642" s="22" t="s">
        <v>1169</v>
      </c>
      <c r="D642" s="23"/>
      <c r="E642" s="23"/>
      <c r="F642" s="23"/>
      <c r="G642" s="23"/>
      <c r="H642" s="2">
        <f t="shared" si="312"/>
        <v>0</v>
      </c>
      <c r="I642" s="2">
        <f t="shared" si="307"/>
        <v>0</v>
      </c>
      <c r="J642" s="2">
        <f t="shared" si="308"/>
        <v>0</v>
      </c>
      <c r="K642" s="2">
        <f t="shared" si="309"/>
        <v>0</v>
      </c>
      <c r="L642" s="24">
        <f t="shared" si="313"/>
        <v>0</v>
      </c>
      <c r="M642" s="25"/>
      <c r="N642" s="2">
        <f>ROUND(100000,2)</f>
        <v>100000</v>
      </c>
      <c r="O642" s="2">
        <f t="shared" ref="O642:O657" si="314">ROUND(0,2)</f>
        <v>0</v>
      </c>
      <c r="P642" s="2">
        <f t="shared" si="311"/>
        <v>0</v>
      </c>
      <c r="Q642" s="24">
        <f t="shared" si="310"/>
        <v>0</v>
      </c>
      <c r="R642" s="25"/>
      <c r="S642" s="24">
        <f>ROUND(100000,2)</f>
        <v>100000</v>
      </c>
      <c r="T642" s="25"/>
      <c r="U642" s="26"/>
    </row>
    <row r="643" spans="1:21">
      <c r="A643" s="22" t="s">
        <v>1170</v>
      </c>
      <c r="B643" s="23"/>
      <c r="C643" s="22" t="s">
        <v>1171</v>
      </c>
      <c r="D643" s="23"/>
      <c r="E643" s="23"/>
      <c r="F643" s="23"/>
      <c r="G643" s="23"/>
      <c r="H643" s="2">
        <f t="shared" si="312"/>
        <v>0</v>
      </c>
      <c r="I643" s="2">
        <f t="shared" ref="I643:I658" si="315">ROUND(0,2)</f>
        <v>0</v>
      </c>
      <c r="J643" s="2">
        <f t="shared" si="308"/>
        <v>0</v>
      </c>
      <c r="K643" s="2">
        <f t="shared" si="309"/>
        <v>0</v>
      </c>
      <c r="L643" s="24">
        <f t="shared" si="313"/>
        <v>0</v>
      </c>
      <c r="M643" s="25"/>
      <c r="N643" s="2">
        <f>ROUND(26728.58,2)</f>
        <v>26728.58</v>
      </c>
      <c r="O643" s="2">
        <f t="shared" si="314"/>
        <v>0</v>
      </c>
      <c r="P643" s="2">
        <f t="shared" si="311"/>
        <v>0</v>
      </c>
      <c r="Q643" s="24">
        <f t="shared" si="310"/>
        <v>0</v>
      </c>
      <c r="R643" s="25"/>
      <c r="S643" s="24">
        <f>ROUND(26728.58,2)</f>
        <v>26728.58</v>
      </c>
      <c r="T643" s="25"/>
      <c r="U643" s="26"/>
    </row>
    <row r="644" spans="1:21">
      <c r="A644" s="22" t="s">
        <v>1172</v>
      </c>
      <c r="B644" s="23"/>
      <c r="C644" s="22" t="s">
        <v>1173</v>
      </c>
      <c r="D644" s="23"/>
      <c r="E644" s="23"/>
      <c r="F644" s="23"/>
      <c r="G644" s="23"/>
      <c r="H644" s="2">
        <f t="shared" si="312"/>
        <v>0</v>
      </c>
      <c r="I644" s="2">
        <f t="shared" si="315"/>
        <v>0</v>
      </c>
      <c r="J644" s="2">
        <f t="shared" si="308"/>
        <v>0</v>
      </c>
      <c r="K644" s="2">
        <f t="shared" si="309"/>
        <v>0</v>
      </c>
      <c r="L644" s="24">
        <f t="shared" si="313"/>
        <v>0</v>
      </c>
      <c r="M644" s="25"/>
      <c r="N644" s="2">
        <f>ROUND(18595.04,2)</f>
        <v>18595.04</v>
      </c>
      <c r="O644" s="2">
        <f t="shared" si="314"/>
        <v>0</v>
      </c>
      <c r="P644" s="2">
        <f t="shared" si="311"/>
        <v>0</v>
      </c>
      <c r="Q644" s="24">
        <f t="shared" si="310"/>
        <v>0</v>
      </c>
      <c r="R644" s="25"/>
      <c r="S644" s="24">
        <f>ROUND(18595.04,2)</f>
        <v>18595.04</v>
      </c>
      <c r="T644" s="25"/>
      <c r="U644" s="26"/>
    </row>
    <row r="645" spans="1:21">
      <c r="A645" s="22" t="s">
        <v>1174</v>
      </c>
      <c r="B645" s="23"/>
      <c r="C645" s="22" t="s">
        <v>1175</v>
      </c>
      <c r="D645" s="23"/>
      <c r="E645" s="23"/>
      <c r="F645" s="23"/>
      <c r="G645" s="23"/>
      <c r="H645" s="2">
        <f t="shared" si="312"/>
        <v>0</v>
      </c>
      <c r="I645" s="2">
        <f t="shared" si="315"/>
        <v>0</v>
      </c>
      <c r="J645" s="2">
        <f t="shared" si="308"/>
        <v>0</v>
      </c>
      <c r="K645" s="2">
        <f t="shared" si="309"/>
        <v>0</v>
      </c>
      <c r="L645" s="24">
        <f t="shared" si="313"/>
        <v>0</v>
      </c>
      <c r="M645" s="25"/>
      <c r="N645" s="2">
        <f>ROUND(1438.5,2)</f>
        <v>1438.5</v>
      </c>
      <c r="O645" s="2">
        <f t="shared" si="314"/>
        <v>0</v>
      </c>
      <c r="P645" s="2">
        <f t="shared" si="311"/>
        <v>0</v>
      </c>
      <c r="Q645" s="24">
        <f t="shared" si="310"/>
        <v>0</v>
      </c>
      <c r="R645" s="25"/>
      <c r="S645" s="24">
        <f>ROUND(1438.5,2)</f>
        <v>1438.5</v>
      </c>
      <c r="T645" s="25"/>
      <c r="U645" s="26"/>
    </row>
    <row r="646" spans="1:21">
      <c r="A646" s="22" t="s">
        <v>1176</v>
      </c>
      <c r="B646" s="23"/>
      <c r="C646" s="22" t="s">
        <v>1177</v>
      </c>
      <c r="D646" s="23"/>
      <c r="E646" s="23"/>
      <c r="F646" s="23"/>
      <c r="G646" s="23"/>
      <c r="H646" s="2">
        <f t="shared" si="312"/>
        <v>0</v>
      </c>
      <c r="I646" s="2">
        <f t="shared" si="315"/>
        <v>0</v>
      </c>
      <c r="J646" s="2">
        <f t="shared" ref="J646:J661" si="316">ROUND(0,2)</f>
        <v>0</v>
      </c>
      <c r="K646" s="2">
        <f t="shared" si="309"/>
        <v>0</v>
      </c>
      <c r="L646" s="24">
        <f t="shared" si="313"/>
        <v>0</v>
      </c>
      <c r="M646" s="25"/>
      <c r="N646" s="2">
        <f>ROUND(472588.14,2)</f>
        <v>472588.14</v>
      </c>
      <c r="O646" s="2">
        <f t="shared" si="314"/>
        <v>0</v>
      </c>
      <c r="P646" s="2">
        <f t="shared" si="311"/>
        <v>0</v>
      </c>
      <c r="Q646" s="24">
        <f t="shared" si="310"/>
        <v>0</v>
      </c>
      <c r="R646" s="25"/>
      <c r="S646" s="24">
        <f>ROUND(472588.14,2)</f>
        <v>472588.14</v>
      </c>
      <c r="T646" s="25"/>
      <c r="U646" s="26"/>
    </row>
    <row r="647" spans="1:21">
      <c r="A647" s="22" t="s">
        <v>1178</v>
      </c>
      <c r="B647" s="23"/>
      <c r="C647" s="22" t="s">
        <v>1179</v>
      </c>
      <c r="D647" s="23"/>
      <c r="E647" s="23"/>
      <c r="F647" s="23"/>
      <c r="G647" s="23"/>
      <c r="H647" s="2">
        <f t="shared" si="312"/>
        <v>0</v>
      </c>
      <c r="I647" s="2">
        <f t="shared" si="315"/>
        <v>0</v>
      </c>
      <c r="J647" s="2">
        <f t="shared" si="316"/>
        <v>0</v>
      </c>
      <c r="K647" s="2">
        <f t="shared" si="309"/>
        <v>0</v>
      </c>
      <c r="L647" s="24">
        <f t="shared" si="313"/>
        <v>0</v>
      </c>
      <c r="M647" s="25"/>
      <c r="N647" s="2">
        <f>ROUND(38787.03,2)</f>
        <v>38787.03</v>
      </c>
      <c r="O647" s="2">
        <f t="shared" si="314"/>
        <v>0</v>
      </c>
      <c r="P647" s="2">
        <f t="shared" si="311"/>
        <v>0</v>
      </c>
      <c r="Q647" s="24">
        <f t="shared" si="310"/>
        <v>0</v>
      </c>
      <c r="R647" s="25"/>
      <c r="S647" s="24">
        <f>ROUND(38787.03,2)</f>
        <v>38787.03</v>
      </c>
      <c r="T647" s="25"/>
      <c r="U647" s="26"/>
    </row>
    <row r="648" spans="1:21">
      <c r="A648" s="22" t="s">
        <v>1180</v>
      </c>
      <c r="B648" s="23"/>
      <c r="C648" s="22" t="s">
        <v>1181</v>
      </c>
      <c r="D648" s="23"/>
      <c r="E648" s="23"/>
      <c r="F648" s="23"/>
      <c r="G648" s="23"/>
      <c r="H648" s="2">
        <f t="shared" si="312"/>
        <v>0</v>
      </c>
      <c r="I648" s="2">
        <f t="shared" si="315"/>
        <v>0</v>
      </c>
      <c r="J648" s="2">
        <f t="shared" si="316"/>
        <v>0</v>
      </c>
      <c r="K648" s="2">
        <f t="shared" si="309"/>
        <v>0</v>
      </c>
      <c r="L648" s="24">
        <f t="shared" si="313"/>
        <v>0</v>
      </c>
      <c r="M648" s="25"/>
      <c r="N648" s="2">
        <f>ROUND(327478.26,2)</f>
        <v>327478.26</v>
      </c>
      <c r="O648" s="2">
        <f t="shared" si="314"/>
        <v>0</v>
      </c>
      <c r="P648" s="2">
        <f t="shared" si="311"/>
        <v>0</v>
      </c>
      <c r="Q648" s="24">
        <f t="shared" si="310"/>
        <v>0</v>
      </c>
      <c r="R648" s="25"/>
      <c r="S648" s="24">
        <f>ROUND(327478.26,2)</f>
        <v>327478.26</v>
      </c>
      <c r="T648" s="25"/>
      <c r="U648" s="26"/>
    </row>
    <row r="649" spans="1:21">
      <c r="A649" s="22" t="s">
        <v>1182</v>
      </c>
      <c r="B649" s="23"/>
      <c r="C649" s="22" t="s">
        <v>1183</v>
      </c>
      <c r="D649" s="23"/>
      <c r="E649" s="23"/>
      <c r="F649" s="23"/>
      <c r="G649" s="23"/>
      <c r="H649" s="2">
        <f t="shared" si="312"/>
        <v>0</v>
      </c>
      <c r="I649" s="2">
        <f t="shared" si="315"/>
        <v>0</v>
      </c>
      <c r="J649" s="2">
        <f t="shared" si="316"/>
        <v>0</v>
      </c>
      <c r="K649" s="2">
        <f t="shared" si="309"/>
        <v>0</v>
      </c>
      <c r="L649" s="24">
        <f t="shared" si="313"/>
        <v>0</v>
      </c>
      <c r="M649" s="25"/>
      <c r="N649" s="2">
        <f>ROUND(385742.45,2)</f>
        <v>385742.45</v>
      </c>
      <c r="O649" s="2">
        <f t="shared" si="314"/>
        <v>0</v>
      </c>
      <c r="P649" s="2">
        <f t="shared" si="311"/>
        <v>0</v>
      </c>
      <c r="Q649" s="24">
        <f t="shared" si="310"/>
        <v>0</v>
      </c>
      <c r="R649" s="25"/>
      <c r="S649" s="24">
        <f>ROUND(385742.45,2)</f>
        <v>385742.45</v>
      </c>
      <c r="T649" s="25"/>
      <c r="U649" s="26"/>
    </row>
    <row r="650" spans="1:21">
      <c r="A650" s="22" t="s">
        <v>1184</v>
      </c>
      <c r="B650" s="23"/>
      <c r="C650" s="22" t="s">
        <v>1185</v>
      </c>
      <c r="D650" s="23"/>
      <c r="E650" s="23"/>
      <c r="F650" s="23"/>
      <c r="G650" s="23"/>
      <c r="H650" s="2">
        <f t="shared" si="312"/>
        <v>0</v>
      </c>
      <c r="I650" s="2">
        <f t="shared" si="315"/>
        <v>0</v>
      </c>
      <c r="J650" s="2">
        <f t="shared" si="316"/>
        <v>0</v>
      </c>
      <c r="K650" s="2">
        <f t="shared" ref="K650:K662" si="317">ROUND(0,2)</f>
        <v>0</v>
      </c>
      <c r="L650" s="24">
        <f t="shared" si="313"/>
        <v>0</v>
      </c>
      <c r="M650" s="25"/>
      <c r="N650" s="2">
        <f>ROUND(9125.99,2)</f>
        <v>9125.99</v>
      </c>
      <c r="O650" s="2">
        <f t="shared" si="314"/>
        <v>0</v>
      </c>
      <c r="P650" s="2">
        <f t="shared" si="311"/>
        <v>0</v>
      </c>
      <c r="Q650" s="24">
        <f t="shared" ref="Q650:Q665" si="318">ROUND(0,2)</f>
        <v>0</v>
      </c>
      <c r="R650" s="25"/>
      <c r="S650" s="24">
        <f>ROUND(9125.99,2)</f>
        <v>9125.99</v>
      </c>
      <c r="T650" s="25"/>
      <c r="U650" s="26"/>
    </row>
    <row r="651" spans="1:21">
      <c r="A651" s="22" t="s">
        <v>1186</v>
      </c>
      <c r="B651" s="23"/>
      <c r="C651" s="22" t="s">
        <v>1187</v>
      </c>
      <c r="D651" s="23"/>
      <c r="E651" s="23"/>
      <c r="F651" s="23"/>
      <c r="G651" s="23"/>
      <c r="H651" s="2">
        <f t="shared" si="312"/>
        <v>0</v>
      </c>
      <c r="I651" s="2">
        <f t="shared" si="315"/>
        <v>0</v>
      </c>
      <c r="J651" s="2">
        <f t="shared" si="316"/>
        <v>0</v>
      </c>
      <c r="K651" s="2">
        <f t="shared" si="317"/>
        <v>0</v>
      </c>
      <c r="L651" s="24">
        <f t="shared" si="313"/>
        <v>0</v>
      </c>
      <c r="M651" s="25"/>
      <c r="N651" s="2">
        <f>ROUND(581003.1,2)</f>
        <v>581003.1</v>
      </c>
      <c r="O651" s="2">
        <f t="shared" si="314"/>
        <v>0</v>
      </c>
      <c r="P651" s="2">
        <f t="shared" ref="P651:P666" si="319">ROUND(0,2)</f>
        <v>0</v>
      </c>
      <c r="Q651" s="24">
        <f t="shared" si="318"/>
        <v>0</v>
      </c>
      <c r="R651" s="25"/>
      <c r="S651" s="24">
        <f>ROUND(581003.1,2)</f>
        <v>581003.1</v>
      </c>
      <c r="T651" s="25"/>
      <c r="U651" s="26"/>
    </row>
    <row r="652" spans="1:21">
      <c r="A652" s="22" t="s">
        <v>1188</v>
      </c>
      <c r="B652" s="23"/>
      <c r="C652" s="22" t="s">
        <v>1189</v>
      </c>
      <c r="D652" s="23"/>
      <c r="E652" s="23"/>
      <c r="F652" s="23"/>
      <c r="G652" s="23"/>
      <c r="H652" s="2">
        <f t="shared" si="312"/>
        <v>0</v>
      </c>
      <c r="I652" s="2">
        <f t="shared" si="315"/>
        <v>0</v>
      </c>
      <c r="J652" s="2">
        <f t="shared" si="316"/>
        <v>0</v>
      </c>
      <c r="K652" s="2">
        <f t="shared" si="317"/>
        <v>0</v>
      </c>
      <c r="L652" s="24">
        <f t="shared" si="313"/>
        <v>0</v>
      </c>
      <c r="M652" s="25"/>
      <c r="N652" s="2">
        <f>ROUND(10764.37,2)</f>
        <v>10764.37</v>
      </c>
      <c r="O652" s="2">
        <f t="shared" si="314"/>
        <v>0</v>
      </c>
      <c r="P652" s="2">
        <f t="shared" si="319"/>
        <v>0</v>
      </c>
      <c r="Q652" s="24">
        <f t="shared" si="318"/>
        <v>0</v>
      </c>
      <c r="R652" s="25"/>
      <c r="S652" s="24">
        <f>ROUND(10764.37,2)</f>
        <v>10764.37</v>
      </c>
      <c r="T652" s="25"/>
      <c r="U652" s="26"/>
    </row>
    <row r="653" spans="1:21">
      <c r="A653" s="22" t="s">
        <v>1190</v>
      </c>
      <c r="B653" s="23"/>
      <c r="C653" s="22" t="s">
        <v>1191</v>
      </c>
      <c r="D653" s="23"/>
      <c r="E653" s="23"/>
      <c r="F653" s="23"/>
      <c r="G653" s="23"/>
      <c r="H653" s="2">
        <f t="shared" ref="H653:H668" si="320">ROUND(0,2)</f>
        <v>0</v>
      </c>
      <c r="I653" s="2">
        <f t="shared" si="315"/>
        <v>0</v>
      </c>
      <c r="J653" s="2">
        <f t="shared" si="316"/>
        <v>0</v>
      </c>
      <c r="K653" s="2">
        <f t="shared" si="317"/>
        <v>0</v>
      </c>
      <c r="L653" s="24">
        <f t="shared" si="313"/>
        <v>0</v>
      </c>
      <c r="M653" s="25"/>
      <c r="N653" s="2">
        <f>ROUND(46683.5,2)</f>
        <v>46683.5</v>
      </c>
      <c r="O653" s="2">
        <f t="shared" si="314"/>
        <v>0</v>
      </c>
      <c r="P653" s="2">
        <f t="shared" si="319"/>
        <v>0</v>
      </c>
      <c r="Q653" s="24">
        <f t="shared" si="318"/>
        <v>0</v>
      </c>
      <c r="R653" s="25"/>
      <c r="S653" s="24">
        <f>ROUND(46683.5,2)</f>
        <v>46683.5</v>
      </c>
      <c r="T653" s="25"/>
      <c r="U653" s="26"/>
    </row>
    <row r="654" spans="1:21">
      <c r="A654" s="22" t="s">
        <v>1192</v>
      </c>
      <c r="B654" s="23"/>
      <c r="C654" s="22" t="s">
        <v>1193</v>
      </c>
      <c r="D654" s="23"/>
      <c r="E654" s="23"/>
      <c r="F654" s="23"/>
      <c r="G654" s="23"/>
      <c r="H654" s="2">
        <f t="shared" si="320"/>
        <v>0</v>
      </c>
      <c r="I654" s="2">
        <f t="shared" si="315"/>
        <v>0</v>
      </c>
      <c r="J654" s="2">
        <f t="shared" si="316"/>
        <v>0</v>
      </c>
      <c r="K654" s="2">
        <f t="shared" si="317"/>
        <v>0</v>
      </c>
      <c r="L654" s="24">
        <f t="shared" si="313"/>
        <v>0</v>
      </c>
      <c r="M654" s="25"/>
      <c r="N654" s="2">
        <f>ROUND(36949.37,2)</f>
        <v>36949.370000000003</v>
      </c>
      <c r="O654" s="2">
        <f t="shared" si="314"/>
        <v>0</v>
      </c>
      <c r="P654" s="2">
        <f t="shared" si="319"/>
        <v>0</v>
      </c>
      <c r="Q654" s="24">
        <f t="shared" si="318"/>
        <v>0</v>
      </c>
      <c r="R654" s="25"/>
      <c r="S654" s="24">
        <f>ROUND(36949.37,2)</f>
        <v>36949.370000000003</v>
      </c>
      <c r="T654" s="25"/>
      <c r="U654" s="26"/>
    </row>
    <row r="655" spans="1:21">
      <c r="A655" s="22" t="s">
        <v>1194</v>
      </c>
      <c r="B655" s="23"/>
      <c r="C655" s="22" t="s">
        <v>1195</v>
      </c>
      <c r="D655" s="23"/>
      <c r="E655" s="23"/>
      <c r="F655" s="23"/>
      <c r="G655" s="23"/>
      <c r="H655" s="2">
        <f t="shared" si="320"/>
        <v>0</v>
      </c>
      <c r="I655" s="2">
        <f t="shared" si="315"/>
        <v>0</v>
      </c>
      <c r="J655" s="2">
        <f t="shared" si="316"/>
        <v>0</v>
      </c>
      <c r="K655" s="2">
        <f t="shared" si="317"/>
        <v>0</v>
      </c>
      <c r="L655" s="24">
        <f t="shared" si="313"/>
        <v>0</v>
      </c>
      <c r="M655" s="25"/>
      <c r="N655" s="2">
        <f>ROUND(40654.58,2)</f>
        <v>40654.58</v>
      </c>
      <c r="O655" s="2">
        <f t="shared" si="314"/>
        <v>0</v>
      </c>
      <c r="P655" s="2">
        <f t="shared" si="319"/>
        <v>0</v>
      </c>
      <c r="Q655" s="24">
        <f t="shared" si="318"/>
        <v>0</v>
      </c>
      <c r="R655" s="25"/>
      <c r="S655" s="24">
        <f>ROUND(40654.58,2)</f>
        <v>40654.58</v>
      </c>
      <c r="T655" s="25"/>
      <c r="U655" s="26"/>
    </row>
    <row r="656" spans="1:21">
      <c r="A656" s="22" t="s">
        <v>1194</v>
      </c>
      <c r="B656" s="23"/>
      <c r="C656" s="22" t="s">
        <v>1195</v>
      </c>
      <c r="D656" s="23"/>
      <c r="E656" s="23"/>
      <c r="F656" s="23"/>
      <c r="G656" s="23"/>
      <c r="H656" s="2">
        <f t="shared" si="320"/>
        <v>0</v>
      </c>
      <c r="I656" s="2">
        <f t="shared" si="315"/>
        <v>0</v>
      </c>
      <c r="J656" s="2">
        <f t="shared" si="316"/>
        <v>0</v>
      </c>
      <c r="K656" s="2">
        <f t="shared" si="317"/>
        <v>0</v>
      </c>
      <c r="L656" s="24">
        <f>ROUND(12805,2)</f>
        <v>12805</v>
      </c>
      <c r="M656" s="25"/>
      <c r="N656" s="2">
        <f>ROUND(0,2)</f>
        <v>0</v>
      </c>
      <c r="O656" s="2">
        <f t="shared" si="314"/>
        <v>0</v>
      </c>
      <c r="P656" s="2">
        <f t="shared" si="319"/>
        <v>0</v>
      </c>
      <c r="Q656" s="24">
        <f t="shared" si="318"/>
        <v>0</v>
      </c>
      <c r="R656" s="25"/>
      <c r="S656" s="24">
        <f>ROUND(-12805,2)</f>
        <v>-12805</v>
      </c>
      <c r="T656" s="25"/>
      <c r="U656" s="26"/>
    </row>
    <row r="657" spans="1:21">
      <c r="A657" s="22" t="s">
        <v>1196</v>
      </c>
      <c r="B657" s="23"/>
      <c r="C657" s="22" t="s">
        <v>1197</v>
      </c>
      <c r="D657" s="23"/>
      <c r="E657" s="23"/>
      <c r="F657" s="23"/>
      <c r="G657" s="23"/>
      <c r="H657" s="2">
        <f t="shared" si="320"/>
        <v>0</v>
      </c>
      <c r="I657" s="2">
        <f t="shared" si="315"/>
        <v>0</v>
      </c>
      <c r="J657" s="2">
        <f t="shared" si="316"/>
        <v>0</v>
      </c>
      <c r="K657" s="2">
        <f t="shared" si="317"/>
        <v>0</v>
      </c>
      <c r="L657" s="24">
        <f>ROUND(0,2)</f>
        <v>0</v>
      </c>
      <c r="M657" s="25"/>
      <c r="N657" s="2">
        <f>ROUND(8836.57,2)</f>
        <v>8836.57</v>
      </c>
      <c r="O657" s="2">
        <f t="shared" si="314"/>
        <v>0</v>
      </c>
      <c r="P657" s="2">
        <f t="shared" si="319"/>
        <v>0</v>
      </c>
      <c r="Q657" s="24">
        <f t="shared" si="318"/>
        <v>0</v>
      </c>
      <c r="R657" s="25"/>
      <c r="S657" s="24">
        <f>ROUND(8836.57,2)</f>
        <v>8836.57</v>
      </c>
      <c r="T657" s="25"/>
      <c r="U657" s="26"/>
    </row>
    <row r="658" spans="1:21">
      <c r="A658" s="22" t="s">
        <v>1198</v>
      </c>
      <c r="B658" s="23"/>
      <c r="C658" s="22" t="s">
        <v>1199</v>
      </c>
      <c r="D658" s="23"/>
      <c r="E658" s="23"/>
      <c r="F658" s="23"/>
      <c r="G658" s="23"/>
      <c r="H658" s="2">
        <f t="shared" si="320"/>
        <v>0</v>
      </c>
      <c r="I658" s="2">
        <f t="shared" si="315"/>
        <v>0</v>
      </c>
      <c r="J658" s="2">
        <f t="shared" si="316"/>
        <v>0</v>
      </c>
      <c r="K658" s="2">
        <f t="shared" si="317"/>
        <v>0</v>
      </c>
      <c r="L658" s="24">
        <f>ROUND(0,2)</f>
        <v>0</v>
      </c>
      <c r="M658" s="25"/>
      <c r="N658" s="2">
        <f>ROUND(77110,2)</f>
        <v>77110</v>
      </c>
      <c r="O658" s="2">
        <f t="shared" ref="O658:O673" si="321">ROUND(0,2)</f>
        <v>0</v>
      </c>
      <c r="P658" s="2">
        <f t="shared" si="319"/>
        <v>0</v>
      </c>
      <c r="Q658" s="24">
        <f t="shared" si="318"/>
        <v>0</v>
      </c>
      <c r="R658" s="25"/>
      <c r="S658" s="24">
        <f>ROUND(77110,2)</f>
        <v>77110</v>
      </c>
      <c r="T658" s="25"/>
      <c r="U658" s="26"/>
    </row>
    <row r="659" spans="1:21">
      <c r="A659" s="22" t="s">
        <v>1200</v>
      </c>
      <c r="B659" s="23"/>
      <c r="C659" s="22" t="s">
        <v>1201</v>
      </c>
      <c r="D659" s="23"/>
      <c r="E659" s="23"/>
      <c r="F659" s="23"/>
      <c r="G659" s="23"/>
      <c r="H659" s="2">
        <f t="shared" si="320"/>
        <v>0</v>
      </c>
      <c r="I659" s="2">
        <f t="shared" ref="I659:I674" si="322">ROUND(0,2)</f>
        <v>0</v>
      </c>
      <c r="J659" s="2">
        <f t="shared" si="316"/>
        <v>0</v>
      </c>
      <c r="K659" s="2">
        <f t="shared" si="317"/>
        <v>0</v>
      </c>
      <c r="L659" s="24">
        <f>ROUND(0,2)</f>
        <v>0</v>
      </c>
      <c r="M659" s="25"/>
      <c r="N659" s="2">
        <f>ROUND(44239.9,2)</f>
        <v>44239.9</v>
      </c>
      <c r="O659" s="2">
        <f t="shared" si="321"/>
        <v>0</v>
      </c>
      <c r="P659" s="2">
        <f t="shared" si="319"/>
        <v>0</v>
      </c>
      <c r="Q659" s="24">
        <f t="shared" si="318"/>
        <v>0</v>
      </c>
      <c r="R659" s="25"/>
      <c r="S659" s="24">
        <f>ROUND(44239.9,2)</f>
        <v>44239.9</v>
      </c>
      <c r="T659" s="25"/>
      <c r="U659" s="26"/>
    </row>
    <row r="660" spans="1:21">
      <c r="A660" s="22" t="s">
        <v>1202</v>
      </c>
      <c r="B660" s="23"/>
      <c r="C660" s="22" t="s">
        <v>1203</v>
      </c>
      <c r="D660" s="23"/>
      <c r="E660" s="23"/>
      <c r="F660" s="23"/>
      <c r="G660" s="23"/>
      <c r="H660" s="2">
        <f t="shared" si="320"/>
        <v>0</v>
      </c>
      <c r="I660" s="2">
        <f t="shared" si="322"/>
        <v>0</v>
      </c>
      <c r="J660" s="2">
        <f t="shared" si="316"/>
        <v>0</v>
      </c>
      <c r="K660" s="2">
        <f t="shared" si="317"/>
        <v>0</v>
      </c>
      <c r="L660" s="24">
        <f>ROUND(52011.85,2)</f>
        <v>52011.85</v>
      </c>
      <c r="M660" s="25"/>
      <c r="N660" s="2">
        <f>ROUND(0,2)</f>
        <v>0</v>
      </c>
      <c r="O660" s="2">
        <f t="shared" si="321"/>
        <v>0</v>
      </c>
      <c r="P660" s="2">
        <f t="shared" si="319"/>
        <v>0</v>
      </c>
      <c r="Q660" s="24">
        <f t="shared" si="318"/>
        <v>0</v>
      </c>
      <c r="R660" s="25"/>
      <c r="S660" s="24">
        <f>ROUND(-52011.85,2)</f>
        <v>-52011.85</v>
      </c>
      <c r="T660" s="25"/>
      <c r="U660" s="26"/>
    </row>
    <row r="661" spans="1:21">
      <c r="A661" s="22" t="s">
        <v>1202</v>
      </c>
      <c r="B661" s="23"/>
      <c r="C661" s="22" t="s">
        <v>1203</v>
      </c>
      <c r="D661" s="23"/>
      <c r="E661" s="23"/>
      <c r="F661" s="23"/>
      <c r="G661" s="23"/>
      <c r="H661" s="2">
        <f t="shared" si="320"/>
        <v>0</v>
      </c>
      <c r="I661" s="2">
        <f t="shared" si="322"/>
        <v>0</v>
      </c>
      <c r="J661" s="2">
        <f t="shared" si="316"/>
        <v>0</v>
      </c>
      <c r="K661" s="2">
        <f t="shared" si="317"/>
        <v>0</v>
      </c>
      <c r="L661" s="24">
        <f t="shared" ref="L661:L675" si="323">ROUND(0,2)</f>
        <v>0</v>
      </c>
      <c r="M661" s="25"/>
      <c r="N661" s="2">
        <f>ROUND(24249.31,2)</f>
        <v>24249.31</v>
      </c>
      <c r="O661" s="2">
        <f t="shared" si="321"/>
        <v>0</v>
      </c>
      <c r="P661" s="2">
        <f t="shared" si="319"/>
        <v>0</v>
      </c>
      <c r="Q661" s="24">
        <f t="shared" si="318"/>
        <v>0</v>
      </c>
      <c r="R661" s="25"/>
      <c r="S661" s="24">
        <f>ROUND(24249.31,2)</f>
        <v>24249.31</v>
      </c>
      <c r="T661" s="25"/>
      <c r="U661" s="26"/>
    </row>
    <row r="662" spans="1:21">
      <c r="A662" s="22" t="s">
        <v>1204</v>
      </c>
      <c r="B662" s="23"/>
      <c r="C662" s="22" t="s">
        <v>1205</v>
      </c>
      <c r="D662" s="23"/>
      <c r="E662" s="23"/>
      <c r="F662" s="23"/>
      <c r="G662" s="23"/>
      <c r="H662" s="2">
        <f t="shared" si="320"/>
        <v>0</v>
      </c>
      <c r="I662" s="2">
        <f t="shared" si="322"/>
        <v>0</v>
      </c>
      <c r="J662" s="2">
        <f t="shared" ref="J662:J675" si="324">ROUND(0,2)</f>
        <v>0</v>
      </c>
      <c r="K662" s="2">
        <f t="shared" si="317"/>
        <v>0</v>
      </c>
      <c r="L662" s="24">
        <f t="shared" si="323"/>
        <v>0</v>
      </c>
      <c r="M662" s="25"/>
      <c r="N662" s="2">
        <f>ROUND(129195.81,2)</f>
        <v>129195.81</v>
      </c>
      <c r="O662" s="2">
        <f t="shared" si="321"/>
        <v>0</v>
      </c>
      <c r="P662" s="2">
        <f t="shared" si="319"/>
        <v>0</v>
      </c>
      <c r="Q662" s="24">
        <f t="shared" si="318"/>
        <v>0</v>
      </c>
      <c r="R662" s="25"/>
      <c r="S662" s="24">
        <f>ROUND(129195.81,2)</f>
        <v>129195.81</v>
      </c>
      <c r="T662" s="25"/>
      <c r="U662" s="26"/>
    </row>
    <row r="663" spans="1:21">
      <c r="A663" s="22" t="s">
        <v>1204</v>
      </c>
      <c r="B663" s="23"/>
      <c r="C663" s="22" t="s">
        <v>1205</v>
      </c>
      <c r="D663" s="23"/>
      <c r="E663" s="23"/>
      <c r="F663" s="23"/>
      <c r="G663" s="23"/>
      <c r="H663" s="2">
        <f t="shared" si="320"/>
        <v>0</v>
      </c>
      <c r="I663" s="2">
        <f t="shared" si="322"/>
        <v>0</v>
      </c>
      <c r="J663" s="2">
        <f t="shared" si="324"/>
        <v>0</v>
      </c>
      <c r="K663" s="2">
        <f>ROUND(3611.85,2)</f>
        <v>3611.85</v>
      </c>
      <c r="L663" s="24">
        <f t="shared" si="323"/>
        <v>0</v>
      </c>
      <c r="M663" s="25"/>
      <c r="N663" s="2">
        <f>ROUND(0,2)</f>
        <v>0</v>
      </c>
      <c r="O663" s="2">
        <f t="shared" si="321"/>
        <v>0</v>
      </c>
      <c r="P663" s="2">
        <f t="shared" si="319"/>
        <v>0</v>
      </c>
      <c r="Q663" s="24">
        <f t="shared" si="318"/>
        <v>0</v>
      </c>
      <c r="R663" s="25"/>
      <c r="S663" s="24">
        <f>ROUND(3611.85,2)</f>
        <v>3611.85</v>
      </c>
      <c r="T663" s="25"/>
      <c r="U663" s="26"/>
    </row>
    <row r="664" spans="1:21">
      <c r="A664" s="22" t="s">
        <v>1206</v>
      </c>
      <c r="B664" s="23"/>
      <c r="C664" s="22" t="s">
        <v>1207</v>
      </c>
      <c r="D664" s="23"/>
      <c r="E664" s="23"/>
      <c r="F664" s="23"/>
      <c r="G664" s="23"/>
      <c r="H664" s="2">
        <f t="shared" si="320"/>
        <v>0</v>
      </c>
      <c r="I664" s="2">
        <f t="shared" si="322"/>
        <v>0</v>
      </c>
      <c r="J664" s="2">
        <f t="shared" si="324"/>
        <v>0</v>
      </c>
      <c r="K664" s="2">
        <f>ROUND(0,2)</f>
        <v>0</v>
      </c>
      <c r="L664" s="24">
        <f t="shared" si="323"/>
        <v>0</v>
      </c>
      <c r="M664" s="25"/>
      <c r="N664" s="2">
        <f>ROUND(22405.83,2)</f>
        <v>22405.83</v>
      </c>
      <c r="O664" s="2">
        <f t="shared" si="321"/>
        <v>0</v>
      </c>
      <c r="P664" s="2">
        <f t="shared" si="319"/>
        <v>0</v>
      </c>
      <c r="Q664" s="24">
        <f t="shared" si="318"/>
        <v>0</v>
      </c>
      <c r="R664" s="25"/>
      <c r="S664" s="24">
        <f>ROUND(22405.83,2)</f>
        <v>22405.83</v>
      </c>
      <c r="T664" s="25"/>
      <c r="U664" s="26"/>
    </row>
    <row r="665" spans="1:21">
      <c r="A665" s="22" t="s">
        <v>1206</v>
      </c>
      <c r="B665" s="23"/>
      <c r="C665" s="22" t="s">
        <v>1208</v>
      </c>
      <c r="D665" s="23"/>
      <c r="E665" s="23"/>
      <c r="F665" s="23"/>
      <c r="G665" s="23"/>
      <c r="H665" s="2">
        <f t="shared" si="320"/>
        <v>0</v>
      </c>
      <c r="I665" s="2">
        <f t="shared" si="322"/>
        <v>0</v>
      </c>
      <c r="J665" s="2">
        <f t="shared" si="324"/>
        <v>0</v>
      </c>
      <c r="K665" s="2">
        <f>ROUND(48400,2)</f>
        <v>48400</v>
      </c>
      <c r="L665" s="24">
        <f t="shared" si="323"/>
        <v>0</v>
      </c>
      <c r="M665" s="25"/>
      <c r="N665" s="2">
        <f>ROUND(0,2)</f>
        <v>0</v>
      </c>
      <c r="O665" s="2">
        <f t="shared" si="321"/>
        <v>0</v>
      </c>
      <c r="P665" s="2">
        <f t="shared" si="319"/>
        <v>0</v>
      </c>
      <c r="Q665" s="24">
        <f t="shared" si="318"/>
        <v>0</v>
      </c>
      <c r="R665" s="25"/>
      <c r="S665" s="24">
        <f>ROUND(48400,2)</f>
        <v>48400</v>
      </c>
      <c r="T665" s="25"/>
      <c r="U665" s="26"/>
    </row>
    <row r="666" spans="1:21">
      <c r="A666" s="22" t="s">
        <v>1209</v>
      </c>
      <c r="B666" s="23"/>
      <c r="C666" s="22" t="s">
        <v>1210</v>
      </c>
      <c r="D666" s="23"/>
      <c r="E666" s="23"/>
      <c r="F666" s="23"/>
      <c r="G666" s="23"/>
      <c r="H666" s="2">
        <f t="shared" si="320"/>
        <v>0</v>
      </c>
      <c r="I666" s="2">
        <f t="shared" si="322"/>
        <v>0</v>
      </c>
      <c r="J666" s="2">
        <f t="shared" si="324"/>
        <v>0</v>
      </c>
      <c r="K666" s="2">
        <f t="shared" ref="K666:K675" si="325">ROUND(0,2)</f>
        <v>0</v>
      </c>
      <c r="L666" s="24">
        <f t="shared" si="323"/>
        <v>0</v>
      </c>
      <c r="M666" s="25"/>
      <c r="N666" s="2">
        <f>ROUND(73460.95,2)</f>
        <v>73460.95</v>
      </c>
      <c r="O666" s="2">
        <f t="shared" si="321"/>
        <v>0</v>
      </c>
      <c r="P666" s="2">
        <f t="shared" si="319"/>
        <v>0</v>
      </c>
      <c r="Q666" s="24">
        <f t="shared" ref="Q666:Q675" si="326">ROUND(0,2)</f>
        <v>0</v>
      </c>
      <c r="R666" s="25"/>
      <c r="S666" s="24">
        <f>ROUND(73460.95,2)</f>
        <v>73460.95</v>
      </c>
      <c r="T666" s="25"/>
      <c r="U666" s="26"/>
    </row>
    <row r="667" spans="1:21">
      <c r="A667" s="22" t="s">
        <v>1211</v>
      </c>
      <c r="B667" s="23"/>
      <c r="C667" s="22" t="s">
        <v>1212</v>
      </c>
      <c r="D667" s="23"/>
      <c r="E667" s="23"/>
      <c r="F667" s="23"/>
      <c r="G667" s="23"/>
      <c r="H667" s="2">
        <f t="shared" si="320"/>
        <v>0</v>
      </c>
      <c r="I667" s="2">
        <f t="shared" si="322"/>
        <v>0</v>
      </c>
      <c r="J667" s="2">
        <f t="shared" si="324"/>
        <v>0</v>
      </c>
      <c r="K667" s="2">
        <f t="shared" si="325"/>
        <v>0</v>
      </c>
      <c r="L667" s="24">
        <f t="shared" si="323"/>
        <v>0</v>
      </c>
      <c r="M667" s="25"/>
      <c r="N667" s="2">
        <f>ROUND(134745.51,2)</f>
        <v>134745.51</v>
      </c>
      <c r="O667" s="2">
        <f t="shared" si="321"/>
        <v>0</v>
      </c>
      <c r="P667" s="2">
        <f t="shared" ref="P667:P675" si="327">ROUND(0,2)</f>
        <v>0</v>
      </c>
      <c r="Q667" s="24">
        <f t="shared" si="326"/>
        <v>0</v>
      </c>
      <c r="R667" s="25"/>
      <c r="S667" s="24">
        <f>ROUND(134745.51,2)</f>
        <v>134745.51</v>
      </c>
      <c r="T667" s="25"/>
      <c r="U667" s="26"/>
    </row>
    <row r="668" spans="1:21">
      <c r="A668" s="22" t="s">
        <v>1213</v>
      </c>
      <c r="B668" s="23"/>
      <c r="C668" s="22" t="s">
        <v>1214</v>
      </c>
      <c r="D668" s="23"/>
      <c r="E668" s="23"/>
      <c r="F668" s="23"/>
      <c r="G668" s="23"/>
      <c r="H668" s="2">
        <f t="shared" si="320"/>
        <v>0</v>
      </c>
      <c r="I668" s="2">
        <f t="shared" si="322"/>
        <v>0</v>
      </c>
      <c r="J668" s="2">
        <f t="shared" si="324"/>
        <v>0</v>
      </c>
      <c r="K668" s="2">
        <f t="shared" si="325"/>
        <v>0</v>
      </c>
      <c r="L668" s="24">
        <f t="shared" si="323"/>
        <v>0</v>
      </c>
      <c r="M668" s="25"/>
      <c r="N668" s="2">
        <f>ROUND(17692.17,2)</f>
        <v>17692.169999999998</v>
      </c>
      <c r="O668" s="2">
        <f t="shared" si="321"/>
        <v>0</v>
      </c>
      <c r="P668" s="2">
        <f t="shared" si="327"/>
        <v>0</v>
      </c>
      <c r="Q668" s="24">
        <f t="shared" si="326"/>
        <v>0</v>
      </c>
      <c r="R668" s="25"/>
      <c r="S668" s="24">
        <f>ROUND(17692.17,2)</f>
        <v>17692.169999999998</v>
      </c>
      <c r="T668" s="25"/>
      <c r="U668" s="26"/>
    </row>
    <row r="669" spans="1:21">
      <c r="A669" s="22" t="s">
        <v>1215</v>
      </c>
      <c r="B669" s="23"/>
      <c r="C669" s="22" t="s">
        <v>1216</v>
      </c>
      <c r="D669" s="23"/>
      <c r="E669" s="23"/>
      <c r="F669" s="23"/>
      <c r="G669" s="23"/>
      <c r="H669" s="2">
        <f t="shared" ref="H669:H675" si="328">ROUND(0,2)</f>
        <v>0</v>
      </c>
      <c r="I669" s="2">
        <f t="shared" si="322"/>
        <v>0</v>
      </c>
      <c r="J669" s="2">
        <f t="shared" si="324"/>
        <v>0</v>
      </c>
      <c r="K669" s="2">
        <f t="shared" si="325"/>
        <v>0</v>
      </c>
      <c r="L669" s="24">
        <f t="shared" si="323"/>
        <v>0</v>
      </c>
      <c r="M669" s="25"/>
      <c r="N669" s="2">
        <f>ROUND(7699.26,2)</f>
        <v>7699.26</v>
      </c>
      <c r="O669" s="2">
        <f t="shared" si="321"/>
        <v>0</v>
      </c>
      <c r="P669" s="2">
        <f t="shared" si="327"/>
        <v>0</v>
      </c>
      <c r="Q669" s="24">
        <f t="shared" si="326"/>
        <v>0</v>
      </c>
      <c r="R669" s="25"/>
      <c r="S669" s="24">
        <f>ROUND(7699.26,2)</f>
        <v>7699.26</v>
      </c>
      <c r="T669" s="25"/>
      <c r="U669" s="26"/>
    </row>
    <row r="670" spans="1:21">
      <c r="A670" s="22" t="s">
        <v>1217</v>
      </c>
      <c r="B670" s="23"/>
      <c r="C670" s="22" t="s">
        <v>1218</v>
      </c>
      <c r="D670" s="23"/>
      <c r="E670" s="23"/>
      <c r="F670" s="23"/>
      <c r="G670" s="23"/>
      <c r="H670" s="2">
        <f t="shared" si="328"/>
        <v>0</v>
      </c>
      <c r="I670" s="2">
        <f t="shared" si="322"/>
        <v>0</v>
      </c>
      <c r="J670" s="2">
        <f t="shared" si="324"/>
        <v>0</v>
      </c>
      <c r="K670" s="2">
        <f t="shared" si="325"/>
        <v>0</v>
      </c>
      <c r="L670" s="24">
        <f t="shared" si="323"/>
        <v>0</v>
      </c>
      <c r="M670" s="25"/>
      <c r="N670" s="2">
        <f>ROUND(18052.07,2)</f>
        <v>18052.07</v>
      </c>
      <c r="O670" s="2">
        <f t="shared" si="321"/>
        <v>0</v>
      </c>
      <c r="P670" s="2">
        <f t="shared" si="327"/>
        <v>0</v>
      </c>
      <c r="Q670" s="24">
        <f t="shared" si="326"/>
        <v>0</v>
      </c>
      <c r="R670" s="25"/>
      <c r="S670" s="24">
        <f>ROUND(18052.07,2)</f>
        <v>18052.07</v>
      </c>
      <c r="T670" s="25"/>
      <c r="U670" s="26"/>
    </row>
    <row r="671" spans="1:21">
      <c r="A671" s="22" t="s">
        <v>1219</v>
      </c>
      <c r="B671" s="23"/>
      <c r="C671" s="22" t="s">
        <v>1220</v>
      </c>
      <c r="D671" s="23"/>
      <c r="E671" s="23"/>
      <c r="F671" s="23"/>
      <c r="G671" s="23"/>
      <c r="H671" s="2">
        <f t="shared" si="328"/>
        <v>0</v>
      </c>
      <c r="I671" s="2">
        <f t="shared" si="322"/>
        <v>0</v>
      </c>
      <c r="J671" s="2">
        <f t="shared" si="324"/>
        <v>0</v>
      </c>
      <c r="K671" s="2">
        <f t="shared" si="325"/>
        <v>0</v>
      </c>
      <c r="L671" s="24">
        <f t="shared" si="323"/>
        <v>0</v>
      </c>
      <c r="M671" s="25"/>
      <c r="N671" s="2">
        <f>ROUND(7847.76,2)</f>
        <v>7847.76</v>
      </c>
      <c r="O671" s="2">
        <f t="shared" si="321"/>
        <v>0</v>
      </c>
      <c r="P671" s="2">
        <f t="shared" si="327"/>
        <v>0</v>
      </c>
      <c r="Q671" s="24">
        <f t="shared" si="326"/>
        <v>0</v>
      </c>
      <c r="R671" s="25"/>
      <c r="S671" s="24">
        <f>ROUND(7847.76,2)</f>
        <v>7847.76</v>
      </c>
      <c r="T671" s="25"/>
      <c r="U671" s="26"/>
    </row>
    <row r="672" spans="1:21">
      <c r="A672" s="22" t="s">
        <v>1221</v>
      </c>
      <c r="B672" s="23"/>
      <c r="C672" s="22" t="s">
        <v>1222</v>
      </c>
      <c r="D672" s="23"/>
      <c r="E672" s="23"/>
      <c r="F672" s="23"/>
      <c r="G672" s="23"/>
      <c r="H672" s="2">
        <f t="shared" si="328"/>
        <v>0</v>
      </c>
      <c r="I672" s="2">
        <f t="shared" si="322"/>
        <v>0</v>
      </c>
      <c r="J672" s="2">
        <f t="shared" si="324"/>
        <v>0</v>
      </c>
      <c r="K672" s="2">
        <f t="shared" si="325"/>
        <v>0</v>
      </c>
      <c r="L672" s="24">
        <f t="shared" si="323"/>
        <v>0</v>
      </c>
      <c r="M672" s="25"/>
      <c r="N672" s="2">
        <f>ROUND(17331.13,2)</f>
        <v>17331.13</v>
      </c>
      <c r="O672" s="2">
        <f t="shared" si="321"/>
        <v>0</v>
      </c>
      <c r="P672" s="2">
        <f t="shared" si="327"/>
        <v>0</v>
      </c>
      <c r="Q672" s="24">
        <f t="shared" si="326"/>
        <v>0</v>
      </c>
      <c r="R672" s="25"/>
      <c r="S672" s="24">
        <f>ROUND(17331.13,2)</f>
        <v>17331.13</v>
      </c>
      <c r="T672" s="25"/>
      <c r="U672" s="26"/>
    </row>
    <row r="673" spans="1:21">
      <c r="A673" s="22" t="s">
        <v>1223</v>
      </c>
      <c r="B673" s="23"/>
      <c r="C673" s="22" t="s">
        <v>1224</v>
      </c>
      <c r="D673" s="23"/>
      <c r="E673" s="23"/>
      <c r="F673" s="23"/>
      <c r="G673" s="23"/>
      <c r="H673" s="2">
        <f t="shared" si="328"/>
        <v>0</v>
      </c>
      <c r="I673" s="2">
        <f t="shared" si="322"/>
        <v>0</v>
      </c>
      <c r="J673" s="2">
        <f t="shared" si="324"/>
        <v>0</v>
      </c>
      <c r="K673" s="2">
        <f t="shared" si="325"/>
        <v>0</v>
      </c>
      <c r="L673" s="24">
        <f t="shared" si="323"/>
        <v>0</v>
      </c>
      <c r="M673" s="25"/>
      <c r="N673" s="2">
        <f>ROUND(2307.78,2)</f>
        <v>2307.7800000000002</v>
      </c>
      <c r="O673" s="2">
        <f t="shared" si="321"/>
        <v>0</v>
      </c>
      <c r="P673" s="2">
        <f t="shared" si="327"/>
        <v>0</v>
      </c>
      <c r="Q673" s="24">
        <f t="shared" si="326"/>
        <v>0</v>
      </c>
      <c r="R673" s="25"/>
      <c r="S673" s="24">
        <f>ROUND(2307.78,2)</f>
        <v>2307.7800000000002</v>
      </c>
      <c r="T673" s="25"/>
      <c r="U673" s="26"/>
    </row>
    <row r="674" spans="1:21">
      <c r="A674" s="22" t="s">
        <v>1225</v>
      </c>
      <c r="B674" s="23"/>
      <c r="C674" s="22" t="s">
        <v>1226</v>
      </c>
      <c r="D674" s="23"/>
      <c r="E674" s="23"/>
      <c r="F674" s="23"/>
      <c r="G674" s="23"/>
      <c r="H674" s="2">
        <f t="shared" si="328"/>
        <v>0</v>
      </c>
      <c r="I674" s="2">
        <f t="shared" si="322"/>
        <v>0</v>
      </c>
      <c r="J674" s="2">
        <f t="shared" si="324"/>
        <v>0</v>
      </c>
      <c r="K674" s="2">
        <f t="shared" si="325"/>
        <v>0</v>
      </c>
      <c r="L674" s="24">
        <f t="shared" si="323"/>
        <v>0</v>
      </c>
      <c r="M674" s="25"/>
      <c r="N674" s="2">
        <f>ROUND(14472.2,2)</f>
        <v>14472.2</v>
      </c>
      <c r="O674" s="2">
        <f>ROUND(0,2)</f>
        <v>0</v>
      </c>
      <c r="P674" s="2">
        <f t="shared" si="327"/>
        <v>0</v>
      </c>
      <c r="Q674" s="24">
        <f t="shared" si="326"/>
        <v>0</v>
      </c>
      <c r="R674" s="25"/>
      <c r="S674" s="24">
        <f>ROUND(14472.2,2)</f>
        <v>14472.2</v>
      </c>
      <c r="T674" s="25"/>
      <c r="U674" s="26"/>
    </row>
    <row r="675" spans="1:21">
      <c r="A675" s="22" t="s">
        <v>1227</v>
      </c>
      <c r="B675" s="23"/>
      <c r="C675" s="22" t="s">
        <v>1228</v>
      </c>
      <c r="D675" s="23"/>
      <c r="E675" s="23"/>
      <c r="F675" s="23"/>
      <c r="G675" s="23"/>
      <c r="H675" s="2">
        <f t="shared" si="328"/>
        <v>0</v>
      </c>
      <c r="I675" s="2">
        <f>ROUND(0,2)</f>
        <v>0</v>
      </c>
      <c r="J675" s="2">
        <f t="shared" si="324"/>
        <v>0</v>
      </c>
      <c r="K675" s="2">
        <f t="shared" si="325"/>
        <v>0</v>
      </c>
      <c r="L675" s="24">
        <f t="shared" si="323"/>
        <v>0</v>
      </c>
      <c r="M675" s="25"/>
      <c r="N675" s="2">
        <f>ROUND(139989.06,2)</f>
        <v>139989.06</v>
      </c>
      <c r="O675" s="2">
        <f>ROUND(0,2)</f>
        <v>0</v>
      </c>
      <c r="P675" s="2">
        <f t="shared" si="327"/>
        <v>0</v>
      </c>
      <c r="Q675" s="24">
        <f t="shared" si="326"/>
        <v>0</v>
      </c>
      <c r="R675" s="25"/>
      <c r="S675" s="24">
        <f>ROUND(139989.06,2)</f>
        <v>139989.06</v>
      </c>
      <c r="T675" s="25"/>
      <c r="U675" s="26"/>
    </row>
    <row r="676" spans="1:21">
      <c r="A676" s="32"/>
      <c r="B676" s="31"/>
      <c r="C676" s="31"/>
      <c r="D676" s="31"/>
      <c r="E676" s="31"/>
      <c r="F676" s="31"/>
      <c r="G676" s="31"/>
      <c r="H676" s="3"/>
      <c r="I676" s="3"/>
      <c r="J676" s="3"/>
      <c r="K676" s="3"/>
      <c r="L676" s="32"/>
      <c r="M676" s="31"/>
      <c r="N676" s="3"/>
      <c r="O676" s="3"/>
      <c r="P676" s="3"/>
      <c r="Q676" s="32"/>
      <c r="R676" s="31"/>
      <c r="S676" s="32"/>
      <c r="T676" s="31"/>
      <c r="U676" s="38"/>
    </row>
    <row r="677" spans="1:21">
      <c r="A677" s="29"/>
      <c r="B677" s="30"/>
      <c r="C677" s="28" t="s">
        <v>1229</v>
      </c>
      <c r="D677" s="28"/>
      <c r="E677" s="28"/>
      <c r="F677" s="28"/>
      <c r="G677" s="28"/>
      <c r="H677" s="4">
        <f>ROUND(3903102.58,2)</f>
        <v>3903102.58</v>
      </c>
      <c r="I677" s="4">
        <f>ROUND(4971513.15,2)</f>
        <v>4971513.1500000004</v>
      </c>
      <c r="J677" s="4">
        <f>ROUND(78011.46,2)</f>
        <v>78011.460000000006</v>
      </c>
      <c r="K677" s="4">
        <f>ROUND(866961.02,2)</f>
        <v>866961.02</v>
      </c>
      <c r="L677" s="33">
        <f>ROUND(866961.02,2)</f>
        <v>866961.02</v>
      </c>
      <c r="M677" s="34"/>
      <c r="N677" s="4">
        <f>ROUND(33788082.49,2)</f>
        <v>33788082.490000002</v>
      </c>
      <c r="O677" s="4">
        <f>ROUND(6297172.63,2)</f>
        <v>6297172.6299999999</v>
      </c>
      <c r="P677" s="4">
        <f>ROUND(205254.73,2)</f>
        <v>205254.73</v>
      </c>
      <c r="Q677" s="33">
        <f>ROUND(0,2)</f>
        <v>0</v>
      </c>
      <c r="R677" s="34"/>
      <c r="S677" s="33">
        <f>ROUND(48832627.58,2)</f>
        <v>48832627.579999998</v>
      </c>
      <c r="T677" s="34"/>
      <c r="U677" s="35"/>
    </row>
    <row r="678" spans="1:21">
      <c r="A678" s="5" t="s">
        <v>1230</v>
      </c>
      <c r="B678" s="27" t="s">
        <v>1231</v>
      </c>
      <c r="C678" s="27"/>
      <c r="D678" s="27" t="s">
        <v>1232</v>
      </c>
      <c r="E678" s="27"/>
      <c r="F678" s="27"/>
      <c r="G678" s="37"/>
      <c r="H678" s="37"/>
      <c r="I678" s="37"/>
      <c r="J678" s="37"/>
      <c r="K678" s="37"/>
      <c r="L678" s="37"/>
      <c r="M678" s="36" t="s">
        <v>1233</v>
      </c>
      <c r="N678" s="36"/>
      <c r="O678" s="36"/>
      <c r="P678" s="36"/>
      <c r="Q678" s="36"/>
      <c r="R678" s="36"/>
      <c r="S678" s="36"/>
      <c r="T678" s="36"/>
    </row>
  </sheetData>
  <mergeCells count="3378">
    <mergeCell ref="S677:U677"/>
    <mergeCell ref="Q677:R677"/>
    <mergeCell ref="L677:M677"/>
    <mergeCell ref="M678:T678"/>
    <mergeCell ref="G678:L678"/>
    <mergeCell ref="Q676:R676"/>
    <mergeCell ref="S676:U676"/>
    <mergeCell ref="Q671:R671"/>
    <mergeCell ref="S672:U672"/>
    <mergeCell ref="Q670:R670"/>
    <mergeCell ref="S671:U671"/>
    <mergeCell ref="S670:U670"/>
    <mergeCell ref="L676:M676"/>
    <mergeCell ref="L675:M675"/>
    <mergeCell ref="L674:M674"/>
    <mergeCell ref="L673:M673"/>
    <mergeCell ref="Q675:R675"/>
    <mergeCell ref="L672:M672"/>
    <mergeCell ref="L671:M671"/>
    <mergeCell ref="L670:M670"/>
    <mergeCell ref="S675:U675"/>
    <mergeCell ref="Q674:R674"/>
    <mergeCell ref="S674:U674"/>
    <mergeCell ref="Q673:R673"/>
    <mergeCell ref="Q672:R672"/>
    <mergeCell ref="S673:U673"/>
    <mergeCell ref="C640:G640"/>
    <mergeCell ref="C641:G641"/>
    <mergeCell ref="C642:G642"/>
    <mergeCell ref="C643:G643"/>
    <mergeCell ref="C669:G669"/>
    <mergeCell ref="C671:G671"/>
    <mergeCell ref="C654:G654"/>
    <mergeCell ref="C653:G653"/>
    <mergeCell ref="C652:G652"/>
    <mergeCell ref="C651:G651"/>
    <mergeCell ref="C673:G673"/>
    <mergeCell ref="C672:G672"/>
    <mergeCell ref="C661:G661"/>
    <mergeCell ref="C662:G662"/>
    <mergeCell ref="C663:G663"/>
    <mergeCell ref="C664:G664"/>
    <mergeCell ref="C665:G665"/>
    <mergeCell ref="C666:G666"/>
    <mergeCell ref="C667:G667"/>
    <mergeCell ref="C668:G668"/>
    <mergeCell ref="A655:B655"/>
    <mergeCell ref="C676:G676"/>
    <mergeCell ref="A676:B676"/>
    <mergeCell ref="C675:G675"/>
    <mergeCell ref="A675:B675"/>
    <mergeCell ref="C674:G674"/>
    <mergeCell ref="A674:B674"/>
    <mergeCell ref="A673:B673"/>
    <mergeCell ref="A671:B671"/>
    <mergeCell ref="A657:B657"/>
    <mergeCell ref="C656:G656"/>
    <mergeCell ref="A656:B656"/>
    <mergeCell ref="C655:G655"/>
    <mergeCell ref="A654:B654"/>
    <mergeCell ref="A653:B653"/>
    <mergeCell ref="C644:G644"/>
    <mergeCell ref="C645:G645"/>
    <mergeCell ref="C646:G646"/>
    <mergeCell ref="C660:G660"/>
    <mergeCell ref="C659:G659"/>
    <mergeCell ref="C658:G658"/>
    <mergeCell ref="C657:G657"/>
    <mergeCell ref="C650:G650"/>
    <mergeCell ref="C649:G649"/>
    <mergeCell ref="C648:G648"/>
    <mergeCell ref="C647:G647"/>
    <mergeCell ref="A645:B645"/>
    <mergeCell ref="A644:B644"/>
    <mergeCell ref="A643:B643"/>
    <mergeCell ref="A642:B642"/>
    <mergeCell ref="A641:B641"/>
    <mergeCell ref="A640:B640"/>
    <mergeCell ref="A651:B651"/>
    <mergeCell ref="A650:B650"/>
    <mergeCell ref="A649:B649"/>
    <mergeCell ref="A648:B648"/>
    <mergeCell ref="A647:B647"/>
    <mergeCell ref="A646:B646"/>
    <mergeCell ref="A661:B661"/>
    <mergeCell ref="A660:B660"/>
    <mergeCell ref="A659:B659"/>
    <mergeCell ref="A658:B658"/>
    <mergeCell ref="D678:F678"/>
    <mergeCell ref="B678:C678"/>
    <mergeCell ref="C677:G677"/>
    <mergeCell ref="A677:B677"/>
    <mergeCell ref="C670:G670"/>
    <mergeCell ref="A670:B670"/>
    <mergeCell ref="A672:B672"/>
    <mergeCell ref="A666:B666"/>
    <mergeCell ref="A665:B665"/>
    <mergeCell ref="A664:B664"/>
    <mergeCell ref="A663:B663"/>
    <mergeCell ref="A662:B662"/>
    <mergeCell ref="A669:B669"/>
    <mergeCell ref="A668:B668"/>
    <mergeCell ref="A667:B667"/>
    <mergeCell ref="A652:B652"/>
    <mergeCell ref="C631:G631"/>
    <mergeCell ref="A631:B631"/>
    <mergeCell ref="C630:G630"/>
    <mergeCell ref="A630:B630"/>
    <mergeCell ref="C629:G629"/>
    <mergeCell ref="A628:B628"/>
    <mergeCell ref="C634:G634"/>
    <mergeCell ref="A634:B634"/>
    <mergeCell ref="C633:G633"/>
    <mergeCell ref="A633:B633"/>
    <mergeCell ref="C632:G632"/>
    <mergeCell ref="A632:B632"/>
    <mergeCell ref="A639:B639"/>
    <mergeCell ref="A638:B638"/>
    <mergeCell ref="A637:B637"/>
    <mergeCell ref="A636:B636"/>
    <mergeCell ref="A635:B635"/>
    <mergeCell ref="C637:G637"/>
    <mergeCell ref="C636:G636"/>
    <mergeCell ref="C635:G635"/>
    <mergeCell ref="C638:G638"/>
    <mergeCell ref="C639:G639"/>
    <mergeCell ref="A621:B621"/>
    <mergeCell ref="A620:B620"/>
    <mergeCell ref="A623:B623"/>
    <mergeCell ref="C622:G622"/>
    <mergeCell ref="C621:G621"/>
    <mergeCell ref="C620:G620"/>
    <mergeCell ref="C625:G625"/>
    <mergeCell ref="A625:B625"/>
    <mergeCell ref="C624:G624"/>
    <mergeCell ref="A624:B624"/>
    <mergeCell ref="C623:G623"/>
    <mergeCell ref="A622:B622"/>
    <mergeCell ref="A627:B627"/>
    <mergeCell ref="A626:B626"/>
    <mergeCell ref="A629:B629"/>
    <mergeCell ref="C628:G628"/>
    <mergeCell ref="C627:G627"/>
    <mergeCell ref="C626:G626"/>
    <mergeCell ref="A613:B613"/>
    <mergeCell ref="A612:B612"/>
    <mergeCell ref="A611:B611"/>
    <mergeCell ref="A610:B610"/>
    <mergeCell ref="A609:B609"/>
    <mergeCell ref="A608:B608"/>
    <mergeCell ref="C611:G611"/>
    <mergeCell ref="C612:G612"/>
    <mergeCell ref="C613:G613"/>
    <mergeCell ref="C614:G614"/>
    <mergeCell ref="A619:B619"/>
    <mergeCell ref="A618:B618"/>
    <mergeCell ref="A617:B617"/>
    <mergeCell ref="A616:B616"/>
    <mergeCell ref="A615:B615"/>
    <mergeCell ref="A614:B614"/>
    <mergeCell ref="C619:G619"/>
    <mergeCell ref="C618:G618"/>
    <mergeCell ref="C617:G617"/>
    <mergeCell ref="C616:G616"/>
    <mergeCell ref="C615:G615"/>
    <mergeCell ref="C608:G608"/>
    <mergeCell ref="C609:G609"/>
    <mergeCell ref="C610:G610"/>
    <mergeCell ref="C599:G599"/>
    <mergeCell ref="A599:B599"/>
    <mergeCell ref="C598:G598"/>
    <mergeCell ref="A598:B598"/>
    <mergeCell ref="C597:G597"/>
    <mergeCell ref="A596:B596"/>
    <mergeCell ref="C602:G602"/>
    <mergeCell ref="A602:B602"/>
    <mergeCell ref="C601:G601"/>
    <mergeCell ref="A601:B601"/>
    <mergeCell ref="C600:G600"/>
    <mergeCell ref="A600:B600"/>
    <mergeCell ref="A607:B607"/>
    <mergeCell ref="A606:B606"/>
    <mergeCell ref="A605:B605"/>
    <mergeCell ref="A604:B604"/>
    <mergeCell ref="A603:B603"/>
    <mergeCell ref="C605:G605"/>
    <mergeCell ref="C604:G604"/>
    <mergeCell ref="C603:G603"/>
    <mergeCell ref="C606:G606"/>
    <mergeCell ref="C607:G607"/>
    <mergeCell ref="A589:B589"/>
    <mergeCell ref="A588:B588"/>
    <mergeCell ref="A591:B591"/>
    <mergeCell ref="C590:G590"/>
    <mergeCell ref="C589:G589"/>
    <mergeCell ref="C588:G588"/>
    <mergeCell ref="C593:G593"/>
    <mergeCell ref="A593:B593"/>
    <mergeCell ref="C592:G592"/>
    <mergeCell ref="A592:B592"/>
    <mergeCell ref="C591:G591"/>
    <mergeCell ref="A590:B590"/>
    <mergeCell ref="A595:B595"/>
    <mergeCell ref="A594:B594"/>
    <mergeCell ref="A597:B597"/>
    <mergeCell ref="C596:G596"/>
    <mergeCell ref="C595:G595"/>
    <mergeCell ref="C594:G594"/>
    <mergeCell ref="C582:G582"/>
    <mergeCell ref="A587:B587"/>
    <mergeCell ref="A586:B586"/>
    <mergeCell ref="A585:B585"/>
    <mergeCell ref="A584:B584"/>
    <mergeCell ref="A583:B583"/>
    <mergeCell ref="A582:B582"/>
    <mergeCell ref="C587:G587"/>
    <mergeCell ref="C586:G586"/>
    <mergeCell ref="C585:G585"/>
    <mergeCell ref="C584:G584"/>
    <mergeCell ref="C583:G583"/>
    <mergeCell ref="C574:G574"/>
    <mergeCell ref="C575:G575"/>
    <mergeCell ref="C576:G576"/>
    <mergeCell ref="C577:G577"/>
    <mergeCell ref="C578:G578"/>
    <mergeCell ref="C570:G570"/>
    <mergeCell ref="A570:B570"/>
    <mergeCell ref="C569:G569"/>
    <mergeCell ref="A569:B569"/>
    <mergeCell ref="C568:G568"/>
    <mergeCell ref="A568:B568"/>
    <mergeCell ref="A575:B575"/>
    <mergeCell ref="A574:B574"/>
    <mergeCell ref="A573:B573"/>
    <mergeCell ref="A572:B572"/>
    <mergeCell ref="A571:B571"/>
    <mergeCell ref="C573:G573"/>
    <mergeCell ref="C572:G572"/>
    <mergeCell ref="C571:G571"/>
    <mergeCell ref="A581:B581"/>
    <mergeCell ref="A580:B580"/>
    <mergeCell ref="A579:B579"/>
    <mergeCell ref="A578:B578"/>
    <mergeCell ref="A577:B577"/>
    <mergeCell ref="A576:B576"/>
    <mergeCell ref="C579:G579"/>
    <mergeCell ref="C580:G580"/>
    <mergeCell ref="C581:G581"/>
    <mergeCell ref="A559:B559"/>
    <mergeCell ref="C558:G558"/>
    <mergeCell ref="C557:G557"/>
    <mergeCell ref="C556:G556"/>
    <mergeCell ref="C561:G561"/>
    <mergeCell ref="A561:B561"/>
    <mergeCell ref="C560:G560"/>
    <mergeCell ref="A560:B560"/>
    <mergeCell ref="C559:G559"/>
    <mergeCell ref="A558:B558"/>
    <mergeCell ref="A563:B563"/>
    <mergeCell ref="A562:B562"/>
    <mergeCell ref="A565:B565"/>
    <mergeCell ref="C564:G564"/>
    <mergeCell ref="C563:G563"/>
    <mergeCell ref="C562:G562"/>
    <mergeCell ref="C567:G567"/>
    <mergeCell ref="A567:B567"/>
    <mergeCell ref="C566:G566"/>
    <mergeCell ref="A566:B566"/>
    <mergeCell ref="C565:G565"/>
    <mergeCell ref="A564:B564"/>
    <mergeCell ref="C551:G551"/>
    <mergeCell ref="A555:B555"/>
    <mergeCell ref="A554:B554"/>
    <mergeCell ref="A553:B553"/>
    <mergeCell ref="A552:B552"/>
    <mergeCell ref="A551:B551"/>
    <mergeCell ref="C555:G555"/>
    <mergeCell ref="C554:G554"/>
    <mergeCell ref="C553:G553"/>
    <mergeCell ref="C552:G552"/>
    <mergeCell ref="C545:G545"/>
    <mergeCell ref="C546:G546"/>
    <mergeCell ref="C547:G547"/>
    <mergeCell ref="C548:G548"/>
    <mergeCell ref="C549:G549"/>
    <mergeCell ref="C550:G550"/>
    <mergeCell ref="A557:B557"/>
    <mergeCell ref="A556:B556"/>
    <mergeCell ref="C544:G544"/>
    <mergeCell ref="C543:G543"/>
    <mergeCell ref="C542:G542"/>
    <mergeCell ref="C541:G541"/>
    <mergeCell ref="C540:G540"/>
    <mergeCell ref="C539:G539"/>
    <mergeCell ref="A544:B544"/>
    <mergeCell ref="A543:B543"/>
    <mergeCell ref="A542:B542"/>
    <mergeCell ref="A541:B541"/>
    <mergeCell ref="A540:B540"/>
    <mergeCell ref="A539:B539"/>
    <mergeCell ref="A550:B550"/>
    <mergeCell ref="A549:B549"/>
    <mergeCell ref="A548:B548"/>
    <mergeCell ref="A547:B547"/>
    <mergeCell ref="A546:B546"/>
    <mergeCell ref="A545:B545"/>
    <mergeCell ref="A522:B522"/>
    <mergeCell ref="A523:B523"/>
    <mergeCell ref="A524:B524"/>
    <mergeCell ref="A525:B525"/>
    <mergeCell ref="A526:B526"/>
    <mergeCell ref="A527:B527"/>
    <mergeCell ref="C532:G532"/>
    <mergeCell ref="C531:G531"/>
    <mergeCell ref="C530:G530"/>
    <mergeCell ref="A538:B538"/>
    <mergeCell ref="A537:B537"/>
    <mergeCell ref="A536:B536"/>
    <mergeCell ref="A535:B535"/>
    <mergeCell ref="A534:B534"/>
    <mergeCell ref="A533:B533"/>
    <mergeCell ref="A532:B532"/>
    <mergeCell ref="C538:G538"/>
    <mergeCell ref="C537:G537"/>
    <mergeCell ref="C536:G536"/>
    <mergeCell ref="C535:G535"/>
    <mergeCell ref="C534:G534"/>
    <mergeCell ref="C533:G533"/>
    <mergeCell ref="C515:G515"/>
    <mergeCell ref="C463:G463"/>
    <mergeCell ref="C462:G462"/>
    <mergeCell ref="C516:G516"/>
    <mergeCell ref="L669:M669"/>
    <mergeCell ref="L668:M668"/>
    <mergeCell ref="L667:M667"/>
    <mergeCell ref="L666:M666"/>
    <mergeCell ref="L665:M665"/>
    <mergeCell ref="L664:M664"/>
    <mergeCell ref="C518:G518"/>
    <mergeCell ref="C517:G517"/>
    <mergeCell ref="A520:B520"/>
    <mergeCell ref="A519:B519"/>
    <mergeCell ref="A518:B518"/>
    <mergeCell ref="A517:B517"/>
    <mergeCell ref="C524:G524"/>
    <mergeCell ref="C523:G523"/>
    <mergeCell ref="C522:G522"/>
    <mergeCell ref="C521:G521"/>
    <mergeCell ref="C520:G520"/>
    <mergeCell ref="C519:G519"/>
    <mergeCell ref="A528:B528"/>
    <mergeCell ref="A529:B529"/>
    <mergeCell ref="C528:G528"/>
    <mergeCell ref="C527:G527"/>
    <mergeCell ref="C526:G526"/>
    <mergeCell ref="C525:G525"/>
    <mergeCell ref="A531:B531"/>
    <mergeCell ref="A530:B530"/>
    <mergeCell ref="C529:G529"/>
    <mergeCell ref="A521:B521"/>
    <mergeCell ref="L650:M650"/>
    <mergeCell ref="L649:M649"/>
    <mergeCell ref="L648:M648"/>
    <mergeCell ref="L647:M647"/>
    <mergeCell ref="L646:M646"/>
    <mergeCell ref="L645:M645"/>
    <mergeCell ref="L657:M657"/>
    <mergeCell ref="L656:M656"/>
    <mergeCell ref="L655:M655"/>
    <mergeCell ref="L653:M653"/>
    <mergeCell ref="L652:M652"/>
    <mergeCell ref="L651:M651"/>
    <mergeCell ref="L654:M654"/>
    <mergeCell ref="L663:M663"/>
    <mergeCell ref="L662:M662"/>
    <mergeCell ref="L661:M661"/>
    <mergeCell ref="L660:M660"/>
    <mergeCell ref="L659:M659"/>
    <mergeCell ref="L658:M658"/>
    <mergeCell ref="L632:M632"/>
    <mergeCell ref="L631:M631"/>
    <mergeCell ref="L630:M630"/>
    <mergeCell ref="L629:M629"/>
    <mergeCell ref="L628:M628"/>
    <mergeCell ref="L627:M627"/>
    <mergeCell ref="L638:M638"/>
    <mergeCell ref="L637:M637"/>
    <mergeCell ref="L636:M636"/>
    <mergeCell ref="L635:M635"/>
    <mergeCell ref="L634:M634"/>
    <mergeCell ref="L633:M633"/>
    <mergeCell ref="L644:M644"/>
    <mergeCell ref="L643:M643"/>
    <mergeCell ref="L642:M642"/>
    <mergeCell ref="L641:M641"/>
    <mergeCell ref="L640:M640"/>
    <mergeCell ref="L639:M639"/>
    <mergeCell ref="Q531:R531"/>
    <mergeCell ref="Q530:R530"/>
    <mergeCell ref="Q529:R529"/>
    <mergeCell ref="Q528:R528"/>
    <mergeCell ref="Q527:R527"/>
    <mergeCell ref="Q573:R573"/>
    <mergeCell ref="Q572:R572"/>
    <mergeCell ref="Q571:R571"/>
    <mergeCell ref="Q570:R570"/>
    <mergeCell ref="Q569:R569"/>
    <mergeCell ref="Q552:R552"/>
    <mergeCell ref="Q551:R551"/>
    <mergeCell ref="Q550:R550"/>
    <mergeCell ref="Q549:R549"/>
    <mergeCell ref="Q533:R533"/>
    <mergeCell ref="Q532:R532"/>
    <mergeCell ref="Q548:R548"/>
    <mergeCell ref="Q547:R547"/>
    <mergeCell ref="Q546:R546"/>
    <mergeCell ref="Q545:R545"/>
    <mergeCell ref="Q554:R554"/>
    <mergeCell ref="Q553:R553"/>
    <mergeCell ref="Q568:R568"/>
    <mergeCell ref="S578:U578"/>
    <mergeCell ref="S567:U567"/>
    <mergeCell ref="S568:U568"/>
    <mergeCell ref="S569:U569"/>
    <mergeCell ref="S570:U570"/>
    <mergeCell ref="S571:U571"/>
    <mergeCell ref="S572:U572"/>
    <mergeCell ref="Q579:R579"/>
    <mergeCell ref="Q580:R580"/>
    <mergeCell ref="S587:U587"/>
    <mergeCell ref="S586:U586"/>
    <mergeCell ref="S585:U585"/>
    <mergeCell ref="S584:U584"/>
    <mergeCell ref="S579:U579"/>
    <mergeCell ref="S580:U580"/>
    <mergeCell ref="Q584:R584"/>
    <mergeCell ref="Q583:R583"/>
    <mergeCell ref="S583:U583"/>
    <mergeCell ref="S582:U582"/>
    <mergeCell ref="S581:U581"/>
    <mergeCell ref="Q581:R581"/>
    <mergeCell ref="Q574:R574"/>
    <mergeCell ref="Q575:R575"/>
    <mergeCell ref="Q576:R576"/>
    <mergeCell ref="Q577:R577"/>
    <mergeCell ref="Q578:R578"/>
    <mergeCell ref="Q582:R582"/>
    <mergeCell ref="Q567:R567"/>
    <mergeCell ref="Q566:R566"/>
    <mergeCell ref="Q565:R565"/>
    <mergeCell ref="Q564:R564"/>
    <mergeCell ref="Q563:R563"/>
    <mergeCell ref="Q524:R524"/>
    <mergeCell ref="Q523:R523"/>
    <mergeCell ref="Q602:R602"/>
    <mergeCell ref="Q596:R596"/>
    <mergeCell ref="Q595:R595"/>
    <mergeCell ref="Q591:R591"/>
    <mergeCell ref="Q590:R590"/>
    <mergeCell ref="Q587:R587"/>
    <mergeCell ref="Q586:R586"/>
    <mergeCell ref="Q585:R585"/>
    <mergeCell ref="L537:M537"/>
    <mergeCell ref="L536:M536"/>
    <mergeCell ref="L535:M535"/>
    <mergeCell ref="Q534:R534"/>
    <mergeCell ref="Q526:R526"/>
    <mergeCell ref="Q525:R525"/>
    <mergeCell ref="L527:M527"/>
    <mergeCell ref="L528:M528"/>
    <mergeCell ref="L531:M531"/>
    <mergeCell ref="L532:M532"/>
    <mergeCell ref="Q538:R538"/>
    <mergeCell ref="Q537:R537"/>
    <mergeCell ref="Q536:R536"/>
    <mergeCell ref="Q535:R535"/>
    <mergeCell ref="Q544:R544"/>
    <mergeCell ref="Q543:R543"/>
    <mergeCell ref="S536:U536"/>
    <mergeCell ref="S535:U535"/>
    <mergeCell ref="S534:U534"/>
    <mergeCell ref="S537:U537"/>
    <mergeCell ref="L554:M554"/>
    <mergeCell ref="L553:M553"/>
    <mergeCell ref="L552:M552"/>
    <mergeCell ref="L551:M551"/>
    <mergeCell ref="L550:M550"/>
    <mergeCell ref="L549:M549"/>
    <mergeCell ref="S540:U540"/>
    <mergeCell ref="L540:M540"/>
    <mergeCell ref="S539:U539"/>
    <mergeCell ref="L539:M539"/>
    <mergeCell ref="S538:U538"/>
    <mergeCell ref="L538:M538"/>
    <mergeCell ref="Q562:R562"/>
    <mergeCell ref="Q561:R561"/>
    <mergeCell ref="L544:M544"/>
    <mergeCell ref="L543:M543"/>
    <mergeCell ref="L542:M542"/>
    <mergeCell ref="L541:M541"/>
    <mergeCell ref="L548:M548"/>
    <mergeCell ref="L557:M557"/>
    <mergeCell ref="Q542:R542"/>
    <mergeCell ref="Q541:R541"/>
    <mergeCell ref="Q540:R540"/>
    <mergeCell ref="Q539:R539"/>
    <mergeCell ref="S550:U550"/>
    <mergeCell ref="S551:U551"/>
    <mergeCell ref="S552:U552"/>
    <mergeCell ref="S553:U553"/>
    <mergeCell ref="S543:U543"/>
    <mergeCell ref="S542:U542"/>
    <mergeCell ref="S541:U541"/>
    <mergeCell ref="S544:U544"/>
    <mergeCell ref="L560:M560"/>
    <mergeCell ref="S559:U559"/>
    <mergeCell ref="L559:M559"/>
    <mergeCell ref="S558:U558"/>
    <mergeCell ref="L558:M558"/>
    <mergeCell ref="S557:U557"/>
    <mergeCell ref="S547:U547"/>
    <mergeCell ref="L547:M547"/>
    <mergeCell ref="S546:U546"/>
    <mergeCell ref="L546:M546"/>
    <mergeCell ref="S545:U545"/>
    <mergeCell ref="L545:M545"/>
    <mergeCell ref="L578:M578"/>
    <mergeCell ref="L577:M577"/>
    <mergeCell ref="L576:M576"/>
    <mergeCell ref="S562:U562"/>
    <mergeCell ref="L562:M562"/>
    <mergeCell ref="S561:U561"/>
    <mergeCell ref="L561:M561"/>
    <mergeCell ref="Q555:R555"/>
    <mergeCell ref="Q556:R556"/>
    <mergeCell ref="Q557:R557"/>
    <mergeCell ref="Q558:R558"/>
    <mergeCell ref="Q559:R559"/>
    <mergeCell ref="Q560:R560"/>
    <mergeCell ref="S554:U554"/>
    <mergeCell ref="L567:M567"/>
    <mergeCell ref="S566:U566"/>
    <mergeCell ref="L566:M566"/>
    <mergeCell ref="S565:U565"/>
    <mergeCell ref="L565:M565"/>
    <mergeCell ref="S564:U564"/>
    <mergeCell ref="L564:M564"/>
    <mergeCell ref="S563:U563"/>
    <mergeCell ref="L563:M563"/>
    <mergeCell ref="S556:U556"/>
    <mergeCell ref="L556:M556"/>
    <mergeCell ref="S555:U555"/>
    <mergeCell ref="L555:M555"/>
    <mergeCell ref="S573:U573"/>
    <mergeCell ref="S574:U574"/>
    <mergeCell ref="S575:U575"/>
    <mergeCell ref="S576:U576"/>
    <mergeCell ref="S577:U577"/>
    <mergeCell ref="L585:M585"/>
    <mergeCell ref="L588:M588"/>
    <mergeCell ref="S596:U596"/>
    <mergeCell ref="S595:U595"/>
    <mergeCell ref="S594:U594"/>
    <mergeCell ref="Q594:R594"/>
    <mergeCell ref="S593:U593"/>
    <mergeCell ref="Q593:R593"/>
    <mergeCell ref="L593:M593"/>
    <mergeCell ref="S592:U592"/>
    <mergeCell ref="L569:M569"/>
    <mergeCell ref="L568:M568"/>
    <mergeCell ref="S591:U591"/>
    <mergeCell ref="S590:U590"/>
    <mergeCell ref="S589:U589"/>
    <mergeCell ref="Q589:R589"/>
    <mergeCell ref="S588:U588"/>
    <mergeCell ref="Q588:R588"/>
    <mergeCell ref="L587:M587"/>
    <mergeCell ref="L586:M586"/>
    <mergeCell ref="L575:M575"/>
    <mergeCell ref="L574:M574"/>
    <mergeCell ref="L573:M573"/>
    <mergeCell ref="L572:M572"/>
    <mergeCell ref="L571:M571"/>
    <mergeCell ref="L570:M570"/>
    <mergeCell ref="L584:M584"/>
    <mergeCell ref="L583:M583"/>
    <mergeCell ref="L582:M582"/>
    <mergeCell ref="L581:M581"/>
    <mergeCell ref="L580:M580"/>
    <mergeCell ref="L579:M579"/>
    <mergeCell ref="L596:M596"/>
    <mergeCell ref="L595:M595"/>
    <mergeCell ref="L594:M594"/>
    <mergeCell ref="L597:M597"/>
    <mergeCell ref="S599:U599"/>
    <mergeCell ref="Q599:R599"/>
    <mergeCell ref="L599:M599"/>
    <mergeCell ref="S598:U598"/>
    <mergeCell ref="Q598:R598"/>
    <mergeCell ref="L598:M598"/>
    <mergeCell ref="Q592:R592"/>
    <mergeCell ref="L591:M591"/>
    <mergeCell ref="L590:M590"/>
    <mergeCell ref="L589:M589"/>
    <mergeCell ref="L592:M592"/>
    <mergeCell ref="S602:U602"/>
    <mergeCell ref="S601:U601"/>
    <mergeCell ref="Q601:R601"/>
    <mergeCell ref="S600:U600"/>
    <mergeCell ref="Q600:R600"/>
    <mergeCell ref="L604:M604"/>
    <mergeCell ref="L603:M603"/>
    <mergeCell ref="L602:M602"/>
    <mergeCell ref="L601:M601"/>
    <mergeCell ref="L600:M600"/>
    <mergeCell ref="S669:U669"/>
    <mergeCell ref="S668:U668"/>
    <mergeCell ref="S667:U667"/>
    <mergeCell ref="Q658:R658"/>
    <mergeCell ref="Q659:R659"/>
    <mergeCell ref="L610:M610"/>
    <mergeCell ref="L609:M609"/>
    <mergeCell ref="L608:M608"/>
    <mergeCell ref="L607:M607"/>
    <mergeCell ref="L606:M606"/>
    <mergeCell ref="L605:M605"/>
    <mergeCell ref="L616:M616"/>
    <mergeCell ref="L615:M615"/>
    <mergeCell ref="L614:M614"/>
    <mergeCell ref="L613:M613"/>
    <mergeCell ref="L612:M612"/>
    <mergeCell ref="L611:M611"/>
    <mergeCell ref="L620:M620"/>
    <mergeCell ref="L619:M619"/>
    <mergeCell ref="L618:M618"/>
    <mergeCell ref="L617:M617"/>
    <mergeCell ref="L626:M626"/>
    <mergeCell ref="L625:M625"/>
    <mergeCell ref="L624:M624"/>
    <mergeCell ref="L623:M623"/>
    <mergeCell ref="L622:M622"/>
    <mergeCell ref="L621:M621"/>
    <mergeCell ref="Q669:R669"/>
    <mergeCell ref="Q668:R668"/>
    <mergeCell ref="Q655:R655"/>
    <mergeCell ref="Q654:R654"/>
    <mergeCell ref="Q653:R653"/>
    <mergeCell ref="S662:U662"/>
    <mergeCell ref="S661:U661"/>
    <mergeCell ref="S660:U660"/>
    <mergeCell ref="S659:U659"/>
    <mergeCell ref="S658:U658"/>
    <mergeCell ref="S648:U648"/>
    <mergeCell ref="S649:U649"/>
    <mergeCell ref="S650:U650"/>
    <mergeCell ref="S651:U651"/>
    <mergeCell ref="S652:U652"/>
    <mergeCell ref="Q666:R666"/>
    <mergeCell ref="Q667:R667"/>
    <mergeCell ref="S666:U666"/>
    <mergeCell ref="S665:U665"/>
    <mergeCell ref="S664:U664"/>
    <mergeCell ref="S663:U663"/>
    <mergeCell ref="Q660:R660"/>
    <mergeCell ref="Q661:R661"/>
    <mergeCell ref="Q662:R662"/>
    <mergeCell ref="Q663:R663"/>
    <mergeCell ref="Q664:R664"/>
    <mergeCell ref="Q665:R665"/>
    <mergeCell ref="Q646:R646"/>
    <mergeCell ref="Q645:R645"/>
    <mergeCell ref="S647:U647"/>
    <mergeCell ref="S646:U646"/>
    <mergeCell ref="S645:U645"/>
    <mergeCell ref="S644:U644"/>
    <mergeCell ref="Q652:R652"/>
    <mergeCell ref="Q651:R651"/>
    <mergeCell ref="Q650:R650"/>
    <mergeCell ref="Q649:R649"/>
    <mergeCell ref="Q648:R648"/>
    <mergeCell ref="Q647:R647"/>
    <mergeCell ref="S653:U653"/>
    <mergeCell ref="S654:U654"/>
    <mergeCell ref="S655:U655"/>
    <mergeCell ref="S656:U656"/>
    <mergeCell ref="S657:U657"/>
    <mergeCell ref="Q633:R633"/>
    <mergeCell ref="Q632:R632"/>
    <mergeCell ref="Q631:R631"/>
    <mergeCell ref="Q630:R630"/>
    <mergeCell ref="Q629:R629"/>
    <mergeCell ref="Q628:R628"/>
    <mergeCell ref="Q639:R639"/>
    <mergeCell ref="Q638:R638"/>
    <mergeCell ref="Q637:R637"/>
    <mergeCell ref="Q636:R636"/>
    <mergeCell ref="Q635:R635"/>
    <mergeCell ref="Q634:R634"/>
    <mergeCell ref="S637:U637"/>
    <mergeCell ref="S638:U638"/>
    <mergeCell ref="S639:U639"/>
    <mergeCell ref="Q657:R657"/>
    <mergeCell ref="Q656:R656"/>
    <mergeCell ref="Q644:R644"/>
    <mergeCell ref="Q643:R643"/>
    <mergeCell ref="Q642:R642"/>
    <mergeCell ref="Q641:R641"/>
    <mergeCell ref="Q640:R640"/>
    <mergeCell ref="S643:U643"/>
    <mergeCell ref="S642:U642"/>
    <mergeCell ref="S641:U641"/>
    <mergeCell ref="S640:U640"/>
    <mergeCell ref="S631:U631"/>
    <mergeCell ref="S632:U632"/>
    <mergeCell ref="S633:U633"/>
    <mergeCell ref="S634:U634"/>
    <mergeCell ref="S635:U635"/>
    <mergeCell ref="S636:U636"/>
    <mergeCell ref="S620:U620"/>
    <mergeCell ref="S623:U623"/>
    <mergeCell ref="Q623:R623"/>
    <mergeCell ref="Q622:R622"/>
    <mergeCell ref="Q621:R621"/>
    <mergeCell ref="Q620:R620"/>
    <mergeCell ref="S625:U625"/>
    <mergeCell ref="Q625:R625"/>
    <mergeCell ref="S624:U624"/>
    <mergeCell ref="Q624:R624"/>
    <mergeCell ref="S622:U622"/>
    <mergeCell ref="S621:U621"/>
    <mergeCell ref="S630:U630"/>
    <mergeCell ref="S629:U629"/>
    <mergeCell ref="S628:U628"/>
    <mergeCell ref="S627:U627"/>
    <mergeCell ref="Q627:R627"/>
    <mergeCell ref="S626:U626"/>
    <mergeCell ref="Q626:R626"/>
    <mergeCell ref="S610:U610"/>
    <mergeCell ref="S609:U609"/>
    <mergeCell ref="S608:U608"/>
    <mergeCell ref="S607:U607"/>
    <mergeCell ref="S606:U606"/>
    <mergeCell ref="S605:U605"/>
    <mergeCell ref="Q607:R607"/>
    <mergeCell ref="S619:U619"/>
    <mergeCell ref="S618:U618"/>
    <mergeCell ref="S617:U617"/>
    <mergeCell ref="S616:U616"/>
    <mergeCell ref="S615:U615"/>
    <mergeCell ref="S614:U614"/>
    <mergeCell ref="S613:U613"/>
    <mergeCell ref="S612:U612"/>
    <mergeCell ref="S611:U611"/>
    <mergeCell ref="Q613:R613"/>
    <mergeCell ref="Q612:R612"/>
    <mergeCell ref="Q611:R611"/>
    <mergeCell ref="Q610:R610"/>
    <mergeCell ref="Q609:R609"/>
    <mergeCell ref="Q608:R608"/>
    <mergeCell ref="Q619:R619"/>
    <mergeCell ref="Q618:R618"/>
    <mergeCell ref="Q617:R617"/>
    <mergeCell ref="Q616:R616"/>
    <mergeCell ref="Q615:R615"/>
    <mergeCell ref="Q614:R614"/>
    <mergeCell ref="Q606:R606"/>
    <mergeCell ref="Q605:R605"/>
    <mergeCell ref="Q604:R604"/>
    <mergeCell ref="Q603:R603"/>
    <mergeCell ref="Q522:R522"/>
    <mergeCell ref="Q521:R521"/>
    <mergeCell ref="Q520:R520"/>
    <mergeCell ref="Q519:R519"/>
    <mergeCell ref="Q518:R518"/>
    <mergeCell ref="S523:U523"/>
    <mergeCell ref="S522:U522"/>
    <mergeCell ref="S521:U521"/>
    <mergeCell ref="S520:U520"/>
    <mergeCell ref="S519:U519"/>
    <mergeCell ref="S518:U518"/>
    <mergeCell ref="S529:U529"/>
    <mergeCell ref="S528:U528"/>
    <mergeCell ref="S527:U527"/>
    <mergeCell ref="S526:U526"/>
    <mergeCell ref="S525:U525"/>
    <mergeCell ref="S524:U524"/>
    <mergeCell ref="S604:U604"/>
    <mergeCell ref="S603:U603"/>
    <mergeCell ref="S533:U533"/>
    <mergeCell ref="S532:U532"/>
    <mergeCell ref="S531:U531"/>
    <mergeCell ref="S530:U530"/>
    <mergeCell ref="S597:U597"/>
    <mergeCell ref="Q597:R597"/>
    <mergeCell ref="S560:U560"/>
    <mergeCell ref="S548:U548"/>
    <mergeCell ref="S549:U549"/>
    <mergeCell ref="S498:U498"/>
    <mergeCell ref="Q498:R498"/>
    <mergeCell ref="S497:U497"/>
    <mergeCell ref="Q491:R491"/>
    <mergeCell ref="S502:U502"/>
    <mergeCell ref="Q502:R502"/>
    <mergeCell ref="S501:U501"/>
    <mergeCell ref="Q501:R501"/>
    <mergeCell ref="S500:U500"/>
    <mergeCell ref="Q500:R500"/>
    <mergeCell ref="Q517:R517"/>
    <mergeCell ref="Q516:R516"/>
    <mergeCell ref="Q515:R515"/>
    <mergeCell ref="Q514:R514"/>
    <mergeCell ref="S516:U516"/>
    <mergeCell ref="S515:U515"/>
    <mergeCell ref="S514:U514"/>
    <mergeCell ref="S517:U517"/>
    <mergeCell ref="S462:U462"/>
    <mergeCell ref="S461:U461"/>
    <mergeCell ref="S460:U460"/>
    <mergeCell ref="L526:M526"/>
    <mergeCell ref="L525:M525"/>
    <mergeCell ref="L524:M524"/>
    <mergeCell ref="L523:M523"/>
    <mergeCell ref="L522:M522"/>
    <mergeCell ref="S470:U470"/>
    <mergeCell ref="S469:U469"/>
    <mergeCell ref="S468:U468"/>
    <mergeCell ref="S467:U467"/>
    <mergeCell ref="S466:U466"/>
    <mergeCell ref="S465:U465"/>
    <mergeCell ref="Q460:R460"/>
    <mergeCell ref="S479:U479"/>
    <mergeCell ref="S478:U478"/>
    <mergeCell ref="S477:U477"/>
    <mergeCell ref="S476:U476"/>
    <mergeCell ref="S475:U475"/>
    <mergeCell ref="S474:U474"/>
    <mergeCell ref="S473:U473"/>
    <mergeCell ref="S472:U472"/>
    <mergeCell ref="S471:U471"/>
    <mergeCell ref="Q466:R466"/>
    <mergeCell ref="Q465:R465"/>
    <mergeCell ref="Q464:R464"/>
    <mergeCell ref="Q463:R463"/>
    <mergeCell ref="Q462:R462"/>
    <mergeCell ref="Q461:R461"/>
    <mergeCell ref="Q472:R472"/>
    <mergeCell ref="Q471:R471"/>
    <mergeCell ref="L534:M534"/>
    <mergeCell ref="S480:U480"/>
    <mergeCell ref="Q480:R480"/>
    <mergeCell ref="L479:M479"/>
    <mergeCell ref="L478:M478"/>
    <mergeCell ref="Q493:R493"/>
    <mergeCell ref="L493:M493"/>
    <mergeCell ref="S492:U492"/>
    <mergeCell ref="Q492:R492"/>
    <mergeCell ref="L521:M521"/>
    <mergeCell ref="L520:M520"/>
    <mergeCell ref="L519:M519"/>
    <mergeCell ref="L518:M518"/>
    <mergeCell ref="L529:M529"/>
    <mergeCell ref="L530:M530"/>
    <mergeCell ref="S464:U464"/>
    <mergeCell ref="S463:U463"/>
    <mergeCell ref="Q470:R470"/>
    <mergeCell ref="Q469:R469"/>
    <mergeCell ref="Q468:R468"/>
    <mergeCell ref="Q467:R467"/>
    <mergeCell ref="Q477:R477"/>
    <mergeCell ref="Q481:R481"/>
    <mergeCell ref="Q476:R476"/>
    <mergeCell ref="Q475:R475"/>
    <mergeCell ref="Q474:R474"/>
    <mergeCell ref="Q473:R473"/>
    <mergeCell ref="Q483:R483"/>
    <mergeCell ref="S482:U482"/>
    <mergeCell ref="Q482:R482"/>
    <mergeCell ref="S481:U481"/>
    <mergeCell ref="Q479:R479"/>
    <mergeCell ref="S503:U503"/>
    <mergeCell ref="Q503:R503"/>
    <mergeCell ref="L499:M499"/>
    <mergeCell ref="L498:M498"/>
    <mergeCell ref="L497:M497"/>
    <mergeCell ref="L503:M503"/>
    <mergeCell ref="L477:M477"/>
    <mergeCell ref="L480:M480"/>
    <mergeCell ref="S496:U496"/>
    <mergeCell ref="S495:U495"/>
    <mergeCell ref="Q495:R495"/>
    <mergeCell ref="L495:M495"/>
    <mergeCell ref="S494:U494"/>
    <mergeCell ref="Q494:R494"/>
    <mergeCell ref="L494:M494"/>
    <mergeCell ref="S493:U493"/>
    <mergeCell ref="L533:M533"/>
    <mergeCell ref="Q478:R478"/>
    <mergeCell ref="S488:U488"/>
    <mergeCell ref="S487:U487"/>
    <mergeCell ref="S486:U486"/>
    <mergeCell ref="S485:U485"/>
    <mergeCell ref="S484:U484"/>
    <mergeCell ref="S483:U483"/>
    <mergeCell ref="Q490:R490"/>
    <mergeCell ref="Q489:R489"/>
    <mergeCell ref="Q497:R497"/>
    <mergeCell ref="S491:U491"/>
    <mergeCell ref="S490:U490"/>
    <mergeCell ref="S489:U489"/>
    <mergeCell ref="S499:U499"/>
    <mergeCell ref="Q499:R499"/>
    <mergeCell ref="L472:M472"/>
    <mergeCell ref="L471:M471"/>
    <mergeCell ref="L470:M470"/>
    <mergeCell ref="L469:M469"/>
    <mergeCell ref="L468:M468"/>
    <mergeCell ref="L467:M467"/>
    <mergeCell ref="L517:M517"/>
    <mergeCell ref="L516:M516"/>
    <mergeCell ref="L476:M476"/>
    <mergeCell ref="L475:M475"/>
    <mergeCell ref="L474:M474"/>
    <mergeCell ref="L473:M473"/>
    <mergeCell ref="L483:M483"/>
    <mergeCell ref="L482:M482"/>
    <mergeCell ref="L481:M481"/>
    <mergeCell ref="L484:M484"/>
    <mergeCell ref="L491:M491"/>
    <mergeCell ref="L490:M490"/>
    <mergeCell ref="L489:M489"/>
    <mergeCell ref="L492:M492"/>
    <mergeCell ref="L515:M515"/>
    <mergeCell ref="L514:M514"/>
    <mergeCell ref="C506:G506"/>
    <mergeCell ref="C507:G507"/>
    <mergeCell ref="C508:G508"/>
    <mergeCell ref="C509:G509"/>
    <mergeCell ref="C510:G510"/>
    <mergeCell ref="C511:G511"/>
    <mergeCell ref="C497:G497"/>
    <mergeCell ref="Q496:R496"/>
    <mergeCell ref="L496:M496"/>
    <mergeCell ref="C496:G496"/>
    <mergeCell ref="A495:B495"/>
    <mergeCell ref="A494:B494"/>
    <mergeCell ref="C495:G495"/>
    <mergeCell ref="C494:G494"/>
    <mergeCell ref="L460:M460"/>
    <mergeCell ref="Q488:R488"/>
    <mergeCell ref="L488:M488"/>
    <mergeCell ref="Q487:R487"/>
    <mergeCell ref="L487:M487"/>
    <mergeCell ref="Q486:R486"/>
    <mergeCell ref="L486:M486"/>
    <mergeCell ref="Q485:R485"/>
    <mergeCell ref="L485:M485"/>
    <mergeCell ref="Q484:R484"/>
    <mergeCell ref="L466:M466"/>
    <mergeCell ref="L465:M465"/>
    <mergeCell ref="L464:M464"/>
    <mergeCell ref="L463:M463"/>
    <mergeCell ref="L462:M462"/>
    <mergeCell ref="L461:M461"/>
    <mergeCell ref="L500:M500"/>
    <mergeCell ref="C500:G500"/>
    <mergeCell ref="A499:B499"/>
    <mergeCell ref="A498:B498"/>
    <mergeCell ref="A497:B497"/>
    <mergeCell ref="A500:B500"/>
    <mergeCell ref="C499:G499"/>
    <mergeCell ref="C498:G498"/>
    <mergeCell ref="L502:M502"/>
    <mergeCell ref="C502:G502"/>
    <mergeCell ref="A502:B502"/>
    <mergeCell ref="L501:M501"/>
    <mergeCell ref="C501:G501"/>
    <mergeCell ref="A501:B501"/>
    <mergeCell ref="C512:G512"/>
    <mergeCell ref="C513:G513"/>
    <mergeCell ref="C514:G514"/>
    <mergeCell ref="C505:G505"/>
    <mergeCell ref="C504:G504"/>
    <mergeCell ref="C503:G503"/>
    <mergeCell ref="C493:G493"/>
    <mergeCell ref="C492:G492"/>
    <mergeCell ref="A492:B492"/>
    <mergeCell ref="C491:G491"/>
    <mergeCell ref="A491:B491"/>
    <mergeCell ref="C490:G490"/>
    <mergeCell ref="A490:B490"/>
    <mergeCell ref="A508:B508"/>
    <mergeCell ref="A507:B507"/>
    <mergeCell ref="A506:B506"/>
    <mergeCell ref="A505:B505"/>
    <mergeCell ref="A504:B504"/>
    <mergeCell ref="A503:B503"/>
    <mergeCell ref="A514:B514"/>
    <mergeCell ref="A513:B513"/>
    <mergeCell ref="A512:B512"/>
    <mergeCell ref="A511:B511"/>
    <mergeCell ref="A510:B510"/>
    <mergeCell ref="A509:B509"/>
    <mergeCell ref="A493:B493"/>
    <mergeCell ref="A496:B496"/>
    <mergeCell ref="C483:G483"/>
    <mergeCell ref="A483:B483"/>
    <mergeCell ref="C482:G482"/>
    <mergeCell ref="A482:B482"/>
    <mergeCell ref="C481:G481"/>
    <mergeCell ref="A480:B480"/>
    <mergeCell ref="A485:B485"/>
    <mergeCell ref="A484:B484"/>
    <mergeCell ref="A487:B487"/>
    <mergeCell ref="C486:G486"/>
    <mergeCell ref="C485:G485"/>
    <mergeCell ref="C484:G484"/>
    <mergeCell ref="C489:G489"/>
    <mergeCell ref="A489:B489"/>
    <mergeCell ref="C488:G488"/>
    <mergeCell ref="A488:B488"/>
    <mergeCell ref="C487:G487"/>
    <mergeCell ref="A486:B486"/>
    <mergeCell ref="A477:B477"/>
    <mergeCell ref="A476:B476"/>
    <mergeCell ref="C470:G470"/>
    <mergeCell ref="C471:G471"/>
    <mergeCell ref="C472:G472"/>
    <mergeCell ref="C473:G473"/>
    <mergeCell ref="C474:G474"/>
    <mergeCell ref="C475:G475"/>
    <mergeCell ref="A479:B479"/>
    <mergeCell ref="A478:B478"/>
    <mergeCell ref="A481:B481"/>
    <mergeCell ref="C480:G480"/>
    <mergeCell ref="C464:G464"/>
    <mergeCell ref="C465:G465"/>
    <mergeCell ref="C466:G466"/>
    <mergeCell ref="C467:G467"/>
    <mergeCell ref="C468:G468"/>
    <mergeCell ref="C469:G469"/>
    <mergeCell ref="S506:U506"/>
    <mergeCell ref="S505:U505"/>
    <mergeCell ref="S504:U504"/>
    <mergeCell ref="Q507:R507"/>
    <mergeCell ref="Q506:R506"/>
    <mergeCell ref="Q505:R505"/>
    <mergeCell ref="S512:U512"/>
    <mergeCell ref="S511:U511"/>
    <mergeCell ref="S510:U510"/>
    <mergeCell ref="S509:U509"/>
    <mergeCell ref="S508:U508"/>
    <mergeCell ref="S507:U507"/>
    <mergeCell ref="A463:B463"/>
    <mergeCell ref="A462:B462"/>
    <mergeCell ref="A461:B461"/>
    <mergeCell ref="S513:U513"/>
    <mergeCell ref="Q513:R513"/>
    <mergeCell ref="Q512:R512"/>
    <mergeCell ref="Q511:R511"/>
    <mergeCell ref="Q510:R510"/>
    <mergeCell ref="Q509:R509"/>
    <mergeCell ref="Q508:R508"/>
    <mergeCell ref="A469:B469"/>
    <mergeCell ref="A468:B468"/>
    <mergeCell ref="A467:B467"/>
    <mergeCell ref="A466:B466"/>
    <mergeCell ref="A465:B465"/>
    <mergeCell ref="A464:B464"/>
    <mergeCell ref="A475:B475"/>
    <mergeCell ref="A474:B474"/>
    <mergeCell ref="A473:B473"/>
    <mergeCell ref="A472:B472"/>
    <mergeCell ref="L510:M510"/>
    <mergeCell ref="L511:M511"/>
    <mergeCell ref="L512:M512"/>
    <mergeCell ref="L513:M513"/>
    <mergeCell ref="A516:B516"/>
    <mergeCell ref="A515:B515"/>
    <mergeCell ref="L369:M369"/>
    <mergeCell ref="L368:M368"/>
    <mergeCell ref="L367:M367"/>
    <mergeCell ref="L504:M504"/>
    <mergeCell ref="L508:M508"/>
    <mergeCell ref="L509:M509"/>
    <mergeCell ref="L401:M401"/>
    <mergeCell ref="L400:M400"/>
    <mergeCell ref="L399:M399"/>
    <mergeCell ref="L395:M395"/>
    <mergeCell ref="Q404:R404"/>
    <mergeCell ref="Q403:R403"/>
    <mergeCell ref="Q402:R402"/>
    <mergeCell ref="Q504:R504"/>
    <mergeCell ref="L507:M507"/>
    <mergeCell ref="L506:M506"/>
    <mergeCell ref="L505:M505"/>
    <mergeCell ref="Q405:R405"/>
    <mergeCell ref="L458:M458"/>
    <mergeCell ref="L457:M457"/>
    <mergeCell ref="A471:B471"/>
    <mergeCell ref="A470:B470"/>
    <mergeCell ref="C476:G476"/>
    <mergeCell ref="C477:G477"/>
    <mergeCell ref="C478:G478"/>
    <mergeCell ref="C479:G479"/>
    <mergeCell ref="C449:G449"/>
    <mergeCell ref="C448:G448"/>
    <mergeCell ref="C447:G447"/>
    <mergeCell ref="C446:G446"/>
    <mergeCell ref="C445:G445"/>
    <mergeCell ref="C444:G444"/>
    <mergeCell ref="C455:G455"/>
    <mergeCell ref="C454:G454"/>
    <mergeCell ref="C453:G453"/>
    <mergeCell ref="C452:G452"/>
    <mergeCell ref="C451:G451"/>
    <mergeCell ref="C450:G450"/>
    <mergeCell ref="C461:G461"/>
    <mergeCell ref="C460:G460"/>
    <mergeCell ref="C459:G459"/>
    <mergeCell ref="C458:G458"/>
    <mergeCell ref="C457:G457"/>
    <mergeCell ref="C456:G456"/>
    <mergeCell ref="C431:G431"/>
    <mergeCell ref="C430:G430"/>
    <mergeCell ref="C429:G429"/>
    <mergeCell ref="C428:G428"/>
    <mergeCell ref="C427:G427"/>
    <mergeCell ref="C426:G426"/>
    <mergeCell ref="C437:G437"/>
    <mergeCell ref="C436:G436"/>
    <mergeCell ref="C435:G435"/>
    <mergeCell ref="C434:G434"/>
    <mergeCell ref="C433:G433"/>
    <mergeCell ref="C432:G432"/>
    <mergeCell ref="C443:G443"/>
    <mergeCell ref="C442:G442"/>
    <mergeCell ref="C441:G441"/>
    <mergeCell ref="C440:G440"/>
    <mergeCell ref="C439:G439"/>
    <mergeCell ref="C438:G438"/>
    <mergeCell ref="C413:G413"/>
    <mergeCell ref="C412:G412"/>
    <mergeCell ref="C411:G411"/>
    <mergeCell ref="C410:G410"/>
    <mergeCell ref="C409:G409"/>
    <mergeCell ref="C408:G408"/>
    <mergeCell ref="C419:G419"/>
    <mergeCell ref="C418:G418"/>
    <mergeCell ref="C417:G417"/>
    <mergeCell ref="C416:G416"/>
    <mergeCell ref="C415:G415"/>
    <mergeCell ref="C414:G414"/>
    <mergeCell ref="C425:G425"/>
    <mergeCell ref="C424:G424"/>
    <mergeCell ref="C423:G423"/>
    <mergeCell ref="C422:G422"/>
    <mergeCell ref="C421:G421"/>
    <mergeCell ref="C420:G420"/>
    <mergeCell ref="L325:M325"/>
    <mergeCell ref="L324:M324"/>
    <mergeCell ref="L323:M323"/>
    <mergeCell ref="L322:M322"/>
    <mergeCell ref="L321:M321"/>
    <mergeCell ref="L320:M320"/>
    <mergeCell ref="L357:M357"/>
    <mergeCell ref="L356:M356"/>
    <mergeCell ref="L352:M352"/>
    <mergeCell ref="L351:M351"/>
    <mergeCell ref="L350:M350"/>
    <mergeCell ref="L349:M349"/>
    <mergeCell ref="C407:G407"/>
    <mergeCell ref="C406:G406"/>
    <mergeCell ref="L366:M366"/>
    <mergeCell ref="L360:M360"/>
    <mergeCell ref="L359:M359"/>
    <mergeCell ref="L358:M358"/>
    <mergeCell ref="L405:M405"/>
    <mergeCell ref="L404:M404"/>
    <mergeCell ref="L403:M403"/>
    <mergeCell ref="L402:M402"/>
    <mergeCell ref="L307:M307"/>
    <mergeCell ref="L306:M306"/>
    <mergeCell ref="L305:M305"/>
    <mergeCell ref="L304:M304"/>
    <mergeCell ref="L303:M303"/>
    <mergeCell ref="L302:M302"/>
    <mergeCell ref="L313:M313"/>
    <mergeCell ref="L312:M312"/>
    <mergeCell ref="L311:M311"/>
    <mergeCell ref="L310:M310"/>
    <mergeCell ref="L309:M309"/>
    <mergeCell ref="L308:M308"/>
    <mergeCell ref="L319:M319"/>
    <mergeCell ref="L318:M318"/>
    <mergeCell ref="L317:M317"/>
    <mergeCell ref="L316:M316"/>
    <mergeCell ref="L315:M315"/>
    <mergeCell ref="L314:M314"/>
    <mergeCell ref="S394:U394"/>
    <mergeCell ref="Q394:R394"/>
    <mergeCell ref="L394:M394"/>
    <mergeCell ref="S393:U393"/>
    <mergeCell ref="Q393:R393"/>
    <mergeCell ref="L393:M393"/>
    <mergeCell ref="Q355:R355"/>
    <mergeCell ref="L355:M355"/>
    <mergeCell ref="L354:M354"/>
    <mergeCell ref="L353:M353"/>
    <mergeCell ref="L398:M398"/>
    <mergeCell ref="S397:U397"/>
    <mergeCell ref="L397:M397"/>
    <mergeCell ref="S396:U396"/>
    <mergeCell ref="L396:M396"/>
    <mergeCell ref="S395:U395"/>
    <mergeCell ref="L365:M365"/>
    <mergeCell ref="L364:M364"/>
    <mergeCell ref="L363:M363"/>
    <mergeCell ref="Q362:R362"/>
    <mergeCell ref="L362:M362"/>
    <mergeCell ref="Q361:R361"/>
    <mergeCell ref="L361:M361"/>
    <mergeCell ref="Q386:R386"/>
    <mergeCell ref="Q385:R385"/>
    <mergeCell ref="Q384:R384"/>
    <mergeCell ref="Q387:R387"/>
    <mergeCell ref="L387:M387"/>
    <mergeCell ref="S386:U386"/>
    <mergeCell ref="L386:M386"/>
    <mergeCell ref="S385:U385"/>
    <mergeCell ref="L385:M385"/>
    <mergeCell ref="S384:U384"/>
    <mergeCell ref="S389:U389"/>
    <mergeCell ref="L389:M389"/>
    <mergeCell ref="S388:U388"/>
    <mergeCell ref="Q388:R388"/>
    <mergeCell ref="L388:M388"/>
    <mergeCell ref="S387:U387"/>
    <mergeCell ref="S392:U392"/>
    <mergeCell ref="Q391:R391"/>
    <mergeCell ref="Q390:R390"/>
    <mergeCell ref="Q389:R389"/>
    <mergeCell ref="Q392:R392"/>
    <mergeCell ref="L392:M392"/>
    <mergeCell ref="S391:U391"/>
    <mergeCell ref="L391:M391"/>
    <mergeCell ref="S390:U390"/>
    <mergeCell ref="L390:M390"/>
    <mergeCell ref="L381:M381"/>
    <mergeCell ref="S380:U380"/>
    <mergeCell ref="L380:M380"/>
    <mergeCell ref="S379:U379"/>
    <mergeCell ref="L379:M379"/>
    <mergeCell ref="S378:U378"/>
    <mergeCell ref="L378:M378"/>
    <mergeCell ref="L384:M384"/>
    <mergeCell ref="S383:U383"/>
    <mergeCell ref="Q382:R382"/>
    <mergeCell ref="Q381:R381"/>
    <mergeCell ref="Q380:R380"/>
    <mergeCell ref="Q383:R383"/>
    <mergeCell ref="L383:M383"/>
    <mergeCell ref="S382:U382"/>
    <mergeCell ref="L382:M382"/>
    <mergeCell ref="S381:U381"/>
    <mergeCell ref="S369:U369"/>
    <mergeCell ref="Q379:R379"/>
    <mergeCell ref="Q378:R378"/>
    <mergeCell ref="Q377:R377"/>
    <mergeCell ref="Q376:R376"/>
    <mergeCell ref="Q375:R375"/>
    <mergeCell ref="Q374:R374"/>
    <mergeCell ref="S372:U372"/>
    <mergeCell ref="L372:M372"/>
    <mergeCell ref="S371:U371"/>
    <mergeCell ref="L371:M371"/>
    <mergeCell ref="S370:U370"/>
    <mergeCell ref="L370:M370"/>
    <mergeCell ref="S377:U377"/>
    <mergeCell ref="L377:M377"/>
    <mergeCell ref="S375:U375"/>
    <mergeCell ref="S374:U374"/>
    <mergeCell ref="S373:U373"/>
    <mergeCell ref="S376:U376"/>
    <mergeCell ref="L376:M376"/>
    <mergeCell ref="L375:M375"/>
    <mergeCell ref="L374:M374"/>
    <mergeCell ref="L373:M373"/>
    <mergeCell ref="S362:U362"/>
    <mergeCell ref="S401:U401"/>
    <mergeCell ref="Q399:R399"/>
    <mergeCell ref="S400:U400"/>
    <mergeCell ref="Q398:R398"/>
    <mergeCell ref="Q397:R397"/>
    <mergeCell ref="Q396:R396"/>
    <mergeCell ref="Q357:R357"/>
    <mergeCell ref="Q356:R356"/>
    <mergeCell ref="Q354:R354"/>
    <mergeCell ref="Q353:R353"/>
    <mergeCell ref="S405:U405"/>
    <mergeCell ref="Q401:R401"/>
    <mergeCell ref="Q400:R400"/>
    <mergeCell ref="S404:U404"/>
    <mergeCell ref="S403:U403"/>
    <mergeCell ref="S402:U402"/>
    <mergeCell ref="Q367:R367"/>
    <mergeCell ref="Q366:R366"/>
    <mergeCell ref="Q365:R365"/>
    <mergeCell ref="Q364:R364"/>
    <mergeCell ref="Q363:R363"/>
    <mergeCell ref="Q358:R358"/>
    <mergeCell ref="Q373:R373"/>
    <mergeCell ref="Q372:R372"/>
    <mergeCell ref="Q371:R371"/>
    <mergeCell ref="Q370:R370"/>
    <mergeCell ref="Q369:R369"/>
    <mergeCell ref="Q368:R368"/>
    <mergeCell ref="S368:U368"/>
    <mergeCell ref="S367:U367"/>
    <mergeCell ref="S366:U366"/>
    <mergeCell ref="Q300:R300"/>
    <mergeCell ref="Q299:R299"/>
    <mergeCell ref="Q298:R298"/>
    <mergeCell ref="S325:U325"/>
    <mergeCell ref="S324:U324"/>
    <mergeCell ref="Q324:R324"/>
    <mergeCell ref="S323:U323"/>
    <mergeCell ref="Q323:R323"/>
    <mergeCell ref="S322:U322"/>
    <mergeCell ref="Q322:R322"/>
    <mergeCell ref="Q306:R306"/>
    <mergeCell ref="Q305:R305"/>
    <mergeCell ref="Q304:R304"/>
    <mergeCell ref="Q303:R303"/>
    <mergeCell ref="Q302:R302"/>
    <mergeCell ref="Q301:R301"/>
    <mergeCell ref="S349:U349"/>
    <mergeCell ref="Q317:R317"/>
    <mergeCell ref="Q316:R316"/>
    <mergeCell ref="Q315:R315"/>
    <mergeCell ref="Q314:R314"/>
    <mergeCell ref="Q313:R313"/>
    <mergeCell ref="S320:U320"/>
    <mergeCell ref="S319:U319"/>
    <mergeCell ref="S318:U318"/>
    <mergeCell ref="S321:U321"/>
    <mergeCell ref="Q319:R319"/>
    <mergeCell ref="Q318:R318"/>
    <mergeCell ref="Q310:R310"/>
    <mergeCell ref="Q309:R309"/>
    <mergeCell ref="Q308:R308"/>
    <mergeCell ref="Q307:R307"/>
    <mergeCell ref="A460:B460"/>
    <mergeCell ref="A459:B459"/>
    <mergeCell ref="A458:B458"/>
    <mergeCell ref="A457:B457"/>
    <mergeCell ref="A456:B456"/>
    <mergeCell ref="S311:U311"/>
    <mergeCell ref="S310:U310"/>
    <mergeCell ref="S309:U309"/>
    <mergeCell ref="S308:U308"/>
    <mergeCell ref="S307:U307"/>
    <mergeCell ref="S306:U306"/>
    <mergeCell ref="S317:U317"/>
    <mergeCell ref="S316:U316"/>
    <mergeCell ref="S315:U315"/>
    <mergeCell ref="S314:U314"/>
    <mergeCell ref="S313:U313"/>
    <mergeCell ref="S312:U312"/>
    <mergeCell ref="S355:U355"/>
    <mergeCell ref="S354:U354"/>
    <mergeCell ref="S353:U353"/>
    <mergeCell ref="S352:U352"/>
    <mergeCell ref="S351:U351"/>
    <mergeCell ref="S350:U350"/>
    <mergeCell ref="S361:U361"/>
    <mergeCell ref="S360:U360"/>
    <mergeCell ref="S359:U359"/>
    <mergeCell ref="S358:U358"/>
    <mergeCell ref="S357:U357"/>
    <mergeCell ref="S356:U356"/>
    <mergeCell ref="Q312:R312"/>
    <mergeCell ref="Q311:R311"/>
    <mergeCell ref="Q351:R351"/>
    <mergeCell ref="A449:B449"/>
    <mergeCell ref="A447:B447"/>
    <mergeCell ref="A446:B446"/>
    <mergeCell ref="A445:B445"/>
    <mergeCell ref="A448:B448"/>
    <mergeCell ref="A444:B444"/>
    <mergeCell ref="A455:B455"/>
    <mergeCell ref="A454:B454"/>
    <mergeCell ref="A453:B453"/>
    <mergeCell ref="A452:B452"/>
    <mergeCell ref="A451:B451"/>
    <mergeCell ref="A450:B450"/>
    <mergeCell ref="S305:U305"/>
    <mergeCell ref="S304:U304"/>
    <mergeCell ref="S303:U303"/>
    <mergeCell ref="S302:U302"/>
    <mergeCell ref="S301:U301"/>
    <mergeCell ref="Q350:R350"/>
    <mergeCell ref="Q349:R349"/>
    <mergeCell ref="Q325:R325"/>
    <mergeCell ref="Q321:R321"/>
    <mergeCell ref="Q320:R320"/>
    <mergeCell ref="Q335:R335"/>
    <mergeCell ref="Q395:R395"/>
    <mergeCell ref="S399:U399"/>
    <mergeCell ref="S398:U398"/>
    <mergeCell ref="Q360:R360"/>
    <mergeCell ref="Q359:R359"/>
    <mergeCell ref="Q352:R352"/>
    <mergeCell ref="S365:U365"/>
    <mergeCell ref="S364:U364"/>
    <mergeCell ref="S363:U363"/>
    <mergeCell ref="A431:B431"/>
    <mergeCell ref="A430:B430"/>
    <mergeCell ref="A429:B429"/>
    <mergeCell ref="A428:B428"/>
    <mergeCell ref="A427:B427"/>
    <mergeCell ref="A426:B426"/>
    <mergeCell ref="A437:B437"/>
    <mergeCell ref="A436:B436"/>
    <mergeCell ref="A435:B435"/>
    <mergeCell ref="A434:B434"/>
    <mergeCell ref="A433:B433"/>
    <mergeCell ref="A432:B432"/>
    <mergeCell ref="A443:B443"/>
    <mergeCell ref="A442:B442"/>
    <mergeCell ref="A441:B441"/>
    <mergeCell ref="A440:B440"/>
    <mergeCell ref="A439:B439"/>
    <mergeCell ref="A438:B438"/>
    <mergeCell ref="A413:B413"/>
    <mergeCell ref="A412:B412"/>
    <mergeCell ref="A411:B411"/>
    <mergeCell ref="A410:B410"/>
    <mergeCell ref="A409:B409"/>
    <mergeCell ref="A408:B408"/>
    <mergeCell ref="A419:B419"/>
    <mergeCell ref="A418:B418"/>
    <mergeCell ref="A417:B417"/>
    <mergeCell ref="A416:B416"/>
    <mergeCell ref="A415:B415"/>
    <mergeCell ref="A414:B414"/>
    <mergeCell ref="A425:B425"/>
    <mergeCell ref="A424:B424"/>
    <mergeCell ref="A423:B423"/>
    <mergeCell ref="A422:B422"/>
    <mergeCell ref="A421:B421"/>
    <mergeCell ref="A420:B420"/>
    <mergeCell ref="A397:B397"/>
    <mergeCell ref="A396:B396"/>
    <mergeCell ref="A399:B399"/>
    <mergeCell ref="C398:G398"/>
    <mergeCell ref="C397:G397"/>
    <mergeCell ref="C396:G396"/>
    <mergeCell ref="C401:G401"/>
    <mergeCell ref="A401:B401"/>
    <mergeCell ref="C400:G400"/>
    <mergeCell ref="A400:B400"/>
    <mergeCell ref="C399:G399"/>
    <mergeCell ref="A398:B398"/>
    <mergeCell ref="A407:B407"/>
    <mergeCell ref="A406:B406"/>
    <mergeCell ref="C405:G405"/>
    <mergeCell ref="A404:B404"/>
    <mergeCell ref="A403:B403"/>
    <mergeCell ref="A402:B402"/>
    <mergeCell ref="A405:B405"/>
    <mergeCell ref="C404:G404"/>
    <mergeCell ref="C403:G403"/>
    <mergeCell ref="C402:G402"/>
    <mergeCell ref="A389:B389"/>
    <mergeCell ref="A388:B388"/>
    <mergeCell ref="A387:B387"/>
    <mergeCell ref="A386:B386"/>
    <mergeCell ref="A385:B385"/>
    <mergeCell ref="A384:B384"/>
    <mergeCell ref="C387:G387"/>
    <mergeCell ref="C388:G388"/>
    <mergeCell ref="C389:G389"/>
    <mergeCell ref="C390:G390"/>
    <mergeCell ref="A395:B395"/>
    <mergeCell ref="A394:B394"/>
    <mergeCell ref="A393:B393"/>
    <mergeCell ref="A392:B392"/>
    <mergeCell ref="A391:B391"/>
    <mergeCell ref="A390:B390"/>
    <mergeCell ref="C395:G395"/>
    <mergeCell ref="C394:G394"/>
    <mergeCell ref="C393:G393"/>
    <mergeCell ref="C392:G392"/>
    <mergeCell ref="C391:G391"/>
    <mergeCell ref="C384:G384"/>
    <mergeCell ref="C385:G385"/>
    <mergeCell ref="C386:G386"/>
    <mergeCell ref="C375:G375"/>
    <mergeCell ref="A375:B375"/>
    <mergeCell ref="C374:G374"/>
    <mergeCell ref="A374:B374"/>
    <mergeCell ref="C373:G373"/>
    <mergeCell ref="A372:B372"/>
    <mergeCell ref="C378:G378"/>
    <mergeCell ref="A378:B378"/>
    <mergeCell ref="C377:G377"/>
    <mergeCell ref="A377:B377"/>
    <mergeCell ref="C376:G376"/>
    <mergeCell ref="A376:B376"/>
    <mergeCell ref="A383:B383"/>
    <mergeCell ref="A382:B382"/>
    <mergeCell ref="A381:B381"/>
    <mergeCell ref="A380:B380"/>
    <mergeCell ref="A379:B379"/>
    <mergeCell ref="C381:G381"/>
    <mergeCell ref="C380:G380"/>
    <mergeCell ref="C379:G379"/>
    <mergeCell ref="C382:G382"/>
    <mergeCell ref="C383:G383"/>
    <mergeCell ref="A365:B365"/>
    <mergeCell ref="A364:B364"/>
    <mergeCell ref="A367:B367"/>
    <mergeCell ref="C366:G366"/>
    <mergeCell ref="C365:G365"/>
    <mergeCell ref="C364:G364"/>
    <mergeCell ref="C369:G369"/>
    <mergeCell ref="A369:B369"/>
    <mergeCell ref="C368:G368"/>
    <mergeCell ref="A368:B368"/>
    <mergeCell ref="C367:G367"/>
    <mergeCell ref="A366:B366"/>
    <mergeCell ref="A371:B371"/>
    <mergeCell ref="A370:B370"/>
    <mergeCell ref="A373:B373"/>
    <mergeCell ref="C372:G372"/>
    <mergeCell ref="C371:G371"/>
    <mergeCell ref="C370:G370"/>
    <mergeCell ref="A351:B351"/>
    <mergeCell ref="A350:B350"/>
    <mergeCell ref="A349:B349"/>
    <mergeCell ref="A348:B348"/>
    <mergeCell ref="A347:B347"/>
    <mergeCell ref="C349:G349"/>
    <mergeCell ref="A357:B357"/>
    <mergeCell ref="A356:B356"/>
    <mergeCell ref="A355:B355"/>
    <mergeCell ref="A354:B354"/>
    <mergeCell ref="A353:B353"/>
    <mergeCell ref="A352:B352"/>
    <mergeCell ref="C355:G355"/>
    <mergeCell ref="C356:G356"/>
    <mergeCell ref="C357:G357"/>
    <mergeCell ref="C358:G358"/>
    <mergeCell ref="A363:B363"/>
    <mergeCell ref="A362:B362"/>
    <mergeCell ref="A361:B361"/>
    <mergeCell ref="A360:B360"/>
    <mergeCell ref="A359:B359"/>
    <mergeCell ref="A358:B358"/>
    <mergeCell ref="C363:G363"/>
    <mergeCell ref="C362:G362"/>
    <mergeCell ref="C361:G361"/>
    <mergeCell ref="C360:G360"/>
    <mergeCell ref="C359:G359"/>
    <mergeCell ref="C350:G350"/>
    <mergeCell ref="C351:G351"/>
    <mergeCell ref="C352:G352"/>
    <mergeCell ref="C353:G353"/>
    <mergeCell ref="C354:G354"/>
    <mergeCell ref="A346:B346"/>
    <mergeCell ref="S345:U345"/>
    <mergeCell ref="Q345:R345"/>
    <mergeCell ref="L345:M345"/>
    <mergeCell ref="C345:G345"/>
    <mergeCell ref="S344:U344"/>
    <mergeCell ref="Q344:R344"/>
    <mergeCell ref="L344:M344"/>
    <mergeCell ref="C344:G344"/>
    <mergeCell ref="S346:U346"/>
    <mergeCell ref="Q346:R346"/>
    <mergeCell ref="L346:M346"/>
    <mergeCell ref="C346:G346"/>
    <mergeCell ref="A345:B345"/>
    <mergeCell ref="A344:B344"/>
    <mergeCell ref="S348:U348"/>
    <mergeCell ref="Q348:R348"/>
    <mergeCell ref="L348:M348"/>
    <mergeCell ref="C348:G348"/>
    <mergeCell ref="S347:U347"/>
    <mergeCell ref="Q347:R347"/>
    <mergeCell ref="L347:M347"/>
    <mergeCell ref="C347:G347"/>
    <mergeCell ref="A341:B341"/>
    <mergeCell ref="A340:B340"/>
    <mergeCell ref="A339:B339"/>
    <mergeCell ref="A342:B342"/>
    <mergeCell ref="S341:U341"/>
    <mergeCell ref="Q341:R341"/>
    <mergeCell ref="L341:M341"/>
    <mergeCell ref="C341:G341"/>
    <mergeCell ref="S340:U340"/>
    <mergeCell ref="Q340:R340"/>
    <mergeCell ref="S343:U343"/>
    <mergeCell ref="Q343:R343"/>
    <mergeCell ref="L343:M343"/>
    <mergeCell ref="C343:G343"/>
    <mergeCell ref="S342:U342"/>
    <mergeCell ref="Q342:R342"/>
    <mergeCell ref="L342:M342"/>
    <mergeCell ref="C342:G342"/>
    <mergeCell ref="A343:B343"/>
    <mergeCell ref="A338:B338"/>
    <mergeCell ref="S337:U337"/>
    <mergeCell ref="Q337:R337"/>
    <mergeCell ref="L337:M337"/>
    <mergeCell ref="S336:U336"/>
    <mergeCell ref="Q336:R336"/>
    <mergeCell ref="L336:M336"/>
    <mergeCell ref="C336:G336"/>
    <mergeCell ref="S335:U335"/>
    <mergeCell ref="S338:U338"/>
    <mergeCell ref="Q338:R338"/>
    <mergeCell ref="L338:M338"/>
    <mergeCell ref="C338:G338"/>
    <mergeCell ref="A337:B337"/>
    <mergeCell ref="A336:B336"/>
    <mergeCell ref="L340:M340"/>
    <mergeCell ref="C340:G340"/>
    <mergeCell ref="S339:U339"/>
    <mergeCell ref="Q339:R339"/>
    <mergeCell ref="L339:M339"/>
    <mergeCell ref="C339:G339"/>
    <mergeCell ref="S331:U331"/>
    <mergeCell ref="Q331:R331"/>
    <mergeCell ref="L331:M331"/>
    <mergeCell ref="S330:U330"/>
    <mergeCell ref="Q330:R330"/>
    <mergeCell ref="L330:M330"/>
    <mergeCell ref="A333:B333"/>
    <mergeCell ref="A332:B332"/>
    <mergeCell ref="A331:B331"/>
    <mergeCell ref="A334:B334"/>
    <mergeCell ref="S333:U333"/>
    <mergeCell ref="Q333:R333"/>
    <mergeCell ref="L333:M333"/>
    <mergeCell ref="S332:U332"/>
    <mergeCell ref="Q332:R332"/>
    <mergeCell ref="L332:M332"/>
    <mergeCell ref="L335:M335"/>
    <mergeCell ref="C335:G335"/>
    <mergeCell ref="S334:U334"/>
    <mergeCell ref="Q334:R334"/>
    <mergeCell ref="L334:M334"/>
    <mergeCell ref="C334:G334"/>
    <mergeCell ref="A335:B335"/>
    <mergeCell ref="C316:G316"/>
    <mergeCell ref="C315:G315"/>
    <mergeCell ref="C314:G314"/>
    <mergeCell ref="A309:B309"/>
    <mergeCell ref="A308:B308"/>
    <mergeCell ref="A307:B307"/>
    <mergeCell ref="A306:B306"/>
    <mergeCell ref="A305:B305"/>
    <mergeCell ref="A304:B304"/>
    <mergeCell ref="A315:B315"/>
    <mergeCell ref="A314:B314"/>
    <mergeCell ref="A313:B313"/>
    <mergeCell ref="A312:B312"/>
    <mergeCell ref="A311:B311"/>
    <mergeCell ref="A310:B310"/>
    <mergeCell ref="C330:G330"/>
    <mergeCell ref="A329:B329"/>
    <mergeCell ref="A328:B328"/>
    <mergeCell ref="A327:B327"/>
    <mergeCell ref="A330:B330"/>
    <mergeCell ref="A316:B316"/>
    <mergeCell ref="C324:G324"/>
    <mergeCell ref="C323:G323"/>
    <mergeCell ref="C322:G322"/>
    <mergeCell ref="A322:B322"/>
    <mergeCell ref="S329:U329"/>
    <mergeCell ref="Q329:R329"/>
    <mergeCell ref="L329:M329"/>
    <mergeCell ref="S328:U328"/>
    <mergeCell ref="Q328:R328"/>
    <mergeCell ref="L328:M328"/>
    <mergeCell ref="C321:G321"/>
    <mergeCell ref="A321:B321"/>
    <mergeCell ref="C320:G320"/>
    <mergeCell ref="A319:B319"/>
    <mergeCell ref="A318:B318"/>
    <mergeCell ref="A317:B317"/>
    <mergeCell ref="A320:B320"/>
    <mergeCell ref="C301:G301"/>
    <mergeCell ref="C300:G300"/>
    <mergeCell ref="C337:G337"/>
    <mergeCell ref="C333:G333"/>
    <mergeCell ref="C332:G332"/>
    <mergeCell ref="C331:G331"/>
    <mergeCell ref="C329:G329"/>
    <mergeCell ref="C328:G328"/>
    <mergeCell ref="C327:G327"/>
    <mergeCell ref="C325:G325"/>
    <mergeCell ref="C307:G307"/>
    <mergeCell ref="C306:G306"/>
    <mergeCell ref="C305:G305"/>
    <mergeCell ref="C304:G304"/>
    <mergeCell ref="C303:G303"/>
    <mergeCell ref="C302:G302"/>
    <mergeCell ref="C313:G313"/>
    <mergeCell ref="C312:G312"/>
    <mergeCell ref="C311:G311"/>
    <mergeCell ref="L298:M298"/>
    <mergeCell ref="L297:M297"/>
    <mergeCell ref="L296:M296"/>
    <mergeCell ref="C299:G299"/>
    <mergeCell ref="A299:B299"/>
    <mergeCell ref="S298:U298"/>
    <mergeCell ref="C298:G298"/>
    <mergeCell ref="A298:B298"/>
    <mergeCell ref="S297:U297"/>
    <mergeCell ref="Q296:R296"/>
    <mergeCell ref="C326:G326"/>
    <mergeCell ref="A325:B325"/>
    <mergeCell ref="A324:B324"/>
    <mergeCell ref="A323:B323"/>
    <mergeCell ref="A326:B326"/>
    <mergeCell ref="L299:M299"/>
    <mergeCell ref="S327:U327"/>
    <mergeCell ref="Q327:R327"/>
    <mergeCell ref="L327:M327"/>
    <mergeCell ref="S326:U326"/>
    <mergeCell ref="Q326:R326"/>
    <mergeCell ref="L326:M326"/>
    <mergeCell ref="C310:G310"/>
    <mergeCell ref="C309:G309"/>
    <mergeCell ref="C308:G308"/>
    <mergeCell ref="A303:B303"/>
    <mergeCell ref="A302:B302"/>
    <mergeCell ref="A301:B301"/>
    <mergeCell ref="A300:B300"/>
    <mergeCell ref="C319:G319"/>
    <mergeCell ref="C318:G318"/>
    <mergeCell ref="C317:G317"/>
    <mergeCell ref="C292:G292"/>
    <mergeCell ref="L294:M294"/>
    <mergeCell ref="L293:M293"/>
    <mergeCell ref="L292:M292"/>
    <mergeCell ref="L295:M295"/>
    <mergeCell ref="C295:G295"/>
    <mergeCell ref="A295:B295"/>
    <mergeCell ref="C294:G294"/>
    <mergeCell ref="A294:B294"/>
    <mergeCell ref="C293:G293"/>
    <mergeCell ref="A293:B293"/>
    <mergeCell ref="Q294:R294"/>
    <mergeCell ref="Q293:R293"/>
    <mergeCell ref="Q297:R297"/>
    <mergeCell ref="C297:G297"/>
    <mergeCell ref="A297:B297"/>
    <mergeCell ref="S296:U296"/>
    <mergeCell ref="C296:G296"/>
    <mergeCell ref="A296:B296"/>
    <mergeCell ref="S295:U295"/>
    <mergeCell ref="Q295:R295"/>
    <mergeCell ref="A291:B291"/>
    <mergeCell ref="A290:B290"/>
    <mergeCell ref="A289:B289"/>
    <mergeCell ref="A288:B288"/>
    <mergeCell ref="A287:B287"/>
    <mergeCell ref="C286:G286"/>
    <mergeCell ref="S284:U284"/>
    <mergeCell ref="S283:U283"/>
    <mergeCell ref="S282:U282"/>
    <mergeCell ref="S288:U288"/>
    <mergeCell ref="C291:G291"/>
    <mergeCell ref="C290:G290"/>
    <mergeCell ref="C289:G289"/>
    <mergeCell ref="C288:G288"/>
    <mergeCell ref="S287:U287"/>
    <mergeCell ref="C287:G287"/>
    <mergeCell ref="S294:U294"/>
    <mergeCell ref="S293:U293"/>
    <mergeCell ref="S290:U290"/>
    <mergeCell ref="L290:M290"/>
    <mergeCell ref="S289:U289"/>
    <mergeCell ref="Q289:R289"/>
    <mergeCell ref="L289:M289"/>
    <mergeCell ref="A292:B292"/>
    <mergeCell ref="S291:U291"/>
    <mergeCell ref="Q291:R291"/>
    <mergeCell ref="L288:M288"/>
    <mergeCell ref="L287:M287"/>
    <mergeCell ref="L286:M286"/>
    <mergeCell ref="L291:M291"/>
    <mergeCell ref="S286:U286"/>
    <mergeCell ref="A286:B286"/>
    <mergeCell ref="C282:G282"/>
    <mergeCell ref="A282:B282"/>
    <mergeCell ref="S281:U281"/>
    <mergeCell ref="Q281:R281"/>
    <mergeCell ref="L280:M280"/>
    <mergeCell ref="L279:M279"/>
    <mergeCell ref="C285:G285"/>
    <mergeCell ref="A285:B285"/>
    <mergeCell ref="C284:G284"/>
    <mergeCell ref="A284:B284"/>
    <mergeCell ref="C283:G283"/>
    <mergeCell ref="A283:B283"/>
    <mergeCell ref="S285:U285"/>
    <mergeCell ref="Q285:R285"/>
    <mergeCell ref="L284:M284"/>
    <mergeCell ref="L283:M283"/>
    <mergeCell ref="L282:M282"/>
    <mergeCell ref="L285:M285"/>
    <mergeCell ref="Q284:R284"/>
    <mergeCell ref="Q283:R283"/>
    <mergeCell ref="Q282:R282"/>
    <mergeCell ref="C280:G280"/>
    <mergeCell ref="S278:U278"/>
    <mergeCell ref="S276:U276"/>
    <mergeCell ref="S274:U274"/>
    <mergeCell ref="S279:U279"/>
    <mergeCell ref="C279:G279"/>
    <mergeCell ref="C278:G278"/>
    <mergeCell ref="S277:U277"/>
    <mergeCell ref="L278:M278"/>
    <mergeCell ref="L281:M281"/>
    <mergeCell ref="C281:G281"/>
    <mergeCell ref="A281:B281"/>
    <mergeCell ref="S280:U280"/>
    <mergeCell ref="Q279:R279"/>
    <mergeCell ref="Q278:R278"/>
    <mergeCell ref="A280:B280"/>
    <mergeCell ref="A279:B279"/>
    <mergeCell ref="A278:B278"/>
    <mergeCell ref="C275:G275"/>
    <mergeCell ref="A275:B275"/>
    <mergeCell ref="C274:G274"/>
    <mergeCell ref="A274:B274"/>
    <mergeCell ref="Q273:R273"/>
    <mergeCell ref="L272:M272"/>
    <mergeCell ref="L271:M271"/>
    <mergeCell ref="A277:B277"/>
    <mergeCell ref="C276:G276"/>
    <mergeCell ref="A276:B276"/>
    <mergeCell ref="S275:U275"/>
    <mergeCell ref="Q274:R274"/>
    <mergeCell ref="Q272:R272"/>
    <mergeCell ref="S273:U273"/>
    <mergeCell ref="Q277:R277"/>
    <mergeCell ref="L276:M276"/>
    <mergeCell ref="L275:M275"/>
    <mergeCell ref="L274:M274"/>
    <mergeCell ref="L277:M277"/>
    <mergeCell ref="C277:G277"/>
    <mergeCell ref="Q276:R276"/>
    <mergeCell ref="S454:U454"/>
    <mergeCell ref="S453:U453"/>
    <mergeCell ref="L266:M266"/>
    <mergeCell ref="L269:M269"/>
    <mergeCell ref="C272:G272"/>
    <mergeCell ref="C271:G271"/>
    <mergeCell ref="S270:U270"/>
    <mergeCell ref="Q268:R268"/>
    <mergeCell ref="Q267:R267"/>
    <mergeCell ref="Q266:R266"/>
    <mergeCell ref="Q270:R270"/>
    <mergeCell ref="S266:U266"/>
    <mergeCell ref="S267:U267"/>
    <mergeCell ref="S272:U272"/>
    <mergeCell ref="A272:B272"/>
    <mergeCell ref="A271:B271"/>
    <mergeCell ref="C270:G270"/>
    <mergeCell ref="A270:B270"/>
    <mergeCell ref="S269:U269"/>
    <mergeCell ref="Q269:R269"/>
    <mergeCell ref="L268:M268"/>
    <mergeCell ref="L267:M267"/>
    <mergeCell ref="L270:M270"/>
    <mergeCell ref="L273:M273"/>
    <mergeCell ref="C273:G273"/>
    <mergeCell ref="A273:B273"/>
    <mergeCell ref="S271:U271"/>
    <mergeCell ref="S268:U268"/>
    <mergeCell ref="A269:B269"/>
    <mergeCell ref="A268:B268"/>
    <mergeCell ref="Q271:R271"/>
    <mergeCell ref="Q275:R275"/>
    <mergeCell ref="Q441:R441"/>
    <mergeCell ref="Q440:R440"/>
    <mergeCell ref="L448:M448"/>
    <mergeCell ref="L451:M451"/>
    <mergeCell ref="Q459:R459"/>
    <mergeCell ref="Q458:R458"/>
    <mergeCell ref="Q457:R457"/>
    <mergeCell ref="Q446:R446"/>
    <mergeCell ref="L446:M446"/>
    <mergeCell ref="S452:U452"/>
    <mergeCell ref="L452:M452"/>
    <mergeCell ref="S451:U451"/>
    <mergeCell ref="Q451:R451"/>
    <mergeCell ref="L450:M450"/>
    <mergeCell ref="L449:M449"/>
    <mergeCell ref="S459:U459"/>
    <mergeCell ref="S458:U458"/>
    <mergeCell ref="S457:U457"/>
    <mergeCell ref="S455:U455"/>
    <mergeCell ref="Q448:R448"/>
    <mergeCell ref="Q449:R449"/>
    <mergeCell ref="Q450:R450"/>
    <mergeCell ref="Q452:R452"/>
    <mergeCell ref="Q453:R453"/>
    <mergeCell ref="Q454:R454"/>
    <mergeCell ref="S456:U456"/>
    <mergeCell ref="Q456:R456"/>
    <mergeCell ref="L455:M455"/>
    <mergeCell ref="L454:M454"/>
    <mergeCell ref="L453:M453"/>
    <mergeCell ref="L456:M456"/>
    <mergeCell ref="Q455:R455"/>
    <mergeCell ref="S427:U427"/>
    <mergeCell ref="S426:U426"/>
    <mergeCell ref="L445:M445"/>
    <mergeCell ref="L444:M444"/>
    <mergeCell ref="L447:M447"/>
    <mergeCell ref="Q429:R429"/>
    <mergeCell ref="Q428:R428"/>
    <mergeCell ref="Q427:R427"/>
    <mergeCell ref="L439:M439"/>
    <mergeCell ref="L438:M438"/>
    <mergeCell ref="L437:M437"/>
    <mergeCell ref="L436:M436"/>
    <mergeCell ref="Q433:R433"/>
    <mergeCell ref="S450:U450"/>
    <mergeCell ref="S449:U449"/>
    <mergeCell ref="S448:U448"/>
    <mergeCell ref="S447:U447"/>
    <mergeCell ref="Q447:R447"/>
    <mergeCell ref="S433:U433"/>
    <mergeCell ref="S434:U434"/>
    <mergeCell ref="S435:U435"/>
    <mergeCell ref="S436:U436"/>
    <mergeCell ref="Q439:R439"/>
    <mergeCell ref="Q438:R438"/>
    <mergeCell ref="Q437:R437"/>
    <mergeCell ref="Q436:R436"/>
    <mergeCell ref="Q435:R435"/>
    <mergeCell ref="Q434:R434"/>
    <mergeCell ref="Q445:R445"/>
    <mergeCell ref="Q444:R444"/>
    <mergeCell ref="Q443:R443"/>
    <mergeCell ref="Q442:R442"/>
    <mergeCell ref="L429:M429"/>
    <mergeCell ref="L428:M428"/>
    <mergeCell ref="L427:M427"/>
    <mergeCell ref="S432:U432"/>
    <mergeCell ref="Q432:R432"/>
    <mergeCell ref="Q431:R431"/>
    <mergeCell ref="Q430:R430"/>
    <mergeCell ref="L435:M435"/>
    <mergeCell ref="L434:M434"/>
    <mergeCell ref="L433:M433"/>
    <mergeCell ref="L432:M432"/>
    <mergeCell ref="L431:M431"/>
    <mergeCell ref="L430:M430"/>
    <mergeCell ref="S443:U443"/>
    <mergeCell ref="L459:M459"/>
    <mergeCell ref="L443:M443"/>
    <mergeCell ref="L442:M442"/>
    <mergeCell ref="L441:M441"/>
    <mergeCell ref="L440:M440"/>
    <mergeCell ref="S437:U437"/>
    <mergeCell ref="S438:U438"/>
    <mergeCell ref="S439:U439"/>
    <mergeCell ref="S440:U440"/>
    <mergeCell ref="S441:U441"/>
    <mergeCell ref="S442:U442"/>
    <mergeCell ref="S446:U446"/>
    <mergeCell ref="S445:U445"/>
    <mergeCell ref="S444:U444"/>
    <mergeCell ref="S431:U431"/>
    <mergeCell ref="S430:U430"/>
    <mergeCell ref="S429:U429"/>
    <mergeCell ref="S428:U428"/>
    <mergeCell ref="L414:M414"/>
    <mergeCell ref="L413:M413"/>
    <mergeCell ref="L412:M412"/>
    <mergeCell ref="L411:M411"/>
    <mergeCell ref="L410:M410"/>
    <mergeCell ref="S425:U425"/>
    <mergeCell ref="S424:U424"/>
    <mergeCell ref="S423:U423"/>
    <mergeCell ref="S422:U422"/>
    <mergeCell ref="S421:U421"/>
    <mergeCell ref="L420:M420"/>
    <mergeCell ref="L419:M419"/>
    <mergeCell ref="L418:M418"/>
    <mergeCell ref="L417:M417"/>
    <mergeCell ref="L416:M416"/>
    <mergeCell ref="L415:M415"/>
    <mergeCell ref="L426:M426"/>
    <mergeCell ref="L425:M425"/>
    <mergeCell ref="L424:M424"/>
    <mergeCell ref="L423:M423"/>
    <mergeCell ref="L422:M422"/>
    <mergeCell ref="L421:M421"/>
    <mergeCell ref="Q426:R426"/>
    <mergeCell ref="Q419:R419"/>
    <mergeCell ref="Q414:R414"/>
    <mergeCell ref="Q413:R413"/>
    <mergeCell ref="Q412:R412"/>
    <mergeCell ref="Q411:R411"/>
    <mergeCell ref="Q410:R410"/>
    <mergeCell ref="Q418:R418"/>
    <mergeCell ref="Q417:R417"/>
    <mergeCell ref="Q416:R416"/>
    <mergeCell ref="Q415:R415"/>
    <mergeCell ref="Q425:R425"/>
    <mergeCell ref="Q424:R424"/>
    <mergeCell ref="Q423:R423"/>
    <mergeCell ref="Q422:R422"/>
    <mergeCell ref="Q421:R421"/>
    <mergeCell ref="Q420:R420"/>
    <mergeCell ref="S414:U414"/>
    <mergeCell ref="S413:U413"/>
    <mergeCell ref="S412:U412"/>
    <mergeCell ref="S411:U411"/>
    <mergeCell ref="S410:U410"/>
    <mergeCell ref="S420:U420"/>
    <mergeCell ref="S419:U419"/>
    <mergeCell ref="S418:U418"/>
    <mergeCell ref="S417:U417"/>
    <mergeCell ref="S416:U416"/>
    <mergeCell ref="S415:U415"/>
    <mergeCell ref="S265:U265"/>
    <mergeCell ref="Q265:R265"/>
    <mergeCell ref="L264:M264"/>
    <mergeCell ref="L263:M263"/>
    <mergeCell ref="L262:M262"/>
    <mergeCell ref="L265:M265"/>
    <mergeCell ref="S264:U264"/>
    <mergeCell ref="S263:U263"/>
    <mergeCell ref="S262:U262"/>
    <mergeCell ref="S300:U300"/>
    <mergeCell ref="S299:U299"/>
    <mergeCell ref="S407:U407"/>
    <mergeCell ref="L409:M409"/>
    <mergeCell ref="L408:M408"/>
    <mergeCell ref="L406:M406"/>
    <mergeCell ref="L301:M301"/>
    <mergeCell ref="L300:M300"/>
    <mergeCell ref="L407:M407"/>
    <mergeCell ref="Q409:R409"/>
    <mergeCell ref="Q408:R408"/>
    <mergeCell ref="Q407:R407"/>
    <mergeCell ref="Q406:R406"/>
    <mergeCell ref="S408:U408"/>
    <mergeCell ref="S406:U406"/>
    <mergeCell ref="S409:U409"/>
    <mergeCell ref="Q280:R280"/>
    <mergeCell ref="Q286:R286"/>
    <mergeCell ref="S292:U292"/>
    <mergeCell ref="Q290:R290"/>
    <mergeCell ref="Q288:R288"/>
    <mergeCell ref="Q287:R287"/>
    <mergeCell ref="Q292:R292"/>
    <mergeCell ref="S249:U249"/>
    <mergeCell ref="S248:U248"/>
    <mergeCell ref="Q264:R264"/>
    <mergeCell ref="Q263:R263"/>
    <mergeCell ref="Q262:R262"/>
    <mergeCell ref="Q261:R261"/>
    <mergeCell ref="Q260:R260"/>
    <mergeCell ref="Q259:R259"/>
    <mergeCell ref="Q258:R258"/>
    <mergeCell ref="Q257:R257"/>
    <mergeCell ref="S255:U255"/>
    <mergeCell ref="S254:U254"/>
    <mergeCell ref="S253:U253"/>
    <mergeCell ref="S252:U252"/>
    <mergeCell ref="S251:U251"/>
    <mergeCell ref="S250:U250"/>
    <mergeCell ref="S261:U261"/>
    <mergeCell ref="S260:U260"/>
    <mergeCell ref="S259:U259"/>
    <mergeCell ref="S258:U258"/>
    <mergeCell ref="S257:U257"/>
    <mergeCell ref="S256:U256"/>
    <mergeCell ref="C269:G269"/>
    <mergeCell ref="C268:G268"/>
    <mergeCell ref="C267:G267"/>
    <mergeCell ref="C260:G260"/>
    <mergeCell ref="C259:G259"/>
    <mergeCell ref="C258:G258"/>
    <mergeCell ref="L254:M254"/>
    <mergeCell ref="L253:M253"/>
    <mergeCell ref="L252:M252"/>
    <mergeCell ref="L251:M251"/>
    <mergeCell ref="L250:M250"/>
    <mergeCell ref="L249:M249"/>
    <mergeCell ref="Q250:R250"/>
    <mergeCell ref="Q249:R249"/>
    <mergeCell ref="Q248:R248"/>
    <mergeCell ref="L261:M261"/>
    <mergeCell ref="L260:M260"/>
    <mergeCell ref="L259:M259"/>
    <mergeCell ref="L258:M258"/>
    <mergeCell ref="L257:M257"/>
    <mergeCell ref="L256:M256"/>
    <mergeCell ref="L255:M255"/>
    <mergeCell ref="Q256:R256"/>
    <mergeCell ref="Q255:R255"/>
    <mergeCell ref="Q254:R254"/>
    <mergeCell ref="Q253:R253"/>
    <mergeCell ref="Q252:R252"/>
    <mergeCell ref="Q251:R251"/>
    <mergeCell ref="A262:B262"/>
    <mergeCell ref="A265:B265"/>
    <mergeCell ref="C264:G264"/>
    <mergeCell ref="C263:G263"/>
    <mergeCell ref="C262:G262"/>
    <mergeCell ref="C261:G261"/>
    <mergeCell ref="A261:B261"/>
    <mergeCell ref="A267:B267"/>
    <mergeCell ref="C266:G266"/>
    <mergeCell ref="A266:B266"/>
    <mergeCell ref="C265:G265"/>
    <mergeCell ref="A264:B264"/>
    <mergeCell ref="A263:B263"/>
    <mergeCell ref="L248:M248"/>
    <mergeCell ref="L247:M247"/>
    <mergeCell ref="L246:M246"/>
    <mergeCell ref="L245:M245"/>
    <mergeCell ref="A248:B248"/>
    <mergeCell ref="A247:B247"/>
    <mergeCell ref="A246:B246"/>
    <mergeCell ref="A245:B245"/>
    <mergeCell ref="C247:G247"/>
    <mergeCell ref="C246:G246"/>
    <mergeCell ref="C245:G245"/>
    <mergeCell ref="A254:B254"/>
    <mergeCell ref="A253:B253"/>
    <mergeCell ref="A252:B252"/>
    <mergeCell ref="A251:B251"/>
    <mergeCell ref="A250:B250"/>
    <mergeCell ref="A249:B249"/>
    <mergeCell ref="A260:B260"/>
    <mergeCell ref="A259:B259"/>
    <mergeCell ref="A258:B258"/>
    <mergeCell ref="A257:B257"/>
    <mergeCell ref="A256:B256"/>
    <mergeCell ref="A255:B255"/>
    <mergeCell ref="C257:G257"/>
    <mergeCell ref="C248:G248"/>
    <mergeCell ref="C249:G249"/>
    <mergeCell ref="C250:G250"/>
    <mergeCell ref="C251:G251"/>
    <mergeCell ref="C252:G252"/>
    <mergeCell ref="C253:G253"/>
    <mergeCell ref="C254:G254"/>
    <mergeCell ref="C255:G255"/>
    <mergeCell ref="C256:G256"/>
    <mergeCell ref="C241:G241"/>
    <mergeCell ref="S240:U240"/>
    <mergeCell ref="Q240:R240"/>
    <mergeCell ref="L240:M240"/>
    <mergeCell ref="C240:G240"/>
    <mergeCell ref="A242:B242"/>
    <mergeCell ref="A241:B241"/>
    <mergeCell ref="A240:B240"/>
    <mergeCell ref="A243:B243"/>
    <mergeCell ref="S242:U242"/>
    <mergeCell ref="Q242:R242"/>
    <mergeCell ref="L242:M242"/>
    <mergeCell ref="C242:G242"/>
    <mergeCell ref="S241:U241"/>
    <mergeCell ref="Q241:R241"/>
    <mergeCell ref="S244:U244"/>
    <mergeCell ref="Q244:R244"/>
    <mergeCell ref="L244:M244"/>
    <mergeCell ref="C244:G244"/>
    <mergeCell ref="A244:B244"/>
    <mergeCell ref="S243:U243"/>
    <mergeCell ref="Q243:R243"/>
    <mergeCell ref="L243:M243"/>
    <mergeCell ref="C243:G243"/>
    <mergeCell ref="S236:U236"/>
    <mergeCell ref="Q236:R236"/>
    <mergeCell ref="L236:M236"/>
    <mergeCell ref="C236:G236"/>
    <mergeCell ref="S235:U235"/>
    <mergeCell ref="Q235:R235"/>
    <mergeCell ref="L235:M235"/>
    <mergeCell ref="C235:G235"/>
    <mergeCell ref="A236:B236"/>
    <mergeCell ref="A239:B239"/>
    <mergeCell ref="S238:U238"/>
    <mergeCell ref="Q238:R238"/>
    <mergeCell ref="L238:M238"/>
    <mergeCell ref="C238:G238"/>
    <mergeCell ref="S237:U237"/>
    <mergeCell ref="Q237:R237"/>
    <mergeCell ref="L237:M237"/>
    <mergeCell ref="C237:G237"/>
    <mergeCell ref="S239:U239"/>
    <mergeCell ref="Q239:R239"/>
    <mergeCell ref="L239:M239"/>
    <mergeCell ref="C239:G239"/>
    <mergeCell ref="A238:B238"/>
    <mergeCell ref="A237:B237"/>
    <mergeCell ref="S232:U232"/>
    <mergeCell ref="Q232:R232"/>
    <mergeCell ref="L232:M232"/>
    <mergeCell ref="C232:G232"/>
    <mergeCell ref="S231:U231"/>
    <mergeCell ref="Q231:R231"/>
    <mergeCell ref="L231:M231"/>
    <mergeCell ref="C231:G231"/>
    <mergeCell ref="A234:B234"/>
    <mergeCell ref="A233:B233"/>
    <mergeCell ref="A232:B232"/>
    <mergeCell ref="A235:B235"/>
    <mergeCell ref="S234:U234"/>
    <mergeCell ref="Q234:R234"/>
    <mergeCell ref="L234:M234"/>
    <mergeCell ref="S233:U233"/>
    <mergeCell ref="Q233:R233"/>
    <mergeCell ref="L233:M233"/>
    <mergeCell ref="C191:G191"/>
    <mergeCell ref="L190:M190"/>
    <mergeCell ref="L189:M189"/>
    <mergeCell ref="L188:M188"/>
    <mergeCell ref="C210:G210"/>
    <mergeCell ref="C209:G209"/>
    <mergeCell ref="C208:G208"/>
    <mergeCell ref="C207:G207"/>
    <mergeCell ref="C206:G206"/>
    <mergeCell ref="C205:G205"/>
    <mergeCell ref="C223:G223"/>
    <mergeCell ref="C224:G224"/>
    <mergeCell ref="C225:G225"/>
    <mergeCell ref="C227:G227"/>
    <mergeCell ref="C228:G228"/>
    <mergeCell ref="C229:G229"/>
    <mergeCell ref="C217:G217"/>
    <mergeCell ref="C218:G218"/>
    <mergeCell ref="C219:G219"/>
    <mergeCell ref="C220:G220"/>
    <mergeCell ref="C221:G221"/>
    <mergeCell ref="C222:G222"/>
    <mergeCell ref="L229:M229"/>
    <mergeCell ref="L227:M227"/>
    <mergeCell ref="A193:B193"/>
    <mergeCell ref="A192:B192"/>
    <mergeCell ref="A191:B191"/>
    <mergeCell ref="C216:G216"/>
    <mergeCell ref="C215:G215"/>
    <mergeCell ref="C214:G214"/>
    <mergeCell ref="C213:G213"/>
    <mergeCell ref="A213:B213"/>
    <mergeCell ref="C212:G212"/>
    <mergeCell ref="A200:B200"/>
    <mergeCell ref="A199:B199"/>
    <mergeCell ref="A198:B198"/>
    <mergeCell ref="A197:B197"/>
    <mergeCell ref="A196:B196"/>
    <mergeCell ref="A195:B195"/>
    <mergeCell ref="C199:G199"/>
    <mergeCell ref="C200:G200"/>
    <mergeCell ref="C201:G201"/>
    <mergeCell ref="A207:B207"/>
    <mergeCell ref="A206:B206"/>
    <mergeCell ref="A205:B205"/>
    <mergeCell ref="A204:B204"/>
    <mergeCell ref="A203:B203"/>
    <mergeCell ref="A202:B202"/>
    <mergeCell ref="A201:B201"/>
    <mergeCell ref="C204:G204"/>
    <mergeCell ref="C203:G203"/>
    <mergeCell ref="C202:G202"/>
    <mergeCell ref="C192:G192"/>
    <mergeCell ref="C193:G193"/>
    <mergeCell ref="C194:G194"/>
    <mergeCell ref="C195:G195"/>
    <mergeCell ref="A217:B217"/>
    <mergeCell ref="A216:B216"/>
    <mergeCell ref="A215:B215"/>
    <mergeCell ref="C234:G234"/>
    <mergeCell ref="C233:G233"/>
    <mergeCell ref="C230:G230"/>
    <mergeCell ref="A230:B230"/>
    <mergeCell ref="A222:B222"/>
    <mergeCell ref="A221:B221"/>
    <mergeCell ref="A223:B223"/>
    <mergeCell ref="A212:B212"/>
    <mergeCell ref="C211:G211"/>
    <mergeCell ref="A210:B210"/>
    <mergeCell ref="A209:B209"/>
    <mergeCell ref="A208:B208"/>
    <mergeCell ref="A211:B211"/>
    <mergeCell ref="A194:B194"/>
    <mergeCell ref="C196:G196"/>
    <mergeCell ref="C197:G197"/>
    <mergeCell ref="C198:G198"/>
    <mergeCell ref="A229:B229"/>
    <mergeCell ref="A228:B228"/>
    <mergeCell ref="A227:B227"/>
    <mergeCell ref="A231:B231"/>
    <mergeCell ref="S247:U247"/>
    <mergeCell ref="S246:U246"/>
    <mergeCell ref="S190:U190"/>
    <mergeCell ref="S189:U189"/>
    <mergeCell ref="S188:U188"/>
    <mergeCell ref="S245:U245"/>
    <mergeCell ref="S219:U219"/>
    <mergeCell ref="S214:U214"/>
    <mergeCell ref="S213:U213"/>
    <mergeCell ref="S207:U207"/>
    <mergeCell ref="S226:U226"/>
    <mergeCell ref="Q226:R226"/>
    <mergeCell ref="L226:M226"/>
    <mergeCell ref="C226:G226"/>
    <mergeCell ref="A225:B225"/>
    <mergeCell ref="A224:B224"/>
    <mergeCell ref="A226:B226"/>
    <mergeCell ref="L225:M225"/>
    <mergeCell ref="L224:M224"/>
    <mergeCell ref="A214:B214"/>
    <mergeCell ref="S230:U230"/>
    <mergeCell ref="Q230:R230"/>
    <mergeCell ref="S229:U229"/>
    <mergeCell ref="Q229:R229"/>
    <mergeCell ref="S228:U228"/>
    <mergeCell ref="Q228:R228"/>
    <mergeCell ref="L228:M228"/>
    <mergeCell ref="S227:U227"/>
    <mergeCell ref="Q227:R227"/>
    <mergeCell ref="A220:B220"/>
    <mergeCell ref="A219:B219"/>
    <mergeCell ref="A218:B218"/>
    <mergeCell ref="Q188:R188"/>
    <mergeCell ref="Q189:R189"/>
    <mergeCell ref="Q190:R190"/>
    <mergeCell ref="L187:M187"/>
    <mergeCell ref="L186:M186"/>
    <mergeCell ref="Q181:R181"/>
    <mergeCell ref="Q182:R182"/>
    <mergeCell ref="Q183:R183"/>
    <mergeCell ref="Q184:R184"/>
    <mergeCell ref="Q185:R185"/>
    <mergeCell ref="Q186:R186"/>
    <mergeCell ref="Q247:R247"/>
    <mergeCell ref="Q246:R246"/>
    <mergeCell ref="Q245:R245"/>
    <mergeCell ref="Q172:R172"/>
    <mergeCell ref="Q173:R173"/>
    <mergeCell ref="Q174:R174"/>
    <mergeCell ref="Q175:R175"/>
    <mergeCell ref="Q178:R178"/>
    <mergeCell ref="Q179:R179"/>
    <mergeCell ref="Q180:R180"/>
    <mergeCell ref="L230:M230"/>
    <mergeCell ref="L241:M241"/>
    <mergeCell ref="S187:U187"/>
    <mergeCell ref="S186:U186"/>
    <mergeCell ref="S185:U185"/>
    <mergeCell ref="S184:U184"/>
    <mergeCell ref="S183:U183"/>
    <mergeCell ref="S182:U182"/>
    <mergeCell ref="S181:U181"/>
    <mergeCell ref="L179:M179"/>
    <mergeCell ref="L178:M178"/>
    <mergeCell ref="L177:M177"/>
    <mergeCell ref="L176:M176"/>
    <mergeCell ref="L175:M175"/>
    <mergeCell ref="L174:M174"/>
    <mergeCell ref="L185:M185"/>
    <mergeCell ref="L184:M184"/>
    <mergeCell ref="L183:M183"/>
    <mergeCell ref="L182:M182"/>
    <mergeCell ref="L181:M181"/>
    <mergeCell ref="L180:M180"/>
    <mergeCell ref="Q187:R187"/>
    <mergeCell ref="L172:M172"/>
    <mergeCell ref="L171:M171"/>
    <mergeCell ref="L170:M170"/>
    <mergeCell ref="L169:M169"/>
    <mergeCell ref="S168:U168"/>
    <mergeCell ref="Q168:R168"/>
    <mergeCell ref="L168:M168"/>
    <mergeCell ref="S167:U167"/>
    <mergeCell ref="Q167:R167"/>
    <mergeCell ref="S174:U174"/>
    <mergeCell ref="S173:U173"/>
    <mergeCell ref="S172:U172"/>
    <mergeCell ref="S171:U171"/>
    <mergeCell ref="Q169:R169"/>
    <mergeCell ref="Q170:R170"/>
    <mergeCell ref="Q171:R171"/>
    <mergeCell ref="S180:U180"/>
    <mergeCell ref="S179:U179"/>
    <mergeCell ref="S178:U178"/>
    <mergeCell ref="S177:U177"/>
    <mergeCell ref="S176:U176"/>
    <mergeCell ref="S175:U175"/>
    <mergeCell ref="L173:M173"/>
    <mergeCell ref="Q177:R177"/>
    <mergeCell ref="Q176:R176"/>
    <mergeCell ref="S164:U164"/>
    <mergeCell ref="S163:U163"/>
    <mergeCell ref="Q163:R163"/>
    <mergeCell ref="L163:M163"/>
    <mergeCell ref="S162:U162"/>
    <mergeCell ref="Q162:R162"/>
    <mergeCell ref="L162:M162"/>
    <mergeCell ref="S161:U161"/>
    <mergeCell ref="L166:M166"/>
    <mergeCell ref="L165:M165"/>
    <mergeCell ref="L164:M164"/>
    <mergeCell ref="L167:M167"/>
    <mergeCell ref="S169:U169"/>
    <mergeCell ref="S170:U170"/>
    <mergeCell ref="S166:U166"/>
    <mergeCell ref="S165:U165"/>
    <mergeCell ref="Q165:R165"/>
    <mergeCell ref="Q164:R164"/>
    <mergeCell ref="Q166:R166"/>
    <mergeCell ref="L154:M154"/>
    <mergeCell ref="S159:U159"/>
    <mergeCell ref="S158:U158"/>
    <mergeCell ref="S157:U157"/>
    <mergeCell ref="Q157:R157"/>
    <mergeCell ref="S156:U156"/>
    <mergeCell ref="Q156:R156"/>
    <mergeCell ref="L157:M157"/>
    <mergeCell ref="L160:M160"/>
    <mergeCell ref="L156:M156"/>
    <mergeCell ref="L155:M155"/>
    <mergeCell ref="S154:U154"/>
    <mergeCell ref="Q154:R154"/>
    <mergeCell ref="S155:U155"/>
    <mergeCell ref="Q155:R155"/>
    <mergeCell ref="Q161:R161"/>
    <mergeCell ref="L161:M161"/>
    <mergeCell ref="S160:U160"/>
    <mergeCell ref="Q160:R160"/>
    <mergeCell ref="L159:M159"/>
    <mergeCell ref="L158:M158"/>
    <mergeCell ref="Q159:R159"/>
    <mergeCell ref="Q158:R158"/>
    <mergeCell ref="L146:M146"/>
    <mergeCell ref="L149:M149"/>
    <mergeCell ref="S146:U146"/>
    <mergeCell ref="S145:U145"/>
    <mergeCell ref="Q145:R145"/>
    <mergeCell ref="L144:M144"/>
    <mergeCell ref="S150:U150"/>
    <mergeCell ref="Q148:R148"/>
    <mergeCell ref="Q147:R147"/>
    <mergeCell ref="Q146:R146"/>
    <mergeCell ref="Q150:R150"/>
    <mergeCell ref="L150:M150"/>
    <mergeCell ref="S149:U149"/>
    <mergeCell ref="Q149:R149"/>
    <mergeCell ref="L148:M148"/>
    <mergeCell ref="L147:M147"/>
    <mergeCell ref="S153:U153"/>
    <mergeCell ref="Q153:R153"/>
    <mergeCell ref="S152:U152"/>
    <mergeCell ref="Q152:R152"/>
    <mergeCell ref="S151:U151"/>
    <mergeCell ref="Q151:R151"/>
    <mergeCell ref="L153:M153"/>
    <mergeCell ref="L152:M152"/>
    <mergeCell ref="L151:M151"/>
    <mergeCell ref="L132:M132"/>
    <mergeCell ref="L131:M131"/>
    <mergeCell ref="L130:M130"/>
    <mergeCell ref="L129:M129"/>
    <mergeCell ref="L128:M128"/>
    <mergeCell ref="L127:M127"/>
    <mergeCell ref="L138:M138"/>
    <mergeCell ref="L137:M137"/>
    <mergeCell ref="L136:M136"/>
    <mergeCell ref="L135:M135"/>
    <mergeCell ref="L134:M134"/>
    <mergeCell ref="L133:M133"/>
    <mergeCell ref="L143:M143"/>
    <mergeCell ref="L142:M142"/>
    <mergeCell ref="L145:M145"/>
    <mergeCell ref="L141:M141"/>
    <mergeCell ref="L140:M140"/>
    <mergeCell ref="L139:M139"/>
    <mergeCell ref="S139:U139"/>
    <mergeCell ref="S138:U138"/>
    <mergeCell ref="S137:U137"/>
    <mergeCell ref="S136:U136"/>
    <mergeCell ref="S135:U135"/>
    <mergeCell ref="S134:U134"/>
    <mergeCell ref="Q130:R130"/>
    <mergeCell ref="Q129:R129"/>
    <mergeCell ref="Q128:R128"/>
    <mergeCell ref="S148:U148"/>
    <mergeCell ref="S147:U147"/>
    <mergeCell ref="S144:U144"/>
    <mergeCell ref="S143:U143"/>
    <mergeCell ref="S142:U142"/>
    <mergeCell ref="S141:U141"/>
    <mergeCell ref="S140:U140"/>
    <mergeCell ref="Q136:R136"/>
    <mergeCell ref="Q135:R135"/>
    <mergeCell ref="Q134:R134"/>
    <mergeCell ref="Q133:R133"/>
    <mergeCell ref="Q132:R132"/>
    <mergeCell ref="Q131:R131"/>
    <mergeCell ref="Q144:R144"/>
    <mergeCell ref="Q143:R143"/>
    <mergeCell ref="Q142:R142"/>
    <mergeCell ref="Q141:R141"/>
    <mergeCell ref="Q140:R140"/>
    <mergeCell ref="Q139:R139"/>
    <mergeCell ref="Q138:R138"/>
    <mergeCell ref="Q137:R137"/>
    <mergeCell ref="L208:M208"/>
    <mergeCell ref="Q219:R219"/>
    <mergeCell ref="S218:U218"/>
    <mergeCell ref="Q218:R218"/>
    <mergeCell ref="S217:U217"/>
    <mergeCell ref="Q217:R217"/>
    <mergeCell ref="S215:U215"/>
    <mergeCell ref="S216:U216"/>
    <mergeCell ref="L216:M216"/>
    <mergeCell ref="L215:M215"/>
    <mergeCell ref="L214:M214"/>
    <mergeCell ref="L217:M217"/>
    <mergeCell ref="S225:U225"/>
    <mergeCell ref="S224:U224"/>
    <mergeCell ref="S223:U223"/>
    <mergeCell ref="S222:U222"/>
    <mergeCell ref="S221:U221"/>
    <mergeCell ref="S220:U220"/>
    <mergeCell ref="L223:M223"/>
    <mergeCell ref="L222:M222"/>
    <mergeCell ref="L221:M221"/>
    <mergeCell ref="L220:M220"/>
    <mergeCell ref="L219:M219"/>
    <mergeCell ref="L218:M218"/>
    <mergeCell ref="Q225:R225"/>
    <mergeCell ref="Q224:R224"/>
    <mergeCell ref="Q223:R223"/>
    <mergeCell ref="Q222:R222"/>
    <mergeCell ref="Q221:R221"/>
    <mergeCell ref="S206:U206"/>
    <mergeCell ref="S205:U205"/>
    <mergeCell ref="S204:U204"/>
    <mergeCell ref="S203:U203"/>
    <mergeCell ref="S202:U202"/>
    <mergeCell ref="S201:U201"/>
    <mergeCell ref="L201:M201"/>
    <mergeCell ref="L200:M200"/>
    <mergeCell ref="L199:M199"/>
    <mergeCell ref="L198:M198"/>
    <mergeCell ref="L197:M197"/>
    <mergeCell ref="S212:U212"/>
    <mergeCell ref="S211:U211"/>
    <mergeCell ref="S210:U210"/>
    <mergeCell ref="S209:U209"/>
    <mergeCell ref="S208:U208"/>
    <mergeCell ref="L207:M207"/>
    <mergeCell ref="L206:M206"/>
    <mergeCell ref="L205:M205"/>
    <mergeCell ref="L204:M204"/>
    <mergeCell ref="L203:M203"/>
    <mergeCell ref="L202:M202"/>
    <mergeCell ref="L213:M213"/>
    <mergeCell ref="L212:M212"/>
    <mergeCell ref="L211:M211"/>
    <mergeCell ref="L210:M210"/>
    <mergeCell ref="L209:M209"/>
    <mergeCell ref="Q204:R204"/>
    <mergeCell ref="Q203:R203"/>
    <mergeCell ref="Q202:R202"/>
    <mergeCell ref="Q212:R212"/>
    <mergeCell ref="Q211:R211"/>
    <mergeCell ref="Q210:R210"/>
    <mergeCell ref="Q209:R209"/>
    <mergeCell ref="Q208:R208"/>
    <mergeCell ref="Q207:R207"/>
    <mergeCell ref="Q206:R206"/>
    <mergeCell ref="Q220:R220"/>
    <mergeCell ref="Q216:R216"/>
    <mergeCell ref="Q215:R215"/>
    <mergeCell ref="Q214:R214"/>
    <mergeCell ref="Q213:R213"/>
    <mergeCell ref="Q205:R205"/>
    <mergeCell ref="S200:U200"/>
    <mergeCell ref="L196:M196"/>
    <mergeCell ref="L195:M195"/>
    <mergeCell ref="L194:M194"/>
    <mergeCell ref="Q127:R127"/>
    <mergeCell ref="L191:M191"/>
    <mergeCell ref="L192:M192"/>
    <mergeCell ref="L193:M193"/>
    <mergeCell ref="Q195:R195"/>
    <mergeCell ref="Q194:R194"/>
    <mergeCell ref="Q193:R193"/>
    <mergeCell ref="S195:U195"/>
    <mergeCell ref="S194:U194"/>
    <mergeCell ref="S127:U127"/>
    <mergeCell ref="S191:U191"/>
    <mergeCell ref="S192:U192"/>
    <mergeCell ref="S193:U193"/>
    <mergeCell ref="Q201:R201"/>
    <mergeCell ref="Q200:R200"/>
    <mergeCell ref="Q199:R199"/>
    <mergeCell ref="Q198:R198"/>
    <mergeCell ref="Q197:R197"/>
    <mergeCell ref="Q196:R196"/>
    <mergeCell ref="S199:U199"/>
    <mergeCell ref="S198:U198"/>
    <mergeCell ref="S197:U197"/>
    <mergeCell ref="S196:U196"/>
    <mergeCell ref="S133:U133"/>
    <mergeCell ref="S132:U132"/>
    <mergeCell ref="S131:U131"/>
    <mergeCell ref="S130:U130"/>
    <mergeCell ref="S129:U129"/>
    <mergeCell ref="S128:U128"/>
    <mergeCell ref="Q85:R85"/>
    <mergeCell ref="Q84:R84"/>
    <mergeCell ref="Q83:R83"/>
    <mergeCell ref="Q82:R82"/>
    <mergeCell ref="Q81:R81"/>
    <mergeCell ref="Q80:R80"/>
    <mergeCell ref="Q91:R91"/>
    <mergeCell ref="Q90:R90"/>
    <mergeCell ref="Q89:R89"/>
    <mergeCell ref="Q88:R88"/>
    <mergeCell ref="Q87:R87"/>
    <mergeCell ref="Q86:R86"/>
    <mergeCell ref="L111:M111"/>
    <mergeCell ref="L110:M110"/>
    <mergeCell ref="L113:M113"/>
    <mergeCell ref="Q126:R126"/>
    <mergeCell ref="Q125:R125"/>
    <mergeCell ref="Q123:R123"/>
    <mergeCell ref="Q122:R122"/>
    <mergeCell ref="Q121:R121"/>
    <mergeCell ref="Q117:R117"/>
    <mergeCell ref="Q118:R118"/>
    <mergeCell ref="Q114:R114"/>
    <mergeCell ref="L114:M114"/>
    <mergeCell ref="Q113:R113"/>
    <mergeCell ref="L112:M112"/>
    <mergeCell ref="Q115:R115"/>
    <mergeCell ref="L115:M115"/>
    <mergeCell ref="L117:M117"/>
    <mergeCell ref="L126:M126"/>
    <mergeCell ref="L125:M125"/>
    <mergeCell ref="Q112:R112"/>
    <mergeCell ref="Q104:R104"/>
    <mergeCell ref="S90:U90"/>
    <mergeCell ref="S89:U89"/>
    <mergeCell ref="S88:U88"/>
    <mergeCell ref="S87:U87"/>
    <mergeCell ref="S86:U86"/>
    <mergeCell ref="Q192:R192"/>
    <mergeCell ref="Q191:R191"/>
    <mergeCell ref="S123:U123"/>
    <mergeCell ref="S122:U122"/>
    <mergeCell ref="S121:U121"/>
    <mergeCell ref="S97:U97"/>
    <mergeCell ref="S96:U96"/>
    <mergeCell ref="S95:U95"/>
    <mergeCell ref="S94:U94"/>
    <mergeCell ref="S92:U92"/>
    <mergeCell ref="S91:U91"/>
    <mergeCell ref="S93:U93"/>
    <mergeCell ref="S126:U126"/>
    <mergeCell ref="S107:U107"/>
    <mergeCell ref="S103:U103"/>
    <mergeCell ref="S100:U100"/>
    <mergeCell ref="S99:U99"/>
    <mergeCell ref="S98:U98"/>
    <mergeCell ref="S119:U119"/>
    <mergeCell ref="S104:U104"/>
    <mergeCell ref="S114:U114"/>
    <mergeCell ref="S113:U113"/>
    <mergeCell ref="S118:U118"/>
    <mergeCell ref="S117:U117"/>
    <mergeCell ref="S116:U116"/>
    <mergeCell ref="L103:M103"/>
    <mergeCell ref="L102:M102"/>
    <mergeCell ref="L101:M101"/>
    <mergeCell ref="L104:M104"/>
    <mergeCell ref="C190:G190"/>
    <mergeCell ref="A190:B190"/>
    <mergeCell ref="C189:G189"/>
    <mergeCell ref="A189:B189"/>
    <mergeCell ref="C188:G188"/>
    <mergeCell ref="A188:B188"/>
    <mergeCell ref="L109:M109"/>
    <mergeCell ref="S108:U108"/>
    <mergeCell ref="Q108:R108"/>
    <mergeCell ref="L107:M107"/>
    <mergeCell ref="L106:M106"/>
    <mergeCell ref="L105:M105"/>
    <mergeCell ref="L108:M108"/>
    <mergeCell ref="S106:U106"/>
    <mergeCell ref="S105:U105"/>
    <mergeCell ref="Q105:R105"/>
    <mergeCell ref="Q119:R119"/>
    <mergeCell ref="S112:U112"/>
    <mergeCell ref="S111:U111"/>
    <mergeCell ref="S110:U110"/>
    <mergeCell ref="Q110:R110"/>
    <mergeCell ref="S109:U109"/>
    <mergeCell ref="Q109:R109"/>
    <mergeCell ref="Q102:R102"/>
    <mergeCell ref="Q103:R103"/>
    <mergeCell ref="Q106:R106"/>
    <mergeCell ref="Q107:R107"/>
    <mergeCell ref="Q111:R111"/>
    <mergeCell ref="A179:B179"/>
    <mergeCell ref="A178:B178"/>
    <mergeCell ref="A181:B181"/>
    <mergeCell ref="C180:G180"/>
    <mergeCell ref="C179:G179"/>
    <mergeCell ref="C178:G178"/>
    <mergeCell ref="C183:G183"/>
    <mergeCell ref="A183:B183"/>
    <mergeCell ref="C182:G182"/>
    <mergeCell ref="A182:B182"/>
    <mergeCell ref="C181:G181"/>
    <mergeCell ref="A180:B180"/>
    <mergeCell ref="C187:G187"/>
    <mergeCell ref="A186:B186"/>
    <mergeCell ref="A185:B185"/>
    <mergeCell ref="A184:B184"/>
    <mergeCell ref="A187:B187"/>
    <mergeCell ref="C186:G186"/>
    <mergeCell ref="C185:G185"/>
    <mergeCell ref="C184:G184"/>
    <mergeCell ref="C172:G172"/>
    <mergeCell ref="A177:B177"/>
    <mergeCell ref="A176:B176"/>
    <mergeCell ref="A175:B175"/>
    <mergeCell ref="A174:B174"/>
    <mergeCell ref="A173:B173"/>
    <mergeCell ref="A172:B172"/>
    <mergeCell ref="C177:G177"/>
    <mergeCell ref="C176:G176"/>
    <mergeCell ref="C175:G175"/>
    <mergeCell ref="C174:G174"/>
    <mergeCell ref="C173:G173"/>
    <mergeCell ref="C164:G164"/>
    <mergeCell ref="C165:G165"/>
    <mergeCell ref="C166:G166"/>
    <mergeCell ref="C167:G167"/>
    <mergeCell ref="C168:G168"/>
    <mergeCell ref="A165:B165"/>
    <mergeCell ref="A164:B164"/>
    <mergeCell ref="A163:B163"/>
    <mergeCell ref="A162:B162"/>
    <mergeCell ref="A161:B161"/>
    <mergeCell ref="C163:G163"/>
    <mergeCell ref="C162:G162"/>
    <mergeCell ref="C161:G161"/>
    <mergeCell ref="A171:B171"/>
    <mergeCell ref="A170:B170"/>
    <mergeCell ref="A169:B169"/>
    <mergeCell ref="A168:B168"/>
    <mergeCell ref="A167:B167"/>
    <mergeCell ref="A166:B166"/>
    <mergeCell ref="C169:G169"/>
    <mergeCell ref="C170:G170"/>
    <mergeCell ref="C171:G171"/>
    <mergeCell ref="A155:B155"/>
    <mergeCell ref="A124:B124"/>
    <mergeCell ref="A123:B123"/>
    <mergeCell ref="C122:G122"/>
    <mergeCell ref="A122:B122"/>
    <mergeCell ref="A128:B128"/>
    <mergeCell ref="C127:G127"/>
    <mergeCell ref="A127:B127"/>
    <mergeCell ref="C157:G157"/>
    <mergeCell ref="A157:B157"/>
    <mergeCell ref="C156:G156"/>
    <mergeCell ref="A156:B156"/>
    <mergeCell ref="C155:G155"/>
    <mergeCell ref="A154:B154"/>
    <mergeCell ref="C154:G154"/>
    <mergeCell ref="C160:G160"/>
    <mergeCell ref="A160:B160"/>
    <mergeCell ref="C159:G159"/>
    <mergeCell ref="A159:B159"/>
    <mergeCell ref="C158:G158"/>
    <mergeCell ref="A158:B158"/>
    <mergeCell ref="Q116:R116"/>
    <mergeCell ref="L116:M116"/>
    <mergeCell ref="C115:G115"/>
    <mergeCell ref="C114:G114"/>
    <mergeCell ref="C113:G113"/>
    <mergeCell ref="C116:G116"/>
    <mergeCell ref="L123:M123"/>
    <mergeCell ref="L122:M122"/>
    <mergeCell ref="L121:M121"/>
    <mergeCell ref="L124:M124"/>
    <mergeCell ref="A120:B120"/>
    <mergeCell ref="C119:G119"/>
    <mergeCell ref="C120:G120"/>
    <mergeCell ref="C126:G126"/>
    <mergeCell ref="A126:B126"/>
    <mergeCell ref="S125:U125"/>
    <mergeCell ref="C125:G125"/>
    <mergeCell ref="A125:B125"/>
    <mergeCell ref="S124:U124"/>
    <mergeCell ref="Q124:R124"/>
    <mergeCell ref="C121:G121"/>
    <mergeCell ref="A121:B121"/>
    <mergeCell ref="S120:U120"/>
    <mergeCell ref="Q120:R120"/>
    <mergeCell ref="L119:M119"/>
    <mergeCell ref="L118:M118"/>
    <mergeCell ref="L120:M120"/>
    <mergeCell ref="C118:G118"/>
    <mergeCell ref="S115:U115"/>
    <mergeCell ref="C149:G149"/>
    <mergeCell ref="A148:B148"/>
    <mergeCell ref="A147:B147"/>
    <mergeCell ref="A146:B146"/>
    <mergeCell ref="A149:B149"/>
    <mergeCell ref="A145:B145"/>
    <mergeCell ref="C153:G153"/>
    <mergeCell ref="C152:G152"/>
    <mergeCell ref="C151:G151"/>
    <mergeCell ref="A151:B151"/>
    <mergeCell ref="C150:G150"/>
    <mergeCell ref="A150:B150"/>
    <mergeCell ref="C137:G137"/>
    <mergeCell ref="C138:G138"/>
    <mergeCell ref="C139:G139"/>
    <mergeCell ref="C140:G140"/>
    <mergeCell ref="C141:G141"/>
    <mergeCell ref="C142:G142"/>
    <mergeCell ref="C148:G148"/>
    <mergeCell ref="C147:G147"/>
    <mergeCell ref="C146:G146"/>
    <mergeCell ref="C145:G145"/>
    <mergeCell ref="C144:G144"/>
    <mergeCell ref="C143:G143"/>
    <mergeCell ref="A153:B153"/>
    <mergeCell ref="A152:B152"/>
    <mergeCell ref="S102:U102"/>
    <mergeCell ref="S101:U101"/>
    <mergeCell ref="A112:B112"/>
    <mergeCell ref="A110:B110"/>
    <mergeCell ref="A109:B109"/>
    <mergeCell ref="A108:B108"/>
    <mergeCell ref="A138:B138"/>
    <mergeCell ref="A137:B137"/>
    <mergeCell ref="A136:B136"/>
    <mergeCell ref="A135:B135"/>
    <mergeCell ref="A134:B134"/>
    <mergeCell ref="A133:B133"/>
    <mergeCell ref="A144:B144"/>
    <mergeCell ref="A143:B143"/>
    <mergeCell ref="A142:B142"/>
    <mergeCell ref="A141:B141"/>
    <mergeCell ref="A140:B140"/>
    <mergeCell ref="A139:B139"/>
    <mergeCell ref="C131:G131"/>
    <mergeCell ref="C130:G130"/>
    <mergeCell ref="C129:G129"/>
    <mergeCell ref="C128:G128"/>
    <mergeCell ref="C124:G124"/>
    <mergeCell ref="C123:G123"/>
    <mergeCell ref="C136:G136"/>
    <mergeCell ref="C135:G135"/>
    <mergeCell ref="C134:G134"/>
    <mergeCell ref="C133:G133"/>
    <mergeCell ref="C132:G132"/>
    <mergeCell ref="C106:G106"/>
    <mergeCell ref="C105:G105"/>
    <mergeCell ref="C104:G104"/>
    <mergeCell ref="Q101:R101"/>
    <mergeCell ref="C95:G95"/>
    <mergeCell ref="C94:G94"/>
    <mergeCell ref="C93:G93"/>
    <mergeCell ref="L95:M95"/>
    <mergeCell ref="L94:M94"/>
    <mergeCell ref="L93:M93"/>
    <mergeCell ref="Q93:R93"/>
    <mergeCell ref="Q94:R94"/>
    <mergeCell ref="Q95:R95"/>
    <mergeCell ref="Q96:R96"/>
    <mergeCell ref="Q97:R97"/>
    <mergeCell ref="Q98:R98"/>
    <mergeCell ref="A132:B132"/>
    <mergeCell ref="A131:B131"/>
    <mergeCell ref="A130:B130"/>
    <mergeCell ref="A129:B129"/>
    <mergeCell ref="C100:G100"/>
    <mergeCell ref="C99:G99"/>
    <mergeCell ref="C98:G98"/>
    <mergeCell ref="C97:G97"/>
    <mergeCell ref="C96:G96"/>
    <mergeCell ref="C103:G103"/>
    <mergeCell ref="C102:G102"/>
    <mergeCell ref="C101:G101"/>
    <mergeCell ref="C112:G112"/>
    <mergeCell ref="C111:G111"/>
    <mergeCell ref="C110:G110"/>
    <mergeCell ref="C109:G109"/>
    <mergeCell ref="C108:G108"/>
    <mergeCell ref="C107:G107"/>
    <mergeCell ref="C117:G117"/>
    <mergeCell ref="L92:M92"/>
    <mergeCell ref="L91:M91"/>
    <mergeCell ref="L90:M90"/>
    <mergeCell ref="L89:M89"/>
    <mergeCell ref="L88:M88"/>
    <mergeCell ref="L87:M87"/>
    <mergeCell ref="Q92:R92"/>
    <mergeCell ref="C91:G91"/>
    <mergeCell ref="C90:G90"/>
    <mergeCell ref="C89:G89"/>
    <mergeCell ref="C92:G92"/>
    <mergeCell ref="L100:M100"/>
    <mergeCell ref="L99:M99"/>
    <mergeCell ref="L98:M98"/>
    <mergeCell ref="L97:M97"/>
    <mergeCell ref="L96:M96"/>
    <mergeCell ref="Q99:R99"/>
    <mergeCell ref="Q100:R100"/>
    <mergeCell ref="C76:G76"/>
    <mergeCell ref="C75:G75"/>
    <mergeCell ref="C74:G74"/>
    <mergeCell ref="C73:G73"/>
    <mergeCell ref="C72:G72"/>
    <mergeCell ref="C83:G83"/>
    <mergeCell ref="C82:G82"/>
    <mergeCell ref="C81:G81"/>
    <mergeCell ref="C80:G80"/>
    <mergeCell ref="C79:G79"/>
    <mergeCell ref="C78:G78"/>
    <mergeCell ref="L86:M86"/>
    <mergeCell ref="L85:M85"/>
    <mergeCell ref="L84:M84"/>
    <mergeCell ref="C88:G88"/>
    <mergeCell ref="C87:G87"/>
    <mergeCell ref="C86:G86"/>
    <mergeCell ref="C85:G85"/>
    <mergeCell ref="C84:G84"/>
    <mergeCell ref="S73:U73"/>
    <mergeCell ref="S72:U72"/>
    <mergeCell ref="S71:U71"/>
    <mergeCell ref="L71:M71"/>
    <mergeCell ref="L70:M70"/>
    <mergeCell ref="L69:M69"/>
    <mergeCell ref="S79:U79"/>
    <mergeCell ref="S78:U78"/>
    <mergeCell ref="S77:U77"/>
    <mergeCell ref="S76:U76"/>
    <mergeCell ref="S75:U75"/>
    <mergeCell ref="S74:U74"/>
    <mergeCell ref="S85:U85"/>
    <mergeCell ref="S84:U84"/>
    <mergeCell ref="S83:U83"/>
    <mergeCell ref="S82:U82"/>
    <mergeCell ref="S81:U81"/>
    <mergeCell ref="S80:U80"/>
    <mergeCell ref="Q73:R73"/>
    <mergeCell ref="Q72:R72"/>
    <mergeCell ref="Q71:R71"/>
    <mergeCell ref="Q70:R70"/>
    <mergeCell ref="Q69:R69"/>
    <mergeCell ref="Q79:R79"/>
    <mergeCell ref="Q78:R78"/>
    <mergeCell ref="Q77:R77"/>
    <mergeCell ref="Q76:R76"/>
    <mergeCell ref="Q75:R75"/>
    <mergeCell ref="Q74:R74"/>
    <mergeCell ref="L73:M73"/>
    <mergeCell ref="L72:M72"/>
    <mergeCell ref="L83:M83"/>
    <mergeCell ref="C31:G31"/>
    <mergeCell ref="C30:G30"/>
    <mergeCell ref="C29:G29"/>
    <mergeCell ref="S44:U44"/>
    <mergeCell ref="S43:U43"/>
    <mergeCell ref="C71:G71"/>
    <mergeCell ref="C70:G70"/>
    <mergeCell ref="C26:G26"/>
    <mergeCell ref="C25:G25"/>
    <mergeCell ref="Q30:R30"/>
    <mergeCell ref="Q29:R29"/>
    <mergeCell ref="Q28:R28"/>
    <mergeCell ref="S38:U38"/>
    <mergeCell ref="L68:M68"/>
    <mergeCell ref="S49:U49"/>
    <mergeCell ref="S48:U48"/>
    <mergeCell ref="S47:U47"/>
    <mergeCell ref="S46:U46"/>
    <mergeCell ref="S45:U45"/>
    <mergeCell ref="L58:M58"/>
    <mergeCell ref="L57:M57"/>
    <mergeCell ref="S55:U55"/>
    <mergeCell ref="S56:U56"/>
    <mergeCell ref="Q68:R68"/>
    <mergeCell ref="S34:U34"/>
    <mergeCell ref="S33:U33"/>
    <mergeCell ref="S32:U32"/>
    <mergeCell ref="C7:G7"/>
    <mergeCell ref="S70:U70"/>
    <mergeCell ref="S69:U69"/>
    <mergeCell ref="S26:U26"/>
    <mergeCell ref="S25:U25"/>
    <mergeCell ref="S24:U24"/>
    <mergeCell ref="S68:U68"/>
    <mergeCell ref="Q24:R24"/>
    <mergeCell ref="Q25:R25"/>
    <mergeCell ref="Q26:R26"/>
    <mergeCell ref="C13:G13"/>
    <mergeCell ref="C12:G12"/>
    <mergeCell ref="C11:G11"/>
    <mergeCell ref="C10:G10"/>
    <mergeCell ref="C9:G9"/>
    <mergeCell ref="C8:G8"/>
    <mergeCell ref="C19:G19"/>
    <mergeCell ref="C18:G18"/>
    <mergeCell ref="C17:G17"/>
    <mergeCell ref="C16:G16"/>
    <mergeCell ref="C15:G15"/>
    <mergeCell ref="C14:G14"/>
    <mergeCell ref="C24:G24"/>
    <mergeCell ref="C69:G69"/>
    <mergeCell ref="C23:G23"/>
    <mergeCell ref="C22:G22"/>
    <mergeCell ref="C21:G21"/>
    <mergeCell ref="C20:G20"/>
    <mergeCell ref="C32:G32"/>
    <mergeCell ref="S9:U9"/>
    <mergeCell ref="S8:U8"/>
    <mergeCell ref="S7:U7"/>
    <mergeCell ref="A119:B119"/>
    <mergeCell ref="A118:B118"/>
    <mergeCell ref="A117:B117"/>
    <mergeCell ref="A116:B116"/>
    <mergeCell ref="A115:B115"/>
    <mergeCell ref="A114:B114"/>
    <mergeCell ref="A113:B113"/>
    <mergeCell ref="S15:U15"/>
    <mergeCell ref="S14:U14"/>
    <mergeCell ref="S13:U13"/>
    <mergeCell ref="S12:U12"/>
    <mergeCell ref="S11:U11"/>
    <mergeCell ref="S10:U10"/>
    <mergeCell ref="S21:U21"/>
    <mergeCell ref="S20:U20"/>
    <mergeCell ref="S19:U19"/>
    <mergeCell ref="S18:U18"/>
    <mergeCell ref="S17:U17"/>
    <mergeCell ref="S16:U16"/>
    <mergeCell ref="S31:U31"/>
    <mergeCell ref="S30:U30"/>
    <mergeCell ref="S29:U29"/>
    <mergeCell ref="S28:U28"/>
    <mergeCell ref="S23:U23"/>
    <mergeCell ref="S22:U22"/>
    <mergeCell ref="S27:U27"/>
    <mergeCell ref="S37:U37"/>
    <mergeCell ref="S36:U36"/>
    <mergeCell ref="S35:U35"/>
    <mergeCell ref="A96:B96"/>
    <mergeCell ref="A95:B95"/>
    <mergeCell ref="A94:B94"/>
    <mergeCell ref="A93:B93"/>
    <mergeCell ref="A92:B92"/>
    <mergeCell ref="A91:B91"/>
    <mergeCell ref="A102:B102"/>
    <mergeCell ref="A101:B101"/>
    <mergeCell ref="A100:B100"/>
    <mergeCell ref="A99:B99"/>
    <mergeCell ref="A98:B98"/>
    <mergeCell ref="A97:B97"/>
    <mergeCell ref="A111:B111"/>
    <mergeCell ref="A107:B107"/>
    <mergeCell ref="A106:B106"/>
    <mergeCell ref="A105:B105"/>
    <mergeCell ref="A104:B104"/>
    <mergeCell ref="A103:B103"/>
    <mergeCell ref="A78:B78"/>
    <mergeCell ref="A77:B77"/>
    <mergeCell ref="A76:B76"/>
    <mergeCell ref="A75:B75"/>
    <mergeCell ref="A74:B74"/>
    <mergeCell ref="L59:M59"/>
    <mergeCell ref="L67:M67"/>
    <mergeCell ref="L66:M66"/>
    <mergeCell ref="C59:G59"/>
    <mergeCell ref="C63:G63"/>
    <mergeCell ref="A84:B84"/>
    <mergeCell ref="A83:B83"/>
    <mergeCell ref="A82:B82"/>
    <mergeCell ref="A81:B81"/>
    <mergeCell ref="A80:B80"/>
    <mergeCell ref="A79:B79"/>
    <mergeCell ref="A90:B90"/>
    <mergeCell ref="A89:B89"/>
    <mergeCell ref="A88:B88"/>
    <mergeCell ref="A87:B87"/>
    <mergeCell ref="A86:B86"/>
    <mergeCell ref="A85:B85"/>
    <mergeCell ref="L82:M82"/>
    <mergeCell ref="L81:M81"/>
    <mergeCell ref="L80:M80"/>
    <mergeCell ref="L79:M79"/>
    <mergeCell ref="L78:M78"/>
    <mergeCell ref="L77:M77"/>
    <mergeCell ref="L76:M76"/>
    <mergeCell ref="L75:M75"/>
    <mergeCell ref="L74:M74"/>
    <mergeCell ref="C77:G77"/>
    <mergeCell ref="L35:M35"/>
    <mergeCell ref="Q34:R34"/>
    <mergeCell ref="L34:M34"/>
    <mergeCell ref="L44:M44"/>
    <mergeCell ref="L43:M43"/>
    <mergeCell ref="Q52:R52"/>
    <mergeCell ref="Q51:R51"/>
    <mergeCell ref="Q49:R49"/>
    <mergeCell ref="Q48:R48"/>
    <mergeCell ref="Q47:R47"/>
    <mergeCell ref="Q46:R46"/>
    <mergeCell ref="Q27:R27"/>
    <mergeCell ref="L26:M26"/>
    <mergeCell ref="L25:M25"/>
    <mergeCell ref="L24:M24"/>
    <mergeCell ref="L27:M27"/>
    <mergeCell ref="Q61:R61"/>
    <mergeCell ref="Q60:R60"/>
    <mergeCell ref="Q59:R59"/>
    <mergeCell ref="Q58:R58"/>
    <mergeCell ref="Q57:R57"/>
    <mergeCell ref="Q43:R43"/>
    <mergeCell ref="Q38:R38"/>
    <mergeCell ref="Q37:R37"/>
    <mergeCell ref="Q36:R36"/>
    <mergeCell ref="Q56:R56"/>
    <mergeCell ref="Q55:R55"/>
    <mergeCell ref="Q54:R54"/>
    <mergeCell ref="Q53:R53"/>
    <mergeCell ref="L38:M38"/>
    <mergeCell ref="L37:M37"/>
    <mergeCell ref="L36:M36"/>
    <mergeCell ref="L39:M39"/>
    <mergeCell ref="S42:U42"/>
    <mergeCell ref="Q42:R42"/>
    <mergeCell ref="S41:U41"/>
    <mergeCell ref="Q41:R41"/>
    <mergeCell ref="L41:M41"/>
    <mergeCell ref="S40:U40"/>
    <mergeCell ref="Q40:R40"/>
    <mergeCell ref="L40:M40"/>
    <mergeCell ref="L42:M42"/>
    <mergeCell ref="L29:M29"/>
    <mergeCell ref="L28:M28"/>
    <mergeCell ref="L31:M31"/>
    <mergeCell ref="S67:U67"/>
    <mergeCell ref="Q67:R67"/>
    <mergeCell ref="S66:U66"/>
    <mergeCell ref="Q64:R64"/>
    <mergeCell ref="Q63:R63"/>
    <mergeCell ref="Q62:R62"/>
    <mergeCell ref="Q66:R66"/>
    <mergeCell ref="Q33:R33"/>
    <mergeCell ref="L33:M33"/>
    <mergeCell ref="Q32:R32"/>
    <mergeCell ref="L32:M32"/>
    <mergeCell ref="Q31:R31"/>
    <mergeCell ref="L30:M30"/>
    <mergeCell ref="Q45:R45"/>
    <mergeCell ref="Q44:R44"/>
    <mergeCell ref="Q35:R35"/>
    <mergeCell ref="Q65:R65"/>
    <mergeCell ref="L60:M60"/>
    <mergeCell ref="L61:M61"/>
    <mergeCell ref="L62:M62"/>
    <mergeCell ref="L63:M63"/>
    <mergeCell ref="L64:M64"/>
    <mergeCell ref="L65:M65"/>
    <mergeCell ref="L52:M52"/>
    <mergeCell ref="L51:M51"/>
    <mergeCell ref="S50:U50"/>
    <mergeCell ref="Q50:R50"/>
    <mergeCell ref="L46:M46"/>
    <mergeCell ref="L45:M45"/>
    <mergeCell ref="L50:M50"/>
    <mergeCell ref="L49:M49"/>
    <mergeCell ref="L48:M48"/>
    <mergeCell ref="S39:U39"/>
    <mergeCell ref="Q39:R39"/>
    <mergeCell ref="S63:U63"/>
    <mergeCell ref="S64:U64"/>
    <mergeCell ref="S57:U57"/>
    <mergeCell ref="S58:U58"/>
    <mergeCell ref="S59:U59"/>
    <mergeCell ref="S60:U60"/>
    <mergeCell ref="S61:U61"/>
    <mergeCell ref="S62:U62"/>
    <mergeCell ref="S65:U65"/>
    <mergeCell ref="S51:U51"/>
    <mergeCell ref="S52:U52"/>
    <mergeCell ref="S53:U53"/>
    <mergeCell ref="S54:U54"/>
    <mergeCell ref="A32:B32"/>
    <mergeCell ref="A31:B31"/>
    <mergeCell ref="A30:B30"/>
    <mergeCell ref="A33:B33"/>
    <mergeCell ref="C46:G46"/>
    <mergeCell ref="C45:G45"/>
    <mergeCell ref="C44:G44"/>
    <mergeCell ref="C43:G43"/>
    <mergeCell ref="A43:B43"/>
    <mergeCell ref="C42:G42"/>
    <mergeCell ref="A36:B36"/>
    <mergeCell ref="C35:G35"/>
    <mergeCell ref="A35:B35"/>
    <mergeCell ref="C34:G34"/>
    <mergeCell ref="A34:B34"/>
    <mergeCell ref="C33:G33"/>
    <mergeCell ref="A24:B24"/>
    <mergeCell ref="A27:B27"/>
    <mergeCell ref="C41:G41"/>
    <mergeCell ref="C40:G40"/>
    <mergeCell ref="C39:G39"/>
    <mergeCell ref="C38:G38"/>
    <mergeCell ref="A38:B38"/>
    <mergeCell ref="C37:G37"/>
    <mergeCell ref="A37:B37"/>
    <mergeCell ref="C36:G36"/>
    <mergeCell ref="A29:B29"/>
    <mergeCell ref="C28:G28"/>
    <mergeCell ref="A28:B28"/>
    <mergeCell ref="C27:G27"/>
    <mergeCell ref="A26:B26"/>
    <mergeCell ref="A25:B25"/>
    <mergeCell ref="A48:B48"/>
    <mergeCell ref="L47:M47"/>
    <mergeCell ref="C47:G47"/>
    <mergeCell ref="A46:B46"/>
    <mergeCell ref="A45:B45"/>
    <mergeCell ref="A44:B44"/>
    <mergeCell ref="A47:B47"/>
    <mergeCell ref="A41:B41"/>
    <mergeCell ref="A40:B40"/>
    <mergeCell ref="A39:B39"/>
    <mergeCell ref="A42:B42"/>
    <mergeCell ref="C52:G52"/>
    <mergeCell ref="C51:G51"/>
    <mergeCell ref="C50:G50"/>
    <mergeCell ref="C49:G49"/>
    <mergeCell ref="A49:B49"/>
    <mergeCell ref="C48:G48"/>
    <mergeCell ref="A50:B50"/>
    <mergeCell ref="A53:B53"/>
    <mergeCell ref="C60:G60"/>
    <mergeCell ref="C61:G61"/>
    <mergeCell ref="C62:G62"/>
    <mergeCell ref="A62:B62"/>
    <mergeCell ref="A61:B61"/>
    <mergeCell ref="A60:B60"/>
    <mergeCell ref="A59:B59"/>
    <mergeCell ref="L54:M54"/>
    <mergeCell ref="C54:G54"/>
    <mergeCell ref="A54:B54"/>
    <mergeCell ref="L53:M53"/>
    <mergeCell ref="C53:G53"/>
    <mergeCell ref="A52:B52"/>
    <mergeCell ref="C58:G58"/>
    <mergeCell ref="C57:G57"/>
    <mergeCell ref="L56:M56"/>
    <mergeCell ref="C56:G56"/>
    <mergeCell ref="A56:B56"/>
    <mergeCell ref="L55:M55"/>
    <mergeCell ref="C55:G55"/>
    <mergeCell ref="A55:B55"/>
    <mergeCell ref="A58:B58"/>
    <mergeCell ref="A57:B57"/>
    <mergeCell ref="A68:B68"/>
    <mergeCell ref="A67:B67"/>
    <mergeCell ref="A66:B66"/>
    <mergeCell ref="A65:B65"/>
    <mergeCell ref="A64:B64"/>
    <mergeCell ref="A63:B63"/>
    <mergeCell ref="C64:G64"/>
    <mergeCell ref="C65:G65"/>
    <mergeCell ref="C66:G66"/>
    <mergeCell ref="C67:G67"/>
    <mergeCell ref="C68:G68"/>
    <mergeCell ref="A73:B73"/>
    <mergeCell ref="A72:B72"/>
    <mergeCell ref="A71:B71"/>
    <mergeCell ref="A70:B70"/>
    <mergeCell ref="A69:B69"/>
    <mergeCell ref="A51:B51"/>
    <mergeCell ref="A23:B23"/>
    <mergeCell ref="A22:B22"/>
    <mergeCell ref="A21:B21"/>
    <mergeCell ref="A20:B20"/>
    <mergeCell ref="A19:B19"/>
    <mergeCell ref="Q17:R17"/>
    <mergeCell ref="Q16:R16"/>
    <mergeCell ref="Q15:R15"/>
    <mergeCell ref="Q14:R14"/>
    <mergeCell ref="Q13:R13"/>
    <mergeCell ref="Q12:R12"/>
    <mergeCell ref="Q23:R23"/>
    <mergeCell ref="Q22:R22"/>
    <mergeCell ref="Q21:R21"/>
    <mergeCell ref="Q20:R20"/>
    <mergeCell ref="Q19:R19"/>
    <mergeCell ref="Q18:R18"/>
    <mergeCell ref="L17:M17"/>
    <mergeCell ref="L16:M16"/>
    <mergeCell ref="L15:M15"/>
    <mergeCell ref="L14:M14"/>
    <mergeCell ref="L13:M13"/>
    <mergeCell ref="L12:M12"/>
    <mergeCell ref="L23:M23"/>
    <mergeCell ref="L22:M22"/>
    <mergeCell ref="L21:M21"/>
    <mergeCell ref="L20:M20"/>
    <mergeCell ref="L19:M19"/>
    <mergeCell ref="L18:M18"/>
    <mergeCell ref="A12:B12"/>
    <mergeCell ref="A11:B11"/>
    <mergeCell ref="A10:B10"/>
    <mergeCell ref="A9:B9"/>
    <mergeCell ref="A8:B8"/>
    <mergeCell ref="A7:B7"/>
    <mergeCell ref="A18:B18"/>
    <mergeCell ref="A17:B17"/>
    <mergeCell ref="A16:B16"/>
    <mergeCell ref="A15:B15"/>
    <mergeCell ref="A14:B14"/>
    <mergeCell ref="A13:B13"/>
    <mergeCell ref="Q11:R11"/>
    <mergeCell ref="Q10:R10"/>
    <mergeCell ref="Q9:R9"/>
    <mergeCell ref="Q8:R8"/>
    <mergeCell ref="Q7:R7"/>
    <mergeCell ref="L11:M11"/>
    <mergeCell ref="L10:M10"/>
    <mergeCell ref="L9:M9"/>
    <mergeCell ref="L8:M8"/>
    <mergeCell ref="L7:M7"/>
    <mergeCell ref="F1:Q1"/>
    <mergeCell ref="R1:S4"/>
    <mergeCell ref="N5:N6"/>
    <mergeCell ref="O5:O6"/>
    <mergeCell ref="P5:P6"/>
    <mergeCell ref="Q5:R6"/>
    <mergeCell ref="S5:U6"/>
    <mergeCell ref="A1:D4"/>
    <mergeCell ref="E1:E4"/>
    <mergeCell ref="F4:Q4"/>
    <mergeCell ref="F3:Q3"/>
    <mergeCell ref="F2:Q2"/>
    <mergeCell ref="A5:B6"/>
    <mergeCell ref="C5:G6"/>
    <mergeCell ref="H5:H6"/>
    <mergeCell ref="I5:I6"/>
    <mergeCell ref="J5:J6"/>
    <mergeCell ref="L6:M6"/>
    <mergeCell ref="K5:M5"/>
  </mergeCells>
  <pageMargins left="0.49212497472763062" right="0.39369446039199829" top="0.78738892078399658" bottom="0.78738892078399658" header="0.39369446039199829" footer="0.39369446039199829"/>
  <pageSetup paperSize="9" orientation="landscape" horizontalDpi="0" verticalDpi="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443AFD2AFFA4D852F25331F638403" ma:contentTypeVersion="14" ma:contentTypeDescription="Crea un document nou" ma:contentTypeScope="" ma:versionID="b9d35ddb5bd218fb2ea0605c598f21f2">
  <xsd:schema xmlns:xsd="http://www.w3.org/2001/XMLSchema" xmlns:xs="http://www.w3.org/2001/XMLSchema" xmlns:p="http://schemas.microsoft.com/office/2006/metadata/properties" xmlns:ns2="f4bb13fd-9b6b-4261-99c4-9c268a2920e2" xmlns:ns3="4fc8459e-692b-470d-a014-31b9e2216e42" targetNamespace="http://schemas.microsoft.com/office/2006/metadata/properties" ma:root="true" ma:fieldsID="ac8ac84d0890fc578c671de53ce566a8" ns2:_="" ns3:_="">
    <xsd:import namespace="f4bb13fd-9b6b-4261-99c4-9c268a2920e2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b13fd-9b6b-4261-99c4-9c268a29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b13fd-9b6b-4261-99c4-9c268a2920e2">
      <Terms xmlns="http://schemas.microsoft.com/office/infopath/2007/PartnerControls"/>
    </lcf76f155ced4ddcb4097134ff3c332f>
    <TaxCatchAll xmlns="4fc8459e-692b-470d-a014-31b9e2216e42" xsi:nil="true"/>
  </documentManagement>
</p:properties>
</file>

<file path=customXml/itemProps1.xml><?xml version="1.0" encoding="utf-8"?>
<ds:datastoreItem xmlns:ds="http://schemas.openxmlformats.org/officeDocument/2006/customXml" ds:itemID="{B0A6DE3C-7C93-4FDB-ACB9-40F4EBD48C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C816A8-2B64-421F-BCCD-C5D5B8D5A3A7}"/>
</file>

<file path=customXml/itemProps3.xml><?xml version="1.0" encoding="utf-8"?>
<ds:datastoreItem xmlns:ds="http://schemas.openxmlformats.org/officeDocument/2006/customXml" ds:itemID="{A3416003-7297-41AE-9C82-BE769CFE2008}">
  <ds:schemaRefs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4fc8459e-692b-470d-a014-31b9e2216e42"/>
    <ds:schemaRef ds:uri="f4bb13fd-9b6b-4261-99c4-9c268a2920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</vt:lpstr>
      <vt:lpstr>__bookmark_1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Tilve Balaguer</dc:creator>
  <cp:lastModifiedBy>Cristina Perez Bueno</cp:lastModifiedBy>
  <dcterms:created xsi:type="dcterms:W3CDTF">2025-02-04T09:13:18Z</dcterms:created>
  <dcterms:modified xsi:type="dcterms:W3CDTF">2025-02-04T10:26:55Z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0x0101006E9443AFD2AFFA4D852F25331F638403</vt:lpwstr>
  </property>
  <property fmtid="{D5CDD505-2E9C-101B-9397-08002B2CF9AE}" pid="3" name="MediaServiceImageTags">
    <vt:lpwstr/>
  </property>
</Properties>
</file>