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tilveb\Downloads\"/>
    </mc:Choice>
  </mc:AlternateContent>
  <xr:revisionPtr revIDLastSave="0" documentId="8_{F9B233F8-4D42-434D-BE5F-A0A8F0279709}" xr6:coauthVersionLast="47" xr6:coauthVersionMax="47" xr10:uidLastSave="{00000000-0000-0000-0000-000000000000}"/>
  <bookViews>
    <workbookView xWindow="-108" yWindow="-108" windowWidth="23256" windowHeight="12456" xr2:uid="{33ED8DE4-5442-4765-B3B0-7FD8337939AD}"/>
  </bookViews>
  <sheets>
    <sheet name="Report" sheetId="1" r:id="rId1"/>
  </sheets>
  <definedNames>
    <definedName name="__bookmark_1">Report!$A$6:$K$51</definedName>
    <definedName name="__bookmark_2">Report!$A$6:$K$7</definedName>
    <definedName name="__bookmark_3">Report!$A$8:$K$23</definedName>
    <definedName name="__bookmark_4">Report!$A$24:$K$25</definedName>
    <definedName name="__bookmark_5">Report!$A$26:$K$41</definedName>
    <definedName name="__bookmark_6">Report!$A$42:$K$46</definedName>
    <definedName name="__bookmark_7">Report!$A$47:$K$51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G7" i="1"/>
  <c r="I7" i="1"/>
  <c r="J7" i="1"/>
  <c r="K7" i="1"/>
  <c r="C9" i="1"/>
  <c r="E9" i="1"/>
  <c r="F9" i="1"/>
  <c r="G9" i="1"/>
  <c r="I9" i="1"/>
  <c r="J9" i="1"/>
  <c r="K9" i="1"/>
  <c r="C10" i="1"/>
  <c r="E10" i="1"/>
  <c r="F10" i="1"/>
  <c r="G10" i="1"/>
  <c r="I10" i="1"/>
  <c r="J10" i="1"/>
  <c r="K10" i="1"/>
  <c r="C11" i="1"/>
  <c r="E11" i="1"/>
  <c r="F11" i="1"/>
  <c r="G11" i="1"/>
  <c r="I11" i="1"/>
  <c r="J11" i="1"/>
  <c r="K11" i="1"/>
  <c r="C12" i="1"/>
  <c r="E12" i="1"/>
  <c r="F12" i="1"/>
  <c r="G12" i="1"/>
  <c r="I12" i="1"/>
  <c r="J12" i="1"/>
  <c r="K12" i="1"/>
  <c r="C13" i="1"/>
  <c r="E13" i="1"/>
  <c r="F13" i="1"/>
  <c r="G13" i="1"/>
  <c r="I13" i="1"/>
  <c r="J13" i="1"/>
  <c r="K13" i="1"/>
  <c r="C14" i="1"/>
  <c r="E14" i="1"/>
  <c r="F14" i="1"/>
  <c r="G14" i="1"/>
  <c r="I14" i="1"/>
  <c r="J14" i="1"/>
  <c r="K14" i="1"/>
  <c r="C16" i="1"/>
  <c r="E16" i="1"/>
  <c r="F16" i="1"/>
  <c r="G16" i="1"/>
  <c r="I16" i="1"/>
  <c r="J16" i="1"/>
  <c r="K16" i="1"/>
  <c r="C17" i="1"/>
  <c r="E17" i="1"/>
  <c r="F17" i="1"/>
  <c r="G17" i="1"/>
  <c r="I17" i="1"/>
  <c r="J17" i="1"/>
  <c r="K17" i="1"/>
  <c r="C18" i="1"/>
  <c r="E18" i="1"/>
  <c r="F18" i="1"/>
  <c r="G18" i="1"/>
  <c r="I18" i="1"/>
  <c r="J18" i="1"/>
  <c r="K18" i="1"/>
  <c r="C20" i="1"/>
  <c r="E20" i="1"/>
  <c r="F20" i="1"/>
  <c r="G20" i="1"/>
  <c r="I20" i="1"/>
  <c r="J20" i="1"/>
  <c r="K20" i="1"/>
  <c r="C21" i="1"/>
  <c r="E21" i="1"/>
  <c r="F21" i="1"/>
  <c r="G21" i="1"/>
  <c r="I21" i="1"/>
  <c r="J21" i="1"/>
  <c r="K21" i="1"/>
  <c r="C22" i="1"/>
  <c r="E22" i="1"/>
  <c r="F22" i="1"/>
  <c r="G22" i="1"/>
  <c r="I22" i="1"/>
  <c r="J22" i="1"/>
  <c r="K22" i="1"/>
  <c r="C23" i="1"/>
  <c r="E23" i="1"/>
  <c r="F23" i="1"/>
  <c r="G23" i="1"/>
  <c r="I23" i="1"/>
  <c r="J23" i="1"/>
  <c r="K23" i="1"/>
  <c r="C25" i="1"/>
  <c r="E25" i="1"/>
  <c r="F25" i="1"/>
  <c r="G25" i="1"/>
  <c r="I25" i="1"/>
  <c r="J25" i="1"/>
  <c r="K25" i="1"/>
  <c r="C27" i="1"/>
  <c r="E27" i="1"/>
  <c r="F27" i="1"/>
  <c r="G27" i="1"/>
  <c r="I27" i="1"/>
  <c r="J27" i="1"/>
  <c r="K27" i="1"/>
  <c r="C28" i="1"/>
  <c r="E28" i="1"/>
  <c r="F28" i="1"/>
  <c r="G28" i="1"/>
  <c r="I28" i="1"/>
  <c r="J28" i="1"/>
  <c r="K28" i="1"/>
  <c r="C29" i="1"/>
  <c r="E29" i="1"/>
  <c r="F29" i="1"/>
  <c r="G29" i="1"/>
  <c r="I29" i="1"/>
  <c r="J29" i="1"/>
  <c r="K29" i="1"/>
  <c r="C30" i="1"/>
  <c r="E30" i="1"/>
  <c r="F30" i="1"/>
  <c r="G30" i="1"/>
  <c r="I30" i="1"/>
  <c r="J30" i="1"/>
  <c r="K30" i="1"/>
  <c r="C31" i="1"/>
  <c r="E31" i="1"/>
  <c r="F31" i="1"/>
  <c r="G31" i="1"/>
  <c r="I31" i="1"/>
  <c r="J31" i="1"/>
  <c r="K31" i="1"/>
  <c r="C32" i="1"/>
  <c r="E32" i="1"/>
  <c r="F32" i="1"/>
  <c r="G32" i="1"/>
  <c r="I32" i="1"/>
  <c r="J32" i="1"/>
  <c r="K32" i="1"/>
  <c r="C34" i="1"/>
  <c r="E34" i="1"/>
  <c r="F34" i="1"/>
  <c r="G34" i="1"/>
  <c r="I34" i="1"/>
  <c r="J34" i="1"/>
  <c r="K34" i="1"/>
  <c r="C35" i="1"/>
  <c r="E35" i="1"/>
  <c r="F35" i="1"/>
  <c r="G35" i="1"/>
  <c r="I35" i="1"/>
  <c r="J35" i="1"/>
  <c r="K35" i="1"/>
  <c r="C36" i="1"/>
  <c r="E36" i="1"/>
  <c r="F36" i="1"/>
  <c r="G36" i="1"/>
  <c r="I36" i="1"/>
  <c r="J36" i="1"/>
  <c r="K36" i="1"/>
  <c r="C38" i="1"/>
  <c r="E38" i="1"/>
  <c r="F38" i="1"/>
  <c r="G38" i="1"/>
  <c r="I38" i="1"/>
  <c r="J38" i="1"/>
  <c r="K38" i="1"/>
  <c r="C39" i="1"/>
  <c r="E39" i="1"/>
  <c r="F39" i="1"/>
  <c r="G39" i="1"/>
  <c r="I39" i="1"/>
  <c r="J39" i="1"/>
  <c r="K39" i="1"/>
  <c r="C40" i="1"/>
  <c r="E40" i="1"/>
  <c r="F40" i="1"/>
  <c r="G40" i="1"/>
  <c r="I40" i="1"/>
  <c r="J40" i="1"/>
  <c r="K40" i="1"/>
  <c r="C41" i="1"/>
  <c r="E41" i="1"/>
  <c r="F41" i="1"/>
  <c r="G41" i="1"/>
  <c r="I41" i="1"/>
  <c r="J41" i="1"/>
  <c r="K41" i="1"/>
  <c r="C44" i="1"/>
  <c r="E44" i="1"/>
  <c r="F44" i="1"/>
  <c r="G44" i="1"/>
  <c r="I44" i="1"/>
  <c r="J44" i="1"/>
  <c r="K44" i="1"/>
  <c r="C45" i="1"/>
  <c r="E45" i="1"/>
  <c r="F45" i="1"/>
  <c r="G45" i="1"/>
  <c r="I45" i="1"/>
  <c r="J45" i="1"/>
  <c r="K45" i="1"/>
  <c r="C46" i="1"/>
  <c r="E46" i="1"/>
  <c r="F46" i="1"/>
  <c r="G46" i="1"/>
  <c r="I46" i="1"/>
  <c r="J46" i="1"/>
  <c r="K46" i="1"/>
  <c r="C49" i="1"/>
  <c r="E49" i="1"/>
  <c r="F49" i="1"/>
  <c r="G49" i="1"/>
  <c r="I49" i="1"/>
  <c r="J49" i="1"/>
  <c r="K49" i="1"/>
  <c r="C50" i="1"/>
  <c r="E50" i="1"/>
  <c r="F50" i="1"/>
  <c r="G50" i="1"/>
  <c r="I50" i="1"/>
  <c r="J50" i="1"/>
  <c r="K50" i="1"/>
  <c r="C51" i="1"/>
  <c r="E51" i="1"/>
  <c r="F51" i="1"/>
  <c r="G51" i="1"/>
  <c r="I51" i="1"/>
  <c r="J51" i="1"/>
  <c r="K51" i="1"/>
</calcChain>
</file>

<file path=xl/sharedStrings.xml><?xml version="1.0" encoding="utf-8"?>
<sst xmlns="http://schemas.openxmlformats.org/spreadsheetml/2006/main" count="77" uniqueCount="53">
  <si>
    <t/>
  </si>
  <si>
    <t>AJUNTAMENT DE VILADECANS</t>
  </si>
  <si>
    <t>Estat d'execució resumit</t>
  </si>
  <si>
    <t>Període: 2024</t>
  </si>
  <si>
    <t>Data del llistat igual a: 30/06/2024</t>
  </si>
  <si>
    <t>Capítols d'ingrés</t>
  </si>
  <si>
    <t>Previsió Inicial</t>
  </si>
  <si>
    <t>Modificació</t>
  </si>
  <si>
    <t>Previsió Definitiva</t>
  </si>
  <si>
    <t>Drets liquidats</t>
  </si>
  <si>
    <t>Recaptació líquida</t>
  </si>
  <si>
    <t>Pendent de cobrament</t>
  </si>
  <si>
    <t>Estat d'execució</t>
  </si>
  <si>
    <t>Resultes tancats</t>
  </si>
  <si>
    <t>OPERACIONS CORRENTS</t>
  </si>
  <si>
    <t>1 IMPOSTOS DIRECTES</t>
  </si>
  <si>
    <t>2 IMPOSTOS INDIRECTES</t>
  </si>
  <si>
    <t>3 TAXES, PREUS PÚBLICS I ALTRES INGRESSOS</t>
  </si>
  <si>
    <t>4 TRANSFERÈNCIES CORRENTS</t>
  </si>
  <si>
    <t>5 INGRESSOS PATRIMONIALS</t>
  </si>
  <si>
    <t>Total OPERACIONS CORRENTS</t>
  </si>
  <si>
    <t>OPERACIONS DE CAPITAL</t>
  </si>
  <si>
    <t>6 ALIENACIÓ D'INVERSIONS REALS</t>
  </si>
  <si>
    <t>7 TRANSFERÈNCIES DE CAPITAL</t>
  </si>
  <si>
    <t>Total OPERACIONS DE CAPITAL</t>
  </si>
  <si>
    <t>OPERACIONS FINANCERES</t>
  </si>
  <si>
    <t>8 ACTIUS FINANCERS</t>
  </si>
  <si>
    <t>9 PASSIUS FINANCERS</t>
  </si>
  <si>
    <t>Total OPERACIONS FINANCERES</t>
  </si>
  <si>
    <t>Total INGRESSOS</t>
  </si>
  <si>
    <t>Capítols despesa</t>
  </si>
  <si>
    <t>Crèdit inicial</t>
  </si>
  <si>
    <t>Crèdit definitiu</t>
  </si>
  <si>
    <t>Obligacions reconegudes</t>
  </si>
  <si>
    <t>Pagaments líquids</t>
  </si>
  <si>
    <t>Pendent de pagar</t>
  </si>
  <si>
    <t>1 DESPESES DE PERSONAL</t>
  </si>
  <si>
    <t>2 DESPESES CORRENTS EN COMPRA DE BÉNS I SERVEIS</t>
  </si>
  <si>
    <t>3 DESPESES FINANCERES</t>
  </si>
  <si>
    <t>5 FONS DE CONTINGENCIA I ALTRES IMPREVISTOS</t>
  </si>
  <si>
    <t>6 INVERSIONS REALS</t>
  </si>
  <si>
    <t>Total DESPESES</t>
  </si>
  <si>
    <t>Situació econòmica - Exercici CORRENT</t>
  </si>
  <si>
    <t>Superàvit inicial</t>
  </si>
  <si>
    <t>Superàvit definitiu</t>
  </si>
  <si>
    <t>Superàvit Final</t>
  </si>
  <si>
    <t>Moviments de fons</t>
  </si>
  <si>
    <t>Deutors / Creditors</t>
  </si>
  <si>
    <t>Total Ingressos</t>
  </si>
  <si>
    <t>Total Despeses</t>
  </si>
  <si>
    <t>Diferència corrent</t>
  </si>
  <si>
    <t>Situació econòmica - Exercicis CORRENTS I TANCATS</t>
  </si>
  <si>
    <t>Diferència corrents i tancats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</si>
</sst>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64"/>
      <name val="Arial"/>
    </font>
    <font>
      <sz val="10"/>
      <color indexed="8"/>
      <name val="Arial"/>
    </font>
    <font>
      <sz val="13"/>
      <color indexed="29"/>
      <name val="Arial"/>
    </font>
    <font>
      <sz val="10"/>
      <color indexed="29"/>
      <name val="Arial"/>
    </font>
    <font>
      <sz val="8"/>
      <color indexed="29"/>
      <name val="Arial"/>
    </font>
    <font>
      <b/>
      <sz val="7"/>
      <color indexed="29"/>
      <name val="serif"/>
      <family val="1"/>
    </font>
    <font>
      <sz val="7"/>
      <color indexed="29"/>
      <name val="serif"/>
      <family val="1"/>
    </font>
    <font>
      <sz val="10"/>
      <color indexed="8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2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0" xfId="0" applyNumberFormat="1" applyFont="1" applyFill="1" applyAlignment="1" applyProtection="1">
      <alignment horizontal="right" vertical="top" wrapText="1"/>
    </xf>
    <xf numFmtId="4" fontId="6" fillId="0" borderId="0" xfId="0" applyNumberFormat="1" applyFont="1" applyFill="1" applyAlignment="1" applyProtection="1">
      <alignment horizontal="right" vertical="top" wrapText="1"/>
    </xf>
    <xf numFmtId="0" fontId="7" fillId="0" borderId="0" xfId="0" applyNumberFormat="1" applyFont="1" applyFill="1" applyAlignment="1" applyProtection="1">
      <alignment horizontal="left" vertical="top" wrapText="1"/>
    </xf>
    <xf numFmtId="4" fontId="5" fillId="0" borderId="0" xfId="0" applyNumberFormat="1" applyFont="1" applyFill="1" applyAlignment="1" applyProtection="1">
      <alignment horizontal="right" vertical="top" wrapText="1"/>
    </xf>
    <xf numFmtId="4" fontId="5" fillId="0" borderId="2" xfId="0" applyNumberFormat="1" applyFont="1" applyFill="1" applyBorder="1" applyAlignment="1" applyProtection="1">
      <alignment horizontal="right" vertical="top" wrapText="1"/>
    </xf>
    <xf numFmtId="4" fontId="5" fillId="0" borderId="2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Alignment="1" applyProtection="1">
      <alignment horizontal="right" vertical="top" wrapText="1"/>
    </xf>
    <xf numFmtId="4" fontId="5" fillId="0" borderId="0" xfId="0" applyNumberFormat="1" applyFont="1" applyFill="1" applyAlignment="1" applyProtection="1">
      <alignment horizontal="right" vertical="top" wrapText="1"/>
    </xf>
    <xf numFmtId="0" fontId="7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right" vertical="top" wrapText="1"/>
    </xf>
    <xf numFmtId="0" fontId="5" fillId="0" borderId="0" xfId="0" applyNumberFormat="1" applyFont="1" applyFill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3B5998"/>
      <rgbColor rgb="00E0E0E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AB28-1348-44EC-8024-074F254E4E0F}">
  <sheetPr codeName="Sheet1"/>
  <dimension ref="A1:K51"/>
  <sheetViews>
    <sheetView tabSelected="1" workbookViewId="0">
      <selection sqref="A1:A5"/>
    </sheetView>
  </sheetViews>
  <sheetFormatPr baseColWidth="10" defaultColWidth="9.109375" defaultRowHeight="13.2"/>
  <cols>
    <col min="1" max="1" width="19.5546875" customWidth="1"/>
    <col min="2" max="2" width="7.44140625" customWidth="1"/>
    <col min="3" max="3" width="7.21875" customWidth="1"/>
    <col min="4" max="4" width="3.5546875" customWidth="1"/>
    <col min="5" max="6" width="10.77734375" customWidth="1"/>
    <col min="7" max="7" width="9" customWidth="1"/>
    <col min="8" max="8" width="1.77734375" customWidth="1"/>
    <col min="9" max="11" width="10.77734375" customWidth="1"/>
  </cols>
  <sheetData>
    <row r="1" spans="1:11" ht="19.5" customHeight="1">
      <c r="A1" s="15"/>
      <c r="B1" s="15"/>
      <c r="C1" s="15"/>
      <c r="D1" s="19" t="s">
        <v>0</v>
      </c>
      <c r="E1" s="19"/>
      <c r="F1" s="19"/>
      <c r="G1" s="19"/>
      <c r="H1" s="15"/>
      <c r="I1" s="15"/>
      <c r="J1" s="15"/>
      <c r="K1" s="15"/>
    </row>
    <row r="2" spans="1:11" ht="19.5" customHeight="1">
      <c r="A2" s="15"/>
      <c r="B2" s="15"/>
      <c r="C2" s="15"/>
      <c r="D2" s="18" t="s">
        <v>1</v>
      </c>
      <c r="E2" s="18"/>
      <c r="F2" s="18"/>
      <c r="G2" s="18"/>
      <c r="H2" s="15"/>
      <c r="I2" s="15"/>
      <c r="J2" s="15"/>
      <c r="K2" s="15"/>
    </row>
    <row r="3" spans="1:11" ht="19.5" customHeight="1">
      <c r="A3" s="15"/>
      <c r="B3" s="15"/>
      <c r="C3" s="15"/>
      <c r="D3" s="17" t="s">
        <v>2</v>
      </c>
      <c r="E3" s="17"/>
      <c r="F3" s="17"/>
      <c r="G3" s="17"/>
      <c r="H3" s="15"/>
      <c r="I3" s="15"/>
      <c r="J3" s="15"/>
      <c r="K3" s="15"/>
    </row>
    <row r="4" spans="1:11" ht="19.5" customHeight="1">
      <c r="A4" s="15"/>
      <c r="B4" s="15"/>
      <c r="C4" s="15"/>
      <c r="D4" s="16" t="s">
        <v>3</v>
      </c>
      <c r="E4" s="16"/>
      <c r="F4" s="16"/>
      <c r="G4" s="16"/>
      <c r="H4" s="15"/>
      <c r="I4" s="15"/>
      <c r="J4" s="15"/>
      <c r="K4" s="15"/>
    </row>
    <row r="5" spans="1:11" ht="19.5" customHeight="1">
      <c r="A5" s="15"/>
      <c r="B5" s="15"/>
      <c r="C5" s="15"/>
      <c r="D5" s="16" t="s">
        <v>4</v>
      </c>
      <c r="E5" s="16"/>
      <c r="F5" s="16"/>
      <c r="G5" s="16"/>
      <c r="H5" s="15"/>
      <c r="I5" s="15"/>
      <c r="J5" s="15"/>
      <c r="K5" s="15"/>
    </row>
    <row r="6" spans="1:11" ht="19.2">
      <c r="A6" s="14" t="s">
        <v>5</v>
      </c>
      <c r="B6" s="14"/>
      <c r="C6" s="10" t="s">
        <v>6</v>
      </c>
      <c r="D6" s="10"/>
      <c r="E6" s="1" t="s">
        <v>7</v>
      </c>
      <c r="F6" s="1" t="s">
        <v>8</v>
      </c>
      <c r="G6" s="10" t="s">
        <v>9</v>
      </c>
      <c r="H6" s="10"/>
      <c r="I6" s="1" t="s">
        <v>10</v>
      </c>
      <c r="J6" s="1" t="s">
        <v>11</v>
      </c>
      <c r="K6" s="1" t="s">
        <v>12</v>
      </c>
    </row>
    <row r="7" spans="1:11">
      <c r="A7" s="13" t="s">
        <v>13</v>
      </c>
      <c r="B7" s="13"/>
      <c r="C7" s="7">
        <f>ROUND(22253760.18,2)</f>
        <v>22253760.18</v>
      </c>
      <c r="D7" s="7"/>
      <c r="E7" s="2">
        <f>ROUND(-49188.66,2)</f>
        <v>-49188.66</v>
      </c>
      <c r="F7" s="2">
        <f>ROUND(22204571.52,2)</f>
        <v>22204571.52</v>
      </c>
      <c r="G7" s="7">
        <f>ROUND(22204571.52,2)</f>
        <v>22204571.52</v>
      </c>
      <c r="H7" s="7"/>
      <c r="I7" s="2">
        <f>ROUND(3509020.29,2)</f>
        <v>3509020.29</v>
      </c>
      <c r="J7" s="2">
        <f>ROUND(18695551.23,2)</f>
        <v>18695551.23</v>
      </c>
      <c r="K7" s="2">
        <f>ROUND(0,2)</f>
        <v>0</v>
      </c>
    </row>
    <row r="8" spans="1:11">
      <c r="A8" s="11" t="s">
        <v>14</v>
      </c>
      <c r="B8" s="11"/>
      <c r="C8" s="9"/>
      <c r="D8" s="9"/>
      <c r="E8" s="3"/>
      <c r="F8" s="3"/>
      <c r="G8" s="9"/>
      <c r="H8" s="9"/>
      <c r="I8" s="3"/>
      <c r="J8" s="3"/>
      <c r="K8" s="3"/>
    </row>
    <row r="9" spans="1:11">
      <c r="A9" s="13" t="s">
        <v>15</v>
      </c>
      <c r="B9" s="13"/>
      <c r="C9" s="7">
        <f>ROUND(38572760,2)</f>
        <v>38572760</v>
      </c>
      <c r="D9" s="7"/>
      <c r="E9" s="2">
        <f>ROUND(0,2)</f>
        <v>0</v>
      </c>
      <c r="F9" s="2">
        <f>ROUND(38572760,2)</f>
        <v>38572760</v>
      </c>
      <c r="G9" s="7">
        <f>ROUND(32746513.23,2)</f>
        <v>32746513.23</v>
      </c>
      <c r="H9" s="7"/>
      <c r="I9" s="2">
        <f>ROUND(7948335.38,2)</f>
        <v>7948335.3799999999</v>
      </c>
      <c r="J9" s="2">
        <f>ROUND(24798177.85,2)</f>
        <v>24798177.850000001</v>
      </c>
      <c r="K9" s="2">
        <f>ROUND(5826246.77,2)</f>
        <v>5826246.7699999996</v>
      </c>
    </row>
    <row r="10" spans="1:11">
      <c r="A10" s="13" t="s">
        <v>16</v>
      </c>
      <c r="B10" s="13"/>
      <c r="C10" s="7">
        <f>ROUND(3409261,2)</f>
        <v>3409261</v>
      </c>
      <c r="D10" s="7"/>
      <c r="E10" s="2">
        <f>ROUND(0,2)</f>
        <v>0</v>
      </c>
      <c r="F10" s="2">
        <f>ROUND(3409261,2)</f>
        <v>3409261</v>
      </c>
      <c r="G10" s="7">
        <f>ROUND(2883494.76,2)</f>
        <v>2883494.76</v>
      </c>
      <c r="H10" s="7"/>
      <c r="I10" s="2">
        <f>ROUND(1227972.36,2)</f>
        <v>1227972.3600000001</v>
      </c>
      <c r="J10" s="2">
        <f>ROUND(1655522.4,2)</f>
        <v>1655522.4</v>
      </c>
      <c r="K10" s="2">
        <f>ROUND(525766.24,2)</f>
        <v>525766.24</v>
      </c>
    </row>
    <row r="11" spans="1:11">
      <c r="A11" s="13" t="s">
        <v>17</v>
      </c>
      <c r="B11" s="13"/>
      <c r="C11" s="7">
        <f>ROUND(7885159,2)</f>
        <v>7885159</v>
      </c>
      <c r="D11" s="7"/>
      <c r="E11" s="2">
        <f>ROUND(6073,2)</f>
        <v>6073</v>
      </c>
      <c r="F11" s="2">
        <f>ROUND(7891232,2)</f>
        <v>7891232</v>
      </c>
      <c r="G11" s="7">
        <f>ROUND(2856337.96,2)</f>
        <v>2856337.96</v>
      </c>
      <c r="H11" s="7"/>
      <c r="I11" s="2">
        <f>ROUND(1709586.55,2)</f>
        <v>1709586.55</v>
      </c>
      <c r="J11" s="2">
        <f>ROUND(1146751.41,2)</f>
        <v>1146751.4099999999</v>
      </c>
      <c r="K11" s="2">
        <f>ROUND(5034894.04,2)</f>
        <v>5034894.04</v>
      </c>
    </row>
    <row r="12" spans="1:11">
      <c r="A12" s="13" t="s">
        <v>18</v>
      </c>
      <c r="B12" s="13"/>
      <c r="C12" s="7">
        <f>ROUND(29162283,2)</f>
        <v>29162283</v>
      </c>
      <c r="D12" s="7"/>
      <c r="E12" s="2">
        <f>ROUND(4065949.78,2)</f>
        <v>4065949.78</v>
      </c>
      <c r="F12" s="2">
        <f>ROUND(33228232.78,2)</f>
        <v>33228232.780000001</v>
      </c>
      <c r="G12" s="7">
        <f>ROUND(14382270.08,2)</f>
        <v>14382270.08</v>
      </c>
      <c r="H12" s="7"/>
      <c r="I12" s="2">
        <f>ROUND(13380412.47,2)</f>
        <v>13380412.470000001</v>
      </c>
      <c r="J12" s="2">
        <f>ROUND(1001857.61,2)</f>
        <v>1001857.61</v>
      </c>
      <c r="K12" s="2">
        <f>ROUND(18845962.7,2)</f>
        <v>18845962.699999999</v>
      </c>
    </row>
    <row r="13" spans="1:11">
      <c r="A13" s="13" t="s">
        <v>19</v>
      </c>
      <c r="B13" s="13"/>
      <c r="C13" s="7">
        <f>ROUND(1643864,2)</f>
        <v>1643864</v>
      </c>
      <c r="D13" s="7"/>
      <c r="E13" s="2">
        <f>ROUND(2077.57,2)</f>
        <v>2077.5700000000002</v>
      </c>
      <c r="F13" s="2">
        <f>ROUND(1645941.57,2)</f>
        <v>1645941.57</v>
      </c>
      <c r="G13" s="7">
        <f>ROUND(1132006.93,2)</f>
        <v>1132006.93</v>
      </c>
      <c r="H13" s="7"/>
      <c r="I13" s="2">
        <f>ROUND(875555.76,2)</f>
        <v>875555.76</v>
      </c>
      <c r="J13" s="2">
        <f>ROUND(256451.17,2)</f>
        <v>256451.17</v>
      </c>
      <c r="K13" s="2">
        <f>ROUND(513934.64,2)</f>
        <v>513934.64</v>
      </c>
    </row>
    <row r="14" spans="1:11">
      <c r="A14" s="11" t="s">
        <v>20</v>
      </c>
      <c r="B14" s="11"/>
      <c r="C14" s="8">
        <f>ROUND(80673327,2)</f>
        <v>80673327</v>
      </c>
      <c r="D14" s="8"/>
      <c r="E14" s="4">
        <f>ROUND(4074100.35,2)</f>
        <v>4074100.35</v>
      </c>
      <c r="F14" s="4">
        <f>ROUND(84747427.35,2)</f>
        <v>84747427.349999994</v>
      </c>
      <c r="G14" s="8">
        <f>ROUND(54000622.96,2)</f>
        <v>54000622.960000001</v>
      </c>
      <c r="H14" s="8"/>
      <c r="I14" s="4">
        <f>ROUND(25141862.52,2)</f>
        <v>25141862.52</v>
      </c>
      <c r="J14" s="4">
        <f>ROUND(28858760.44,2)</f>
        <v>28858760.440000001</v>
      </c>
      <c r="K14" s="4">
        <f>ROUND(30746804.39,2)</f>
        <v>30746804.390000001</v>
      </c>
    </row>
    <row r="15" spans="1:11">
      <c r="A15" s="11" t="s">
        <v>21</v>
      </c>
      <c r="B15" s="11"/>
      <c r="C15" s="9"/>
      <c r="D15" s="9"/>
      <c r="E15" s="3"/>
      <c r="F15" s="3"/>
      <c r="G15" s="9"/>
      <c r="H15" s="9"/>
      <c r="I15" s="3"/>
      <c r="J15" s="3"/>
      <c r="K15" s="3"/>
    </row>
    <row r="16" spans="1:11">
      <c r="A16" s="13" t="s">
        <v>22</v>
      </c>
      <c r="B16" s="13"/>
      <c r="C16" s="7">
        <f>ROUND(0,2)</f>
        <v>0</v>
      </c>
      <c r="D16" s="7"/>
      <c r="E16" s="2">
        <f>ROUND(0,2)</f>
        <v>0</v>
      </c>
      <c r="F16" s="2">
        <f>ROUND(0,2)</f>
        <v>0</v>
      </c>
      <c r="G16" s="7">
        <f>ROUND(0,2)</f>
        <v>0</v>
      </c>
      <c r="H16" s="7"/>
      <c r="I16" s="2">
        <f>ROUND(0,2)</f>
        <v>0</v>
      </c>
      <c r="J16" s="2">
        <f>ROUND(0,2)</f>
        <v>0</v>
      </c>
      <c r="K16" s="2">
        <f>ROUND(0,2)</f>
        <v>0</v>
      </c>
    </row>
    <row r="17" spans="1:11">
      <c r="A17" s="13" t="s">
        <v>23</v>
      </c>
      <c r="B17" s="13"/>
      <c r="C17" s="7">
        <f>ROUND(1733124,2)</f>
        <v>1733124</v>
      </c>
      <c r="D17" s="7"/>
      <c r="E17" s="2">
        <f>ROUND(3766777.57,2)</f>
        <v>3766777.57</v>
      </c>
      <c r="F17" s="2">
        <f>ROUND(5499901.57,2)</f>
        <v>5499901.5700000003</v>
      </c>
      <c r="G17" s="7">
        <f>ROUND(1085994.68,2)</f>
        <v>1085994.68</v>
      </c>
      <c r="H17" s="7"/>
      <c r="I17" s="2">
        <f>ROUND(598254.81,2)</f>
        <v>598254.81000000006</v>
      </c>
      <c r="J17" s="2">
        <f>ROUND(487739.87,2)</f>
        <v>487739.87</v>
      </c>
      <c r="K17" s="2">
        <f>ROUND(4413906.89,2)</f>
        <v>4413906.8899999997</v>
      </c>
    </row>
    <row r="18" spans="1:11">
      <c r="A18" s="11" t="s">
        <v>24</v>
      </c>
      <c r="B18" s="11"/>
      <c r="C18" s="8">
        <f>ROUND(1733124,2)</f>
        <v>1733124</v>
      </c>
      <c r="D18" s="8"/>
      <c r="E18" s="4">
        <f>ROUND(3766777.57,2)</f>
        <v>3766777.57</v>
      </c>
      <c r="F18" s="4">
        <f>ROUND(5499901.57,2)</f>
        <v>5499901.5700000003</v>
      </c>
      <c r="G18" s="8">
        <f>ROUND(1085994.68,2)</f>
        <v>1085994.68</v>
      </c>
      <c r="H18" s="8"/>
      <c r="I18" s="4">
        <f>ROUND(598254.81,2)</f>
        <v>598254.81000000006</v>
      </c>
      <c r="J18" s="4">
        <f>ROUND(487739.87,2)</f>
        <v>487739.87</v>
      </c>
      <c r="K18" s="4">
        <f>ROUND(4413906.89,2)</f>
        <v>4413906.8899999997</v>
      </c>
    </row>
    <row r="19" spans="1:11">
      <c r="A19" s="11" t="s">
        <v>25</v>
      </c>
      <c r="B19" s="11"/>
      <c r="C19" s="9"/>
      <c r="D19" s="9"/>
      <c r="E19" s="3"/>
      <c r="F19" s="3"/>
      <c r="G19" s="9"/>
      <c r="H19" s="9"/>
      <c r="I19" s="3"/>
      <c r="J19" s="3"/>
      <c r="K19" s="3"/>
    </row>
    <row r="20" spans="1:11">
      <c r="A20" s="13" t="s">
        <v>26</v>
      </c>
      <c r="B20" s="13"/>
      <c r="C20" s="7">
        <f>ROUND(600,2)</f>
        <v>600</v>
      </c>
      <c r="D20" s="7"/>
      <c r="E20" s="2">
        <f>ROUND(31611827.27,2)</f>
        <v>31611827.27</v>
      </c>
      <c r="F20" s="2">
        <f>ROUND(31612427.27,2)</f>
        <v>31612427.27</v>
      </c>
      <c r="G20" s="7">
        <f>ROUND(27067.07,2)</f>
        <v>27067.07</v>
      </c>
      <c r="H20" s="7"/>
      <c r="I20" s="2">
        <f>ROUND(27067.07,2)</f>
        <v>27067.07</v>
      </c>
      <c r="J20" s="2">
        <f>ROUND(0,2)</f>
        <v>0</v>
      </c>
      <c r="K20" s="2">
        <f>ROUND(31585360.2,2)</f>
        <v>31585360.199999999</v>
      </c>
    </row>
    <row r="21" spans="1:11">
      <c r="A21" s="13" t="s">
        <v>27</v>
      </c>
      <c r="B21" s="13"/>
      <c r="C21" s="7">
        <f>ROUND(1500000,2)</f>
        <v>1500000</v>
      </c>
      <c r="D21" s="7"/>
      <c r="E21" s="2">
        <f>ROUND(1370778.4,2)</f>
        <v>1370778.4</v>
      </c>
      <c r="F21" s="2">
        <f>ROUND(2870778.4,2)</f>
        <v>2870778.4</v>
      </c>
      <c r="G21" s="7">
        <f>ROUND(0,2)</f>
        <v>0</v>
      </c>
      <c r="H21" s="7"/>
      <c r="I21" s="2">
        <f>ROUND(0,2)</f>
        <v>0</v>
      </c>
      <c r="J21" s="2">
        <f>ROUND(0,2)</f>
        <v>0</v>
      </c>
      <c r="K21" s="2">
        <f>ROUND(2870778.4,2)</f>
        <v>2870778.4</v>
      </c>
    </row>
    <row r="22" spans="1:11">
      <c r="A22" s="11" t="s">
        <v>28</v>
      </c>
      <c r="B22" s="11"/>
      <c r="C22" s="8">
        <f>ROUND(1500600,2)</f>
        <v>1500600</v>
      </c>
      <c r="D22" s="8"/>
      <c r="E22" s="4">
        <f>ROUND(32982605.67,2)</f>
        <v>32982605.670000002</v>
      </c>
      <c r="F22" s="4">
        <f>ROUND(34483205.67,2)</f>
        <v>34483205.670000002</v>
      </c>
      <c r="G22" s="8">
        <f>ROUND(27067.07,2)</f>
        <v>27067.07</v>
      </c>
      <c r="H22" s="8"/>
      <c r="I22" s="4">
        <f>ROUND(27067.07,2)</f>
        <v>27067.07</v>
      </c>
      <c r="J22" s="4">
        <f>ROUND(0,2)</f>
        <v>0</v>
      </c>
      <c r="K22" s="4">
        <f>ROUND(34456138.6,2)</f>
        <v>34456138.600000001</v>
      </c>
    </row>
    <row r="23" spans="1:11">
      <c r="A23" s="12" t="s">
        <v>29</v>
      </c>
      <c r="B23" s="12"/>
      <c r="C23" s="6">
        <f>ROUND(83907051,2)</f>
        <v>83907051</v>
      </c>
      <c r="D23" s="6"/>
      <c r="E23" s="5">
        <f>ROUND(40823483.59,2)</f>
        <v>40823483.590000004</v>
      </c>
      <c r="F23" s="5">
        <f>ROUND(124730534.59,2)</f>
        <v>124730534.59</v>
      </c>
      <c r="G23" s="6">
        <f>ROUND(55113684.71,2)</f>
        <v>55113684.710000001</v>
      </c>
      <c r="H23" s="6"/>
      <c r="I23" s="5">
        <f>ROUND(25767184.4,2)</f>
        <v>25767184.399999999</v>
      </c>
      <c r="J23" s="5">
        <f>ROUND(29346500.31,2)</f>
        <v>29346500.309999999</v>
      </c>
      <c r="K23" s="5">
        <f>ROUND(69616849.88,2)</f>
        <v>69616849.879999995</v>
      </c>
    </row>
    <row r="24" spans="1:11" ht="26.55" customHeight="1">
      <c r="A24" s="14" t="s">
        <v>30</v>
      </c>
      <c r="B24" s="14"/>
      <c r="C24" s="10" t="s">
        <v>31</v>
      </c>
      <c r="D24" s="10"/>
      <c r="E24" s="1" t="s">
        <v>7</v>
      </c>
      <c r="F24" s="1" t="s">
        <v>32</v>
      </c>
      <c r="G24" s="10" t="s">
        <v>33</v>
      </c>
      <c r="H24" s="10"/>
      <c r="I24" s="1" t="s">
        <v>34</v>
      </c>
      <c r="J24" s="1" t="s">
        <v>35</v>
      </c>
      <c r="K24" s="1" t="s">
        <v>12</v>
      </c>
    </row>
    <row r="25" spans="1:11" ht="26.55" customHeight="1">
      <c r="A25" s="13" t="s">
        <v>13</v>
      </c>
      <c r="B25" s="13"/>
      <c r="C25" s="7">
        <f>ROUND(10679961.11,2)</f>
        <v>10679961.109999999</v>
      </c>
      <c r="D25" s="7"/>
      <c r="E25" s="2">
        <f>ROUND(-1024.34,2)</f>
        <v>-1024.3399999999999</v>
      </c>
      <c r="F25" s="2">
        <f>ROUND(10678936.77,2)</f>
        <v>10678936.77</v>
      </c>
      <c r="G25" s="7">
        <f>ROUND(10678936.77,2)</f>
        <v>10678936.77</v>
      </c>
      <c r="H25" s="7"/>
      <c r="I25" s="2">
        <f>ROUND(8979175.52,2)</f>
        <v>8979175.5199999996</v>
      </c>
      <c r="J25" s="2">
        <f>ROUND(1699761.25,2)</f>
        <v>1699761.25</v>
      </c>
      <c r="K25" s="2">
        <f>ROUND(0,2)</f>
        <v>0</v>
      </c>
    </row>
    <row r="26" spans="1:11">
      <c r="A26" s="11" t="s">
        <v>14</v>
      </c>
      <c r="B26" s="11"/>
      <c r="C26" s="9"/>
      <c r="D26" s="9"/>
      <c r="E26" s="3"/>
      <c r="F26" s="3"/>
      <c r="G26" s="9"/>
      <c r="H26" s="9"/>
      <c r="I26" s="3"/>
      <c r="J26" s="3"/>
      <c r="K26" s="3"/>
    </row>
    <row r="27" spans="1:11">
      <c r="A27" s="13" t="s">
        <v>36</v>
      </c>
      <c r="B27" s="13"/>
      <c r="C27" s="7">
        <f>ROUND(29380000,2)</f>
        <v>29380000</v>
      </c>
      <c r="D27" s="7"/>
      <c r="E27" s="2">
        <f>ROUND(3665794.44,2)</f>
        <v>3665794.44</v>
      </c>
      <c r="F27" s="2">
        <f>ROUND(33045794.4400001,2)</f>
        <v>33045794.440000001</v>
      </c>
      <c r="G27" s="7">
        <f>ROUND(15331450.35,2)</f>
        <v>15331450.35</v>
      </c>
      <c r="H27" s="7"/>
      <c r="I27" s="2">
        <f>ROUND(15331450.35,2)</f>
        <v>15331450.35</v>
      </c>
      <c r="J27" s="2">
        <f>ROUND(0,2)</f>
        <v>0</v>
      </c>
      <c r="K27" s="2">
        <f>ROUND(17714344.09,2)</f>
        <v>17714344.09</v>
      </c>
    </row>
    <row r="28" spans="1:11">
      <c r="A28" s="13" t="s">
        <v>37</v>
      </c>
      <c r="B28" s="13"/>
      <c r="C28" s="7">
        <f>ROUND(33644648,2)</f>
        <v>33644648</v>
      </c>
      <c r="D28" s="7"/>
      <c r="E28" s="2">
        <f>ROUND(6282222.38,2)</f>
        <v>6282222.3799999999</v>
      </c>
      <c r="F28" s="2">
        <f>ROUND(39926870.38,2)</f>
        <v>39926870.380000003</v>
      </c>
      <c r="G28" s="7">
        <f>ROUND(12378388.15,2)</f>
        <v>12378388.15</v>
      </c>
      <c r="H28" s="7"/>
      <c r="I28" s="2">
        <f>ROUND(12190188.35,2)</f>
        <v>12190188.35</v>
      </c>
      <c r="J28" s="2">
        <f>ROUND(188199.8,2)</f>
        <v>188199.8</v>
      </c>
      <c r="K28" s="2">
        <f>ROUND(27548482.23,2)</f>
        <v>27548482.23</v>
      </c>
    </row>
    <row r="29" spans="1:11">
      <c r="A29" s="13" t="s">
        <v>38</v>
      </c>
      <c r="B29" s="13"/>
      <c r="C29" s="7">
        <f>ROUND(715627,2)</f>
        <v>715627</v>
      </c>
      <c r="D29" s="7"/>
      <c r="E29" s="2">
        <f>ROUND(0,2)</f>
        <v>0</v>
      </c>
      <c r="F29" s="2">
        <f>ROUND(715627,2)</f>
        <v>715627</v>
      </c>
      <c r="G29" s="7">
        <f>ROUND(310088.01,2)</f>
        <v>310088.01</v>
      </c>
      <c r="H29" s="7"/>
      <c r="I29" s="2">
        <f>ROUND(310088.01,2)</f>
        <v>310088.01</v>
      </c>
      <c r="J29" s="2">
        <f>ROUND(0,2)</f>
        <v>0</v>
      </c>
      <c r="K29" s="2">
        <f>ROUND(405538.99,2)</f>
        <v>405538.99</v>
      </c>
    </row>
    <row r="30" spans="1:11">
      <c r="A30" s="13" t="s">
        <v>18</v>
      </c>
      <c r="B30" s="13"/>
      <c r="C30" s="7">
        <f>ROUND(11829199,2)</f>
        <v>11829199</v>
      </c>
      <c r="D30" s="7"/>
      <c r="E30" s="2">
        <f>ROUND(1780588.58,2)</f>
        <v>1780588.58</v>
      </c>
      <c r="F30" s="2">
        <f>ROUND(13609787.58,2)</f>
        <v>13609787.58</v>
      </c>
      <c r="G30" s="7">
        <f>ROUND(7285542.37,2)</f>
        <v>7285542.3700000001</v>
      </c>
      <c r="H30" s="7"/>
      <c r="I30" s="2">
        <f>ROUND(4498979.28,2)</f>
        <v>4498979.28</v>
      </c>
      <c r="J30" s="2">
        <f>ROUND(2786563.09,2)</f>
        <v>2786563.09</v>
      </c>
      <c r="K30" s="2">
        <f>ROUND(6324245.21,2)</f>
        <v>6324245.21</v>
      </c>
    </row>
    <row r="31" spans="1:11">
      <c r="A31" s="13" t="s">
        <v>39</v>
      </c>
      <c r="B31" s="13"/>
      <c r="C31" s="7">
        <f>ROUND(833000,2)</f>
        <v>833000</v>
      </c>
      <c r="D31" s="7"/>
      <c r="E31" s="2">
        <f>ROUND(0,2)</f>
        <v>0</v>
      </c>
      <c r="F31" s="2">
        <f>ROUND(833000,2)</f>
        <v>833000</v>
      </c>
      <c r="G31" s="7">
        <f>ROUND(0,2)</f>
        <v>0</v>
      </c>
      <c r="H31" s="7"/>
      <c r="I31" s="2">
        <f>ROUND(0,2)</f>
        <v>0</v>
      </c>
      <c r="J31" s="2">
        <f>ROUND(0,2)</f>
        <v>0</v>
      </c>
      <c r="K31" s="2">
        <f>ROUND(833000,2)</f>
        <v>833000</v>
      </c>
    </row>
    <row r="32" spans="1:11">
      <c r="A32" s="11" t="s">
        <v>20</v>
      </c>
      <c r="B32" s="11"/>
      <c r="C32" s="8">
        <f>ROUND(76402474,2)</f>
        <v>76402474</v>
      </c>
      <c r="D32" s="8"/>
      <c r="E32" s="4">
        <f>ROUND(11728605.4,2)</f>
        <v>11728605.4</v>
      </c>
      <c r="F32" s="4">
        <f>ROUND(88131079.4000001,2)</f>
        <v>88131079.400000006</v>
      </c>
      <c r="G32" s="8">
        <f>ROUND(35305468.88,2)</f>
        <v>35305468.880000003</v>
      </c>
      <c r="H32" s="8"/>
      <c r="I32" s="4">
        <f>ROUND(32330705.99,2)</f>
        <v>32330705.989999998</v>
      </c>
      <c r="J32" s="4">
        <f>ROUND(2974762.89,2)</f>
        <v>2974762.89</v>
      </c>
      <c r="K32" s="4">
        <f>ROUND(52825610.52,2)</f>
        <v>52825610.520000003</v>
      </c>
    </row>
    <row r="33" spans="1:11">
      <c r="A33" s="11" t="s">
        <v>21</v>
      </c>
      <c r="B33" s="11"/>
      <c r="C33" s="9"/>
      <c r="D33" s="9"/>
      <c r="E33" s="3"/>
      <c r="F33" s="3"/>
      <c r="G33" s="9"/>
      <c r="H33" s="9"/>
      <c r="I33" s="3"/>
      <c r="J33" s="3"/>
      <c r="K33" s="3"/>
    </row>
    <row r="34" spans="1:11">
      <c r="A34" s="13" t="s">
        <v>40</v>
      </c>
      <c r="B34" s="13"/>
      <c r="C34" s="7">
        <f>ROUND(4564203,2)</f>
        <v>4564203</v>
      </c>
      <c r="D34" s="7"/>
      <c r="E34" s="2">
        <f>ROUND(26525699.84,2)</f>
        <v>26525699.84</v>
      </c>
      <c r="F34" s="2">
        <f>ROUND(31089902.84,2)</f>
        <v>31089902.84</v>
      </c>
      <c r="G34" s="7">
        <f>ROUND(4361097.65,2)</f>
        <v>4361097.6500000004</v>
      </c>
      <c r="H34" s="7"/>
      <c r="I34" s="2">
        <f>ROUND(3690100.97,2)</f>
        <v>3690100.97</v>
      </c>
      <c r="J34" s="2">
        <f>ROUND(670996.68,2)</f>
        <v>670996.68000000005</v>
      </c>
      <c r="K34" s="2">
        <f>ROUND(26728805.19,2)</f>
        <v>26728805.190000001</v>
      </c>
    </row>
    <row r="35" spans="1:11">
      <c r="A35" s="13" t="s">
        <v>23</v>
      </c>
      <c r="B35" s="13"/>
      <c r="C35" s="7">
        <f>ROUND(1193774,2)</f>
        <v>1193774</v>
      </c>
      <c r="D35" s="7"/>
      <c r="E35" s="2">
        <f>ROUND(2569178.35,2)</f>
        <v>2569178.35</v>
      </c>
      <c r="F35" s="2">
        <f>ROUND(3762952.35,2)</f>
        <v>3762952.35</v>
      </c>
      <c r="G35" s="7">
        <f>ROUND(572226.1,2)</f>
        <v>572226.1</v>
      </c>
      <c r="H35" s="7"/>
      <c r="I35" s="2">
        <f>ROUND(263862,2)</f>
        <v>263862</v>
      </c>
      <c r="J35" s="2">
        <f>ROUND(308364.1,2)</f>
        <v>308364.09999999998</v>
      </c>
      <c r="K35" s="2">
        <f>ROUND(3190726.25,2)</f>
        <v>3190726.25</v>
      </c>
    </row>
    <row r="36" spans="1:11">
      <c r="A36" s="11" t="s">
        <v>24</v>
      </c>
      <c r="B36" s="11"/>
      <c r="C36" s="8">
        <f>ROUND(5757977,2)</f>
        <v>5757977</v>
      </c>
      <c r="D36" s="8"/>
      <c r="E36" s="4">
        <f>ROUND(29094878.19,2)</f>
        <v>29094878.190000001</v>
      </c>
      <c r="F36" s="4">
        <f>ROUND(34852855.19,2)</f>
        <v>34852855.189999998</v>
      </c>
      <c r="G36" s="8">
        <f>ROUND(4933323.75,2)</f>
        <v>4933323.75</v>
      </c>
      <c r="H36" s="8"/>
      <c r="I36" s="4">
        <f>ROUND(3953962.97,2)</f>
        <v>3953962.97</v>
      </c>
      <c r="J36" s="4">
        <f>ROUND(979360.78,2)</f>
        <v>979360.78</v>
      </c>
      <c r="K36" s="4">
        <f>ROUND(29919531.44,2)</f>
        <v>29919531.440000001</v>
      </c>
    </row>
    <row r="37" spans="1:11">
      <c r="A37" s="11" t="s">
        <v>25</v>
      </c>
      <c r="B37" s="11"/>
      <c r="C37" s="9"/>
      <c r="D37" s="9"/>
      <c r="E37" s="3"/>
      <c r="F37" s="3"/>
      <c r="G37" s="9"/>
      <c r="H37" s="9"/>
      <c r="I37" s="3"/>
      <c r="J37" s="3"/>
      <c r="K37" s="3"/>
    </row>
    <row r="38" spans="1:11">
      <c r="A38" s="13" t="s">
        <v>26</v>
      </c>
      <c r="B38" s="13"/>
      <c r="C38" s="7">
        <f>ROUND(46600,2)</f>
        <v>46600</v>
      </c>
      <c r="D38" s="7"/>
      <c r="E38" s="2">
        <f>ROUND(0,2)</f>
        <v>0</v>
      </c>
      <c r="F38" s="2">
        <f>ROUND(46600,2)</f>
        <v>46600</v>
      </c>
      <c r="G38" s="7">
        <f>ROUND(30000,2)</f>
        <v>30000</v>
      </c>
      <c r="H38" s="7"/>
      <c r="I38" s="2">
        <f>ROUND(30000,2)</f>
        <v>30000</v>
      </c>
      <c r="J38" s="2">
        <f>ROUND(0,2)</f>
        <v>0</v>
      </c>
      <c r="K38" s="2">
        <f>ROUND(16600,2)</f>
        <v>16600</v>
      </c>
    </row>
    <row r="39" spans="1:11">
      <c r="A39" s="13" t="s">
        <v>27</v>
      </c>
      <c r="B39" s="13"/>
      <c r="C39" s="7">
        <f>ROUND(1700000,2)</f>
        <v>1700000</v>
      </c>
      <c r="D39" s="7"/>
      <c r="E39" s="2">
        <f>ROUND(0,2)</f>
        <v>0</v>
      </c>
      <c r="F39" s="2">
        <f>ROUND(1700000,2)</f>
        <v>1700000</v>
      </c>
      <c r="G39" s="7">
        <f>ROUND(844538.3,2)</f>
        <v>844538.3</v>
      </c>
      <c r="H39" s="7"/>
      <c r="I39" s="2">
        <f>ROUND(844538.3,2)</f>
        <v>844538.3</v>
      </c>
      <c r="J39" s="2">
        <f>ROUND(0,2)</f>
        <v>0</v>
      </c>
      <c r="K39" s="2">
        <f>ROUND(855461.7,2)</f>
        <v>855461.7</v>
      </c>
    </row>
    <row r="40" spans="1:11">
      <c r="A40" s="11" t="s">
        <v>28</v>
      </c>
      <c r="B40" s="11"/>
      <c r="C40" s="8">
        <f>ROUND(1746600,2)</f>
        <v>1746600</v>
      </c>
      <c r="D40" s="8"/>
      <c r="E40" s="4">
        <f>ROUND(0,2)</f>
        <v>0</v>
      </c>
      <c r="F40" s="4">
        <f>ROUND(1746600,2)</f>
        <v>1746600</v>
      </c>
      <c r="G40" s="8">
        <f>ROUND(874538.3,2)</f>
        <v>874538.3</v>
      </c>
      <c r="H40" s="8"/>
      <c r="I40" s="4">
        <f>ROUND(874538.3,2)</f>
        <v>874538.3</v>
      </c>
      <c r="J40" s="4">
        <f>ROUND(0,2)</f>
        <v>0</v>
      </c>
      <c r="K40" s="4">
        <f>ROUND(872061.7,2)</f>
        <v>872061.7</v>
      </c>
    </row>
    <row r="41" spans="1:11">
      <c r="A41" s="12" t="s">
        <v>41</v>
      </c>
      <c r="B41" s="12"/>
      <c r="C41" s="6">
        <f>ROUND(83907051,2)</f>
        <v>83907051</v>
      </c>
      <c r="D41" s="6"/>
      <c r="E41" s="5">
        <f>ROUND(40823483.59,2)</f>
        <v>40823483.590000004</v>
      </c>
      <c r="F41" s="5">
        <f>ROUND(124730534.59,2)</f>
        <v>124730534.59</v>
      </c>
      <c r="G41" s="6">
        <f>ROUND(41113330.93,2)</f>
        <v>41113330.93</v>
      </c>
      <c r="H41" s="6"/>
      <c r="I41" s="5">
        <f>ROUND(37159207.26,2)</f>
        <v>37159207.259999998</v>
      </c>
      <c r="J41" s="5">
        <f>ROUND(3954123.67,2)</f>
        <v>3954123.67</v>
      </c>
      <c r="K41" s="5">
        <f>ROUND(83617203.66,2)</f>
        <v>83617203.659999996</v>
      </c>
    </row>
    <row r="42" spans="1:11">
      <c r="A42" s="9"/>
      <c r="B42" s="9"/>
      <c r="C42" s="9"/>
      <c r="D42" s="9"/>
      <c r="E42" s="3"/>
      <c r="F42" s="3"/>
      <c r="G42" s="9"/>
      <c r="H42" s="9"/>
      <c r="I42" s="3"/>
      <c r="J42" s="3"/>
      <c r="K42" s="3"/>
    </row>
    <row r="43" spans="1:11" ht="19.2">
      <c r="A43" s="14" t="s">
        <v>42</v>
      </c>
      <c r="B43" s="14"/>
      <c r="C43" s="10" t="s">
        <v>43</v>
      </c>
      <c r="D43" s="10"/>
      <c r="E43" s="1" t="s">
        <v>7</v>
      </c>
      <c r="F43" s="1" t="s">
        <v>44</v>
      </c>
      <c r="G43" s="10" t="s">
        <v>45</v>
      </c>
      <c r="H43" s="10"/>
      <c r="I43" s="1" t="s">
        <v>46</v>
      </c>
      <c r="J43" s="1" t="s">
        <v>47</v>
      </c>
      <c r="K43" s="1" t="s">
        <v>12</v>
      </c>
    </row>
    <row r="44" spans="1:11">
      <c r="A44" s="13" t="s">
        <v>48</v>
      </c>
      <c r="B44" s="13"/>
      <c r="C44" s="7">
        <f>ROUND(83907051,2)</f>
        <v>83907051</v>
      </c>
      <c r="D44" s="7"/>
      <c r="E44" s="2">
        <f>ROUND(40823483.59,2)</f>
        <v>40823483.590000004</v>
      </c>
      <c r="F44" s="2">
        <f>ROUND(124730534.59,2)</f>
        <v>124730534.59</v>
      </c>
      <c r="G44" s="7">
        <f>ROUND(55113684.71,2)</f>
        <v>55113684.710000001</v>
      </c>
      <c r="H44" s="7"/>
      <c r="I44" s="2">
        <f>ROUND(25767184.4,2)</f>
        <v>25767184.399999999</v>
      </c>
      <c r="J44" s="2">
        <f>ROUND(29346500.31,2)</f>
        <v>29346500.309999999</v>
      </c>
      <c r="K44" s="2">
        <f>ROUND(-12030117.3,2)</f>
        <v>-12030117.300000001</v>
      </c>
    </row>
    <row r="45" spans="1:11">
      <c r="A45" s="13" t="s">
        <v>49</v>
      </c>
      <c r="B45" s="13"/>
      <c r="C45" s="7">
        <f>ROUND(83907051,2)</f>
        <v>83907051</v>
      </c>
      <c r="D45" s="7"/>
      <c r="E45" s="2">
        <f>ROUND(40823483.59,2)</f>
        <v>40823483.590000004</v>
      </c>
      <c r="F45" s="2">
        <f>ROUND(124730534.59,2)</f>
        <v>124730534.59</v>
      </c>
      <c r="G45" s="7">
        <f>ROUND(41113330.93,2)</f>
        <v>41113330.93</v>
      </c>
      <c r="H45" s="7"/>
      <c r="I45" s="2">
        <f>ROUND(37159207.26,2)</f>
        <v>37159207.259999998</v>
      </c>
      <c r="J45" s="2">
        <f>ROUND(3954123.67,2)</f>
        <v>3954123.67</v>
      </c>
      <c r="K45" s="2">
        <f>ROUND(83617203.66,2)</f>
        <v>83617203.659999996</v>
      </c>
    </row>
    <row r="46" spans="1:11">
      <c r="A46" s="12" t="s">
        <v>50</v>
      </c>
      <c r="B46" s="12"/>
      <c r="C46" s="6">
        <f>ROUND(0,2)</f>
        <v>0</v>
      </c>
      <c r="D46" s="6"/>
      <c r="E46" s="5">
        <f>ROUND(0,2)</f>
        <v>0</v>
      </c>
      <c r="F46" s="5">
        <f>ROUND(7.45058059692383E-09,2)</f>
        <v>0</v>
      </c>
      <c r="G46" s="6">
        <f>ROUND(14000353.78,2)</f>
        <v>14000353.779999999</v>
      </c>
      <c r="H46" s="6"/>
      <c r="I46" s="5">
        <f>ROUND(-11392022.86,2)</f>
        <v>-11392022.859999999</v>
      </c>
      <c r="J46" s="5">
        <f>ROUND(25392376.64,2)</f>
        <v>25392376.640000001</v>
      </c>
      <c r="K46" s="5">
        <f>ROUND(-14000353.78,2)</f>
        <v>-14000353.779999999</v>
      </c>
    </row>
    <row r="47" spans="1:11">
      <c r="A47" s="9"/>
      <c r="B47" s="9"/>
      <c r="C47" s="9"/>
      <c r="D47" s="9"/>
      <c r="E47" s="3"/>
      <c r="F47" s="3"/>
      <c r="G47" s="9"/>
      <c r="H47" s="9"/>
      <c r="I47" s="3"/>
      <c r="J47" s="3"/>
      <c r="K47" s="3"/>
    </row>
    <row r="48" spans="1:11" ht="19.2">
      <c r="A48" s="14" t="s">
        <v>51</v>
      </c>
      <c r="B48" s="14"/>
      <c r="C48" s="10" t="s">
        <v>43</v>
      </c>
      <c r="D48" s="10"/>
      <c r="E48" s="1" t="s">
        <v>7</v>
      </c>
      <c r="F48" s="1" t="s">
        <v>44</v>
      </c>
      <c r="G48" s="10" t="s">
        <v>45</v>
      </c>
      <c r="H48" s="10"/>
      <c r="I48" s="1" t="s">
        <v>46</v>
      </c>
      <c r="J48" s="1" t="s">
        <v>47</v>
      </c>
      <c r="K48" s="1" t="s">
        <v>12</v>
      </c>
    </row>
    <row r="49" spans="1:11">
      <c r="A49" s="13" t="s">
        <v>48</v>
      </c>
      <c r="B49" s="13"/>
      <c r="C49" s="7">
        <f>ROUND(106160811.18,2)</f>
        <v>106160811.18000001</v>
      </c>
      <c r="D49" s="7"/>
      <c r="E49" s="2">
        <f>ROUND(40774294.93,2)</f>
        <v>40774294.93</v>
      </c>
      <c r="F49" s="2">
        <f>ROUND(146935106.11,2)</f>
        <v>146935106.11000001</v>
      </c>
      <c r="G49" s="7">
        <f>ROUND(77318256.23,2)</f>
        <v>77318256.230000004</v>
      </c>
      <c r="H49" s="7"/>
      <c r="I49" s="2">
        <f>ROUND(29276204.69,2)</f>
        <v>29276204.690000001</v>
      </c>
      <c r="J49" s="2">
        <f>ROUND(48042051.54,2)</f>
        <v>48042051.539999999</v>
      </c>
      <c r="K49" s="2">
        <f>ROUND(-12030117.3,2)</f>
        <v>-12030117.300000001</v>
      </c>
    </row>
    <row r="50" spans="1:11">
      <c r="A50" s="13" t="s">
        <v>49</v>
      </c>
      <c r="B50" s="13"/>
      <c r="C50" s="7">
        <f>ROUND(94587012.11,2)</f>
        <v>94587012.109999999</v>
      </c>
      <c r="D50" s="7"/>
      <c r="E50" s="2">
        <f>ROUND(40822459.25,2)</f>
        <v>40822459.25</v>
      </c>
      <c r="F50" s="2">
        <f>ROUND(135409471.36,2)</f>
        <v>135409471.36000001</v>
      </c>
      <c r="G50" s="7">
        <f>ROUND(51792267.7,2)</f>
        <v>51792267.700000003</v>
      </c>
      <c r="H50" s="7"/>
      <c r="I50" s="2">
        <f>ROUND(46138382.78,2)</f>
        <v>46138382.780000001</v>
      </c>
      <c r="J50" s="2">
        <f>ROUND(5653884.92,2)</f>
        <v>5653884.9199999999</v>
      </c>
      <c r="K50" s="2">
        <f>ROUND(83617203.66,2)</f>
        <v>83617203.659999996</v>
      </c>
    </row>
    <row r="51" spans="1:11">
      <c r="A51" s="12" t="s">
        <v>52</v>
      </c>
      <c r="B51" s="12"/>
      <c r="C51" s="6">
        <f>ROUND(11573799.07,2)</f>
        <v>11573799.07</v>
      </c>
      <c r="D51" s="6"/>
      <c r="E51" s="5">
        <f>ROUND(-48164.3199999964,2)</f>
        <v>-48164.32</v>
      </c>
      <c r="F51" s="5">
        <f>ROUND(11525634.75,2)</f>
        <v>11525634.75</v>
      </c>
      <c r="G51" s="6">
        <f>ROUND(25525988.53,2)</f>
        <v>25525988.530000001</v>
      </c>
      <c r="H51" s="6"/>
      <c r="I51" s="5">
        <f>ROUND(-16862178.09,2)</f>
        <v>-16862178.09</v>
      </c>
      <c r="J51" s="5">
        <f>ROUND(42388166.62,2)</f>
        <v>42388166.619999997</v>
      </c>
      <c r="K51" s="5">
        <f>ROUND(-14000353.78,2)</f>
        <v>-14000353.779999999</v>
      </c>
    </row>
  </sheetData>
  <mergeCells count="146">
    <mergeCell ref="D5:G5"/>
    <mergeCell ref="D4:G4"/>
    <mergeCell ref="D3:G3"/>
    <mergeCell ref="D2:G2"/>
    <mergeCell ref="D1:G1"/>
    <mergeCell ref="H1:K5"/>
    <mergeCell ref="G9:H9"/>
    <mergeCell ref="C9:D9"/>
    <mergeCell ref="C8:D8"/>
    <mergeCell ref="C7:D7"/>
    <mergeCell ref="C6:D6"/>
    <mergeCell ref="G8:H8"/>
    <mergeCell ref="G7:H7"/>
    <mergeCell ref="G6:H6"/>
    <mergeCell ref="A27:B27"/>
    <mergeCell ref="A6:B6"/>
    <mergeCell ref="A1:A5"/>
    <mergeCell ref="B1:C5"/>
    <mergeCell ref="G13:H13"/>
    <mergeCell ref="G12:H12"/>
    <mergeCell ref="G11:H11"/>
    <mergeCell ref="C11:D11"/>
    <mergeCell ref="G10:H10"/>
    <mergeCell ref="C10:D10"/>
    <mergeCell ref="A33:B33"/>
    <mergeCell ref="A32:B32"/>
    <mergeCell ref="A31:B31"/>
    <mergeCell ref="A30:B30"/>
    <mergeCell ref="A29:B29"/>
    <mergeCell ref="A28:B28"/>
    <mergeCell ref="A42:B42"/>
    <mergeCell ref="A41:B41"/>
    <mergeCell ref="A40:B40"/>
    <mergeCell ref="A39:B39"/>
    <mergeCell ref="A38:B38"/>
    <mergeCell ref="A37:B37"/>
    <mergeCell ref="G24:H24"/>
    <mergeCell ref="C24:D24"/>
    <mergeCell ref="A22:B22"/>
    <mergeCell ref="A21:B21"/>
    <mergeCell ref="A20:B20"/>
    <mergeCell ref="C19:D19"/>
    <mergeCell ref="G19:H19"/>
    <mergeCell ref="A25:B25"/>
    <mergeCell ref="A26:B26"/>
    <mergeCell ref="G37:H37"/>
    <mergeCell ref="G33:H33"/>
    <mergeCell ref="G26:H26"/>
    <mergeCell ref="G25:H25"/>
    <mergeCell ref="C25:D25"/>
    <mergeCell ref="A36:B36"/>
    <mergeCell ref="A35:B35"/>
    <mergeCell ref="A34:B34"/>
    <mergeCell ref="A10:B10"/>
    <mergeCell ref="A9:B9"/>
    <mergeCell ref="A8:B8"/>
    <mergeCell ref="A7:B7"/>
    <mergeCell ref="A17:B17"/>
    <mergeCell ref="A18:B18"/>
    <mergeCell ref="C26:D26"/>
    <mergeCell ref="C27:D27"/>
    <mergeCell ref="A13:B13"/>
    <mergeCell ref="A12:B12"/>
    <mergeCell ref="A15:B15"/>
    <mergeCell ref="A11:B11"/>
    <mergeCell ref="A16:B16"/>
    <mergeCell ref="A19:B19"/>
    <mergeCell ref="A23:B23"/>
    <mergeCell ref="A24:B24"/>
    <mergeCell ref="C33:D33"/>
    <mergeCell ref="C32:D32"/>
    <mergeCell ref="C31:D31"/>
    <mergeCell ref="C30:D30"/>
    <mergeCell ref="C29:D29"/>
    <mergeCell ref="C28:D28"/>
    <mergeCell ref="C39:D39"/>
    <mergeCell ref="C38:D38"/>
    <mergeCell ref="C37:D37"/>
    <mergeCell ref="C36:D36"/>
    <mergeCell ref="C35:D35"/>
    <mergeCell ref="C34:D34"/>
    <mergeCell ref="A47:B47"/>
    <mergeCell ref="A43:B43"/>
    <mergeCell ref="A44:B44"/>
    <mergeCell ref="A45:B45"/>
    <mergeCell ref="A46:B46"/>
    <mergeCell ref="C43:D43"/>
    <mergeCell ref="C13:D13"/>
    <mergeCell ref="C12:D12"/>
    <mergeCell ref="A51:B51"/>
    <mergeCell ref="A50:B50"/>
    <mergeCell ref="A49:B49"/>
    <mergeCell ref="G48:H48"/>
    <mergeCell ref="C48:D48"/>
    <mergeCell ref="A48:B48"/>
    <mergeCell ref="G47:H47"/>
    <mergeCell ref="C47:D47"/>
    <mergeCell ref="G17:H17"/>
    <mergeCell ref="C17:D17"/>
    <mergeCell ref="G16:H16"/>
    <mergeCell ref="C16:D16"/>
    <mergeCell ref="G14:H14"/>
    <mergeCell ref="A14:B14"/>
    <mergeCell ref="C14:D14"/>
    <mergeCell ref="C15:D15"/>
    <mergeCell ref="G15:H15"/>
    <mergeCell ref="G21:H21"/>
    <mergeCell ref="C21:D21"/>
    <mergeCell ref="G20:H20"/>
    <mergeCell ref="C20:D20"/>
    <mergeCell ref="G18:H18"/>
    <mergeCell ref="C18:D18"/>
    <mergeCell ref="G34:H34"/>
    <mergeCell ref="G42:H42"/>
    <mergeCell ref="G43:H43"/>
    <mergeCell ref="G23:H23"/>
    <mergeCell ref="C23:D23"/>
    <mergeCell ref="G22:H22"/>
    <mergeCell ref="C22:D22"/>
    <mergeCell ref="C42:D42"/>
    <mergeCell ref="C41:D41"/>
    <mergeCell ref="C40:D40"/>
    <mergeCell ref="G27:H27"/>
    <mergeCell ref="G28:H28"/>
    <mergeCell ref="G29:H29"/>
    <mergeCell ref="G30:H30"/>
    <mergeCell ref="G31:H31"/>
    <mergeCell ref="G32:H32"/>
    <mergeCell ref="G41:H41"/>
    <mergeCell ref="G40:H40"/>
    <mergeCell ref="G39:H39"/>
    <mergeCell ref="G38:H38"/>
    <mergeCell ref="G36:H36"/>
    <mergeCell ref="G35:H35"/>
    <mergeCell ref="C45:D45"/>
    <mergeCell ref="C44:D44"/>
    <mergeCell ref="C49:D49"/>
    <mergeCell ref="G46:H46"/>
    <mergeCell ref="G45:H45"/>
    <mergeCell ref="G44:H44"/>
    <mergeCell ref="G51:H51"/>
    <mergeCell ref="C51:D51"/>
    <mergeCell ref="G50:H50"/>
    <mergeCell ref="C50:D50"/>
    <mergeCell ref="G49:H49"/>
    <mergeCell ref="C46:D46"/>
  </mergeCells>
  <pageMargins left="0.39369446039199829" right="0.39369446039199829" top="0.39369446039199829" bottom="0.39369446039199829" header="0" footer="0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Report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Eduardo Tilve Balaguer</cp:lastModifiedBy>
  <dcterms:created xsi:type="dcterms:W3CDTF">2024-10-01T11:17:13Z</dcterms:created>
  <dcterms:modified xsi:type="dcterms:W3CDTF">2024-10-01T11:17:13Z</dcterms:modified>
</cp:coreProperties>
</file>