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4_GESTIO ECONOMICA/Actualitzacio continguts/4.1.2 Execucio pressupostaria trimestral/2024/"/>
    </mc:Choice>
  </mc:AlternateContent>
  <xr:revisionPtr revIDLastSave="1" documentId="8_{23B1339E-F232-439F-8010-14815CD4C43D}" xr6:coauthVersionLast="47" xr6:coauthVersionMax="47" xr10:uidLastSave="{D8A95420-FAB0-4CCA-8A66-33E1BB156314}"/>
  <bookViews>
    <workbookView xWindow="-120" yWindow="-120" windowWidth="29040" windowHeight="15720" xr2:uid="{F0F80806-78DE-4E20-BC91-7E917DBC5D27}"/>
  </bookViews>
  <sheets>
    <sheet name="Report" sheetId="1" r:id="rId1"/>
  </sheets>
  <definedNames>
    <definedName name="__bookmark_1">Report!$A$6:$K$51</definedName>
    <definedName name="__bookmark_2">Report!$A$6:$K$7</definedName>
    <definedName name="__bookmark_3">Report!$A$8:$K$23</definedName>
    <definedName name="__bookmark_4">Report!$A$24:$K$25</definedName>
    <definedName name="__bookmark_5">Report!$A$26:$K$41</definedName>
    <definedName name="__bookmark_6">Report!$A$42:$K$46</definedName>
    <definedName name="__bookmark_7">Report!$A$47:$K$51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/>
  <c r="G7" i="1"/>
  <c r="I7" i="1"/>
  <c r="J7" i="1"/>
  <c r="K7" i="1"/>
  <c r="C9" i="1"/>
  <c r="E9" i="1"/>
  <c r="F9" i="1"/>
  <c r="G9" i="1"/>
  <c r="I9" i="1"/>
  <c r="J9" i="1"/>
  <c r="K9" i="1"/>
  <c r="C10" i="1"/>
  <c r="E10" i="1"/>
  <c r="F10" i="1"/>
  <c r="G10" i="1"/>
  <c r="I10" i="1"/>
  <c r="J10" i="1"/>
  <c r="K10" i="1"/>
  <c r="C11" i="1"/>
  <c r="E11" i="1"/>
  <c r="F11" i="1"/>
  <c r="G11" i="1"/>
  <c r="I11" i="1"/>
  <c r="J11" i="1"/>
  <c r="K11" i="1"/>
  <c r="C12" i="1"/>
  <c r="E12" i="1"/>
  <c r="F12" i="1"/>
  <c r="G12" i="1"/>
  <c r="I12" i="1"/>
  <c r="J12" i="1"/>
  <c r="K12" i="1"/>
  <c r="C13" i="1"/>
  <c r="E13" i="1"/>
  <c r="F13" i="1"/>
  <c r="G13" i="1"/>
  <c r="I13" i="1"/>
  <c r="J13" i="1"/>
  <c r="K13" i="1"/>
  <c r="C14" i="1"/>
  <c r="E14" i="1"/>
  <c r="F14" i="1"/>
  <c r="G14" i="1"/>
  <c r="I14" i="1"/>
  <c r="J14" i="1"/>
  <c r="K14" i="1"/>
  <c r="C16" i="1"/>
  <c r="E16" i="1"/>
  <c r="F16" i="1"/>
  <c r="G16" i="1"/>
  <c r="I16" i="1"/>
  <c r="J16" i="1"/>
  <c r="K16" i="1"/>
  <c r="C17" i="1"/>
  <c r="E17" i="1"/>
  <c r="F17" i="1"/>
  <c r="G17" i="1"/>
  <c r="I17" i="1"/>
  <c r="J17" i="1"/>
  <c r="K17" i="1"/>
  <c r="C18" i="1"/>
  <c r="E18" i="1"/>
  <c r="F18" i="1"/>
  <c r="G18" i="1"/>
  <c r="I18" i="1"/>
  <c r="J18" i="1"/>
  <c r="K18" i="1"/>
  <c r="C20" i="1"/>
  <c r="E20" i="1"/>
  <c r="F20" i="1"/>
  <c r="G20" i="1"/>
  <c r="I20" i="1"/>
  <c r="J20" i="1"/>
  <c r="K20" i="1"/>
  <c r="C21" i="1"/>
  <c r="E21" i="1"/>
  <c r="F21" i="1"/>
  <c r="G21" i="1"/>
  <c r="I21" i="1"/>
  <c r="J21" i="1"/>
  <c r="K21" i="1"/>
  <c r="C22" i="1"/>
  <c r="E22" i="1"/>
  <c r="F22" i="1"/>
  <c r="G22" i="1"/>
  <c r="I22" i="1"/>
  <c r="J22" i="1"/>
  <c r="K22" i="1"/>
  <c r="C23" i="1"/>
  <c r="E23" i="1"/>
  <c r="F23" i="1"/>
  <c r="G23" i="1"/>
  <c r="I23" i="1"/>
  <c r="J23" i="1"/>
  <c r="K23" i="1"/>
  <c r="C25" i="1"/>
  <c r="E25" i="1"/>
  <c r="F25" i="1"/>
  <c r="G25" i="1"/>
  <c r="I25" i="1"/>
  <c r="J25" i="1"/>
  <c r="K25" i="1"/>
  <c r="C27" i="1"/>
  <c r="E27" i="1"/>
  <c r="F27" i="1"/>
  <c r="G27" i="1"/>
  <c r="I27" i="1"/>
  <c r="J27" i="1"/>
  <c r="K27" i="1"/>
  <c r="C28" i="1"/>
  <c r="E28" i="1"/>
  <c r="F28" i="1"/>
  <c r="G28" i="1"/>
  <c r="I28" i="1"/>
  <c r="J28" i="1"/>
  <c r="K28" i="1"/>
  <c r="C29" i="1"/>
  <c r="E29" i="1"/>
  <c r="F29" i="1"/>
  <c r="G29" i="1"/>
  <c r="I29" i="1"/>
  <c r="J29" i="1"/>
  <c r="K29" i="1"/>
  <c r="C30" i="1"/>
  <c r="E30" i="1"/>
  <c r="F30" i="1"/>
  <c r="G30" i="1"/>
  <c r="I30" i="1"/>
  <c r="J30" i="1"/>
  <c r="K30" i="1"/>
  <c r="C31" i="1"/>
  <c r="E31" i="1"/>
  <c r="F31" i="1"/>
  <c r="G31" i="1"/>
  <c r="I31" i="1"/>
  <c r="J31" i="1"/>
  <c r="K31" i="1"/>
  <c r="C32" i="1"/>
  <c r="E32" i="1"/>
  <c r="F32" i="1"/>
  <c r="G32" i="1"/>
  <c r="I32" i="1"/>
  <c r="J32" i="1"/>
  <c r="K32" i="1"/>
  <c r="C34" i="1"/>
  <c r="E34" i="1"/>
  <c r="F34" i="1"/>
  <c r="G34" i="1"/>
  <c r="I34" i="1"/>
  <c r="J34" i="1"/>
  <c r="K34" i="1"/>
  <c r="C35" i="1"/>
  <c r="E35" i="1"/>
  <c r="F35" i="1"/>
  <c r="G35" i="1"/>
  <c r="I35" i="1"/>
  <c r="J35" i="1"/>
  <c r="K35" i="1"/>
  <c r="C36" i="1"/>
  <c r="E36" i="1"/>
  <c r="F36" i="1"/>
  <c r="G36" i="1"/>
  <c r="I36" i="1"/>
  <c r="J36" i="1"/>
  <c r="K36" i="1"/>
  <c r="C38" i="1"/>
  <c r="E38" i="1"/>
  <c r="F38" i="1"/>
  <c r="G38" i="1"/>
  <c r="I38" i="1"/>
  <c r="J38" i="1"/>
  <c r="K38" i="1"/>
  <c r="C39" i="1"/>
  <c r="E39" i="1"/>
  <c r="F39" i="1"/>
  <c r="G39" i="1"/>
  <c r="I39" i="1"/>
  <c r="J39" i="1"/>
  <c r="K39" i="1"/>
  <c r="C40" i="1"/>
  <c r="E40" i="1"/>
  <c r="F40" i="1"/>
  <c r="G40" i="1"/>
  <c r="I40" i="1"/>
  <c r="J40" i="1"/>
  <c r="K40" i="1"/>
  <c r="C41" i="1"/>
  <c r="E41" i="1"/>
  <c r="F41" i="1"/>
  <c r="G41" i="1"/>
  <c r="I41" i="1"/>
  <c r="J41" i="1"/>
  <c r="K41" i="1"/>
  <c r="C44" i="1"/>
  <c r="E44" i="1"/>
  <c r="F44" i="1"/>
  <c r="G44" i="1"/>
  <c r="I44" i="1"/>
  <c r="J44" i="1"/>
  <c r="K44" i="1"/>
  <c r="C45" i="1"/>
  <c r="E45" i="1"/>
  <c r="F45" i="1"/>
  <c r="G45" i="1"/>
  <c r="I45" i="1"/>
  <c r="J45" i="1"/>
  <c r="K45" i="1"/>
  <c r="C46" i="1"/>
  <c r="E46" i="1"/>
  <c r="F46" i="1"/>
  <c r="G46" i="1"/>
  <c r="I46" i="1"/>
  <c r="J46" i="1"/>
  <c r="K46" i="1"/>
  <c r="C49" i="1"/>
  <c r="E49" i="1"/>
  <c r="F49" i="1"/>
  <c r="G49" i="1"/>
  <c r="I49" i="1"/>
  <c r="J49" i="1"/>
  <c r="K49" i="1"/>
  <c r="C50" i="1"/>
  <c r="E50" i="1"/>
  <c r="F50" i="1"/>
  <c r="G50" i="1"/>
  <c r="I50" i="1"/>
  <c r="J50" i="1"/>
  <c r="K50" i="1"/>
  <c r="C51" i="1"/>
  <c r="E51" i="1"/>
  <c r="F51" i="1"/>
  <c r="G51" i="1"/>
  <c r="I51" i="1"/>
  <c r="J51" i="1"/>
  <c r="K5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<sst xmlns="http://schemas.openxmlformats.org/spreadsheetml/2006/main" count="77" uniqueCount="53">
  <si>
    <t/>
  </si>
  <si>
    <t>AJUNTAMENT DE VILADECANS</t>
  </si>
  <si>
    <t>Estat d'execució resumit</t>
  </si>
  <si>
    <t>Període: 2024</t>
  </si>
  <si>
    <t>Data del llistat igual a: 31/12/2024</t>
  </si>
  <si>
    <t>Capítols d'ingrés</t>
  </si>
  <si>
    <t>Previsió Inicial</t>
  </si>
  <si>
    <t>Modificació</t>
  </si>
  <si>
    <t>Previsió Definitiva</t>
  </si>
  <si>
    <t>Drets liquidats</t>
  </si>
  <si>
    <t>Recaptació líquida</t>
  </si>
  <si>
    <t>Pendent de cobrament</t>
  </si>
  <si>
    <t>Estat d'execució</t>
  </si>
  <si>
    <t>Resultes tancats</t>
  </si>
  <si>
    <t>OPERACIONS CORRENTS</t>
  </si>
  <si>
    <t>1 IMPOSTOS DIRECTES</t>
  </si>
  <si>
    <t>2 IMPOSTOS INDIRECTES</t>
  </si>
  <si>
    <t>3 TAXES, PREUS PÚBLICS I ALTRES INGRESSOS</t>
  </si>
  <si>
    <t>4 TRANSFERÈNCIES CORRENTS</t>
  </si>
  <si>
    <t>5 INGRESSOS PATRIMONIALS</t>
  </si>
  <si>
    <t>Total OPERACIONS CORRENTS</t>
  </si>
  <si>
    <t>OPERACIONS DE CAPITAL</t>
  </si>
  <si>
    <t>6 ALIENACIÓ D'INVERSIONS REALS</t>
  </si>
  <si>
    <t>7 TRANSFERÈNCIES DE CAPITAL</t>
  </si>
  <si>
    <t>Total OPERACIONS DE CAPITAL</t>
  </si>
  <si>
    <t>OPERACIONS FINANCERES</t>
  </si>
  <si>
    <t>8 ACTIUS FINANCERS</t>
  </si>
  <si>
    <t>9 PASSIUS FINANCERS</t>
  </si>
  <si>
    <t>Total OPERACIONS FINANCERES</t>
  </si>
  <si>
    <t>Total INGRESSOS</t>
  </si>
  <si>
    <t>Capítols despesa</t>
  </si>
  <si>
    <t>Crèdit inicial</t>
  </si>
  <si>
    <t>Crèdit definitiu</t>
  </si>
  <si>
    <t>Obligacions reconegudes</t>
  </si>
  <si>
    <t>Pagaments líquids</t>
  </si>
  <si>
    <t>Pendent de pagar</t>
  </si>
  <si>
    <t>1 DESPESES DE PERSONAL</t>
  </si>
  <si>
    <t>2 DESPESES CORRENTS EN COMPRA DE BÉNS I SERVEIS</t>
  </si>
  <si>
    <t>3 DESPESES FINANCERES</t>
  </si>
  <si>
    <t>5 FONS DE CONTINGENCIA I ALTRES IMPREVISTOS</t>
  </si>
  <si>
    <t>6 INVERSIONS REALS</t>
  </si>
  <si>
    <t>Total DESPESES</t>
  </si>
  <si>
    <t>Situació econòmica - Exercici CORRENT</t>
  </si>
  <si>
    <t>Superàvit inicial</t>
  </si>
  <si>
    <t>Superàvit definitiu</t>
  </si>
  <si>
    <t>Superàvit Final</t>
  </si>
  <si>
    <t>Moviments de fons</t>
  </si>
  <si>
    <t>Deutors / Creditors</t>
  </si>
  <si>
    <t>Total Ingressos</t>
  </si>
  <si>
    <t>Total Despeses</t>
  </si>
  <si>
    <t>Diferència corrent</t>
  </si>
  <si>
    <t>Situació econòmica - Exercicis CORRENTS I TANCATS</t>
  </si>
  <si>
    <t>Diferència corrents i tancats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</si>
</sst>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64"/>
      <name val="Arial"/>
    </font>
    <font>
      <sz val="10"/>
      <color indexed="8"/>
      <name val="Arial"/>
    </font>
    <font>
      <sz val="13"/>
      <color indexed="29"/>
      <name val="Arial"/>
    </font>
    <font>
      <sz val="10"/>
      <color indexed="29"/>
      <name val="Arial"/>
    </font>
    <font>
      <sz val="8"/>
      <color indexed="29"/>
      <name val="Arial"/>
    </font>
    <font>
      <b/>
      <sz val="7"/>
      <color indexed="29"/>
      <name val="serif"/>
      <family val="1"/>
    </font>
    <font>
      <sz val="7"/>
      <color indexed="29"/>
      <name val="serif"/>
      <family val="1"/>
    </font>
    <font>
      <sz val="10"/>
      <color indexed="8"/>
      <name val="serif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29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Font="1" applyFill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3B5998"/>
      <rgbColor rgb="00E0E0E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1130300</xdr:colOff>
      <xdr:row>4</xdr:row>
      <xdr:rowOff>127000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65F43DB-094D-7E3A-F55F-47EFC06ACF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03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7309-67B2-4880-9C4C-CC0D478DB8E1}">
  <sheetPr codeName="Sheet1"/>
  <dimension ref="A1:K51"/>
  <sheetViews>
    <sheetView tabSelected="1" workbookViewId="0">
      <selection activeCell="O7" sqref="O7"/>
    </sheetView>
  </sheetViews>
  <sheetFormatPr baseColWidth="10" defaultColWidth="9.140625" defaultRowHeight="12.75"/>
  <cols>
    <col min="1" max="1" width="19.5703125" customWidth="1"/>
    <col min="2" max="2" width="7.42578125" customWidth="1"/>
    <col min="3" max="3" width="7.140625" customWidth="1"/>
    <col min="4" max="4" width="3.5703125" customWidth="1"/>
    <col min="5" max="6" width="10.85546875" customWidth="1"/>
    <col min="7" max="7" width="9" customWidth="1"/>
    <col min="8" max="8" width="1.85546875" customWidth="1"/>
    <col min="9" max="11" width="10.85546875" customWidth="1"/>
  </cols>
  <sheetData>
    <row r="1" spans="1:11" ht="19.5" customHeight="1">
      <c r="A1" s="15"/>
      <c r="B1" s="15"/>
      <c r="C1" s="15"/>
      <c r="D1" s="19" t="s">
        <v>0</v>
      </c>
      <c r="E1" s="19"/>
      <c r="F1" s="19"/>
      <c r="G1" s="19"/>
      <c r="H1" s="15" t="e" vm="1">
        <v>#VALUE!</v>
      </c>
      <c r="I1" s="15"/>
      <c r="J1" s="15"/>
      <c r="K1" s="15"/>
    </row>
    <row r="2" spans="1:11" ht="19.5" customHeight="1">
      <c r="A2" s="15"/>
      <c r="B2" s="15"/>
      <c r="C2" s="15"/>
      <c r="D2" s="18" t="s">
        <v>1</v>
      </c>
      <c r="E2" s="18"/>
      <c r="F2" s="18"/>
      <c r="G2" s="18"/>
      <c r="H2" s="15"/>
      <c r="I2" s="15"/>
      <c r="J2" s="15"/>
      <c r="K2" s="15"/>
    </row>
    <row r="3" spans="1:11" ht="19.5" customHeight="1">
      <c r="A3" s="15"/>
      <c r="B3" s="15"/>
      <c r="C3" s="15"/>
      <c r="D3" s="17" t="s">
        <v>2</v>
      </c>
      <c r="E3" s="17"/>
      <c r="F3" s="17"/>
      <c r="G3" s="17"/>
      <c r="H3" s="15"/>
      <c r="I3" s="15"/>
      <c r="J3" s="15"/>
      <c r="K3" s="15"/>
    </row>
    <row r="4" spans="1:11" ht="19.5" customHeight="1">
      <c r="A4" s="15"/>
      <c r="B4" s="15"/>
      <c r="C4" s="15"/>
      <c r="D4" s="16" t="s">
        <v>3</v>
      </c>
      <c r="E4" s="16"/>
      <c r="F4" s="16"/>
      <c r="G4" s="16"/>
      <c r="H4" s="15"/>
      <c r="I4" s="15"/>
      <c r="J4" s="15"/>
      <c r="K4" s="15"/>
    </row>
    <row r="5" spans="1:11" ht="19.5" customHeight="1">
      <c r="A5" s="15"/>
      <c r="B5" s="15"/>
      <c r="C5" s="15"/>
      <c r="D5" s="16" t="s">
        <v>4</v>
      </c>
      <c r="E5" s="16"/>
      <c r="F5" s="16"/>
      <c r="G5" s="16"/>
      <c r="H5" s="15"/>
      <c r="I5" s="15"/>
      <c r="J5" s="15"/>
      <c r="K5" s="15"/>
    </row>
    <row r="6" spans="1:11" ht="18">
      <c r="A6" s="10" t="s">
        <v>5</v>
      </c>
      <c r="B6" s="10"/>
      <c r="C6" s="9" t="s">
        <v>6</v>
      </c>
      <c r="D6" s="9"/>
      <c r="E6" s="1" t="s">
        <v>7</v>
      </c>
      <c r="F6" s="1" t="s">
        <v>8</v>
      </c>
      <c r="G6" s="9" t="s">
        <v>9</v>
      </c>
      <c r="H6" s="9"/>
      <c r="I6" s="1" t="s">
        <v>10</v>
      </c>
      <c r="J6" s="1" t="s">
        <v>11</v>
      </c>
      <c r="K6" s="1" t="s">
        <v>12</v>
      </c>
    </row>
    <row r="7" spans="1:11">
      <c r="A7" s="12" t="s">
        <v>13</v>
      </c>
      <c r="B7" s="12"/>
      <c r="C7" s="7">
        <f>ROUND(22253760.18,2)</f>
        <v>22253760.18</v>
      </c>
      <c r="D7" s="7"/>
      <c r="E7" s="2">
        <f>ROUND(-3831805.08,2)</f>
        <v>-3831805.08</v>
      </c>
      <c r="F7" s="2">
        <f>ROUND(18421955.1,2)</f>
        <v>18421955.100000001</v>
      </c>
      <c r="G7" s="7">
        <f>ROUND(18421955.1,2)</f>
        <v>18421955.100000001</v>
      </c>
      <c r="H7" s="7"/>
      <c r="I7" s="2">
        <f>ROUND(6304223.35,2)</f>
        <v>6304223.3499999996</v>
      </c>
      <c r="J7" s="2">
        <f>ROUND(12117731.75,2)</f>
        <v>12117731.75</v>
      </c>
      <c r="K7" s="2">
        <f>ROUND(0,2)</f>
        <v>0</v>
      </c>
    </row>
    <row r="8" spans="1:11">
      <c r="A8" s="14" t="s">
        <v>14</v>
      </c>
      <c r="B8" s="14"/>
      <c r="C8" s="11"/>
      <c r="D8" s="11"/>
      <c r="E8" s="3"/>
      <c r="F8" s="3"/>
      <c r="G8" s="11"/>
      <c r="H8" s="11"/>
      <c r="I8" s="3"/>
      <c r="J8" s="3"/>
      <c r="K8" s="3"/>
    </row>
    <row r="9" spans="1:11">
      <c r="A9" s="12" t="s">
        <v>15</v>
      </c>
      <c r="B9" s="12"/>
      <c r="C9" s="7">
        <f>ROUND(38572760,2)</f>
        <v>38572760</v>
      </c>
      <c r="D9" s="7"/>
      <c r="E9" s="2">
        <f>ROUND(0,2)</f>
        <v>0</v>
      </c>
      <c r="F9" s="2">
        <f>ROUND(38572760,2)</f>
        <v>38572760</v>
      </c>
      <c r="G9" s="7">
        <f>ROUND(38429761.68,2)</f>
        <v>38429761.68</v>
      </c>
      <c r="H9" s="7"/>
      <c r="I9" s="2">
        <f>ROUND(35585837.5,2)</f>
        <v>35585837.5</v>
      </c>
      <c r="J9" s="2">
        <f>ROUND(2843924.18,2)</f>
        <v>2843924.18</v>
      </c>
      <c r="K9" s="2">
        <f>ROUND(142998.320000001,2)</f>
        <v>142998.32</v>
      </c>
    </row>
    <row r="10" spans="1:11">
      <c r="A10" s="12" t="s">
        <v>16</v>
      </c>
      <c r="B10" s="12"/>
      <c r="C10" s="7">
        <f>ROUND(3409261,2)</f>
        <v>3409261</v>
      </c>
      <c r="D10" s="7"/>
      <c r="E10" s="2">
        <f>ROUND(0,2)</f>
        <v>0</v>
      </c>
      <c r="F10" s="2">
        <f>ROUND(3409261,2)</f>
        <v>3409261</v>
      </c>
      <c r="G10" s="7">
        <f>ROUND(4188407.66,2)</f>
        <v>4188407.66</v>
      </c>
      <c r="H10" s="7"/>
      <c r="I10" s="2">
        <f>ROUND(3500413.27,2)</f>
        <v>3500413.27</v>
      </c>
      <c r="J10" s="2">
        <f>ROUND(687994.39,2)</f>
        <v>687994.39</v>
      </c>
      <c r="K10" s="2">
        <f>ROUND(-779146.66,2)</f>
        <v>-779146.66</v>
      </c>
    </row>
    <row r="11" spans="1:11">
      <c r="A11" s="12" t="s">
        <v>17</v>
      </c>
      <c r="B11" s="12"/>
      <c r="C11" s="7">
        <f>ROUND(7885159,2)</f>
        <v>7885159</v>
      </c>
      <c r="D11" s="7"/>
      <c r="E11" s="2">
        <f>ROUND(45238.89,2)</f>
        <v>45238.89</v>
      </c>
      <c r="F11" s="2">
        <f>ROUND(7930397.89,2)</f>
        <v>7930397.8899999997</v>
      </c>
      <c r="G11" s="7">
        <f>ROUND(8814972.76,2)</f>
        <v>8814972.7599999998</v>
      </c>
      <c r="H11" s="7"/>
      <c r="I11" s="2">
        <f>ROUND(6808793.48,2)</f>
        <v>6808793.4800000004</v>
      </c>
      <c r="J11" s="2">
        <f>ROUND(2006179.28,2)</f>
        <v>2006179.28</v>
      </c>
      <c r="K11" s="2">
        <f>ROUND(-884574.87,2)</f>
        <v>-884574.87</v>
      </c>
    </row>
    <row r="12" spans="1:11">
      <c r="A12" s="12" t="s">
        <v>18</v>
      </c>
      <c r="B12" s="12"/>
      <c r="C12" s="7">
        <f>ROUND(29162283,2)</f>
        <v>29162283</v>
      </c>
      <c r="D12" s="7"/>
      <c r="E12" s="2">
        <f>ROUND(6524400.45,2)</f>
        <v>6524400.4500000002</v>
      </c>
      <c r="F12" s="2">
        <f>ROUND(35686683.45,2)</f>
        <v>35686683.450000003</v>
      </c>
      <c r="G12" s="7">
        <f>ROUND(34516918.09,2)</f>
        <v>34516918.090000004</v>
      </c>
      <c r="H12" s="7"/>
      <c r="I12" s="2">
        <f>ROUND(33852148.67,2)</f>
        <v>33852148.670000002</v>
      </c>
      <c r="J12" s="2">
        <f>ROUND(664769.42,2)</f>
        <v>664769.42000000004</v>
      </c>
      <c r="K12" s="2">
        <f>ROUND(1169765.36,2)</f>
        <v>1169765.3600000001</v>
      </c>
    </row>
    <row r="13" spans="1:11">
      <c r="A13" s="12" t="s">
        <v>19</v>
      </c>
      <c r="B13" s="12"/>
      <c r="C13" s="7">
        <f>ROUND(1643864,2)</f>
        <v>1643864</v>
      </c>
      <c r="D13" s="7"/>
      <c r="E13" s="2">
        <f>ROUND(2077.57,2)</f>
        <v>2077.5700000000002</v>
      </c>
      <c r="F13" s="2">
        <f>ROUND(1645941.57,2)</f>
        <v>1645941.57</v>
      </c>
      <c r="G13" s="7">
        <f>ROUND(1841451.16,2)</f>
        <v>1841451.16</v>
      </c>
      <c r="H13" s="7"/>
      <c r="I13" s="2">
        <f>ROUND(1817215.73,2)</f>
        <v>1817215.73</v>
      </c>
      <c r="J13" s="2">
        <f>ROUND(24235.43,2)</f>
        <v>24235.43</v>
      </c>
      <c r="K13" s="2">
        <f>ROUND(-195509.59,2)</f>
        <v>-195509.59</v>
      </c>
    </row>
    <row r="14" spans="1:11">
      <c r="A14" s="14" t="s">
        <v>20</v>
      </c>
      <c r="B14" s="14"/>
      <c r="C14" s="8">
        <f>ROUND(80673327,2)</f>
        <v>80673327</v>
      </c>
      <c r="D14" s="8"/>
      <c r="E14" s="4">
        <f>ROUND(6571716.91,2)</f>
        <v>6571716.9100000001</v>
      </c>
      <c r="F14" s="4">
        <f>ROUND(87245043.91,2)</f>
        <v>87245043.909999996</v>
      </c>
      <c r="G14" s="8">
        <f>ROUND(87791511.35,2)</f>
        <v>87791511.349999994</v>
      </c>
      <c r="H14" s="8"/>
      <c r="I14" s="4">
        <f>ROUND(81564408.65,2)</f>
        <v>81564408.650000006</v>
      </c>
      <c r="J14" s="4">
        <f>ROUND(6227102.7,2)</f>
        <v>6227102.7000000002</v>
      </c>
      <c r="K14" s="4">
        <f>ROUND(-546467.439999997,2)</f>
        <v>-546467.43999999994</v>
      </c>
    </row>
    <row r="15" spans="1:11">
      <c r="A15" s="14" t="s">
        <v>21</v>
      </c>
      <c r="B15" s="14"/>
      <c r="C15" s="11"/>
      <c r="D15" s="11"/>
      <c r="E15" s="3"/>
      <c r="F15" s="3"/>
      <c r="G15" s="11"/>
      <c r="H15" s="11"/>
      <c r="I15" s="3"/>
      <c r="J15" s="3"/>
      <c r="K15" s="3"/>
    </row>
    <row r="16" spans="1:11">
      <c r="A16" s="12" t="s">
        <v>22</v>
      </c>
      <c r="B16" s="12"/>
      <c r="C16" s="7">
        <f>ROUND(0,2)</f>
        <v>0</v>
      </c>
      <c r="D16" s="7"/>
      <c r="E16" s="2">
        <f>ROUND(0,2)</f>
        <v>0</v>
      </c>
      <c r="F16" s="2">
        <f>ROUND(0,2)</f>
        <v>0</v>
      </c>
      <c r="G16" s="7">
        <f>ROUND(0,2)</f>
        <v>0</v>
      </c>
      <c r="H16" s="7"/>
      <c r="I16" s="2">
        <f>ROUND(0,2)</f>
        <v>0</v>
      </c>
      <c r="J16" s="2">
        <f>ROUND(0,2)</f>
        <v>0</v>
      </c>
      <c r="K16" s="2">
        <f>ROUND(0,2)</f>
        <v>0</v>
      </c>
    </row>
    <row r="17" spans="1:11">
      <c r="A17" s="12" t="s">
        <v>23</v>
      </c>
      <c r="B17" s="12"/>
      <c r="C17" s="7">
        <f>ROUND(1733124,2)</f>
        <v>1733124</v>
      </c>
      <c r="D17" s="7"/>
      <c r="E17" s="2">
        <f>ROUND(4575806,2)</f>
        <v>4575806</v>
      </c>
      <c r="F17" s="2">
        <f>ROUND(6308930,2)</f>
        <v>6308930</v>
      </c>
      <c r="G17" s="7">
        <f>ROUND(2153790.19,2)</f>
        <v>2153790.19</v>
      </c>
      <c r="H17" s="7"/>
      <c r="I17" s="2">
        <f>ROUND(1917183.27,2)</f>
        <v>1917183.27</v>
      </c>
      <c r="J17" s="2">
        <f>ROUND(236606.92,2)</f>
        <v>236606.92</v>
      </c>
      <c r="K17" s="2">
        <f>ROUND(4155139.81,2)</f>
        <v>4155139.81</v>
      </c>
    </row>
    <row r="18" spans="1:11">
      <c r="A18" s="14" t="s">
        <v>24</v>
      </c>
      <c r="B18" s="14"/>
      <c r="C18" s="8">
        <f>ROUND(1733124,2)</f>
        <v>1733124</v>
      </c>
      <c r="D18" s="8"/>
      <c r="E18" s="4">
        <f>ROUND(4575806,2)</f>
        <v>4575806</v>
      </c>
      <c r="F18" s="4">
        <f>ROUND(6308930,2)</f>
        <v>6308930</v>
      </c>
      <c r="G18" s="8">
        <f>ROUND(2153790.19,2)</f>
        <v>2153790.19</v>
      </c>
      <c r="H18" s="8"/>
      <c r="I18" s="4">
        <f>ROUND(1917183.27,2)</f>
        <v>1917183.27</v>
      </c>
      <c r="J18" s="4">
        <f>ROUND(236606.92,2)</f>
        <v>236606.92</v>
      </c>
      <c r="K18" s="4">
        <f>ROUND(4155139.81,2)</f>
        <v>4155139.81</v>
      </c>
    </row>
    <row r="19" spans="1:11">
      <c r="A19" s="14" t="s">
        <v>25</v>
      </c>
      <c r="B19" s="14"/>
      <c r="C19" s="11"/>
      <c r="D19" s="11"/>
      <c r="E19" s="3"/>
      <c r="F19" s="3"/>
      <c r="G19" s="11"/>
      <c r="H19" s="11"/>
      <c r="I19" s="3"/>
      <c r="J19" s="3"/>
      <c r="K19" s="3"/>
    </row>
    <row r="20" spans="1:11">
      <c r="A20" s="12" t="s">
        <v>26</v>
      </c>
      <c r="B20" s="12"/>
      <c r="C20" s="7">
        <f>ROUND(600,2)</f>
        <v>600</v>
      </c>
      <c r="D20" s="7"/>
      <c r="E20" s="2">
        <f>ROUND(36314326.27,2)</f>
        <v>36314326.270000003</v>
      </c>
      <c r="F20" s="2">
        <f>ROUND(36314926.27,2)</f>
        <v>36314926.270000003</v>
      </c>
      <c r="G20" s="7">
        <f>ROUND(59065.23,2)</f>
        <v>59065.23</v>
      </c>
      <c r="H20" s="7"/>
      <c r="I20" s="2">
        <f>ROUND(59065.23,2)</f>
        <v>59065.23</v>
      </c>
      <c r="J20" s="2">
        <f>ROUND(0,2)</f>
        <v>0</v>
      </c>
      <c r="K20" s="2">
        <f>ROUND(36255861.04,2)</f>
        <v>36255861.039999999</v>
      </c>
    </row>
    <row r="21" spans="1:11">
      <c r="A21" s="12" t="s">
        <v>27</v>
      </c>
      <c r="B21" s="12"/>
      <c r="C21" s="7">
        <f>ROUND(1500000,2)</f>
        <v>1500000</v>
      </c>
      <c r="D21" s="7"/>
      <c r="E21" s="2">
        <f>ROUND(1370778.4,2)</f>
        <v>1370778.4</v>
      </c>
      <c r="F21" s="2">
        <f>ROUND(2870778.4,2)</f>
        <v>2870778.4</v>
      </c>
      <c r="G21" s="7">
        <f>ROUND(2408000,2)</f>
        <v>2408000</v>
      </c>
      <c r="H21" s="7"/>
      <c r="I21" s="2">
        <f>ROUND(2408000,2)</f>
        <v>2408000</v>
      </c>
      <c r="J21" s="2">
        <f>ROUND(0,2)</f>
        <v>0</v>
      </c>
      <c r="K21" s="2">
        <f>ROUND(462778.4,2)</f>
        <v>462778.4</v>
      </c>
    </row>
    <row r="22" spans="1:11">
      <c r="A22" s="14" t="s">
        <v>28</v>
      </c>
      <c r="B22" s="14"/>
      <c r="C22" s="8">
        <f>ROUND(1500600,2)</f>
        <v>1500600</v>
      </c>
      <c r="D22" s="8"/>
      <c r="E22" s="4">
        <f>ROUND(37685104.67,2)</f>
        <v>37685104.670000002</v>
      </c>
      <c r="F22" s="4">
        <f>ROUND(39185704.67,2)</f>
        <v>39185704.670000002</v>
      </c>
      <c r="G22" s="8">
        <f>ROUND(2467065.23,2)</f>
        <v>2467065.23</v>
      </c>
      <c r="H22" s="8"/>
      <c r="I22" s="4">
        <f>ROUND(2467065.23,2)</f>
        <v>2467065.23</v>
      </c>
      <c r="J22" s="4">
        <f>ROUND(0,2)</f>
        <v>0</v>
      </c>
      <c r="K22" s="4">
        <f>ROUND(36718639.44,2)</f>
        <v>36718639.439999998</v>
      </c>
    </row>
    <row r="23" spans="1:11">
      <c r="A23" s="13" t="s">
        <v>29</v>
      </c>
      <c r="B23" s="13"/>
      <c r="C23" s="6">
        <f>ROUND(83907051,2)</f>
        <v>83907051</v>
      </c>
      <c r="D23" s="6"/>
      <c r="E23" s="5">
        <f>ROUND(48832627.58,2)</f>
        <v>48832627.579999998</v>
      </c>
      <c r="F23" s="5">
        <f>ROUND(132739678.58,2)</f>
        <v>132739678.58</v>
      </c>
      <c r="G23" s="6">
        <f>ROUND(92412366.77,2)</f>
        <v>92412366.769999996</v>
      </c>
      <c r="H23" s="6"/>
      <c r="I23" s="5">
        <f>ROUND(85948657.15,2)</f>
        <v>85948657.150000006</v>
      </c>
      <c r="J23" s="5">
        <f>ROUND(6463709.62,2)</f>
        <v>6463709.6200000001</v>
      </c>
      <c r="K23" s="5">
        <f>ROUND(40327311.81,2)</f>
        <v>40327311.810000002</v>
      </c>
    </row>
    <row r="24" spans="1:11" ht="26.65" customHeight="1">
      <c r="A24" s="10" t="s">
        <v>30</v>
      </c>
      <c r="B24" s="10"/>
      <c r="C24" s="9" t="s">
        <v>31</v>
      </c>
      <c r="D24" s="9"/>
      <c r="E24" s="1" t="s">
        <v>7</v>
      </c>
      <c r="F24" s="1" t="s">
        <v>32</v>
      </c>
      <c r="G24" s="9" t="s">
        <v>33</v>
      </c>
      <c r="H24" s="9"/>
      <c r="I24" s="1" t="s">
        <v>34</v>
      </c>
      <c r="J24" s="1" t="s">
        <v>35</v>
      </c>
      <c r="K24" s="1" t="s">
        <v>12</v>
      </c>
    </row>
    <row r="25" spans="1:11" ht="26.65" customHeight="1">
      <c r="A25" s="12" t="s">
        <v>13</v>
      </c>
      <c r="B25" s="12"/>
      <c r="C25" s="7">
        <f>ROUND(10679961.11,2)</f>
        <v>10679961.109999999</v>
      </c>
      <c r="D25" s="7"/>
      <c r="E25" s="2">
        <f>ROUND(-126353.49,2)</f>
        <v>-126353.49</v>
      </c>
      <c r="F25" s="2">
        <f>ROUND(10553607.62,2)</f>
        <v>10553607.619999999</v>
      </c>
      <c r="G25" s="7">
        <f>ROUND(10553607.62,2)</f>
        <v>10553607.619999999</v>
      </c>
      <c r="H25" s="7"/>
      <c r="I25" s="2">
        <f>ROUND(9067328.78,2)</f>
        <v>9067328.7799999993</v>
      </c>
      <c r="J25" s="2">
        <f>ROUND(1486278.84,2)</f>
        <v>1486278.84</v>
      </c>
      <c r="K25" s="2">
        <f>ROUND(0,2)</f>
        <v>0</v>
      </c>
    </row>
    <row r="26" spans="1:11">
      <c r="A26" s="14" t="s">
        <v>14</v>
      </c>
      <c r="B26" s="14"/>
      <c r="C26" s="11"/>
      <c r="D26" s="11"/>
      <c r="E26" s="3"/>
      <c r="F26" s="3"/>
      <c r="G26" s="11"/>
      <c r="H26" s="11"/>
      <c r="I26" s="3"/>
      <c r="J26" s="3"/>
      <c r="K26" s="3"/>
    </row>
    <row r="27" spans="1:11">
      <c r="A27" s="12" t="s">
        <v>36</v>
      </c>
      <c r="B27" s="12"/>
      <c r="C27" s="7">
        <f>ROUND(29380000,2)</f>
        <v>29380000</v>
      </c>
      <c r="D27" s="7"/>
      <c r="E27" s="2">
        <f>ROUND(5266102.91,2)</f>
        <v>5266102.91</v>
      </c>
      <c r="F27" s="2">
        <f>ROUND(34646102.9100001,2)</f>
        <v>34646102.909999996</v>
      </c>
      <c r="G27" s="7">
        <f>ROUND(30895623.9,2)</f>
        <v>30895623.899999999</v>
      </c>
      <c r="H27" s="7"/>
      <c r="I27" s="2">
        <f>ROUND(30867404.28,2)</f>
        <v>30867404.280000001</v>
      </c>
      <c r="J27" s="2">
        <f>ROUND(28219.62,2)</f>
        <v>28219.62</v>
      </c>
      <c r="K27" s="2">
        <f>ROUND(3750479.01,2)</f>
        <v>3750479.01</v>
      </c>
    </row>
    <row r="28" spans="1:11">
      <c r="A28" s="12" t="s">
        <v>37</v>
      </c>
      <c r="B28" s="12"/>
      <c r="C28" s="7">
        <f>ROUND(33644648,2)</f>
        <v>33644648</v>
      </c>
      <c r="D28" s="7"/>
      <c r="E28" s="2">
        <f>ROUND(6830599.38,2)</f>
        <v>6830599.3799999999</v>
      </c>
      <c r="F28" s="2">
        <f>ROUND(40475247.38,2)</f>
        <v>40475247.380000003</v>
      </c>
      <c r="G28" s="7">
        <f>ROUND(31443351.67,2)</f>
        <v>31443351.670000002</v>
      </c>
      <c r="H28" s="7"/>
      <c r="I28" s="2">
        <f>ROUND(26336659.21,2)</f>
        <v>26336659.210000001</v>
      </c>
      <c r="J28" s="2">
        <f>ROUND(5106692.46,2)</f>
        <v>5106692.46</v>
      </c>
      <c r="K28" s="2">
        <f>ROUND(9031895.71,2)</f>
        <v>9031895.7100000009</v>
      </c>
    </row>
    <row r="29" spans="1:11">
      <c r="A29" s="12" t="s">
        <v>38</v>
      </c>
      <c r="B29" s="12"/>
      <c r="C29" s="7">
        <f>ROUND(715627,2)</f>
        <v>715627</v>
      </c>
      <c r="D29" s="7"/>
      <c r="E29" s="2">
        <f>ROUND(-21000,2)</f>
        <v>-21000</v>
      </c>
      <c r="F29" s="2">
        <f>ROUND(694627,2)</f>
        <v>694627</v>
      </c>
      <c r="G29" s="7">
        <f>ROUND(541118.55,2)</f>
        <v>541118.55000000005</v>
      </c>
      <c r="H29" s="7"/>
      <c r="I29" s="2">
        <f>ROUND(540556.51,2)</f>
        <v>540556.51</v>
      </c>
      <c r="J29" s="2">
        <f>ROUND(562.040000000001,2)</f>
        <v>562.04</v>
      </c>
      <c r="K29" s="2">
        <f>ROUND(153508.45,2)</f>
        <v>153508.45000000001</v>
      </c>
    </row>
    <row r="30" spans="1:11">
      <c r="A30" s="12" t="s">
        <v>18</v>
      </c>
      <c r="B30" s="12"/>
      <c r="C30" s="7">
        <f>ROUND(11829199,2)</f>
        <v>11829199</v>
      </c>
      <c r="D30" s="7"/>
      <c r="E30" s="2">
        <f>ROUND(2199582.28,2)</f>
        <v>2199582.2799999998</v>
      </c>
      <c r="F30" s="2">
        <f>ROUND(14028781.28,2)</f>
        <v>14028781.279999999</v>
      </c>
      <c r="G30" s="7">
        <f>ROUND(10437064.86,2)</f>
        <v>10437064.859999999</v>
      </c>
      <c r="H30" s="7"/>
      <c r="I30" s="2">
        <f>ROUND(10070831,2)</f>
        <v>10070831</v>
      </c>
      <c r="J30" s="2">
        <f>ROUND(366233.86,2)</f>
        <v>366233.86</v>
      </c>
      <c r="K30" s="2">
        <f>ROUND(3591716.42,2)</f>
        <v>3591716.42</v>
      </c>
    </row>
    <row r="31" spans="1:11">
      <c r="A31" s="12" t="s">
        <v>39</v>
      </c>
      <c r="B31" s="12"/>
      <c r="C31" s="7">
        <f>ROUND(833000,2)</f>
        <v>833000</v>
      </c>
      <c r="D31" s="7"/>
      <c r="E31" s="2">
        <f>ROUND(0,2)</f>
        <v>0</v>
      </c>
      <c r="F31" s="2">
        <f>ROUND(833000,2)</f>
        <v>833000</v>
      </c>
      <c r="G31" s="7">
        <f>ROUND(0,2)</f>
        <v>0</v>
      </c>
      <c r="H31" s="7"/>
      <c r="I31" s="2">
        <f>ROUND(0,2)</f>
        <v>0</v>
      </c>
      <c r="J31" s="2">
        <f>ROUND(0,2)</f>
        <v>0</v>
      </c>
      <c r="K31" s="2">
        <f>ROUND(833000,2)</f>
        <v>833000</v>
      </c>
    </row>
    <row r="32" spans="1:11">
      <c r="A32" s="14" t="s">
        <v>20</v>
      </c>
      <c r="B32" s="14"/>
      <c r="C32" s="8">
        <f>ROUND(76402474,2)</f>
        <v>76402474</v>
      </c>
      <c r="D32" s="8"/>
      <c r="E32" s="4">
        <f>ROUND(14275284.57,2)</f>
        <v>14275284.57</v>
      </c>
      <c r="F32" s="4">
        <f>ROUND(90677758.57,2)</f>
        <v>90677758.569999993</v>
      </c>
      <c r="G32" s="8">
        <f>ROUND(73317158.98,2)</f>
        <v>73317158.980000004</v>
      </c>
      <c r="H32" s="8"/>
      <c r="I32" s="4">
        <f>ROUND(67815451,2)</f>
        <v>67815451</v>
      </c>
      <c r="J32" s="4">
        <f>ROUND(5501707.98,2)</f>
        <v>5501707.9800000004</v>
      </c>
      <c r="K32" s="4">
        <f>ROUND(17360599.59,2)</f>
        <v>17360599.59</v>
      </c>
    </row>
    <row r="33" spans="1:11">
      <c r="A33" s="14" t="s">
        <v>21</v>
      </c>
      <c r="B33" s="14"/>
      <c r="C33" s="11"/>
      <c r="D33" s="11"/>
      <c r="E33" s="3"/>
      <c r="F33" s="3"/>
      <c r="G33" s="11"/>
      <c r="H33" s="11"/>
      <c r="I33" s="3"/>
      <c r="J33" s="3"/>
      <c r="K33" s="3"/>
    </row>
    <row r="34" spans="1:11">
      <c r="A34" s="12" t="s">
        <v>40</v>
      </c>
      <c r="B34" s="12"/>
      <c r="C34" s="7">
        <f>ROUND(4564203,2)</f>
        <v>4564203</v>
      </c>
      <c r="D34" s="7"/>
      <c r="E34" s="2">
        <f>ROUND(27148267.17,2)</f>
        <v>27148267.170000002</v>
      </c>
      <c r="F34" s="2">
        <f>ROUND(31712470.17,2)</f>
        <v>31712470.170000002</v>
      </c>
      <c r="G34" s="7">
        <f>ROUND(9920795.84,2)</f>
        <v>9920795.8399999999</v>
      </c>
      <c r="H34" s="7"/>
      <c r="I34" s="2">
        <f>ROUND(8192050.03,2)</f>
        <v>8192050.0300000003</v>
      </c>
      <c r="J34" s="2">
        <f>ROUND(1728745.81,2)</f>
        <v>1728745.81</v>
      </c>
      <c r="K34" s="2">
        <f>ROUND(21791674.33,2)</f>
        <v>21791674.329999998</v>
      </c>
    </row>
    <row r="35" spans="1:11">
      <c r="A35" s="12" t="s">
        <v>23</v>
      </c>
      <c r="B35" s="12"/>
      <c r="C35" s="7">
        <f>ROUND(1193774,2)</f>
        <v>1193774</v>
      </c>
      <c r="D35" s="7"/>
      <c r="E35" s="2">
        <f>ROUND(4590152.15,2)</f>
        <v>4590152.1500000004</v>
      </c>
      <c r="F35" s="2">
        <f>ROUND(5783926.15,2)</f>
        <v>5783926.1500000004</v>
      </c>
      <c r="G35" s="7">
        <f>ROUND(2929942.09,2)</f>
        <v>2929942.09</v>
      </c>
      <c r="H35" s="7"/>
      <c r="I35" s="2">
        <f>ROUND(2548770.89,2)</f>
        <v>2548770.89</v>
      </c>
      <c r="J35" s="2">
        <f>ROUND(381171.2,2)</f>
        <v>381171.20000000001</v>
      </c>
      <c r="K35" s="2">
        <f>ROUND(2853984.06,2)</f>
        <v>2853984.06</v>
      </c>
    </row>
    <row r="36" spans="1:11">
      <c r="A36" s="14" t="s">
        <v>24</v>
      </c>
      <c r="B36" s="14"/>
      <c r="C36" s="8">
        <f>ROUND(5757977,2)</f>
        <v>5757977</v>
      </c>
      <c r="D36" s="8"/>
      <c r="E36" s="4">
        <f>ROUND(31738419.32,2)</f>
        <v>31738419.32</v>
      </c>
      <c r="F36" s="4">
        <f>ROUND(37496396.32,2)</f>
        <v>37496396.32</v>
      </c>
      <c r="G36" s="8">
        <f>ROUND(12850737.93,2)</f>
        <v>12850737.93</v>
      </c>
      <c r="H36" s="8"/>
      <c r="I36" s="4">
        <f>ROUND(10740820.92,2)</f>
        <v>10740820.92</v>
      </c>
      <c r="J36" s="4">
        <f>ROUND(2109917.01,2)</f>
        <v>2109917.0099999998</v>
      </c>
      <c r="K36" s="4">
        <f>ROUND(24645658.39,2)</f>
        <v>24645658.390000001</v>
      </c>
    </row>
    <row r="37" spans="1:11">
      <c r="A37" s="14" t="s">
        <v>25</v>
      </c>
      <c r="B37" s="14"/>
      <c r="C37" s="11"/>
      <c r="D37" s="11"/>
      <c r="E37" s="3"/>
      <c r="F37" s="3"/>
      <c r="G37" s="11"/>
      <c r="H37" s="11"/>
      <c r="I37" s="3"/>
      <c r="J37" s="3"/>
      <c r="K37" s="3"/>
    </row>
    <row r="38" spans="1:11">
      <c r="A38" s="12" t="s">
        <v>26</v>
      </c>
      <c r="B38" s="12"/>
      <c r="C38" s="7">
        <f>ROUND(46600,2)</f>
        <v>46600</v>
      </c>
      <c r="D38" s="7"/>
      <c r="E38" s="2">
        <f>ROUND(38000,2)</f>
        <v>38000</v>
      </c>
      <c r="F38" s="2">
        <f>ROUND(84600,2)</f>
        <v>84600</v>
      </c>
      <c r="G38" s="7">
        <f>ROUND(60000,2)</f>
        <v>60000</v>
      </c>
      <c r="H38" s="7"/>
      <c r="I38" s="2">
        <f>ROUND(60000,2)</f>
        <v>60000</v>
      </c>
      <c r="J38" s="2">
        <f>ROUND(0,2)</f>
        <v>0</v>
      </c>
      <c r="K38" s="2">
        <f>ROUND(24600,2)</f>
        <v>24600</v>
      </c>
    </row>
    <row r="39" spans="1:11">
      <c r="A39" s="12" t="s">
        <v>27</v>
      </c>
      <c r="B39" s="12"/>
      <c r="C39" s="7">
        <f>ROUND(1700000,2)</f>
        <v>1700000</v>
      </c>
      <c r="D39" s="7"/>
      <c r="E39" s="2">
        <f>ROUND(2780923.69,2)</f>
        <v>2780923.69</v>
      </c>
      <c r="F39" s="2">
        <f>ROUND(4480923.69,2)</f>
        <v>4480923.6900000004</v>
      </c>
      <c r="G39" s="7">
        <f>ROUND(4475348.75,2)</f>
        <v>4475348.75</v>
      </c>
      <c r="H39" s="7"/>
      <c r="I39" s="2">
        <f>ROUND(4475348.75,2)</f>
        <v>4475348.75</v>
      </c>
      <c r="J39" s="2">
        <f>ROUND(0,2)</f>
        <v>0</v>
      </c>
      <c r="K39" s="2">
        <f>ROUND(5574.93999999948,2)</f>
        <v>5574.94</v>
      </c>
    </row>
    <row r="40" spans="1:11">
      <c r="A40" s="14" t="s">
        <v>28</v>
      </c>
      <c r="B40" s="14"/>
      <c r="C40" s="8">
        <f>ROUND(1746600,2)</f>
        <v>1746600</v>
      </c>
      <c r="D40" s="8"/>
      <c r="E40" s="4">
        <f>ROUND(2818923.69,2)</f>
        <v>2818923.69</v>
      </c>
      <c r="F40" s="4">
        <f>ROUND(4565523.69,2)</f>
        <v>4565523.6900000004</v>
      </c>
      <c r="G40" s="8">
        <f>ROUND(4535348.75,2)</f>
        <v>4535348.75</v>
      </c>
      <c r="H40" s="8"/>
      <c r="I40" s="4">
        <f>ROUND(4535348.75,2)</f>
        <v>4535348.75</v>
      </c>
      <c r="J40" s="4">
        <f>ROUND(0,2)</f>
        <v>0</v>
      </c>
      <c r="K40" s="4">
        <f>ROUND(30174.9399999995,2)</f>
        <v>30174.94</v>
      </c>
    </row>
    <row r="41" spans="1:11">
      <c r="A41" s="13" t="s">
        <v>41</v>
      </c>
      <c r="B41" s="13"/>
      <c r="C41" s="6">
        <f>ROUND(83907051,2)</f>
        <v>83907051</v>
      </c>
      <c r="D41" s="6"/>
      <c r="E41" s="5">
        <f>ROUND(48832627.58,2)</f>
        <v>48832627.579999998</v>
      </c>
      <c r="F41" s="5">
        <f>ROUND(132739678.58,2)</f>
        <v>132739678.58</v>
      </c>
      <c r="G41" s="6">
        <f>ROUND(90703245.66,2)</f>
        <v>90703245.659999996</v>
      </c>
      <c r="H41" s="6"/>
      <c r="I41" s="5">
        <f>ROUND(83091620.67,2)</f>
        <v>83091620.670000002</v>
      </c>
      <c r="J41" s="5">
        <f>ROUND(7611624.99,2)</f>
        <v>7611624.9900000002</v>
      </c>
      <c r="K41" s="5">
        <f>ROUND(42036432.92,2)</f>
        <v>42036432.920000002</v>
      </c>
    </row>
    <row r="42" spans="1:11">
      <c r="A42" s="11"/>
      <c r="B42" s="11"/>
      <c r="C42" s="11"/>
      <c r="D42" s="11"/>
      <c r="E42" s="3"/>
      <c r="F42" s="3"/>
      <c r="G42" s="11"/>
      <c r="H42" s="11"/>
      <c r="I42" s="3"/>
      <c r="J42" s="3"/>
      <c r="K42" s="3"/>
    </row>
    <row r="43" spans="1:11" ht="18">
      <c r="A43" s="10" t="s">
        <v>42</v>
      </c>
      <c r="B43" s="10"/>
      <c r="C43" s="9" t="s">
        <v>43</v>
      </c>
      <c r="D43" s="9"/>
      <c r="E43" s="1" t="s">
        <v>7</v>
      </c>
      <c r="F43" s="1" t="s">
        <v>44</v>
      </c>
      <c r="G43" s="9" t="s">
        <v>45</v>
      </c>
      <c r="H43" s="9"/>
      <c r="I43" s="1" t="s">
        <v>46</v>
      </c>
      <c r="J43" s="1" t="s">
        <v>47</v>
      </c>
      <c r="K43" s="1" t="s">
        <v>12</v>
      </c>
    </row>
    <row r="44" spans="1:11">
      <c r="A44" s="12" t="s">
        <v>48</v>
      </c>
      <c r="B44" s="12"/>
      <c r="C44" s="7">
        <f>ROUND(83907051,2)</f>
        <v>83907051</v>
      </c>
      <c r="D44" s="7"/>
      <c r="E44" s="2">
        <f>ROUND(48832627.58,2)</f>
        <v>48832627.579999998</v>
      </c>
      <c r="F44" s="2">
        <f>ROUND(132739678.58,2)</f>
        <v>132739678.58</v>
      </c>
      <c r="G44" s="7">
        <f>ROUND(92412366.77,2)</f>
        <v>92412366.769999996</v>
      </c>
      <c r="H44" s="7"/>
      <c r="I44" s="2">
        <f>ROUND(85948657.15,2)</f>
        <v>85948657.150000006</v>
      </c>
      <c r="J44" s="2">
        <f>ROUND(6463709.62,2)</f>
        <v>6463709.6200000001</v>
      </c>
      <c r="K44" s="2">
        <f>ROUND(-57337943.35,2)</f>
        <v>-57337943.350000001</v>
      </c>
    </row>
    <row r="45" spans="1:11">
      <c r="A45" s="12" t="s">
        <v>49</v>
      </c>
      <c r="B45" s="12"/>
      <c r="C45" s="7">
        <f>ROUND(83907051,2)</f>
        <v>83907051</v>
      </c>
      <c r="D45" s="7"/>
      <c r="E45" s="2">
        <f>ROUND(48832627.58,2)</f>
        <v>48832627.579999998</v>
      </c>
      <c r="F45" s="2">
        <f>ROUND(132739678.58,2)</f>
        <v>132739678.58</v>
      </c>
      <c r="G45" s="7">
        <f>ROUND(90703245.66,2)</f>
        <v>90703245.659999996</v>
      </c>
      <c r="H45" s="7"/>
      <c r="I45" s="2">
        <f>ROUND(83091620.67,2)</f>
        <v>83091620.670000002</v>
      </c>
      <c r="J45" s="2">
        <f>ROUND(7611624.98999999,2)</f>
        <v>7611624.9900000002</v>
      </c>
      <c r="K45" s="2">
        <f>ROUND(42036432.92,2)</f>
        <v>42036432.920000002</v>
      </c>
    </row>
    <row r="46" spans="1:11">
      <c r="A46" s="13" t="s">
        <v>50</v>
      </c>
      <c r="B46" s="13"/>
      <c r="C46" s="6">
        <f>ROUND(0,2)</f>
        <v>0</v>
      </c>
      <c r="D46" s="6"/>
      <c r="E46" s="5">
        <f>ROUND(1.49011611938477E-08,2)</f>
        <v>0</v>
      </c>
      <c r="F46" s="5">
        <f>ROUND(1.49011611938477E-08,2)</f>
        <v>0</v>
      </c>
      <c r="G46" s="6">
        <f>ROUND(1709121.11000001,2)</f>
        <v>1709121.11</v>
      </c>
      <c r="H46" s="6"/>
      <c r="I46" s="5">
        <f>ROUND(2857036.48,2)</f>
        <v>2857036.48</v>
      </c>
      <c r="J46" s="5">
        <f>ROUND(-1147915.36999999,2)</f>
        <v>-1147915.3700000001</v>
      </c>
      <c r="K46" s="5">
        <f>ROUND(-1709121.11,2)</f>
        <v>-1709121.11</v>
      </c>
    </row>
    <row r="47" spans="1:11">
      <c r="A47" s="11"/>
      <c r="B47" s="11"/>
      <c r="C47" s="11"/>
      <c r="D47" s="11"/>
      <c r="E47" s="3"/>
      <c r="F47" s="3"/>
      <c r="G47" s="11"/>
      <c r="H47" s="11"/>
      <c r="I47" s="3"/>
      <c r="J47" s="3"/>
      <c r="K47" s="3"/>
    </row>
    <row r="48" spans="1:11" ht="18">
      <c r="A48" s="10" t="s">
        <v>51</v>
      </c>
      <c r="B48" s="10"/>
      <c r="C48" s="9" t="s">
        <v>43</v>
      </c>
      <c r="D48" s="9"/>
      <c r="E48" s="1" t="s">
        <v>7</v>
      </c>
      <c r="F48" s="1" t="s">
        <v>44</v>
      </c>
      <c r="G48" s="9" t="s">
        <v>45</v>
      </c>
      <c r="H48" s="9"/>
      <c r="I48" s="1" t="s">
        <v>46</v>
      </c>
      <c r="J48" s="1" t="s">
        <v>47</v>
      </c>
      <c r="K48" s="1" t="s">
        <v>12</v>
      </c>
    </row>
    <row r="49" spans="1:11">
      <c r="A49" s="12" t="s">
        <v>48</v>
      </c>
      <c r="B49" s="12"/>
      <c r="C49" s="7">
        <f>ROUND(106160811.18,2)</f>
        <v>106160811.18000001</v>
      </c>
      <c r="D49" s="7"/>
      <c r="E49" s="2">
        <f>ROUND(45000822.5,2)</f>
        <v>45000822.5</v>
      </c>
      <c r="F49" s="2">
        <f>ROUND(151161633.68,2)</f>
        <v>151161633.68000001</v>
      </c>
      <c r="G49" s="7">
        <f>ROUND(110834321.87,2)</f>
        <v>110834321.87</v>
      </c>
      <c r="H49" s="7"/>
      <c r="I49" s="2">
        <f>ROUND(92252880.5,2)</f>
        <v>92252880.5</v>
      </c>
      <c r="J49" s="2">
        <f>ROUND(18581441.37,2)</f>
        <v>18581441.370000001</v>
      </c>
      <c r="K49" s="2">
        <f>ROUND(-57337943.35,2)</f>
        <v>-57337943.350000001</v>
      </c>
    </row>
    <row r="50" spans="1:11">
      <c r="A50" s="12" t="s">
        <v>49</v>
      </c>
      <c r="B50" s="12"/>
      <c r="C50" s="7">
        <f>ROUND(94587012.11,2)</f>
        <v>94587012.109999999</v>
      </c>
      <c r="D50" s="7"/>
      <c r="E50" s="2">
        <f>ROUND(48706274.09,2)</f>
        <v>48706274.090000004</v>
      </c>
      <c r="F50" s="2">
        <f>ROUND(143293286.2,2)</f>
        <v>143293286.19999999</v>
      </c>
      <c r="G50" s="7">
        <f>ROUND(101256853.28,2)</f>
        <v>101256853.28</v>
      </c>
      <c r="H50" s="7"/>
      <c r="I50" s="2">
        <f>ROUND(92158949.45,2)</f>
        <v>92158949.450000003</v>
      </c>
      <c r="J50" s="2">
        <f>ROUND(9097903.83,2)</f>
        <v>9097903.8300000001</v>
      </c>
      <c r="K50" s="2">
        <f>ROUND(42036432.92,2)</f>
        <v>42036432.920000002</v>
      </c>
    </row>
    <row r="51" spans="1:11">
      <c r="A51" s="13" t="s">
        <v>52</v>
      </c>
      <c r="B51" s="13"/>
      <c r="C51" s="6">
        <f>ROUND(11573799.07,2)</f>
        <v>11573799.07</v>
      </c>
      <c r="D51" s="6"/>
      <c r="E51" s="5">
        <f>ROUND(-3705451.58999998,2)</f>
        <v>-3705451.59</v>
      </c>
      <c r="F51" s="5">
        <f>ROUND(7868347.48000002,2)</f>
        <v>7868347.4800000004</v>
      </c>
      <c r="G51" s="6">
        <f>ROUND(9577468.59000002,2)</f>
        <v>9577468.5899999999</v>
      </c>
      <c r="H51" s="6"/>
      <c r="I51" s="5">
        <f>ROUND(93931.0499999989,2)</f>
        <v>93931.05</v>
      </c>
      <c r="J51" s="5">
        <f>ROUND(9483537.54,2)</f>
        <v>9483537.5399999991</v>
      </c>
      <c r="K51" s="5">
        <f>ROUND(-1709121.11,2)</f>
        <v>-1709121.11</v>
      </c>
    </row>
  </sheetData>
  <mergeCells count="146">
    <mergeCell ref="D5:G5"/>
    <mergeCell ref="D4:G4"/>
    <mergeCell ref="D3:G3"/>
    <mergeCell ref="D2:G2"/>
    <mergeCell ref="D1:G1"/>
    <mergeCell ref="H1:K5"/>
    <mergeCell ref="G9:H9"/>
    <mergeCell ref="C9:D9"/>
    <mergeCell ref="C8:D8"/>
    <mergeCell ref="C7:D7"/>
    <mergeCell ref="C6:D6"/>
    <mergeCell ref="G8:H8"/>
    <mergeCell ref="G7:H7"/>
    <mergeCell ref="G6:H6"/>
    <mergeCell ref="G13:H13"/>
    <mergeCell ref="G12:H12"/>
    <mergeCell ref="G11:H11"/>
    <mergeCell ref="C11:D11"/>
    <mergeCell ref="G10:H10"/>
    <mergeCell ref="C10:D10"/>
    <mergeCell ref="G24:H24"/>
    <mergeCell ref="C24:D24"/>
    <mergeCell ref="A22:B22"/>
    <mergeCell ref="A21:B21"/>
    <mergeCell ref="A20:B20"/>
    <mergeCell ref="C19:D19"/>
    <mergeCell ref="G19:H19"/>
    <mergeCell ref="G14:H14"/>
    <mergeCell ref="G15:H15"/>
    <mergeCell ref="A42:B42"/>
    <mergeCell ref="A41:B41"/>
    <mergeCell ref="A40:B40"/>
    <mergeCell ref="A39:B39"/>
    <mergeCell ref="A38:B38"/>
    <mergeCell ref="A37:B37"/>
    <mergeCell ref="A27:B27"/>
    <mergeCell ref="A6:B6"/>
    <mergeCell ref="A1:A5"/>
    <mergeCell ref="B1:C5"/>
    <mergeCell ref="A25:B25"/>
    <mergeCell ref="A26:B26"/>
    <mergeCell ref="A9:B9"/>
    <mergeCell ref="A8:B8"/>
    <mergeCell ref="A7:B7"/>
    <mergeCell ref="A10:B10"/>
    <mergeCell ref="A17:B17"/>
    <mergeCell ref="A18:B18"/>
    <mergeCell ref="C26:D26"/>
    <mergeCell ref="C27:D27"/>
    <mergeCell ref="A13:B13"/>
    <mergeCell ref="A12:B12"/>
    <mergeCell ref="A15:B15"/>
    <mergeCell ref="A11:B11"/>
    <mergeCell ref="A16:B16"/>
    <mergeCell ref="A19:B19"/>
    <mergeCell ref="A23:B23"/>
    <mergeCell ref="A24:B24"/>
    <mergeCell ref="C34:D34"/>
    <mergeCell ref="G37:H37"/>
    <mergeCell ref="G33:H33"/>
    <mergeCell ref="G26:H26"/>
    <mergeCell ref="G25:H25"/>
    <mergeCell ref="C25:D25"/>
    <mergeCell ref="A36:B36"/>
    <mergeCell ref="A35:B35"/>
    <mergeCell ref="A34:B34"/>
    <mergeCell ref="C33:D33"/>
    <mergeCell ref="C32:D32"/>
    <mergeCell ref="C31:D31"/>
    <mergeCell ref="A33:B33"/>
    <mergeCell ref="A32:B32"/>
    <mergeCell ref="A31:B31"/>
    <mergeCell ref="A30:B30"/>
    <mergeCell ref="A29:B29"/>
    <mergeCell ref="A28:B28"/>
    <mergeCell ref="A44:B44"/>
    <mergeCell ref="A45:B45"/>
    <mergeCell ref="A46:B46"/>
    <mergeCell ref="C43:D43"/>
    <mergeCell ref="C13:D13"/>
    <mergeCell ref="C12:D12"/>
    <mergeCell ref="A51:B51"/>
    <mergeCell ref="A50:B50"/>
    <mergeCell ref="A49:B49"/>
    <mergeCell ref="A14:B14"/>
    <mergeCell ref="C14:D14"/>
    <mergeCell ref="C15:D15"/>
    <mergeCell ref="C40:D40"/>
    <mergeCell ref="C45:D45"/>
    <mergeCell ref="C44:D44"/>
    <mergeCell ref="C49:D49"/>
    <mergeCell ref="C30:D30"/>
    <mergeCell ref="C29:D29"/>
    <mergeCell ref="C28:D28"/>
    <mergeCell ref="C39:D39"/>
    <mergeCell ref="C38:D38"/>
    <mergeCell ref="C37:D37"/>
    <mergeCell ref="C36:D36"/>
    <mergeCell ref="C35:D35"/>
    <mergeCell ref="A48:B48"/>
    <mergeCell ref="G47:H47"/>
    <mergeCell ref="C47:D47"/>
    <mergeCell ref="G17:H17"/>
    <mergeCell ref="C17:D17"/>
    <mergeCell ref="G16:H16"/>
    <mergeCell ref="C16:D16"/>
    <mergeCell ref="G21:H21"/>
    <mergeCell ref="C21:D21"/>
    <mergeCell ref="G20:H20"/>
    <mergeCell ref="C20:D20"/>
    <mergeCell ref="G18:H18"/>
    <mergeCell ref="C18:D18"/>
    <mergeCell ref="G34:H34"/>
    <mergeCell ref="G42:H42"/>
    <mergeCell ref="G43:H43"/>
    <mergeCell ref="G23:H23"/>
    <mergeCell ref="C23:D23"/>
    <mergeCell ref="G22:H22"/>
    <mergeCell ref="C22:D22"/>
    <mergeCell ref="C42:D42"/>
    <mergeCell ref="C41:D41"/>
    <mergeCell ref="A47:B47"/>
    <mergeCell ref="A43:B43"/>
    <mergeCell ref="G27:H27"/>
    <mergeCell ref="G28:H28"/>
    <mergeCell ref="G29:H29"/>
    <mergeCell ref="G30:H30"/>
    <mergeCell ref="G31:H31"/>
    <mergeCell ref="G32:H32"/>
    <mergeCell ref="G41:H41"/>
    <mergeCell ref="G40:H40"/>
    <mergeCell ref="G39:H39"/>
    <mergeCell ref="G38:H38"/>
    <mergeCell ref="G36:H36"/>
    <mergeCell ref="G35:H35"/>
    <mergeCell ref="G46:H46"/>
    <mergeCell ref="G45:H45"/>
    <mergeCell ref="G44:H44"/>
    <mergeCell ref="G51:H51"/>
    <mergeCell ref="C51:D51"/>
    <mergeCell ref="G50:H50"/>
    <mergeCell ref="C50:D50"/>
    <mergeCell ref="G49:H49"/>
    <mergeCell ref="C46:D46"/>
    <mergeCell ref="G48:H48"/>
    <mergeCell ref="C48:D48"/>
  </mergeCells>
  <pageMargins left="0.39369446039199829" right="0.39369446039199829" top="0.39369446039199829" bottom="0.39369446039199829" header="0" footer="0"/>
  <pageSetup paperSize="9" orientation="portrait" horizontalDpi="0" verticalDpi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f4bb13fd-9b6b-4261-99c4-9c268a292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5" ma:contentTypeDescription="Crea un document nou" ma:contentTypeScope="" ma:versionID="a6810e6300a9770927c91c524747234f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082ac9df9c89a2ac5efcb3449e0a1973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F738C-3570-4121-8642-894F4392250C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purl.org/dc/dcmitype/"/>
    <ds:schemaRef ds:uri="4fc8459e-692b-470d-a014-31b9e2216e42"/>
    <ds:schemaRef ds:uri="http://schemas.microsoft.com/office/2006/documentManagement/types"/>
    <ds:schemaRef ds:uri="f4bb13fd-9b6b-4261-99c4-9c268a2920e2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1C466BD-346C-44D2-8CE7-9B397CF09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1D838-D257-4476-9AA7-3F1DD3E11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Report</vt:lpstr>
      <vt:lpstr>__bookmark_1</vt:lpstr>
      <vt:lpstr>__bookmark_2</vt:lpstr>
      <vt:lpstr>__bookmark_3</vt:lpstr>
      <vt:lpstr>__bookmark_4</vt:lpstr>
      <vt:lpstr>__bookmark_5</vt:lpstr>
      <vt:lpstr>__bookmark_6</vt:lpstr>
      <vt:lpstr>__bookmark_7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dcterms:created xsi:type="dcterms:W3CDTF">2025-03-26T12:08:32Z</dcterms:created>
  <dcterms:modified xsi:type="dcterms:W3CDTF">2025-03-26T13:24:48Z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