
<file path=[Content_Types].xml><?xml version="1.0" encoding="utf-8"?>
<Types xmlns="http://schemas.openxmlformats.org/package/2006/content-types">
  <Default Extension="C75E2DE0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perezb\Downloads\"/>
    </mc:Choice>
  </mc:AlternateContent>
  <xr:revisionPtr revIDLastSave="1" documentId="8_{0ACDA0CD-A61C-42AD-AAB3-DABBB3F8F1D5}" xr6:coauthVersionLast="47" xr6:coauthVersionMax="47" xr10:uidLastSave="{2B32F449-2D32-49EE-88B1-F9EF0C296023}"/>
  <bookViews>
    <workbookView xWindow="4950" yWindow="1305" windowWidth="21600" windowHeight="11235" xr2:uid="{89A8690D-0E92-4082-8441-6CE606B0FAB1}"/>
  </bookViews>
  <sheets>
    <sheet name="Report" sheetId="1" r:id="rId1"/>
  </sheets>
  <definedNames>
    <definedName name="__bookmark_1">Report!$A$6:$K$51</definedName>
    <definedName name="__bookmark_2">Report!$A$6:$K$7</definedName>
    <definedName name="__bookmark_3">Report!$A$8:$K$23</definedName>
    <definedName name="__bookmark_4">Report!$A$24:$K$25</definedName>
    <definedName name="__bookmark_5">Report!$A$26:$K$41</definedName>
    <definedName name="__bookmark_6">Report!$A$42:$K$46</definedName>
    <definedName name="__bookmark_7">Report!$A$47:$K$51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E7" i="1"/>
  <c r="F7" i="1"/>
  <c r="G7" i="1"/>
  <c r="I7" i="1"/>
  <c r="J7" i="1"/>
  <c r="K7" i="1"/>
  <c r="C9" i="1"/>
  <c r="E9" i="1"/>
  <c r="F9" i="1"/>
  <c r="G9" i="1"/>
  <c r="I9" i="1"/>
  <c r="J9" i="1"/>
  <c r="K9" i="1"/>
  <c r="C10" i="1"/>
  <c r="E10" i="1"/>
  <c r="F10" i="1"/>
  <c r="G10" i="1"/>
  <c r="I10" i="1"/>
  <c r="J10" i="1"/>
  <c r="K10" i="1"/>
  <c r="C11" i="1"/>
  <c r="E11" i="1"/>
  <c r="F11" i="1"/>
  <c r="G11" i="1"/>
  <c r="I11" i="1"/>
  <c r="J11" i="1"/>
  <c r="K11" i="1"/>
  <c r="C12" i="1"/>
  <c r="E12" i="1"/>
  <c r="F12" i="1"/>
  <c r="G12" i="1"/>
  <c r="I12" i="1"/>
  <c r="J12" i="1"/>
  <c r="K12" i="1"/>
  <c r="C13" i="1"/>
  <c r="E13" i="1"/>
  <c r="F13" i="1"/>
  <c r="G13" i="1"/>
  <c r="I13" i="1"/>
  <c r="J13" i="1"/>
  <c r="K13" i="1"/>
  <c r="C14" i="1"/>
  <c r="E14" i="1"/>
  <c r="F14" i="1"/>
  <c r="G14" i="1"/>
  <c r="I14" i="1"/>
  <c r="J14" i="1"/>
  <c r="K14" i="1"/>
  <c r="C16" i="1"/>
  <c r="E16" i="1"/>
  <c r="F16" i="1"/>
  <c r="G16" i="1"/>
  <c r="I16" i="1"/>
  <c r="J16" i="1"/>
  <c r="K16" i="1"/>
  <c r="C17" i="1"/>
  <c r="E17" i="1"/>
  <c r="F17" i="1"/>
  <c r="G17" i="1"/>
  <c r="I17" i="1"/>
  <c r="J17" i="1"/>
  <c r="K17" i="1"/>
  <c r="C18" i="1"/>
  <c r="E18" i="1"/>
  <c r="F18" i="1"/>
  <c r="G18" i="1"/>
  <c r="I18" i="1"/>
  <c r="J18" i="1"/>
  <c r="K18" i="1"/>
  <c r="C20" i="1"/>
  <c r="E20" i="1"/>
  <c r="F20" i="1"/>
  <c r="G20" i="1"/>
  <c r="I20" i="1"/>
  <c r="J20" i="1"/>
  <c r="K20" i="1"/>
  <c r="C21" i="1"/>
  <c r="E21" i="1"/>
  <c r="F21" i="1"/>
  <c r="G21" i="1"/>
  <c r="I21" i="1"/>
  <c r="J21" i="1"/>
  <c r="K21" i="1"/>
  <c r="C22" i="1"/>
  <c r="E22" i="1"/>
  <c r="F22" i="1"/>
  <c r="G22" i="1"/>
  <c r="I22" i="1"/>
  <c r="J22" i="1"/>
  <c r="K22" i="1"/>
  <c r="C23" i="1"/>
  <c r="E23" i="1"/>
  <c r="F23" i="1"/>
  <c r="G23" i="1"/>
  <c r="I23" i="1"/>
  <c r="J23" i="1"/>
  <c r="K23" i="1"/>
  <c r="C25" i="1"/>
  <c r="E25" i="1"/>
  <c r="F25" i="1"/>
  <c r="G25" i="1"/>
  <c r="I25" i="1"/>
  <c r="J25" i="1"/>
  <c r="K25" i="1"/>
  <c r="C27" i="1"/>
  <c r="E27" i="1"/>
  <c r="F27" i="1"/>
  <c r="G27" i="1"/>
  <c r="I27" i="1"/>
  <c r="J27" i="1"/>
  <c r="K27" i="1"/>
  <c r="C28" i="1"/>
  <c r="E28" i="1"/>
  <c r="F28" i="1"/>
  <c r="G28" i="1"/>
  <c r="I28" i="1"/>
  <c r="J28" i="1"/>
  <c r="K28" i="1"/>
  <c r="C29" i="1"/>
  <c r="E29" i="1"/>
  <c r="F29" i="1"/>
  <c r="G29" i="1"/>
  <c r="I29" i="1"/>
  <c r="J29" i="1"/>
  <c r="K29" i="1"/>
  <c r="C30" i="1"/>
  <c r="E30" i="1"/>
  <c r="F30" i="1"/>
  <c r="G30" i="1"/>
  <c r="I30" i="1"/>
  <c r="J30" i="1"/>
  <c r="K30" i="1"/>
  <c r="C31" i="1"/>
  <c r="E31" i="1"/>
  <c r="F31" i="1"/>
  <c r="G31" i="1"/>
  <c r="I31" i="1"/>
  <c r="J31" i="1"/>
  <c r="K31" i="1"/>
  <c r="C32" i="1"/>
  <c r="E32" i="1"/>
  <c r="F32" i="1"/>
  <c r="G32" i="1"/>
  <c r="I32" i="1"/>
  <c r="J32" i="1"/>
  <c r="K32" i="1"/>
  <c r="C34" i="1"/>
  <c r="E34" i="1"/>
  <c r="F34" i="1"/>
  <c r="G34" i="1"/>
  <c r="I34" i="1"/>
  <c r="J34" i="1"/>
  <c r="K34" i="1"/>
  <c r="C35" i="1"/>
  <c r="E35" i="1"/>
  <c r="F35" i="1"/>
  <c r="G35" i="1"/>
  <c r="I35" i="1"/>
  <c r="J35" i="1"/>
  <c r="K35" i="1"/>
  <c r="C36" i="1"/>
  <c r="E36" i="1"/>
  <c r="F36" i="1"/>
  <c r="G36" i="1"/>
  <c r="I36" i="1"/>
  <c r="J36" i="1"/>
  <c r="K36" i="1"/>
  <c r="C38" i="1"/>
  <c r="E38" i="1"/>
  <c r="F38" i="1"/>
  <c r="G38" i="1"/>
  <c r="I38" i="1"/>
  <c r="J38" i="1"/>
  <c r="K38" i="1"/>
  <c r="C39" i="1"/>
  <c r="E39" i="1"/>
  <c r="F39" i="1"/>
  <c r="G39" i="1"/>
  <c r="I39" i="1"/>
  <c r="J39" i="1"/>
  <c r="K39" i="1"/>
  <c r="C40" i="1"/>
  <c r="E40" i="1"/>
  <c r="F40" i="1"/>
  <c r="G40" i="1"/>
  <c r="I40" i="1"/>
  <c r="J40" i="1"/>
  <c r="K40" i="1"/>
  <c r="C41" i="1"/>
  <c r="E41" i="1"/>
  <c r="F41" i="1"/>
  <c r="G41" i="1"/>
  <c r="I41" i="1"/>
  <c r="J41" i="1"/>
  <c r="K41" i="1"/>
  <c r="C44" i="1"/>
  <c r="E44" i="1"/>
  <c r="F44" i="1"/>
  <c r="G44" i="1"/>
  <c r="I44" i="1"/>
  <c r="J44" i="1"/>
  <c r="K44" i="1"/>
  <c r="C45" i="1"/>
  <c r="E45" i="1"/>
  <c r="F45" i="1"/>
  <c r="G45" i="1"/>
  <c r="I45" i="1"/>
  <c r="J45" i="1"/>
  <c r="K45" i="1"/>
  <c r="C46" i="1"/>
  <c r="E46" i="1"/>
  <c r="F46" i="1"/>
  <c r="G46" i="1"/>
  <c r="I46" i="1"/>
  <c r="J46" i="1"/>
  <c r="K46" i="1"/>
  <c r="C49" i="1"/>
  <c r="E49" i="1"/>
  <c r="F49" i="1"/>
  <c r="G49" i="1"/>
  <c r="I49" i="1"/>
  <c r="J49" i="1"/>
  <c r="K49" i="1"/>
  <c r="C50" i="1"/>
  <c r="E50" i="1"/>
  <c r="F50" i="1"/>
  <c r="G50" i="1"/>
  <c r="I50" i="1"/>
  <c r="J50" i="1"/>
  <c r="K50" i="1"/>
  <c r="C51" i="1"/>
  <c r="E51" i="1"/>
  <c r="F51" i="1"/>
  <c r="G51" i="1"/>
  <c r="I51" i="1"/>
  <c r="J51" i="1"/>
  <c r="K51" i="1"/>
</calcChain>
</file>

<file path=xl/sharedStrings.xml><?xml version="1.0" encoding="utf-8"?>
<sst xmlns="http://schemas.openxmlformats.org/spreadsheetml/2006/main" count="77" uniqueCount="53">
  <si>
    <t/>
  </si>
  <si>
    <t>AJUNTAMENT DE VILADECANS</t>
  </si>
  <si>
    <t>Estat d'execució resumit</t>
  </si>
  <si>
    <t>Període: 2024</t>
  </si>
  <si>
    <t>Data del llistat igual a: 30/09/2024</t>
  </si>
  <si>
    <t>Capítols d'ingrés</t>
  </si>
  <si>
    <t>Previsió Inicial</t>
  </si>
  <si>
    <t>Modificació</t>
  </si>
  <si>
    <t>Previsió Definitiva</t>
  </si>
  <si>
    <t>Drets liquidats</t>
  </si>
  <si>
    <t>Recaptació líquida</t>
  </si>
  <si>
    <t>Pendent de cobrament</t>
  </si>
  <si>
    <t>Estat d'execució</t>
  </si>
  <si>
    <t>Resultes tancats</t>
  </si>
  <si>
    <t>OPERACIONS CORRENTS</t>
  </si>
  <si>
    <t>1 IMPOSTOS DIRECTES</t>
  </si>
  <si>
    <t>2 IMPOSTOS INDIRECTES</t>
  </si>
  <si>
    <t>3 TAXES, PREUS PÚBLICS I ALTRES INGRESSOS</t>
  </si>
  <si>
    <t>4 TRANSFERÈNCIES CORRENTS</t>
  </si>
  <si>
    <t>5 INGRESSOS PATRIMONIALS</t>
  </si>
  <si>
    <t>Total OPERACIONS CORRENTS</t>
  </si>
  <si>
    <t>OPERACIONS DE CAPITAL</t>
  </si>
  <si>
    <t>6 ALIENACIÓ D'INVERSIONS REALS</t>
  </si>
  <si>
    <t>7 TRANSFERÈNCIES DE CAPITAL</t>
  </si>
  <si>
    <t>Total OPERACIONS DE CAPITAL</t>
  </si>
  <si>
    <t>OPERACIONS FINANCERES</t>
  </si>
  <si>
    <t>8 ACTIUS FINANCERS</t>
  </si>
  <si>
    <t>9 PASSIUS FINANCERS</t>
  </si>
  <si>
    <t>Total OPERACIONS FINANCERES</t>
  </si>
  <si>
    <t>Total INGRESSOS</t>
  </si>
  <si>
    <t>Capítols despesa</t>
  </si>
  <si>
    <t>Crèdit inicial</t>
  </si>
  <si>
    <t>Crèdit definitiu</t>
  </si>
  <si>
    <t>Obligacions reconegudes</t>
  </si>
  <si>
    <t>Pagaments líquids</t>
  </si>
  <si>
    <t>Pendent de pagar</t>
  </si>
  <si>
    <t>1 DESPESES DE PERSONAL</t>
  </si>
  <si>
    <t>2 DESPESES CORRENTS EN COMPRA DE BÉNS I SERVEIS</t>
  </si>
  <si>
    <t>3 DESPESES FINANCERES</t>
  </si>
  <si>
    <t>5 FONS DE CONTINGENCIA I ALTRES IMPREVISTOS</t>
  </si>
  <si>
    <t>6 INVERSIONS REALS</t>
  </si>
  <si>
    <t>Total DESPESES</t>
  </si>
  <si>
    <t>Situació econòmica - Exercici CORRENT</t>
  </si>
  <si>
    <t>Superàvit inicial</t>
  </si>
  <si>
    <t>Superàvit definitiu</t>
  </si>
  <si>
    <t>Superàvit Final</t>
  </si>
  <si>
    <t>Moviments de fons</t>
  </si>
  <si>
    <t>Deutors / Creditors</t>
  </si>
  <si>
    <t>Total Ingressos</t>
  </si>
  <si>
    <t>Total Despeses</t>
  </si>
  <si>
    <t>Diferència corrent</t>
  </si>
  <si>
    <t>Situació econòmica - Exercicis CORRENTS I TANCATS</t>
  </si>
  <si>
    <t>Diferència corrents i tancats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</si>
</sst>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indexed="64"/>
      <name val="Arial"/>
    </font>
    <font>
      <sz val="10"/>
      <color indexed="8"/>
      <name val="Arial"/>
    </font>
    <font>
      <sz val="13"/>
      <color indexed="29"/>
      <name val="Arial"/>
    </font>
    <font>
      <sz val="10"/>
      <color indexed="29"/>
      <name val="Arial"/>
    </font>
    <font>
      <sz val="8"/>
      <color indexed="29"/>
      <name val="Arial"/>
    </font>
    <font>
      <b/>
      <sz val="7"/>
      <color indexed="29"/>
      <name val="serif"/>
      <family val="1"/>
    </font>
    <font>
      <sz val="7"/>
      <color indexed="29"/>
      <name val="serif"/>
      <family val="1"/>
    </font>
    <font>
      <sz val="10"/>
      <color indexed="8"/>
      <name val="serif"/>
      <family val="1"/>
    </font>
  </fonts>
  <fills count="3">
    <fill>
      <patternFill patternType="none"/>
    </fill>
    <fill>
      <patternFill patternType="gray125"/>
    </fill>
    <fill>
      <patternFill patternType="solid">
        <fgColor indexed="30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29"/>
      </bottom>
      <diagonal/>
    </border>
    <border>
      <left/>
      <right/>
      <top style="thin">
        <color indexed="29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2" borderId="0" xfId="0" applyFont="1" applyFill="1" applyAlignment="1">
      <alignment horizontal="right" vertical="top" wrapText="1"/>
    </xf>
    <xf numFmtId="4" fontId="6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horizontal="right" vertical="top" wrapText="1"/>
    </xf>
    <xf numFmtId="4" fontId="5" fillId="0" borderId="2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2" xfId="0" applyFont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4" fontId="5" fillId="0" borderId="2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000000"/>
      <rgbColor rgb="003B5998"/>
      <rgbColor rgb="00E0E0E0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C75E2DE0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152400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EE04484D-C3FA-53CD-5A7C-C5C6A86D854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3500" cy="1127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476250</xdr:colOff>
      <xdr:row>0</xdr:row>
      <xdr:rowOff>0</xdr:rowOff>
    </xdr:from>
    <xdr:to>
      <xdr:col>10</xdr:col>
      <xdr:colOff>676275</xdr:colOff>
      <xdr:row>3</xdr:row>
      <xdr:rowOff>57150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3B0E26A4-D915-986C-2A92-B7407A604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0"/>
          <a:ext cx="1628775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7B7F3-B7FE-4C2E-BFA3-0E7B20C241C2}">
  <sheetPr codeName="Sheet1"/>
  <dimension ref="A1:K51"/>
  <sheetViews>
    <sheetView tabSelected="1" workbookViewId="0">
      <selection activeCell="K51" sqref="A1:K51"/>
    </sheetView>
  </sheetViews>
  <sheetFormatPr defaultColWidth="9.140625" defaultRowHeight="12.75"/>
  <cols>
    <col min="1" max="1" width="19.5703125" customWidth="1"/>
    <col min="2" max="2" width="7.42578125" customWidth="1"/>
    <col min="3" max="3" width="7.28515625" customWidth="1"/>
    <col min="4" max="4" width="3.5703125" customWidth="1"/>
    <col min="5" max="6" width="10.7109375" customWidth="1"/>
    <col min="7" max="7" width="9" customWidth="1"/>
    <col min="8" max="8" width="1.7109375" customWidth="1"/>
    <col min="9" max="11" width="10.7109375" customWidth="1"/>
  </cols>
  <sheetData>
    <row r="1" spans="1:11" ht="19.5" customHeight="1">
      <c r="A1" s="10"/>
      <c r="B1" s="10"/>
      <c r="C1" s="10"/>
      <c r="D1" s="9" t="s">
        <v>0</v>
      </c>
      <c r="E1" s="9"/>
      <c r="F1" s="9"/>
      <c r="G1" s="9"/>
      <c r="H1" s="10"/>
      <c r="I1" s="10"/>
      <c r="J1" s="10"/>
      <c r="K1" s="10"/>
    </row>
    <row r="2" spans="1:11" ht="19.5" customHeight="1">
      <c r="A2" s="10"/>
      <c r="B2" s="10"/>
      <c r="C2" s="10"/>
      <c r="D2" s="8" t="s">
        <v>1</v>
      </c>
      <c r="E2" s="8"/>
      <c r="F2" s="8"/>
      <c r="G2" s="8"/>
      <c r="H2" s="10"/>
      <c r="I2" s="10"/>
      <c r="J2" s="10"/>
      <c r="K2" s="10"/>
    </row>
    <row r="3" spans="1:11" ht="19.5" customHeight="1">
      <c r="A3" s="10"/>
      <c r="B3" s="10"/>
      <c r="C3" s="10"/>
      <c r="D3" s="7" t="s">
        <v>2</v>
      </c>
      <c r="E3" s="7"/>
      <c r="F3" s="7"/>
      <c r="G3" s="7"/>
      <c r="H3" s="10"/>
      <c r="I3" s="10"/>
      <c r="J3" s="10"/>
      <c r="K3" s="10"/>
    </row>
    <row r="4" spans="1:11" ht="19.5" customHeight="1">
      <c r="A4" s="10"/>
      <c r="B4" s="10"/>
      <c r="C4" s="10"/>
      <c r="D4" s="6" t="s">
        <v>3</v>
      </c>
      <c r="E4" s="6"/>
      <c r="F4" s="6"/>
      <c r="G4" s="6"/>
      <c r="H4" s="10"/>
      <c r="I4" s="10"/>
      <c r="J4" s="10"/>
      <c r="K4" s="10"/>
    </row>
    <row r="5" spans="1:11" ht="19.5" customHeight="1">
      <c r="A5" s="10"/>
      <c r="B5" s="10"/>
      <c r="C5" s="10"/>
      <c r="D5" s="6" t="s">
        <v>4</v>
      </c>
      <c r="E5" s="6"/>
      <c r="F5" s="6"/>
      <c r="G5" s="6"/>
      <c r="H5" s="10"/>
      <c r="I5" s="10"/>
      <c r="J5" s="10"/>
      <c r="K5" s="10"/>
    </row>
    <row r="6" spans="1:11" ht="18">
      <c r="A6" s="18" t="s">
        <v>5</v>
      </c>
      <c r="B6" s="18"/>
      <c r="C6" s="13" t="s">
        <v>6</v>
      </c>
      <c r="D6" s="13"/>
      <c r="E6" s="1" t="s">
        <v>7</v>
      </c>
      <c r="F6" s="1" t="s">
        <v>8</v>
      </c>
      <c r="G6" s="13" t="s">
        <v>9</v>
      </c>
      <c r="H6" s="13"/>
      <c r="I6" s="1" t="s">
        <v>10</v>
      </c>
      <c r="J6" s="1" t="s">
        <v>11</v>
      </c>
      <c r="K6" s="1" t="s">
        <v>12</v>
      </c>
    </row>
    <row r="7" spans="1:11">
      <c r="A7" s="15" t="s">
        <v>13</v>
      </c>
      <c r="B7" s="15"/>
      <c r="C7" s="11">
        <f>ROUND(22253760.18,2)</f>
        <v>22253760.18</v>
      </c>
      <c r="D7" s="11"/>
      <c r="E7" s="2">
        <f>ROUND(-402509.51,2)</f>
        <v>-402509.51</v>
      </c>
      <c r="F7" s="2">
        <f>ROUND(21851250.67,2)</f>
        <v>21851250.670000002</v>
      </c>
      <c r="G7" s="11">
        <f>ROUND(21851250.67,2)</f>
        <v>21851250.670000002</v>
      </c>
      <c r="H7" s="11"/>
      <c r="I7" s="2">
        <f>ROUND(4627659.34,2)</f>
        <v>4627659.34</v>
      </c>
      <c r="J7" s="2">
        <f>ROUND(17223591.33,2)</f>
        <v>17223591.329999998</v>
      </c>
      <c r="K7" s="2">
        <f>ROUND(0,2)</f>
        <v>0</v>
      </c>
    </row>
    <row r="8" spans="1:11">
      <c r="A8" s="14" t="s">
        <v>14</v>
      </c>
      <c r="B8" s="14"/>
      <c r="C8" s="12"/>
      <c r="D8" s="12"/>
      <c r="E8" s="3"/>
      <c r="F8" s="3"/>
      <c r="G8" s="12"/>
      <c r="H8" s="12"/>
      <c r="I8" s="3"/>
      <c r="J8" s="3"/>
      <c r="K8" s="3"/>
    </row>
    <row r="9" spans="1:11">
      <c r="A9" s="15" t="s">
        <v>15</v>
      </c>
      <c r="B9" s="15"/>
      <c r="C9" s="11">
        <f>ROUND(38572760,2)</f>
        <v>38572760</v>
      </c>
      <c r="D9" s="11"/>
      <c r="E9" s="2">
        <f>ROUND(0,2)</f>
        <v>0</v>
      </c>
      <c r="F9" s="2">
        <f>ROUND(38572760,2)</f>
        <v>38572760</v>
      </c>
      <c r="G9" s="11">
        <f>ROUND(33468032.79,2)</f>
        <v>33468032.789999999</v>
      </c>
      <c r="H9" s="11"/>
      <c r="I9" s="2">
        <f>ROUND(22471587.98,2)</f>
        <v>22471587.98</v>
      </c>
      <c r="J9" s="2">
        <f>ROUND(10996444.81,2)</f>
        <v>10996444.810000001</v>
      </c>
      <c r="K9" s="2">
        <f>ROUND(5104727.21,2)</f>
        <v>5104727.21</v>
      </c>
    </row>
    <row r="10" spans="1:11">
      <c r="A10" s="15" t="s">
        <v>16</v>
      </c>
      <c r="B10" s="15"/>
      <c r="C10" s="11">
        <f>ROUND(3409261,2)</f>
        <v>3409261</v>
      </c>
      <c r="D10" s="11"/>
      <c r="E10" s="2">
        <f>ROUND(0,2)</f>
        <v>0</v>
      </c>
      <c r="F10" s="2">
        <f>ROUND(3409261,2)</f>
        <v>3409261</v>
      </c>
      <c r="G10" s="11">
        <f>ROUND(3575608.94,2)</f>
        <v>3575608.94</v>
      </c>
      <c r="H10" s="11"/>
      <c r="I10" s="2">
        <f>ROUND(1769033.75,2)</f>
        <v>1769033.75</v>
      </c>
      <c r="J10" s="2">
        <f>ROUND(1806575.19,2)</f>
        <v>1806575.19</v>
      </c>
      <c r="K10" s="2">
        <f>ROUND(-166347.94,2)</f>
        <v>-166347.94</v>
      </c>
    </row>
    <row r="11" spans="1:11">
      <c r="A11" s="15" t="s">
        <v>17</v>
      </c>
      <c r="B11" s="15"/>
      <c r="C11" s="11">
        <f>ROUND(7885159,2)</f>
        <v>7885159</v>
      </c>
      <c r="D11" s="11"/>
      <c r="E11" s="2">
        <f>ROUND(7305,2)</f>
        <v>7305</v>
      </c>
      <c r="F11" s="2">
        <f>ROUND(7892464,2)</f>
        <v>7892464</v>
      </c>
      <c r="G11" s="11">
        <f>ROUND(4787152.37,2)</f>
        <v>4787152.37</v>
      </c>
      <c r="H11" s="11"/>
      <c r="I11" s="2">
        <f>ROUND(2332469.41,2)</f>
        <v>2332469.41</v>
      </c>
      <c r="J11" s="2">
        <f>ROUND(2454682.96,2)</f>
        <v>2454682.96</v>
      </c>
      <c r="K11" s="2">
        <f>ROUND(3105311.63,2)</f>
        <v>3105311.63</v>
      </c>
    </row>
    <row r="12" spans="1:11">
      <c r="A12" s="15" t="s">
        <v>18</v>
      </c>
      <c r="B12" s="15"/>
      <c r="C12" s="11">
        <f>ROUND(29162283,2)</f>
        <v>29162283</v>
      </c>
      <c r="D12" s="11"/>
      <c r="E12" s="2">
        <f>ROUND(4359262.84,2)</f>
        <v>4359262.84</v>
      </c>
      <c r="F12" s="2">
        <f>ROUND(33521545.84,2)</f>
        <v>33521545.84</v>
      </c>
      <c r="G12" s="11">
        <f>ROUND(26243952.26,2)</f>
        <v>26243952.260000002</v>
      </c>
      <c r="H12" s="11"/>
      <c r="I12" s="2">
        <f>ROUND(24900251.97,2)</f>
        <v>24900251.969999999</v>
      </c>
      <c r="J12" s="2">
        <f>ROUND(1343700.29,2)</f>
        <v>1343700.29</v>
      </c>
      <c r="K12" s="2">
        <f>ROUND(7277593.58,2)</f>
        <v>7277593.5800000001</v>
      </c>
    </row>
    <row r="13" spans="1:11">
      <c r="A13" s="15" t="s">
        <v>19</v>
      </c>
      <c r="B13" s="15"/>
      <c r="C13" s="11">
        <f>ROUND(1643864,2)</f>
        <v>1643864</v>
      </c>
      <c r="D13" s="11"/>
      <c r="E13" s="2">
        <f>ROUND(2077.57,2)</f>
        <v>2077.5700000000002</v>
      </c>
      <c r="F13" s="2">
        <f>ROUND(1645941.57,2)</f>
        <v>1645941.57</v>
      </c>
      <c r="G13" s="11">
        <f>ROUND(1508042.2,2)</f>
        <v>1508042.2</v>
      </c>
      <c r="H13" s="11"/>
      <c r="I13" s="2">
        <f>ROUND(1303763.84,2)</f>
        <v>1303763.8400000001</v>
      </c>
      <c r="J13" s="2">
        <f>ROUND(204278.36,2)</f>
        <v>204278.36</v>
      </c>
      <c r="K13" s="2">
        <f>ROUND(137899.37,2)</f>
        <v>137899.37</v>
      </c>
    </row>
    <row r="14" spans="1:11">
      <c r="A14" s="14" t="s">
        <v>20</v>
      </c>
      <c r="B14" s="14"/>
      <c r="C14" s="16">
        <f>ROUND(80673327,2)</f>
        <v>80673327</v>
      </c>
      <c r="D14" s="16"/>
      <c r="E14" s="4">
        <f>ROUND(4368645.41,2)</f>
        <v>4368645.41</v>
      </c>
      <c r="F14" s="4">
        <f>ROUND(85041972.41,2)</f>
        <v>85041972.409999996</v>
      </c>
      <c r="G14" s="16">
        <f>ROUND(69582788.56,2)</f>
        <v>69582788.560000002</v>
      </c>
      <c r="H14" s="16"/>
      <c r="I14" s="4">
        <f>ROUND(52777106.95,2)</f>
        <v>52777106.950000003</v>
      </c>
      <c r="J14" s="4">
        <f>ROUND(16805681.61,2)</f>
        <v>16805681.609999999</v>
      </c>
      <c r="K14" s="4">
        <f>ROUND(15459183.85,2)</f>
        <v>15459183.85</v>
      </c>
    </row>
    <row r="15" spans="1:11">
      <c r="A15" s="14" t="s">
        <v>21</v>
      </c>
      <c r="B15" s="14"/>
      <c r="C15" s="12"/>
      <c r="D15" s="12"/>
      <c r="E15" s="3"/>
      <c r="F15" s="3"/>
      <c r="G15" s="12"/>
      <c r="H15" s="12"/>
      <c r="I15" s="3"/>
      <c r="J15" s="3"/>
      <c r="K15" s="3"/>
    </row>
    <row r="16" spans="1:11">
      <c r="A16" s="15" t="s">
        <v>22</v>
      </c>
      <c r="B16" s="15"/>
      <c r="C16" s="11">
        <f>ROUND(0,2)</f>
        <v>0</v>
      </c>
      <c r="D16" s="11"/>
      <c r="E16" s="2">
        <f>ROUND(0,2)</f>
        <v>0</v>
      </c>
      <c r="F16" s="2">
        <f>ROUND(0,2)</f>
        <v>0</v>
      </c>
      <c r="G16" s="11">
        <f>ROUND(0,2)</f>
        <v>0</v>
      </c>
      <c r="H16" s="11"/>
      <c r="I16" s="2">
        <f>ROUND(0,2)</f>
        <v>0</v>
      </c>
      <c r="J16" s="2">
        <f>ROUND(0,2)</f>
        <v>0</v>
      </c>
      <c r="K16" s="2">
        <f>ROUND(0,2)</f>
        <v>0</v>
      </c>
    </row>
    <row r="17" spans="1:11">
      <c r="A17" s="15" t="s">
        <v>23</v>
      </c>
      <c r="B17" s="15"/>
      <c r="C17" s="11">
        <f>ROUND(1733124,2)</f>
        <v>1733124</v>
      </c>
      <c r="D17" s="11"/>
      <c r="E17" s="2">
        <f>ROUND(4363377.57,2)</f>
        <v>4363377.57</v>
      </c>
      <c r="F17" s="2">
        <f>ROUND(6096501.57,2)</f>
        <v>6096501.5700000003</v>
      </c>
      <c r="G17" s="11">
        <f>ROUND(1190718.86,2)</f>
        <v>1190718.8600000001</v>
      </c>
      <c r="H17" s="11"/>
      <c r="I17" s="2">
        <f>ROUND(684481.1,2)</f>
        <v>684481.1</v>
      </c>
      <c r="J17" s="2">
        <f>ROUND(506237.76,2)</f>
        <v>506237.76</v>
      </c>
      <c r="K17" s="2">
        <f>ROUND(4905782.71,2)</f>
        <v>4905782.71</v>
      </c>
    </row>
    <row r="18" spans="1:11">
      <c r="A18" s="14" t="s">
        <v>24</v>
      </c>
      <c r="B18" s="14"/>
      <c r="C18" s="16">
        <f>ROUND(1733124,2)</f>
        <v>1733124</v>
      </c>
      <c r="D18" s="16"/>
      <c r="E18" s="4">
        <f>ROUND(4363377.57,2)</f>
        <v>4363377.57</v>
      </c>
      <c r="F18" s="4">
        <f>ROUND(6096501.57,2)</f>
        <v>6096501.5700000003</v>
      </c>
      <c r="G18" s="16">
        <f>ROUND(1190718.86,2)</f>
        <v>1190718.8600000001</v>
      </c>
      <c r="H18" s="16"/>
      <c r="I18" s="4">
        <f>ROUND(684481.1,2)</f>
        <v>684481.1</v>
      </c>
      <c r="J18" s="4">
        <f>ROUND(506237.76,2)</f>
        <v>506237.76</v>
      </c>
      <c r="K18" s="4">
        <f>ROUND(4905782.71,2)</f>
        <v>4905782.71</v>
      </c>
    </row>
    <row r="19" spans="1:11">
      <c r="A19" s="14" t="s">
        <v>25</v>
      </c>
      <c r="B19" s="14"/>
      <c r="C19" s="12"/>
      <c r="D19" s="12"/>
      <c r="E19" s="3"/>
      <c r="F19" s="3"/>
      <c r="G19" s="12"/>
      <c r="H19" s="12"/>
      <c r="I19" s="3"/>
      <c r="J19" s="3"/>
      <c r="K19" s="3"/>
    </row>
    <row r="20" spans="1:11">
      <c r="A20" s="15" t="s">
        <v>26</v>
      </c>
      <c r="B20" s="15"/>
      <c r="C20" s="11">
        <f>ROUND(600,2)</f>
        <v>600</v>
      </c>
      <c r="D20" s="11"/>
      <c r="E20" s="2">
        <f>ROUND(36301326.27,2)</f>
        <v>36301326.270000003</v>
      </c>
      <c r="F20" s="2">
        <f>ROUND(36301926.27,2)</f>
        <v>36301926.270000003</v>
      </c>
      <c r="G20" s="11">
        <f>ROUND(37966.19,2)</f>
        <v>37966.19</v>
      </c>
      <c r="H20" s="11"/>
      <c r="I20" s="2">
        <f>ROUND(37966.19,2)</f>
        <v>37966.19</v>
      </c>
      <c r="J20" s="2">
        <f>ROUND(0,2)</f>
        <v>0</v>
      </c>
      <c r="K20" s="2">
        <f>ROUND(36263960.08,2)</f>
        <v>36263960.079999998</v>
      </c>
    </row>
    <row r="21" spans="1:11">
      <c r="A21" s="15" t="s">
        <v>27</v>
      </c>
      <c r="B21" s="15"/>
      <c r="C21" s="11">
        <f>ROUND(1500000,2)</f>
        <v>1500000</v>
      </c>
      <c r="D21" s="11"/>
      <c r="E21" s="2">
        <f>ROUND(1370778.4,2)</f>
        <v>1370778.4</v>
      </c>
      <c r="F21" s="2">
        <f>ROUND(2870778.4,2)</f>
        <v>2870778.4</v>
      </c>
      <c r="G21" s="11">
        <f>ROUND(0,2)</f>
        <v>0</v>
      </c>
      <c r="H21" s="11"/>
      <c r="I21" s="2">
        <f>ROUND(0,2)</f>
        <v>0</v>
      </c>
      <c r="J21" s="2">
        <f>ROUND(0,2)</f>
        <v>0</v>
      </c>
      <c r="K21" s="2">
        <f>ROUND(2870778.4,2)</f>
        <v>2870778.4</v>
      </c>
    </row>
    <row r="22" spans="1:11">
      <c r="A22" s="14" t="s">
        <v>28</v>
      </c>
      <c r="B22" s="14"/>
      <c r="C22" s="16">
        <f>ROUND(1500600,2)</f>
        <v>1500600</v>
      </c>
      <c r="D22" s="16"/>
      <c r="E22" s="4">
        <f>ROUND(37672104.67,2)</f>
        <v>37672104.670000002</v>
      </c>
      <c r="F22" s="4">
        <f>ROUND(39172704.67,2)</f>
        <v>39172704.670000002</v>
      </c>
      <c r="G22" s="16">
        <f>ROUND(37966.19,2)</f>
        <v>37966.19</v>
      </c>
      <c r="H22" s="16"/>
      <c r="I22" s="4">
        <f>ROUND(37966.19,2)</f>
        <v>37966.19</v>
      </c>
      <c r="J22" s="4">
        <f>ROUND(0,2)</f>
        <v>0</v>
      </c>
      <c r="K22" s="4">
        <f>ROUND(39134738.48,2)</f>
        <v>39134738.479999997</v>
      </c>
    </row>
    <row r="23" spans="1:11">
      <c r="A23" s="17" t="s">
        <v>29</v>
      </c>
      <c r="B23" s="17"/>
      <c r="C23" s="19">
        <f>ROUND(83907051,2)</f>
        <v>83907051</v>
      </c>
      <c r="D23" s="19"/>
      <c r="E23" s="5">
        <f>ROUND(46404127.65,2)</f>
        <v>46404127.649999999</v>
      </c>
      <c r="F23" s="5">
        <f>ROUND(130311178.65,2)</f>
        <v>130311178.65000001</v>
      </c>
      <c r="G23" s="19">
        <f>ROUND(70811473.61,2)</f>
        <v>70811473.609999999</v>
      </c>
      <c r="H23" s="19"/>
      <c r="I23" s="5">
        <f>ROUND(53499554.24,2)</f>
        <v>53499554.240000002</v>
      </c>
      <c r="J23" s="5">
        <f>ROUND(17311919.37,2)</f>
        <v>17311919.370000001</v>
      </c>
      <c r="K23" s="5">
        <f>ROUND(59499705.04,2)</f>
        <v>59499705.039999999</v>
      </c>
    </row>
    <row r="24" spans="1:11" ht="26.65" customHeight="1">
      <c r="A24" s="18" t="s">
        <v>30</v>
      </c>
      <c r="B24" s="18"/>
      <c r="C24" s="13" t="s">
        <v>31</v>
      </c>
      <c r="D24" s="13"/>
      <c r="E24" s="1" t="s">
        <v>7</v>
      </c>
      <c r="F24" s="1" t="s">
        <v>32</v>
      </c>
      <c r="G24" s="13" t="s">
        <v>33</v>
      </c>
      <c r="H24" s="13"/>
      <c r="I24" s="1" t="s">
        <v>34</v>
      </c>
      <c r="J24" s="1" t="s">
        <v>35</v>
      </c>
      <c r="K24" s="1" t="s">
        <v>12</v>
      </c>
    </row>
    <row r="25" spans="1:11" ht="26.65" customHeight="1">
      <c r="A25" s="15" t="s">
        <v>13</v>
      </c>
      <c r="B25" s="15"/>
      <c r="C25" s="11">
        <f>ROUND(10679961.11,2)</f>
        <v>10679961.109999999</v>
      </c>
      <c r="D25" s="11"/>
      <c r="E25" s="2">
        <f>ROUND(1292.16,2)</f>
        <v>1292.1600000000001</v>
      </c>
      <c r="F25" s="2">
        <f>ROUND(10681253.27,2)</f>
        <v>10681253.27</v>
      </c>
      <c r="G25" s="11">
        <f>ROUND(10681253.27,2)</f>
        <v>10681253.27</v>
      </c>
      <c r="H25" s="11"/>
      <c r="I25" s="2">
        <f>ROUND(8981492.02,2)</f>
        <v>8981492.0199999996</v>
      </c>
      <c r="J25" s="2">
        <f>ROUND(1699761.25,2)</f>
        <v>1699761.25</v>
      </c>
      <c r="K25" s="2">
        <f>ROUND(0,2)</f>
        <v>0</v>
      </c>
    </row>
    <row r="26" spans="1:11">
      <c r="A26" s="14" t="s">
        <v>14</v>
      </c>
      <c r="B26" s="14"/>
      <c r="C26" s="12"/>
      <c r="D26" s="12"/>
      <c r="E26" s="3"/>
      <c r="F26" s="3"/>
      <c r="G26" s="12"/>
      <c r="H26" s="12"/>
      <c r="I26" s="3"/>
      <c r="J26" s="3"/>
      <c r="K26" s="3"/>
    </row>
    <row r="27" spans="1:11">
      <c r="A27" s="15" t="s">
        <v>36</v>
      </c>
      <c r="B27" s="15"/>
      <c r="C27" s="11">
        <f>ROUND(29380000,2)</f>
        <v>29380000</v>
      </c>
      <c r="D27" s="11"/>
      <c r="E27" s="2">
        <f>ROUND(3820896.14,2)</f>
        <v>3820896.14</v>
      </c>
      <c r="F27" s="2">
        <f>ROUND(33200896.14,2)</f>
        <v>33200896.140000001</v>
      </c>
      <c r="G27" s="11">
        <f>ROUND(22581812.37,2)</f>
        <v>22581812.370000001</v>
      </c>
      <c r="H27" s="11"/>
      <c r="I27" s="2">
        <f>ROUND(22581812.37,2)</f>
        <v>22581812.370000001</v>
      </c>
      <c r="J27" s="2">
        <f>ROUND(0,2)</f>
        <v>0</v>
      </c>
      <c r="K27" s="2">
        <f>ROUND(10619083.77,2)</f>
        <v>10619083.77</v>
      </c>
    </row>
    <row r="28" spans="1:11">
      <c r="A28" s="15" t="s">
        <v>37</v>
      </c>
      <c r="B28" s="15"/>
      <c r="C28" s="11">
        <f>ROUND(33644648,2)</f>
        <v>33644648</v>
      </c>
      <c r="D28" s="11"/>
      <c r="E28" s="2">
        <f>ROUND(6408645.53,2)</f>
        <v>6408645.5300000003</v>
      </c>
      <c r="F28" s="2">
        <f>ROUND(40053293.53,2)</f>
        <v>40053293.530000001</v>
      </c>
      <c r="G28" s="11">
        <f>ROUND(20135489.84,2)</f>
        <v>20135489.84</v>
      </c>
      <c r="H28" s="11"/>
      <c r="I28" s="2">
        <f>ROUND(19516232.66,2)</f>
        <v>19516232.66</v>
      </c>
      <c r="J28" s="2">
        <f>ROUND(619257.18,2)</f>
        <v>619257.18000000005</v>
      </c>
      <c r="K28" s="2">
        <f>ROUND(19917803.69,2)</f>
        <v>19917803.690000001</v>
      </c>
    </row>
    <row r="29" spans="1:11">
      <c r="A29" s="15" t="s">
        <v>38</v>
      </c>
      <c r="B29" s="15"/>
      <c r="C29" s="11">
        <f>ROUND(715627,2)</f>
        <v>715627</v>
      </c>
      <c r="D29" s="11"/>
      <c r="E29" s="2">
        <f>ROUND(-21000,2)</f>
        <v>-21000</v>
      </c>
      <c r="F29" s="2">
        <f>ROUND(694627,2)</f>
        <v>694627</v>
      </c>
      <c r="G29" s="11">
        <f>ROUND(429868.61,2)</f>
        <v>429868.61</v>
      </c>
      <c r="H29" s="11"/>
      <c r="I29" s="2">
        <f>ROUND(429868.61,2)</f>
        <v>429868.61</v>
      </c>
      <c r="J29" s="2">
        <f>ROUND(0,2)</f>
        <v>0</v>
      </c>
      <c r="K29" s="2">
        <f>ROUND(264758.39,2)</f>
        <v>264758.39</v>
      </c>
    </row>
    <row r="30" spans="1:11">
      <c r="A30" s="15" t="s">
        <v>18</v>
      </c>
      <c r="B30" s="15"/>
      <c r="C30" s="11">
        <f>ROUND(11829199,2)</f>
        <v>11829199</v>
      </c>
      <c r="D30" s="11"/>
      <c r="E30" s="2">
        <f>ROUND(1857043.09,2)</f>
        <v>1857043.09</v>
      </c>
      <c r="F30" s="2">
        <f>ROUND(13686242.09,2)</f>
        <v>13686242.09</v>
      </c>
      <c r="G30" s="11">
        <f>ROUND(7683940.53,2)</f>
        <v>7683940.5300000003</v>
      </c>
      <c r="H30" s="11"/>
      <c r="I30" s="2">
        <f>ROUND(6332900.96,2)</f>
        <v>6332900.96</v>
      </c>
      <c r="J30" s="2">
        <f>ROUND(1351039.57,2)</f>
        <v>1351039.57</v>
      </c>
      <c r="K30" s="2">
        <f>ROUND(6002301.56,2)</f>
        <v>6002301.5599999996</v>
      </c>
    </row>
    <row r="31" spans="1:11">
      <c r="A31" s="15" t="s">
        <v>39</v>
      </c>
      <c r="B31" s="15"/>
      <c r="C31" s="11">
        <f>ROUND(833000,2)</f>
        <v>833000</v>
      </c>
      <c r="D31" s="11"/>
      <c r="E31" s="2">
        <f>ROUND(0,2)</f>
        <v>0</v>
      </c>
      <c r="F31" s="2">
        <f>ROUND(833000,2)</f>
        <v>833000</v>
      </c>
      <c r="G31" s="11">
        <f>ROUND(0,2)</f>
        <v>0</v>
      </c>
      <c r="H31" s="11"/>
      <c r="I31" s="2">
        <f>ROUND(0,2)</f>
        <v>0</v>
      </c>
      <c r="J31" s="2">
        <f>ROUND(0,2)</f>
        <v>0</v>
      </c>
      <c r="K31" s="2">
        <f>ROUND(833000,2)</f>
        <v>833000</v>
      </c>
    </row>
    <row r="32" spans="1:11">
      <c r="A32" s="14" t="s">
        <v>20</v>
      </c>
      <c r="B32" s="14"/>
      <c r="C32" s="16">
        <f>ROUND(76402474,2)</f>
        <v>76402474</v>
      </c>
      <c r="D32" s="16"/>
      <c r="E32" s="4">
        <f>ROUND(12065584.76,2)</f>
        <v>12065584.76</v>
      </c>
      <c r="F32" s="4">
        <f>ROUND(88468058.76,2)</f>
        <v>88468058.760000005</v>
      </c>
      <c r="G32" s="16">
        <f>ROUND(50831111.35,2)</f>
        <v>50831111.350000001</v>
      </c>
      <c r="H32" s="16"/>
      <c r="I32" s="4">
        <f>ROUND(48860814.6,2)</f>
        <v>48860814.600000001</v>
      </c>
      <c r="J32" s="4">
        <f>ROUND(1970296.75,2)</f>
        <v>1970296.75</v>
      </c>
      <c r="K32" s="4">
        <f>ROUND(37636947.41,2)</f>
        <v>37636947.409999996</v>
      </c>
    </row>
    <row r="33" spans="1:11">
      <c r="A33" s="14" t="s">
        <v>21</v>
      </c>
      <c r="B33" s="14"/>
      <c r="C33" s="12"/>
      <c r="D33" s="12"/>
      <c r="E33" s="3"/>
      <c r="F33" s="3"/>
      <c r="G33" s="12"/>
      <c r="H33" s="12"/>
      <c r="I33" s="3"/>
      <c r="J33" s="3"/>
      <c r="K33" s="3"/>
    </row>
    <row r="34" spans="1:11">
      <c r="A34" s="15" t="s">
        <v>40</v>
      </c>
      <c r="B34" s="15"/>
      <c r="C34" s="11">
        <f>ROUND(4564203,2)</f>
        <v>4564203</v>
      </c>
      <c r="D34" s="11"/>
      <c r="E34" s="2">
        <f>ROUND(27013390.74,2)</f>
        <v>27013390.739999998</v>
      </c>
      <c r="F34" s="2">
        <f>ROUND(31577593.74,2)</f>
        <v>31577593.739999998</v>
      </c>
      <c r="G34" s="11">
        <f>ROUND(6703827.67,2)</f>
        <v>6703827.6699999999</v>
      </c>
      <c r="H34" s="11"/>
      <c r="I34" s="2">
        <f>ROUND(6519611.72,2)</f>
        <v>6519611.7199999997</v>
      </c>
      <c r="J34" s="2">
        <f>ROUND(184215.95,2)</f>
        <v>184215.95</v>
      </c>
      <c r="K34" s="2">
        <f>ROUND(24873766.07,2)</f>
        <v>24873766.07</v>
      </c>
    </row>
    <row r="35" spans="1:11">
      <c r="A35" s="15" t="s">
        <v>23</v>
      </c>
      <c r="B35" s="15"/>
      <c r="C35" s="11">
        <f>ROUND(1193774,2)</f>
        <v>1193774</v>
      </c>
      <c r="D35" s="11"/>
      <c r="E35" s="2">
        <f>ROUND(4590152.15,2)</f>
        <v>4590152.1500000004</v>
      </c>
      <c r="F35" s="2">
        <f>ROUND(5783926.15,2)</f>
        <v>5783926.1500000004</v>
      </c>
      <c r="G35" s="11">
        <f>ROUND(637155.83,2)</f>
        <v>637155.82999999996</v>
      </c>
      <c r="H35" s="11"/>
      <c r="I35" s="2">
        <f>ROUND(505224.83,2)</f>
        <v>505224.83</v>
      </c>
      <c r="J35" s="2">
        <f>ROUND(131931,2)</f>
        <v>131931</v>
      </c>
      <c r="K35" s="2">
        <f>ROUND(5146770.32,2)</f>
        <v>5146770.32</v>
      </c>
    </row>
    <row r="36" spans="1:11">
      <c r="A36" s="14" t="s">
        <v>24</v>
      </c>
      <c r="B36" s="14"/>
      <c r="C36" s="16">
        <f>ROUND(5757977,2)</f>
        <v>5757977</v>
      </c>
      <c r="D36" s="16"/>
      <c r="E36" s="4">
        <f>ROUND(31603542.89,2)</f>
        <v>31603542.890000001</v>
      </c>
      <c r="F36" s="4">
        <f>ROUND(37361519.89,2)</f>
        <v>37361519.890000001</v>
      </c>
      <c r="G36" s="16">
        <f>ROUND(7340983.5,2)</f>
        <v>7340983.5</v>
      </c>
      <c r="H36" s="16"/>
      <c r="I36" s="4">
        <f>ROUND(7024836.55,2)</f>
        <v>7024836.5499999998</v>
      </c>
      <c r="J36" s="4">
        <f>ROUND(316146.95,2)</f>
        <v>316146.95</v>
      </c>
      <c r="K36" s="4">
        <f>ROUND(30020536.39,2)</f>
        <v>30020536.390000001</v>
      </c>
    </row>
    <row r="37" spans="1:11">
      <c r="A37" s="14" t="s">
        <v>25</v>
      </c>
      <c r="B37" s="14"/>
      <c r="C37" s="12"/>
      <c r="D37" s="12"/>
      <c r="E37" s="3"/>
      <c r="F37" s="3"/>
      <c r="G37" s="12"/>
      <c r="H37" s="12"/>
      <c r="I37" s="3"/>
      <c r="J37" s="3"/>
      <c r="K37" s="3"/>
    </row>
    <row r="38" spans="1:11">
      <c r="A38" s="15" t="s">
        <v>26</v>
      </c>
      <c r="B38" s="15"/>
      <c r="C38" s="11">
        <f>ROUND(46600,2)</f>
        <v>46600</v>
      </c>
      <c r="D38" s="11"/>
      <c r="E38" s="2">
        <f>ROUND(25000,2)</f>
        <v>25000</v>
      </c>
      <c r="F38" s="2">
        <f>ROUND(71600,2)</f>
        <v>71600</v>
      </c>
      <c r="G38" s="11">
        <f>ROUND(48000,2)</f>
        <v>48000</v>
      </c>
      <c r="H38" s="11"/>
      <c r="I38" s="2">
        <f>ROUND(42000,2)</f>
        <v>42000</v>
      </c>
      <c r="J38" s="2">
        <f>ROUND(6000,2)</f>
        <v>6000</v>
      </c>
      <c r="K38" s="2">
        <f>ROUND(23600,2)</f>
        <v>23600</v>
      </c>
    </row>
    <row r="39" spans="1:11">
      <c r="A39" s="15" t="s">
        <v>27</v>
      </c>
      <c r="B39" s="15"/>
      <c r="C39" s="11">
        <f>ROUND(1700000,2)</f>
        <v>1700000</v>
      </c>
      <c r="D39" s="11"/>
      <c r="E39" s="2">
        <f>ROUND(2710000,2)</f>
        <v>2710000</v>
      </c>
      <c r="F39" s="2">
        <f>ROUND(4410000,2)</f>
        <v>4410000</v>
      </c>
      <c r="G39" s="11">
        <f>ROUND(1269028.52,2)</f>
        <v>1269028.52</v>
      </c>
      <c r="H39" s="11"/>
      <c r="I39" s="2">
        <f>ROUND(1269028.52,2)</f>
        <v>1269028.52</v>
      </c>
      <c r="J39" s="2">
        <f>ROUND(0,2)</f>
        <v>0</v>
      </c>
      <c r="K39" s="2">
        <f>ROUND(3140971.48,2)</f>
        <v>3140971.48</v>
      </c>
    </row>
    <row r="40" spans="1:11">
      <c r="A40" s="14" t="s">
        <v>28</v>
      </c>
      <c r="B40" s="14"/>
      <c r="C40" s="16">
        <f>ROUND(1746600,2)</f>
        <v>1746600</v>
      </c>
      <c r="D40" s="16"/>
      <c r="E40" s="4">
        <f>ROUND(2735000,2)</f>
        <v>2735000</v>
      </c>
      <c r="F40" s="4">
        <f>ROUND(4481600,2)</f>
        <v>4481600</v>
      </c>
      <c r="G40" s="16">
        <f>ROUND(1317028.52,2)</f>
        <v>1317028.52</v>
      </c>
      <c r="H40" s="16"/>
      <c r="I40" s="4">
        <f>ROUND(1311028.52,2)</f>
        <v>1311028.52</v>
      </c>
      <c r="J40" s="4">
        <f>ROUND(6000,2)</f>
        <v>6000</v>
      </c>
      <c r="K40" s="4">
        <f>ROUND(3164571.48,2)</f>
        <v>3164571.48</v>
      </c>
    </row>
    <row r="41" spans="1:11">
      <c r="A41" s="17" t="s">
        <v>41</v>
      </c>
      <c r="B41" s="17"/>
      <c r="C41" s="19">
        <f>ROUND(83907051,2)</f>
        <v>83907051</v>
      </c>
      <c r="D41" s="19"/>
      <c r="E41" s="5">
        <f>ROUND(46404127.65,2)</f>
        <v>46404127.649999999</v>
      </c>
      <c r="F41" s="5">
        <f>ROUND(130311178.65,2)</f>
        <v>130311178.65000001</v>
      </c>
      <c r="G41" s="19">
        <f>ROUND(59489123.37,2)</f>
        <v>59489123.369999997</v>
      </c>
      <c r="H41" s="19"/>
      <c r="I41" s="5">
        <f>ROUND(57196679.67,2)</f>
        <v>57196679.670000002</v>
      </c>
      <c r="J41" s="5">
        <f>ROUND(2292443.7,2)</f>
        <v>2292443.7000000002</v>
      </c>
      <c r="K41" s="5">
        <f>ROUND(70822055.28,2)</f>
        <v>70822055.280000001</v>
      </c>
    </row>
    <row r="42" spans="1:11">
      <c r="A42" s="12"/>
      <c r="B42" s="12"/>
      <c r="C42" s="12"/>
      <c r="D42" s="12"/>
      <c r="E42" s="3"/>
      <c r="F42" s="3"/>
      <c r="G42" s="12"/>
      <c r="H42" s="12"/>
      <c r="I42" s="3"/>
      <c r="J42" s="3"/>
      <c r="K42" s="3"/>
    </row>
    <row r="43" spans="1:11" ht="18">
      <c r="A43" s="18" t="s">
        <v>42</v>
      </c>
      <c r="B43" s="18"/>
      <c r="C43" s="13" t="s">
        <v>43</v>
      </c>
      <c r="D43" s="13"/>
      <c r="E43" s="1" t="s">
        <v>7</v>
      </c>
      <c r="F43" s="1" t="s">
        <v>44</v>
      </c>
      <c r="G43" s="13" t="s">
        <v>45</v>
      </c>
      <c r="H43" s="13"/>
      <c r="I43" s="1" t="s">
        <v>46</v>
      </c>
      <c r="J43" s="1" t="s">
        <v>47</v>
      </c>
      <c r="K43" s="1" t="s">
        <v>12</v>
      </c>
    </row>
    <row r="44" spans="1:11">
      <c r="A44" s="15" t="s">
        <v>48</v>
      </c>
      <c r="B44" s="15"/>
      <c r="C44" s="11">
        <f>ROUND(83907051,2)</f>
        <v>83907051</v>
      </c>
      <c r="D44" s="11"/>
      <c r="E44" s="2">
        <f>ROUND(46404127.65,2)</f>
        <v>46404127.649999999</v>
      </c>
      <c r="F44" s="2">
        <f>ROUND(130311178.65,2)</f>
        <v>130311178.65000001</v>
      </c>
      <c r="G44" s="11">
        <f>ROUND(70811473.61,2)</f>
        <v>70811473.609999999</v>
      </c>
      <c r="H44" s="11"/>
      <c r="I44" s="2">
        <f>ROUND(53499554.24,2)</f>
        <v>53499554.240000002</v>
      </c>
      <c r="J44" s="2">
        <f>ROUND(17311919.37,2)</f>
        <v>17311919.370000001</v>
      </c>
      <c r="K44" s="2">
        <f>ROUND(-33308550.26,2)</f>
        <v>-33308550.260000002</v>
      </c>
    </row>
    <row r="45" spans="1:11">
      <c r="A45" s="15" t="s">
        <v>49</v>
      </c>
      <c r="B45" s="15"/>
      <c r="C45" s="11">
        <f>ROUND(83907051,2)</f>
        <v>83907051</v>
      </c>
      <c r="D45" s="11"/>
      <c r="E45" s="2">
        <f>ROUND(46404127.65,2)</f>
        <v>46404127.649999999</v>
      </c>
      <c r="F45" s="2">
        <f>ROUND(130311178.65,2)</f>
        <v>130311178.65000001</v>
      </c>
      <c r="G45" s="11">
        <f>ROUND(59489123.37,2)</f>
        <v>59489123.369999997</v>
      </c>
      <c r="H45" s="11"/>
      <c r="I45" s="2">
        <f>ROUND(57196679.67,2)</f>
        <v>57196679.670000002</v>
      </c>
      <c r="J45" s="2">
        <f>ROUND(2292443.7,2)</f>
        <v>2292443.7000000002</v>
      </c>
      <c r="K45" s="2">
        <f>ROUND(70822055.28,2)</f>
        <v>70822055.280000001</v>
      </c>
    </row>
    <row r="46" spans="1:11">
      <c r="A46" s="17" t="s">
        <v>50</v>
      </c>
      <c r="B46" s="17"/>
      <c r="C46" s="19">
        <f>ROUND(0,2)</f>
        <v>0</v>
      </c>
      <c r="D46" s="19"/>
      <c r="E46" s="5">
        <f>ROUND(1.49011611938477E-08,2)</f>
        <v>0</v>
      </c>
      <c r="F46" s="5">
        <f>ROUND(2.23517417907715E-08,2)</f>
        <v>0</v>
      </c>
      <c r="G46" s="19">
        <f>ROUND(11322350.24,2)</f>
        <v>11322350.24</v>
      </c>
      <c r="H46" s="19"/>
      <c r="I46" s="5">
        <f>ROUND(-3697125.43,2)</f>
        <v>-3697125.43</v>
      </c>
      <c r="J46" s="5">
        <f>ROUND(15019475.67,2)</f>
        <v>15019475.67</v>
      </c>
      <c r="K46" s="5">
        <f>ROUND(-11322350.24,2)</f>
        <v>-11322350.24</v>
      </c>
    </row>
    <row r="47" spans="1:11">
      <c r="A47" s="12"/>
      <c r="B47" s="12"/>
      <c r="C47" s="12"/>
      <c r="D47" s="12"/>
      <c r="E47" s="3"/>
      <c r="F47" s="3"/>
      <c r="G47" s="12"/>
      <c r="H47" s="12"/>
      <c r="I47" s="3"/>
      <c r="J47" s="3"/>
      <c r="K47" s="3"/>
    </row>
    <row r="48" spans="1:11" ht="18">
      <c r="A48" s="18" t="s">
        <v>51</v>
      </c>
      <c r="B48" s="18"/>
      <c r="C48" s="13" t="s">
        <v>43</v>
      </c>
      <c r="D48" s="13"/>
      <c r="E48" s="1" t="s">
        <v>7</v>
      </c>
      <c r="F48" s="1" t="s">
        <v>44</v>
      </c>
      <c r="G48" s="13" t="s">
        <v>45</v>
      </c>
      <c r="H48" s="13"/>
      <c r="I48" s="1" t="s">
        <v>46</v>
      </c>
      <c r="J48" s="1" t="s">
        <v>47</v>
      </c>
      <c r="K48" s="1" t="s">
        <v>12</v>
      </c>
    </row>
    <row r="49" spans="1:11">
      <c r="A49" s="15" t="s">
        <v>48</v>
      </c>
      <c r="B49" s="15"/>
      <c r="C49" s="11">
        <f>ROUND(106160811.18,2)</f>
        <v>106160811.18000001</v>
      </c>
      <c r="D49" s="11"/>
      <c r="E49" s="2">
        <f>ROUND(46001618.14,2)</f>
        <v>46001618.140000001</v>
      </c>
      <c r="F49" s="2">
        <f>ROUND(152162429.32,2)</f>
        <v>152162429.31999999</v>
      </c>
      <c r="G49" s="11">
        <f>ROUND(92662724.28,2)</f>
        <v>92662724.280000001</v>
      </c>
      <c r="H49" s="11"/>
      <c r="I49" s="2">
        <f>ROUND(58127213.58,2)</f>
        <v>58127213.579999998</v>
      </c>
      <c r="J49" s="2">
        <f>ROUND(34535510.7,2)</f>
        <v>34535510.700000003</v>
      </c>
      <c r="K49" s="2">
        <f>ROUND(-33308550.26,2)</f>
        <v>-33308550.260000002</v>
      </c>
    </row>
    <row r="50" spans="1:11">
      <c r="A50" s="15" t="s">
        <v>49</v>
      </c>
      <c r="B50" s="15"/>
      <c r="C50" s="11">
        <f>ROUND(94587012.11,2)</f>
        <v>94587012.109999999</v>
      </c>
      <c r="D50" s="11"/>
      <c r="E50" s="2">
        <f>ROUND(46405419.81,2)</f>
        <v>46405419.810000002</v>
      </c>
      <c r="F50" s="2">
        <f>ROUND(140992431.92,2)</f>
        <v>140992431.91999999</v>
      </c>
      <c r="G50" s="11">
        <f>ROUND(70170376.64,2)</f>
        <v>70170376.640000001</v>
      </c>
      <c r="H50" s="11"/>
      <c r="I50" s="2">
        <f>ROUND(66178171.69,2)</f>
        <v>66178171.689999998</v>
      </c>
      <c r="J50" s="2">
        <f>ROUND(3992204.94999998,2)</f>
        <v>3992204.95</v>
      </c>
      <c r="K50" s="2">
        <f>ROUND(70822055.28,2)</f>
        <v>70822055.280000001</v>
      </c>
    </row>
    <row r="51" spans="1:11">
      <c r="A51" s="17" t="s">
        <v>52</v>
      </c>
      <c r="B51" s="17"/>
      <c r="C51" s="19">
        <f>ROUND(11573799.07,2)</f>
        <v>11573799.07</v>
      </c>
      <c r="D51" s="19"/>
      <c r="E51" s="5">
        <f>ROUND(-403801.669999983,2)</f>
        <v>-403801.67</v>
      </c>
      <c r="F51" s="5">
        <f>ROUND(11169997.4,2)</f>
        <v>11169997.4</v>
      </c>
      <c r="G51" s="19">
        <f>ROUND(22492347.64,2)</f>
        <v>22492347.640000001</v>
      </c>
      <c r="H51" s="19"/>
      <c r="I51" s="5">
        <f>ROUND(-8050958.11,2)</f>
        <v>-8050958.1100000003</v>
      </c>
      <c r="J51" s="5">
        <f>ROUND(30543305.75,2)</f>
        <v>30543305.75</v>
      </c>
      <c r="K51" s="5">
        <f>ROUND(-11322350.24,2)</f>
        <v>-11322350.24</v>
      </c>
    </row>
  </sheetData>
  <mergeCells count="146">
    <mergeCell ref="G51:H51"/>
    <mergeCell ref="C51:D51"/>
    <mergeCell ref="G50:H50"/>
    <mergeCell ref="C50:D50"/>
    <mergeCell ref="G49:H49"/>
    <mergeCell ref="C46:D46"/>
    <mergeCell ref="G48:H48"/>
    <mergeCell ref="C48:D48"/>
    <mergeCell ref="G41:H41"/>
    <mergeCell ref="G40:H40"/>
    <mergeCell ref="G39:H39"/>
    <mergeCell ref="G38:H38"/>
    <mergeCell ref="G36:H36"/>
    <mergeCell ref="G35:H35"/>
    <mergeCell ref="G46:H46"/>
    <mergeCell ref="G45:H45"/>
    <mergeCell ref="G44:H44"/>
    <mergeCell ref="A48:B48"/>
    <mergeCell ref="G47:H47"/>
    <mergeCell ref="C47:D47"/>
    <mergeCell ref="G17:H17"/>
    <mergeCell ref="C17:D17"/>
    <mergeCell ref="G16:H16"/>
    <mergeCell ref="C16:D16"/>
    <mergeCell ref="G21:H21"/>
    <mergeCell ref="C21:D21"/>
    <mergeCell ref="G20:H20"/>
    <mergeCell ref="C20:D20"/>
    <mergeCell ref="G18:H18"/>
    <mergeCell ref="C18:D18"/>
    <mergeCell ref="G34:H34"/>
    <mergeCell ref="G42:H42"/>
    <mergeCell ref="G43:H43"/>
    <mergeCell ref="G23:H23"/>
    <mergeCell ref="C23:D23"/>
    <mergeCell ref="G22:H22"/>
    <mergeCell ref="C22:D22"/>
    <mergeCell ref="C42:D42"/>
    <mergeCell ref="C41:D41"/>
    <mergeCell ref="A47:B47"/>
    <mergeCell ref="A43:B43"/>
    <mergeCell ref="A44:B44"/>
    <mergeCell ref="A45:B45"/>
    <mergeCell ref="A46:B46"/>
    <mergeCell ref="C43:D43"/>
    <mergeCell ref="C13:D13"/>
    <mergeCell ref="C12:D12"/>
    <mergeCell ref="A51:B51"/>
    <mergeCell ref="A50:B50"/>
    <mergeCell ref="A49:B49"/>
    <mergeCell ref="A14:B14"/>
    <mergeCell ref="C14:D14"/>
    <mergeCell ref="C15:D15"/>
    <mergeCell ref="C40:D40"/>
    <mergeCell ref="C45:D45"/>
    <mergeCell ref="C44:D44"/>
    <mergeCell ref="C49:D49"/>
    <mergeCell ref="C30:D30"/>
    <mergeCell ref="C29:D29"/>
    <mergeCell ref="C28:D28"/>
    <mergeCell ref="C39:D39"/>
    <mergeCell ref="C38:D38"/>
    <mergeCell ref="C37:D37"/>
    <mergeCell ref="C36:D36"/>
    <mergeCell ref="C35:D35"/>
    <mergeCell ref="C34:D34"/>
    <mergeCell ref="G37:H37"/>
    <mergeCell ref="G33:H33"/>
    <mergeCell ref="G26:H26"/>
    <mergeCell ref="G25:H25"/>
    <mergeCell ref="C25:D25"/>
    <mergeCell ref="A36:B36"/>
    <mergeCell ref="A35:B35"/>
    <mergeCell ref="A34:B34"/>
    <mergeCell ref="C33:D33"/>
    <mergeCell ref="C32:D32"/>
    <mergeCell ref="C31:D31"/>
    <mergeCell ref="A33:B33"/>
    <mergeCell ref="A32:B32"/>
    <mergeCell ref="A31:B31"/>
    <mergeCell ref="A30:B30"/>
    <mergeCell ref="A29:B29"/>
    <mergeCell ref="A28:B28"/>
    <mergeCell ref="G27:H27"/>
    <mergeCell ref="G28:H28"/>
    <mergeCell ref="G29:H29"/>
    <mergeCell ref="G30:H30"/>
    <mergeCell ref="G31:H31"/>
    <mergeCell ref="G32:H32"/>
    <mergeCell ref="A42:B42"/>
    <mergeCell ref="A41:B41"/>
    <mergeCell ref="A40:B40"/>
    <mergeCell ref="A39:B39"/>
    <mergeCell ref="A38:B38"/>
    <mergeCell ref="A37:B37"/>
    <mergeCell ref="A27:B27"/>
    <mergeCell ref="A6:B6"/>
    <mergeCell ref="A1:A5"/>
    <mergeCell ref="B1:C5"/>
    <mergeCell ref="A25:B25"/>
    <mergeCell ref="A26:B26"/>
    <mergeCell ref="A9:B9"/>
    <mergeCell ref="A8:B8"/>
    <mergeCell ref="A7:B7"/>
    <mergeCell ref="A10:B10"/>
    <mergeCell ref="A17:B17"/>
    <mergeCell ref="A18:B18"/>
    <mergeCell ref="C26:D26"/>
    <mergeCell ref="C27:D27"/>
    <mergeCell ref="A13:B13"/>
    <mergeCell ref="A12:B12"/>
    <mergeCell ref="A15:B15"/>
    <mergeCell ref="A11:B11"/>
    <mergeCell ref="G13:H13"/>
    <mergeCell ref="G12:H12"/>
    <mergeCell ref="G11:H11"/>
    <mergeCell ref="C11:D11"/>
    <mergeCell ref="G10:H10"/>
    <mergeCell ref="C10:D10"/>
    <mergeCell ref="G24:H24"/>
    <mergeCell ref="C24:D24"/>
    <mergeCell ref="A22:B22"/>
    <mergeCell ref="A21:B21"/>
    <mergeCell ref="A20:B20"/>
    <mergeCell ref="C19:D19"/>
    <mergeCell ref="G19:H19"/>
    <mergeCell ref="G14:H14"/>
    <mergeCell ref="G15:H15"/>
    <mergeCell ref="A16:B16"/>
    <mergeCell ref="A19:B19"/>
    <mergeCell ref="A23:B23"/>
    <mergeCell ref="A24:B24"/>
    <mergeCell ref="D5:G5"/>
    <mergeCell ref="D4:G4"/>
    <mergeCell ref="D3:G3"/>
    <mergeCell ref="D2:G2"/>
    <mergeCell ref="D1:G1"/>
    <mergeCell ref="H1:K5"/>
    <mergeCell ref="G9:H9"/>
    <mergeCell ref="C9:D9"/>
    <mergeCell ref="C8:D8"/>
    <mergeCell ref="C7:D7"/>
    <mergeCell ref="C6:D6"/>
    <mergeCell ref="G8:H8"/>
    <mergeCell ref="G7:H7"/>
    <mergeCell ref="G6:H6"/>
  </mergeCells>
  <pageMargins left="0.39369446039199829" right="0.39369446039199829" top="0.39369446039199829" bottom="0.39369446039199829" header="0" footer="0"/>
  <pageSetup paperSize="9" fitToWidth="0" fitToHeight="0" orientation="landscape" horizontalDpi="0" verticalDpi="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b13fd-9b6b-4261-99c4-9c268a2920e2">
      <Terms xmlns="http://schemas.microsoft.com/office/infopath/2007/PartnerControls"/>
    </lcf76f155ced4ddcb4097134ff3c332f>
    <TaxCatchAll xmlns="4fc8459e-692b-470d-a014-31b9e2216e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443AFD2AFFA4D852F25331F638403" ma:contentTypeVersion="14" ma:contentTypeDescription="Crea un document nou" ma:contentTypeScope="" ma:versionID="b9d35ddb5bd218fb2ea0605c598f21f2">
  <xsd:schema xmlns:xsd="http://www.w3.org/2001/XMLSchema" xmlns:xs="http://www.w3.org/2001/XMLSchema" xmlns:p="http://schemas.microsoft.com/office/2006/metadata/properties" xmlns:ns2="f4bb13fd-9b6b-4261-99c4-9c268a2920e2" xmlns:ns3="4fc8459e-692b-470d-a014-31b9e2216e42" targetNamespace="http://schemas.microsoft.com/office/2006/metadata/properties" ma:root="true" ma:fieldsID="ac8ac84d0890fc578c671de53ce566a8" ns2:_="" ns3:_="">
    <xsd:import namespace="f4bb13fd-9b6b-4261-99c4-9c268a2920e2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b13fd-9b6b-4261-99c4-9c268a292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F18DAC-BBCE-4891-903A-46ABEAB5B651}"/>
</file>

<file path=customXml/itemProps2.xml><?xml version="1.0" encoding="utf-8"?>
<ds:datastoreItem xmlns:ds="http://schemas.openxmlformats.org/officeDocument/2006/customXml" ds:itemID="{3B3CFC27-026B-48A1-ACE4-87CC9BDB2C6A}"/>
</file>

<file path=customXml/itemProps3.xml><?xml version="1.0" encoding="utf-8"?>
<ds:datastoreItem xmlns:ds="http://schemas.openxmlformats.org/officeDocument/2006/customXml" ds:itemID="{5BC330C0-C970-4810-8FC3-B5079DE0F3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Tilve Balaguer</dc:creator>
  <cp:keywords/>
  <dc:description/>
  <cp:lastModifiedBy>Cristina Perez Bueno</cp:lastModifiedBy>
  <cp:revision/>
  <dcterms:created xsi:type="dcterms:W3CDTF">2025-01-14T08:39:33Z</dcterms:created>
  <dcterms:modified xsi:type="dcterms:W3CDTF">2025-01-14T08:49:33Z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0x0101006E9443AFD2AFFA4D852F25331F638403</vt:lpwstr>
  </property>
  <property fmtid="{D5CDD505-2E9C-101B-9397-08002B2CF9AE}" pid="3" name="MediaServiceImageTags">
    <vt:lpwstr/>
  </property>
</Properties>
</file>